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001"/>
  <workbookPr defaultThemeVersion="166925"/>
  <mc:AlternateContent xmlns:mc="http://schemas.openxmlformats.org/markup-compatibility/2006">
    <mc:Choice Requires="x15">
      <x15ac:absPath xmlns:x15ac="http://schemas.microsoft.com/office/spreadsheetml/2010/11/ac" url="U:\CE_ME\ME_Business Analysis\OBESITY\Columbia University\2019-2020 partnership\Project team 2 (patient) - ICG - Impact Consulting Group\Policy Map Data Files\"/>
    </mc:Choice>
  </mc:AlternateContent>
  <xr:revisionPtr revIDLastSave="0" documentId="8_{2EAC949C-B6D7-41A5-99AA-32713AF5CF3E}" xr6:coauthVersionLast="38" xr6:coauthVersionMax="38" xr10:uidLastSave="{00000000-0000-0000-0000-000000000000}"/>
  <bookViews>
    <workbookView xWindow="0" yWindow="0" windowWidth="28800" windowHeight="12525"/>
  </bookViews>
  <sheets>
    <sheet name="Percent incom tax return" sheetId="1" r:id="rId1"/>
    <sheet name="Source" sheetId="2" r:id="rId2"/>
  </sheets>
  <calcPr calcId="0"/>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A4210" i="1"/>
  <c r="D4210" i="1"/>
  <c r="A4211" i="1"/>
  <c r="D4211" i="1"/>
  <c r="A4212" i="1"/>
  <c r="D4212" i="1"/>
  <c r="A4213" i="1"/>
  <c r="D4213" i="1"/>
  <c r="A4214" i="1"/>
  <c r="D4214" i="1"/>
  <c r="A4215" i="1"/>
  <c r="D4215" i="1"/>
  <c r="A4216" i="1"/>
  <c r="D4216" i="1"/>
  <c r="A4217" i="1"/>
  <c r="D4217" i="1"/>
  <c r="A4218" i="1"/>
  <c r="D4218" i="1"/>
  <c r="A4219" i="1"/>
  <c r="D4219" i="1"/>
  <c r="A4220" i="1"/>
  <c r="D4220" i="1"/>
  <c r="A4221" i="1"/>
  <c r="D4221" i="1"/>
  <c r="A4222" i="1"/>
  <c r="D4222" i="1"/>
  <c r="A4223" i="1"/>
  <c r="D4223" i="1"/>
  <c r="A4224" i="1"/>
  <c r="D4224" i="1"/>
  <c r="A4225" i="1"/>
  <c r="D4225" i="1"/>
  <c r="A4226" i="1"/>
  <c r="D4226" i="1"/>
  <c r="A4227" i="1"/>
  <c r="D4227" i="1"/>
  <c r="A4228" i="1"/>
  <c r="D4228" i="1"/>
  <c r="A4229" i="1"/>
  <c r="D4229" i="1"/>
  <c r="A4230" i="1"/>
  <c r="D4230" i="1"/>
  <c r="A4231" i="1"/>
  <c r="D4231" i="1"/>
  <c r="A4232" i="1"/>
  <c r="D4232" i="1"/>
  <c r="A4233" i="1"/>
  <c r="D4233" i="1"/>
  <c r="A4234" i="1"/>
  <c r="D4234" i="1"/>
  <c r="A4235" i="1"/>
  <c r="D4235" i="1"/>
  <c r="A4236" i="1"/>
  <c r="D4236" i="1"/>
  <c r="A4237" i="1"/>
  <c r="D4237" i="1"/>
  <c r="A4238" i="1"/>
  <c r="D4238" i="1"/>
  <c r="A4239" i="1"/>
  <c r="D4239" i="1"/>
  <c r="A4240" i="1"/>
  <c r="D4240" i="1"/>
  <c r="A4241" i="1"/>
  <c r="D4241" i="1"/>
  <c r="A4242" i="1"/>
  <c r="D4242" i="1"/>
  <c r="A4243" i="1"/>
  <c r="D4243" i="1"/>
  <c r="A4244" i="1"/>
  <c r="D4244" i="1"/>
  <c r="A4245" i="1"/>
  <c r="D4245" i="1"/>
  <c r="A4246" i="1"/>
  <c r="D4246" i="1"/>
  <c r="A4247" i="1"/>
  <c r="D4247" i="1"/>
  <c r="A4248" i="1"/>
  <c r="D4248" i="1"/>
  <c r="A4249" i="1"/>
  <c r="D4249" i="1"/>
  <c r="A4250" i="1"/>
  <c r="D4250" i="1"/>
  <c r="A4251" i="1"/>
  <c r="D4251" i="1"/>
  <c r="A4252" i="1"/>
  <c r="D4252" i="1"/>
  <c r="A4253" i="1"/>
  <c r="D4253" i="1"/>
  <c r="A4254" i="1"/>
  <c r="D4254" i="1"/>
  <c r="A4255" i="1"/>
  <c r="D4255" i="1"/>
  <c r="A4256" i="1"/>
  <c r="D4256" i="1"/>
  <c r="A4257" i="1"/>
  <c r="D4257" i="1"/>
  <c r="A4258" i="1"/>
  <c r="D4258" i="1"/>
  <c r="A4259" i="1"/>
  <c r="D4259" i="1"/>
  <c r="A4260" i="1"/>
  <c r="D4260" i="1"/>
  <c r="A4261" i="1"/>
  <c r="D4261" i="1"/>
  <c r="A4262" i="1"/>
  <c r="D4262" i="1"/>
  <c r="A4263" i="1"/>
  <c r="D4263" i="1"/>
  <c r="A4264" i="1"/>
  <c r="D4264" i="1"/>
  <c r="A4265" i="1"/>
  <c r="D4265" i="1"/>
  <c r="A4266" i="1"/>
  <c r="D4266" i="1"/>
  <c r="A4267" i="1"/>
  <c r="D4267" i="1"/>
  <c r="A4268" i="1"/>
  <c r="D4268" i="1"/>
  <c r="A4269" i="1"/>
  <c r="D4269" i="1"/>
  <c r="A4270" i="1"/>
  <c r="D4270" i="1"/>
  <c r="A4271" i="1"/>
  <c r="D4271" i="1"/>
  <c r="A4272" i="1"/>
  <c r="D4272" i="1"/>
  <c r="A4273" i="1"/>
  <c r="D4273" i="1"/>
  <c r="A4274" i="1"/>
  <c r="D4274" i="1"/>
  <c r="A4275" i="1"/>
  <c r="D4275" i="1"/>
  <c r="A4276" i="1"/>
  <c r="D4276" i="1"/>
  <c r="A4277" i="1"/>
  <c r="D4277" i="1"/>
  <c r="A4278" i="1"/>
  <c r="D4278" i="1"/>
  <c r="A4279" i="1"/>
  <c r="D4279" i="1"/>
  <c r="A4280" i="1"/>
  <c r="D4280" i="1"/>
  <c r="A4281" i="1"/>
  <c r="D4281" i="1"/>
  <c r="A4282" i="1"/>
  <c r="D4282" i="1"/>
  <c r="A4283" i="1"/>
  <c r="D4283" i="1"/>
  <c r="A4284" i="1"/>
  <c r="D4284" i="1"/>
  <c r="A4285" i="1"/>
  <c r="D4285" i="1"/>
  <c r="A4286" i="1"/>
  <c r="D4286" i="1"/>
  <c r="A4287" i="1"/>
  <c r="D4287" i="1"/>
  <c r="A4288" i="1"/>
  <c r="D4288" i="1"/>
  <c r="A4289" i="1"/>
  <c r="D4289" i="1"/>
  <c r="A4290" i="1"/>
  <c r="D4290" i="1"/>
  <c r="A4291" i="1"/>
  <c r="D4291" i="1"/>
  <c r="A4292" i="1"/>
  <c r="D4292" i="1"/>
  <c r="A4293" i="1"/>
  <c r="D4293" i="1"/>
  <c r="A4294" i="1"/>
  <c r="D4294" i="1"/>
  <c r="A4295" i="1"/>
  <c r="D4295" i="1"/>
  <c r="A4296" i="1"/>
  <c r="D4296" i="1"/>
  <c r="A4297" i="1"/>
  <c r="D4297" i="1"/>
  <c r="A4298" i="1"/>
  <c r="D4298" i="1"/>
  <c r="A4299" i="1"/>
  <c r="D4299" i="1"/>
  <c r="A4300" i="1"/>
  <c r="D4300" i="1"/>
  <c r="A4301" i="1"/>
  <c r="D4301" i="1"/>
  <c r="A4302" i="1"/>
  <c r="D4302" i="1"/>
  <c r="A4303" i="1"/>
  <c r="D4303" i="1"/>
  <c r="A4304" i="1"/>
  <c r="D4304" i="1"/>
  <c r="A4305" i="1"/>
  <c r="D4305" i="1"/>
  <c r="A4306" i="1"/>
  <c r="D4306" i="1"/>
  <c r="A4307" i="1"/>
  <c r="D4307" i="1"/>
  <c r="A4308" i="1"/>
  <c r="D4308" i="1"/>
  <c r="A4309" i="1"/>
  <c r="D4309" i="1"/>
  <c r="A4310" i="1"/>
  <c r="D4310" i="1"/>
  <c r="A4311" i="1"/>
  <c r="D4311" i="1"/>
  <c r="A4312" i="1"/>
  <c r="D4312" i="1"/>
  <c r="A4313" i="1"/>
  <c r="D4313" i="1"/>
  <c r="A4314" i="1"/>
  <c r="D4314" i="1"/>
  <c r="A4315" i="1"/>
  <c r="D4315" i="1"/>
  <c r="A4316" i="1"/>
  <c r="D4316" i="1"/>
  <c r="A4317" i="1"/>
  <c r="D4317" i="1"/>
  <c r="A4318" i="1"/>
  <c r="D4318" i="1"/>
  <c r="A4319" i="1"/>
  <c r="D4319" i="1"/>
  <c r="A4320" i="1"/>
  <c r="D4320" i="1"/>
  <c r="A4321" i="1"/>
  <c r="D4321" i="1"/>
  <c r="A4322" i="1"/>
  <c r="D4322" i="1"/>
  <c r="A4323" i="1"/>
  <c r="D4323" i="1"/>
  <c r="A4324" i="1"/>
  <c r="D4324" i="1"/>
  <c r="A4325" i="1"/>
  <c r="D4325" i="1"/>
  <c r="A4326" i="1"/>
  <c r="D4326" i="1"/>
  <c r="A4327" i="1"/>
  <c r="D4327" i="1"/>
  <c r="A4328" i="1"/>
  <c r="D4328" i="1"/>
  <c r="A4329" i="1"/>
  <c r="D4329" i="1"/>
  <c r="A4330" i="1"/>
  <c r="D4330" i="1"/>
  <c r="A4331" i="1"/>
  <c r="D4331" i="1"/>
  <c r="A4332" i="1"/>
  <c r="D4332" i="1"/>
  <c r="A4333" i="1"/>
  <c r="D4333" i="1"/>
  <c r="A4334" i="1"/>
  <c r="D4334" i="1"/>
  <c r="A4335" i="1"/>
  <c r="D4335" i="1"/>
  <c r="A4336" i="1"/>
  <c r="D4336" i="1"/>
  <c r="A4337" i="1"/>
  <c r="D4337" i="1"/>
  <c r="A4338" i="1"/>
  <c r="D4338" i="1"/>
  <c r="A4339" i="1"/>
  <c r="D4339" i="1"/>
  <c r="A4340" i="1"/>
  <c r="D4340" i="1"/>
  <c r="A4341" i="1"/>
  <c r="D4341" i="1"/>
  <c r="A4342" i="1"/>
  <c r="D4342" i="1"/>
  <c r="A4343" i="1"/>
  <c r="D4343" i="1"/>
  <c r="A4344" i="1"/>
  <c r="D4344" i="1"/>
  <c r="A4345" i="1"/>
  <c r="D4345" i="1"/>
  <c r="A4346" i="1"/>
  <c r="D4346" i="1"/>
  <c r="A4347" i="1"/>
  <c r="D4347" i="1"/>
  <c r="A4348" i="1"/>
  <c r="D4348" i="1"/>
  <c r="A4349" i="1"/>
  <c r="D4349" i="1"/>
  <c r="A4350" i="1"/>
  <c r="D4350" i="1"/>
  <c r="A4351" i="1"/>
  <c r="D4351" i="1"/>
  <c r="A4352" i="1"/>
  <c r="D4352" i="1"/>
  <c r="A4353" i="1"/>
  <c r="D4353" i="1"/>
  <c r="A4354" i="1"/>
  <c r="D4354" i="1"/>
  <c r="A4355" i="1"/>
  <c r="D4355" i="1"/>
  <c r="A4356" i="1"/>
  <c r="D4356" i="1"/>
  <c r="A4357" i="1"/>
  <c r="D4357" i="1"/>
  <c r="A4358" i="1"/>
  <c r="D4358" i="1"/>
  <c r="A4359" i="1"/>
  <c r="D4359" i="1"/>
  <c r="A4360" i="1"/>
  <c r="D4360" i="1"/>
  <c r="A4361" i="1"/>
  <c r="D4361" i="1"/>
  <c r="A4362" i="1"/>
  <c r="D4362" i="1"/>
  <c r="A4363" i="1"/>
  <c r="D4363" i="1"/>
  <c r="A4364" i="1"/>
  <c r="D4364" i="1"/>
  <c r="A4365" i="1"/>
  <c r="D4365" i="1"/>
  <c r="A4366" i="1"/>
  <c r="D4366" i="1"/>
  <c r="A4367" i="1"/>
  <c r="D4367" i="1"/>
  <c r="A4368" i="1"/>
  <c r="D4368" i="1"/>
  <c r="A4369" i="1"/>
  <c r="D4369" i="1"/>
  <c r="A4370" i="1"/>
  <c r="D4370" i="1"/>
  <c r="A4371" i="1"/>
  <c r="D4371" i="1"/>
  <c r="A4372" i="1"/>
  <c r="D4372" i="1"/>
  <c r="A4373" i="1"/>
  <c r="D4373" i="1"/>
  <c r="A4374" i="1"/>
  <c r="D4374" i="1"/>
  <c r="A4375" i="1"/>
  <c r="D4375" i="1"/>
  <c r="A4376" i="1"/>
  <c r="D4376" i="1"/>
  <c r="A4377" i="1"/>
  <c r="D4377" i="1"/>
  <c r="A4378" i="1"/>
  <c r="D4378" i="1"/>
  <c r="A4379" i="1"/>
  <c r="D4379" i="1"/>
  <c r="A4380" i="1"/>
  <c r="D4380" i="1"/>
  <c r="A4381" i="1"/>
  <c r="D4381" i="1"/>
  <c r="A4382" i="1"/>
  <c r="D4382" i="1"/>
  <c r="A4383" i="1"/>
  <c r="D4383" i="1"/>
  <c r="A4384" i="1"/>
  <c r="D4384" i="1"/>
  <c r="A4385" i="1"/>
  <c r="D4385" i="1"/>
  <c r="A4386" i="1"/>
  <c r="D4386" i="1"/>
  <c r="A4387" i="1"/>
  <c r="D4387" i="1"/>
  <c r="A4388" i="1"/>
  <c r="D4388" i="1"/>
  <c r="A4389" i="1"/>
  <c r="D4389" i="1"/>
  <c r="A4390" i="1"/>
  <c r="D4390" i="1"/>
  <c r="A4391" i="1"/>
  <c r="D4391" i="1"/>
  <c r="A4392" i="1"/>
  <c r="D4392" i="1"/>
  <c r="A4393" i="1"/>
  <c r="D4393" i="1"/>
  <c r="A4394" i="1"/>
  <c r="D4394" i="1"/>
  <c r="A4395" i="1"/>
  <c r="D4395" i="1"/>
  <c r="A4396" i="1"/>
  <c r="D4396" i="1"/>
  <c r="A4397" i="1"/>
  <c r="D4397" i="1"/>
  <c r="A4398" i="1"/>
  <c r="D4398" i="1"/>
  <c r="A4399" i="1"/>
  <c r="D4399" i="1"/>
  <c r="A4400" i="1"/>
  <c r="D4400" i="1"/>
  <c r="A4401" i="1"/>
  <c r="D4401" i="1"/>
  <c r="A4402" i="1"/>
  <c r="D4402" i="1"/>
  <c r="A4403" i="1"/>
  <c r="D4403" i="1"/>
  <c r="A4404" i="1"/>
  <c r="D4404" i="1"/>
  <c r="A4405" i="1"/>
  <c r="D4405" i="1"/>
  <c r="A4406" i="1"/>
  <c r="D4406" i="1"/>
  <c r="A4407" i="1"/>
  <c r="D4407" i="1"/>
  <c r="A4408" i="1"/>
  <c r="D4408" i="1"/>
  <c r="A4409" i="1"/>
  <c r="D4409" i="1"/>
  <c r="A4410" i="1"/>
  <c r="D4410" i="1"/>
  <c r="A4411" i="1"/>
  <c r="D4411" i="1"/>
  <c r="A4412" i="1"/>
  <c r="D4412" i="1"/>
  <c r="A4413" i="1"/>
  <c r="D4413" i="1"/>
  <c r="A4414" i="1"/>
  <c r="D4414" i="1"/>
  <c r="A4415" i="1"/>
  <c r="D4415" i="1"/>
  <c r="A4416" i="1"/>
  <c r="D4416" i="1"/>
  <c r="A4417" i="1"/>
  <c r="D4417" i="1"/>
  <c r="A4418" i="1"/>
  <c r="D4418" i="1"/>
  <c r="A4419" i="1"/>
  <c r="D4419" i="1"/>
  <c r="A4420" i="1"/>
  <c r="D4420" i="1"/>
  <c r="A4421" i="1"/>
  <c r="D4421" i="1"/>
  <c r="A4422" i="1"/>
  <c r="D4422" i="1"/>
  <c r="A4423" i="1"/>
  <c r="D4423" i="1"/>
  <c r="A4424" i="1"/>
  <c r="D4424" i="1"/>
  <c r="A4425" i="1"/>
  <c r="D4425" i="1"/>
  <c r="A4426" i="1"/>
  <c r="D4426" i="1"/>
  <c r="A4427" i="1"/>
  <c r="D4427" i="1"/>
  <c r="A4428" i="1"/>
  <c r="D4428" i="1"/>
  <c r="A4429" i="1"/>
  <c r="D4429" i="1"/>
  <c r="A4430" i="1"/>
  <c r="D4430" i="1"/>
  <c r="A4431" i="1"/>
  <c r="D4431" i="1"/>
  <c r="A4432" i="1"/>
  <c r="D4432" i="1"/>
  <c r="A4433" i="1"/>
  <c r="D4433" i="1"/>
  <c r="A4434" i="1"/>
  <c r="D4434" i="1"/>
  <c r="A4435" i="1"/>
  <c r="D4435" i="1"/>
  <c r="A4436" i="1"/>
  <c r="D4436" i="1"/>
  <c r="A4437" i="1"/>
  <c r="D4437" i="1"/>
  <c r="A4438" i="1"/>
  <c r="D4438" i="1"/>
  <c r="A4439" i="1"/>
  <c r="D4439" i="1"/>
  <c r="A4440" i="1"/>
  <c r="D4440" i="1"/>
  <c r="A4441" i="1"/>
  <c r="D4441" i="1"/>
  <c r="A4442" i="1"/>
  <c r="D4442" i="1"/>
  <c r="A4443" i="1"/>
  <c r="D4443" i="1"/>
  <c r="A4444" i="1"/>
  <c r="D4444" i="1"/>
  <c r="A4445" i="1"/>
  <c r="D4445" i="1"/>
  <c r="A4446" i="1"/>
  <c r="D4446" i="1"/>
  <c r="A4447" i="1"/>
  <c r="D4447" i="1"/>
  <c r="A4448" i="1"/>
  <c r="D4448" i="1"/>
  <c r="A4449" i="1"/>
  <c r="D4449" i="1"/>
  <c r="A4450" i="1"/>
  <c r="D4450" i="1"/>
  <c r="A4451" i="1"/>
  <c r="D4451" i="1"/>
  <c r="A4452" i="1"/>
  <c r="D4452" i="1"/>
  <c r="A4453" i="1"/>
  <c r="D4453" i="1"/>
  <c r="A4454" i="1"/>
  <c r="D4454" i="1"/>
  <c r="A4455" i="1"/>
  <c r="D4455" i="1"/>
  <c r="A4456" i="1"/>
  <c r="D4456" i="1"/>
  <c r="A4457" i="1"/>
  <c r="D4457" i="1"/>
  <c r="A4458" i="1"/>
  <c r="D4458" i="1"/>
  <c r="A4459" i="1"/>
  <c r="D4459" i="1"/>
  <c r="A4460" i="1"/>
  <c r="D4460" i="1"/>
  <c r="A4461" i="1"/>
  <c r="D4461" i="1"/>
  <c r="A4462" i="1"/>
  <c r="D4462" i="1"/>
  <c r="A4463" i="1"/>
  <c r="D4463" i="1"/>
  <c r="A4464" i="1"/>
  <c r="D4464" i="1"/>
  <c r="A4465" i="1"/>
  <c r="D4465" i="1"/>
  <c r="A4466" i="1"/>
  <c r="D4466" i="1"/>
  <c r="A4467" i="1"/>
  <c r="D4467" i="1"/>
  <c r="A4468" i="1"/>
  <c r="D4468" i="1"/>
  <c r="A4469" i="1"/>
  <c r="D4469" i="1"/>
  <c r="A4470" i="1"/>
  <c r="D4470" i="1"/>
  <c r="A4471" i="1"/>
  <c r="D4471" i="1"/>
  <c r="A4472" i="1"/>
  <c r="D4472" i="1"/>
  <c r="A4473" i="1"/>
  <c r="D4473" i="1"/>
  <c r="A4474" i="1"/>
  <c r="D4474" i="1"/>
  <c r="A4475" i="1"/>
  <c r="D4475" i="1"/>
  <c r="A4476" i="1"/>
  <c r="D4476" i="1"/>
  <c r="A4477" i="1"/>
  <c r="D4477" i="1"/>
  <c r="A4478" i="1"/>
  <c r="D4478" i="1"/>
  <c r="A4479" i="1"/>
  <c r="D4479" i="1"/>
  <c r="A4480" i="1"/>
  <c r="D4480" i="1"/>
  <c r="A4481" i="1"/>
  <c r="D4481" i="1"/>
  <c r="A4482" i="1"/>
  <c r="D4482" i="1"/>
  <c r="A4483" i="1"/>
  <c r="D4483" i="1"/>
  <c r="A4484" i="1"/>
  <c r="D4484" i="1"/>
  <c r="A4485" i="1"/>
  <c r="D4485" i="1"/>
  <c r="A4486" i="1"/>
  <c r="D4486" i="1"/>
  <c r="A4487" i="1"/>
  <c r="D4487" i="1"/>
  <c r="A4488" i="1"/>
  <c r="D4488" i="1"/>
  <c r="A4489" i="1"/>
  <c r="D4489" i="1"/>
  <c r="A4490" i="1"/>
  <c r="D4490" i="1"/>
  <c r="A4491" i="1"/>
  <c r="D4491" i="1"/>
  <c r="A4492" i="1"/>
  <c r="D4492" i="1"/>
  <c r="A4493" i="1"/>
  <c r="D4493" i="1"/>
  <c r="A4494"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A11915" i="1"/>
  <c r="D11915" i="1"/>
  <c r="A11916" i="1"/>
  <c r="D11916" i="1"/>
  <c r="A11917" i="1"/>
  <c r="D11917" i="1"/>
  <c r="A11918" i="1"/>
  <c r="D11918" i="1"/>
  <c r="A11919" i="1"/>
  <c r="D11919" i="1"/>
  <c r="A11920" i="1"/>
  <c r="D11920" i="1"/>
  <c r="A11921" i="1"/>
  <c r="D11921" i="1"/>
  <c r="A11922" i="1"/>
  <c r="D11922" i="1"/>
  <c r="A11923" i="1"/>
  <c r="D11923" i="1"/>
  <c r="A11924" i="1"/>
  <c r="D11924" i="1"/>
  <c r="A11925" i="1"/>
  <c r="D11925" i="1"/>
  <c r="A11926" i="1"/>
  <c r="D11926" i="1"/>
  <c r="A11927" i="1"/>
  <c r="D11927" i="1"/>
  <c r="A11928" i="1"/>
  <c r="D11928" i="1"/>
  <c r="A11929" i="1"/>
  <c r="D11929" i="1"/>
  <c r="A11930" i="1"/>
  <c r="D11930" i="1"/>
  <c r="A11931" i="1"/>
  <c r="D11931" i="1"/>
  <c r="A11932" i="1"/>
  <c r="D11932" i="1"/>
  <c r="A11933" i="1"/>
  <c r="D11933" i="1"/>
  <c r="A11934" i="1"/>
  <c r="D11934" i="1"/>
  <c r="A11935" i="1"/>
  <c r="D11935" i="1"/>
  <c r="A11936" i="1"/>
  <c r="D11936" i="1"/>
  <c r="A11937" i="1"/>
  <c r="D11937" i="1"/>
  <c r="A11938" i="1"/>
  <c r="D11938" i="1"/>
  <c r="A11939" i="1"/>
  <c r="D11939" i="1"/>
  <c r="A11940" i="1"/>
  <c r="D11940" i="1"/>
  <c r="A11941" i="1"/>
  <c r="D11941" i="1"/>
  <c r="A11942" i="1"/>
  <c r="D11942" i="1"/>
  <c r="A11943" i="1"/>
  <c r="D11943" i="1"/>
  <c r="A11944" i="1"/>
  <c r="D11944" i="1"/>
  <c r="A11945" i="1"/>
  <c r="D11945" i="1"/>
  <c r="A11946" i="1"/>
  <c r="D11946" i="1"/>
  <c r="A11947" i="1"/>
  <c r="D11947" i="1"/>
  <c r="A11948" i="1"/>
  <c r="D11948" i="1"/>
  <c r="A11949" i="1"/>
  <c r="D11949" i="1"/>
  <c r="A11950" i="1"/>
  <c r="D11950" i="1"/>
  <c r="A11951" i="1"/>
  <c r="D11951" i="1"/>
  <c r="A11952" i="1"/>
  <c r="D11952" i="1"/>
  <c r="A11953" i="1"/>
  <c r="D11953" i="1"/>
  <c r="A11954" i="1"/>
  <c r="D11954" i="1"/>
  <c r="A11955" i="1"/>
  <c r="D11955" i="1"/>
  <c r="A11956" i="1"/>
  <c r="D11956" i="1"/>
  <c r="A11957" i="1"/>
  <c r="D11957" i="1"/>
  <c r="A11958" i="1"/>
  <c r="D11958" i="1"/>
  <c r="A11959" i="1"/>
  <c r="D11959" i="1"/>
  <c r="A11960" i="1"/>
  <c r="D11960" i="1"/>
  <c r="A11961" i="1"/>
  <c r="D11961" i="1"/>
  <c r="A11962" i="1"/>
  <c r="D11962" i="1"/>
  <c r="A11963" i="1"/>
  <c r="D11963" i="1"/>
  <c r="A11964" i="1"/>
  <c r="D11964" i="1"/>
  <c r="A11965" i="1"/>
  <c r="D11965" i="1"/>
  <c r="A11966" i="1"/>
  <c r="D11966" i="1"/>
  <c r="A11967" i="1"/>
  <c r="D11967" i="1"/>
  <c r="A11968" i="1"/>
  <c r="D11968" i="1"/>
  <c r="A11969" i="1"/>
  <c r="D11969" i="1"/>
  <c r="A11970" i="1"/>
  <c r="D11970" i="1"/>
  <c r="A11971" i="1"/>
  <c r="D11971" i="1"/>
  <c r="A11972" i="1"/>
  <c r="D11972" i="1"/>
  <c r="A11973" i="1"/>
  <c r="D11973" i="1"/>
  <c r="A11974" i="1"/>
  <c r="D11974" i="1"/>
  <c r="A11975" i="1"/>
  <c r="D11975" i="1"/>
  <c r="A11976" i="1"/>
  <c r="D11976" i="1"/>
  <c r="A11977" i="1"/>
  <c r="D11977" i="1"/>
  <c r="A11978" i="1"/>
  <c r="D11978" i="1"/>
  <c r="A11979" i="1"/>
  <c r="D11979" i="1"/>
  <c r="A11980" i="1"/>
  <c r="D11980" i="1"/>
  <c r="A11981" i="1"/>
  <c r="D11981" i="1"/>
  <c r="A11982" i="1"/>
  <c r="D11982" i="1"/>
  <c r="A11983" i="1"/>
  <c r="D11983" i="1"/>
  <c r="A11984" i="1"/>
  <c r="D11984" i="1"/>
  <c r="A11985" i="1"/>
  <c r="D11985" i="1"/>
  <c r="A11986" i="1"/>
  <c r="D11986" i="1"/>
  <c r="A11987" i="1"/>
  <c r="D11987" i="1"/>
  <c r="A11988" i="1"/>
  <c r="D11988" i="1"/>
  <c r="A11989" i="1"/>
  <c r="D11989" i="1"/>
  <c r="A11990" i="1"/>
  <c r="D11990" i="1"/>
  <c r="A11991" i="1"/>
  <c r="D11991" i="1"/>
  <c r="A11992" i="1"/>
  <c r="D11992" i="1"/>
  <c r="A11993" i="1"/>
  <c r="D11993" i="1"/>
  <c r="A11994" i="1"/>
  <c r="D11994" i="1"/>
  <c r="A11995" i="1"/>
  <c r="D11995" i="1"/>
  <c r="A11996" i="1"/>
  <c r="D11996" i="1"/>
  <c r="A11997" i="1"/>
  <c r="D11997" i="1"/>
  <c r="A11998" i="1"/>
  <c r="D11998" i="1"/>
  <c r="A11999" i="1"/>
  <c r="D11999" i="1"/>
  <c r="A12000" i="1"/>
  <c r="D12000" i="1"/>
  <c r="A12001" i="1"/>
  <c r="D12001" i="1"/>
  <c r="A12002" i="1"/>
  <c r="D12002" i="1"/>
  <c r="A12003" i="1"/>
  <c r="D12003" i="1"/>
  <c r="A12004" i="1"/>
  <c r="D12004" i="1"/>
  <c r="A12005" i="1"/>
  <c r="D12005" i="1"/>
  <c r="A12006" i="1"/>
  <c r="D12006" i="1"/>
  <c r="A12007" i="1"/>
  <c r="D12007" i="1"/>
  <c r="A12008" i="1"/>
  <c r="D12008" i="1"/>
  <c r="A12009" i="1"/>
  <c r="D12009" i="1"/>
  <c r="A12010" i="1"/>
  <c r="D12010" i="1"/>
  <c r="A12011" i="1"/>
  <c r="D12011" i="1"/>
  <c r="A12012" i="1"/>
  <c r="D12012" i="1"/>
  <c r="A12013" i="1"/>
  <c r="D12013" i="1"/>
  <c r="A12014" i="1"/>
  <c r="D12014" i="1"/>
  <c r="A12015" i="1"/>
  <c r="D12015" i="1"/>
  <c r="A12016" i="1"/>
  <c r="D12016" i="1"/>
  <c r="A12017" i="1"/>
  <c r="D12017" i="1"/>
  <c r="A12018" i="1"/>
  <c r="D12018" i="1"/>
  <c r="A12019" i="1"/>
  <c r="D12019" i="1"/>
  <c r="A12020" i="1"/>
  <c r="D12020" i="1"/>
  <c r="A12021" i="1"/>
  <c r="D12021" i="1"/>
  <c r="A12022" i="1"/>
  <c r="D12022" i="1"/>
  <c r="A12023" i="1"/>
  <c r="D12023" i="1"/>
  <c r="A12024" i="1"/>
  <c r="D12024" i="1"/>
  <c r="A12025" i="1"/>
  <c r="D12025" i="1"/>
  <c r="A12026" i="1"/>
  <c r="D12026" i="1"/>
  <c r="A12027" i="1"/>
  <c r="D12027" i="1"/>
  <c r="A12028" i="1"/>
  <c r="D12028" i="1"/>
  <c r="A12029" i="1"/>
  <c r="D12029" i="1"/>
  <c r="A12030" i="1"/>
  <c r="D12030" i="1"/>
  <c r="A12031" i="1"/>
  <c r="D12031" i="1"/>
  <c r="A12032" i="1"/>
  <c r="D12032" i="1"/>
  <c r="A12033" i="1"/>
  <c r="D12033" i="1"/>
  <c r="A12034" i="1"/>
  <c r="D12034" i="1"/>
  <c r="A12035" i="1"/>
  <c r="D12035" i="1"/>
  <c r="A12036" i="1"/>
  <c r="D12036" i="1"/>
  <c r="A12037" i="1"/>
  <c r="D12037" i="1"/>
  <c r="A12038" i="1"/>
  <c r="D12038" i="1"/>
  <c r="A12039" i="1"/>
  <c r="D12039" i="1"/>
  <c r="A12040" i="1"/>
  <c r="D12040" i="1"/>
  <c r="A12041" i="1"/>
  <c r="D12041" i="1"/>
  <c r="A12042" i="1"/>
  <c r="D12042" i="1"/>
  <c r="A12043" i="1"/>
  <c r="D12043" i="1"/>
  <c r="A12044" i="1"/>
  <c r="D12044" i="1"/>
  <c r="A12045" i="1"/>
  <c r="D12045" i="1"/>
  <c r="A12046" i="1"/>
  <c r="D12046" i="1"/>
  <c r="A12047" i="1"/>
  <c r="D12047" i="1"/>
  <c r="A12048" i="1"/>
  <c r="D12048" i="1"/>
  <c r="A12049" i="1"/>
  <c r="D12049" i="1"/>
  <c r="A12050" i="1"/>
  <c r="D12050" i="1"/>
  <c r="A12051" i="1"/>
  <c r="D12051" i="1"/>
  <c r="A12052" i="1"/>
  <c r="D12052" i="1"/>
  <c r="A12053" i="1"/>
  <c r="D12053" i="1"/>
  <c r="A12054" i="1"/>
  <c r="D12054" i="1"/>
  <c r="A12055" i="1"/>
  <c r="D12055" i="1"/>
  <c r="A12056" i="1"/>
  <c r="D12056" i="1"/>
  <c r="A12057" i="1"/>
  <c r="D12057" i="1"/>
  <c r="A12058" i="1"/>
  <c r="D12058" i="1"/>
  <c r="A12059" i="1"/>
  <c r="D12059" i="1"/>
  <c r="A12060" i="1"/>
  <c r="D12060" i="1"/>
  <c r="A12061" i="1"/>
  <c r="D12061" i="1"/>
  <c r="A12062" i="1"/>
  <c r="D12062" i="1"/>
  <c r="A12063" i="1"/>
  <c r="D12063" i="1"/>
  <c r="A12064" i="1"/>
  <c r="D12064" i="1"/>
  <c r="A12065" i="1"/>
  <c r="D12065" i="1"/>
  <c r="A12066" i="1"/>
  <c r="D12066" i="1"/>
  <c r="A12067" i="1"/>
  <c r="D12067" i="1"/>
  <c r="A12068" i="1"/>
  <c r="D12068" i="1"/>
  <c r="A12069" i="1"/>
  <c r="D12069" i="1"/>
  <c r="A12070" i="1"/>
  <c r="D12070" i="1"/>
  <c r="A12071" i="1"/>
  <c r="D12071" i="1"/>
  <c r="A12072" i="1"/>
  <c r="D12072" i="1"/>
  <c r="A12073" i="1"/>
  <c r="D12073" i="1"/>
  <c r="A12074" i="1"/>
  <c r="D12074" i="1"/>
  <c r="A12075" i="1"/>
  <c r="D12075" i="1"/>
  <c r="A12076" i="1"/>
  <c r="D12076" i="1"/>
  <c r="A12077" i="1"/>
  <c r="D12077" i="1"/>
  <c r="A12078" i="1"/>
  <c r="D12078" i="1"/>
  <c r="A12079" i="1"/>
  <c r="D12079" i="1"/>
  <c r="A12080" i="1"/>
  <c r="D12080" i="1"/>
  <c r="A12081" i="1"/>
  <c r="D12081" i="1"/>
  <c r="A12082" i="1"/>
  <c r="D12082" i="1"/>
  <c r="A12083" i="1"/>
  <c r="D12083" i="1"/>
  <c r="A12084" i="1"/>
  <c r="D12084" i="1"/>
  <c r="A12085" i="1"/>
  <c r="D12085" i="1"/>
  <c r="A12086" i="1"/>
  <c r="D12086" i="1"/>
  <c r="A12087" i="1"/>
  <c r="D12087" i="1"/>
  <c r="A12088" i="1"/>
  <c r="D12088" i="1"/>
  <c r="A12089" i="1"/>
  <c r="D12089" i="1"/>
  <c r="A12090" i="1"/>
  <c r="D12090" i="1"/>
  <c r="A12091" i="1"/>
  <c r="D12091" i="1"/>
  <c r="A12092" i="1"/>
  <c r="D12092" i="1"/>
  <c r="A12093" i="1"/>
  <c r="D12093" i="1"/>
  <c r="A12094" i="1"/>
  <c r="D12094" i="1"/>
  <c r="A12095" i="1"/>
  <c r="D12095" i="1"/>
  <c r="A12096" i="1"/>
  <c r="D12096" i="1"/>
  <c r="A12097" i="1"/>
  <c r="D12097" i="1"/>
  <c r="A12098" i="1"/>
  <c r="D12098" i="1"/>
  <c r="A12099" i="1"/>
  <c r="D12099" i="1"/>
  <c r="A12100" i="1"/>
  <c r="D12100" i="1"/>
  <c r="A12101" i="1"/>
  <c r="D12101" i="1"/>
  <c r="A12102" i="1"/>
  <c r="D12102" i="1"/>
  <c r="A12103" i="1"/>
  <c r="D12103" i="1"/>
  <c r="A12104" i="1"/>
  <c r="D12104" i="1"/>
  <c r="A12105" i="1"/>
  <c r="D12105" i="1"/>
  <c r="A12106" i="1"/>
  <c r="D12106" i="1"/>
  <c r="A12107" i="1"/>
  <c r="D12107" i="1"/>
  <c r="A12108" i="1"/>
  <c r="D12108" i="1"/>
  <c r="A12109" i="1"/>
  <c r="D12109" i="1"/>
  <c r="A12110" i="1"/>
  <c r="D12110" i="1"/>
  <c r="A12111" i="1"/>
  <c r="D12111" i="1"/>
  <c r="A12112" i="1"/>
  <c r="D12112" i="1"/>
  <c r="A12113" i="1"/>
  <c r="D12113" i="1"/>
  <c r="A12114" i="1"/>
  <c r="D12114" i="1"/>
  <c r="A12115" i="1"/>
  <c r="D12115" i="1"/>
  <c r="A12116" i="1"/>
  <c r="D12116" i="1"/>
  <c r="A12117" i="1"/>
  <c r="D12117" i="1"/>
  <c r="A12118" i="1"/>
  <c r="D12118" i="1"/>
  <c r="A12119" i="1"/>
  <c r="D12119" i="1"/>
  <c r="A12120" i="1"/>
  <c r="D12120" i="1"/>
  <c r="A12121" i="1"/>
  <c r="D12121" i="1"/>
  <c r="A12122" i="1"/>
  <c r="D12122" i="1"/>
  <c r="A12123" i="1"/>
  <c r="D12123" i="1"/>
  <c r="A12124" i="1"/>
  <c r="D12124" i="1"/>
  <c r="A12125" i="1"/>
  <c r="D12125" i="1"/>
  <c r="A12126" i="1"/>
  <c r="D12126" i="1"/>
  <c r="A12127" i="1"/>
  <c r="D12127" i="1"/>
  <c r="A12128" i="1"/>
  <c r="D12128" i="1"/>
  <c r="A12129" i="1"/>
  <c r="D12129" i="1"/>
  <c r="A12130" i="1"/>
  <c r="D12130" i="1"/>
  <c r="A12131" i="1"/>
  <c r="D12131" i="1"/>
  <c r="A12132" i="1"/>
  <c r="D12132" i="1"/>
  <c r="A12133" i="1"/>
  <c r="D12133" i="1"/>
  <c r="A12134" i="1"/>
  <c r="D12134" i="1"/>
  <c r="A12135" i="1"/>
  <c r="D12135" i="1"/>
  <c r="A12136" i="1"/>
  <c r="D12136" i="1"/>
  <c r="A12137" i="1"/>
  <c r="D12137" i="1"/>
  <c r="A12138" i="1"/>
  <c r="D12138" i="1"/>
  <c r="A12139" i="1"/>
  <c r="D12139" i="1"/>
  <c r="A12140" i="1"/>
  <c r="D12140" i="1"/>
  <c r="A12141" i="1"/>
  <c r="D12141" i="1"/>
  <c r="A12142" i="1"/>
  <c r="D12142" i="1"/>
  <c r="A12143" i="1"/>
  <c r="D12143" i="1"/>
  <c r="A12144" i="1"/>
  <c r="D12144" i="1"/>
  <c r="A12145" i="1"/>
  <c r="D12145" i="1"/>
  <c r="A12146" i="1"/>
  <c r="D12146" i="1"/>
  <c r="A12147" i="1"/>
  <c r="D12147" i="1"/>
  <c r="A12148" i="1"/>
  <c r="D12148" i="1"/>
  <c r="A12149" i="1"/>
  <c r="D12149" i="1"/>
  <c r="A12150" i="1"/>
  <c r="D12150" i="1"/>
  <c r="A12151" i="1"/>
  <c r="D12151" i="1"/>
  <c r="A12152" i="1"/>
  <c r="D12152" i="1"/>
  <c r="A12153" i="1"/>
  <c r="D12153" i="1"/>
  <c r="A12154" i="1"/>
  <c r="D12154" i="1"/>
  <c r="A12155" i="1"/>
  <c r="D12155" i="1"/>
  <c r="A12156" i="1"/>
  <c r="D12156" i="1"/>
  <c r="A12157" i="1"/>
  <c r="D12157" i="1"/>
  <c r="A12158" i="1"/>
  <c r="D12158" i="1"/>
  <c r="A12159" i="1"/>
  <c r="D12159" i="1"/>
  <c r="A12160" i="1"/>
  <c r="D12160" i="1"/>
  <c r="A12161" i="1"/>
  <c r="D12161" i="1"/>
  <c r="A12162" i="1"/>
  <c r="D12162" i="1"/>
  <c r="A12163" i="1"/>
  <c r="D12163" i="1"/>
  <c r="A12164" i="1"/>
  <c r="D12164" i="1"/>
  <c r="A12165" i="1"/>
  <c r="D12165" i="1"/>
  <c r="A12166" i="1"/>
  <c r="D12166" i="1"/>
  <c r="A12167" i="1"/>
  <c r="D12167" i="1"/>
  <c r="A12168" i="1"/>
  <c r="D12168" i="1"/>
  <c r="A12169" i="1"/>
  <c r="D12169" i="1"/>
  <c r="A12170" i="1"/>
  <c r="D12170" i="1"/>
  <c r="A12171" i="1"/>
  <c r="D12171" i="1"/>
  <c r="A12172" i="1"/>
  <c r="D12172" i="1"/>
  <c r="A12173" i="1"/>
  <c r="D12173" i="1"/>
  <c r="A12174" i="1"/>
  <c r="D12174" i="1"/>
  <c r="A12175" i="1"/>
  <c r="D12175" i="1"/>
  <c r="A12176" i="1"/>
  <c r="D12176" i="1"/>
  <c r="A12177" i="1"/>
  <c r="D12177" i="1"/>
  <c r="A12178" i="1"/>
  <c r="D12178" i="1"/>
  <c r="A12179" i="1"/>
  <c r="D12179" i="1"/>
  <c r="A12180" i="1"/>
  <c r="D12180" i="1"/>
  <c r="A12181" i="1"/>
  <c r="D12181" i="1"/>
  <c r="A12182" i="1"/>
  <c r="D12182" i="1"/>
  <c r="A12183" i="1"/>
  <c r="D12183" i="1"/>
  <c r="A12184" i="1"/>
  <c r="D12184" i="1"/>
  <c r="A12185" i="1"/>
  <c r="D12185" i="1"/>
  <c r="A12186" i="1"/>
  <c r="D12186" i="1"/>
  <c r="A12187" i="1"/>
  <c r="D12187" i="1"/>
  <c r="A12188" i="1"/>
  <c r="D12188" i="1"/>
  <c r="A12189" i="1"/>
  <c r="D12189" i="1"/>
  <c r="A12190" i="1"/>
  <c r="D12190" i="1"/>
  <c r="A12191" i="1"/>
  <c r="D12191" i="1"/>
  <c r="A12192" i="1"/>
  <c r="D12192" i="1"/>
  <c r="A12193" i="1"/>
  <c r="D12193" i="1"/>
  <c r="A12194" i="1"/>
  <c r="D12194" i="1"/>
  <c r="A12195" i="1"/>
  <c r="D12195" i="1"/>
  <c r="A12196" i="1"/>
  <c r="D12196" i="1"/>
  <c r="A12197" i="1"/>
  <c r="D12197" i="1"/>
  <c r="A12198" i="1"/>
  <c r="D12198" i="1"/>
  <c r="A12199" i="1"/>
  <c r="D12199" i="1"/>
  <c r="A12200" i="1"/>
  <c r="D12200" i="1"/>
  <c r="A12201" i="1"/>
  <c r="D12201" i="1"/>
  <c r="A12202" i="1"/>
  <c r="D12202" i="1"/>
  <c r="A12203" i="1"/>
  <c r="D12203" i="1"/>
  <c r="A12204" i="1"/>
  <c r="D12204" i="1"/>
  <c r="A12205" i="1"/>
  <c r="D12205" i="1"/>
  <c r="A12206" i="1"/>
  <c r="D12206" i="1"/>
  <c r="A12207" i="1"/>
  <c r="D12207" i="1"/>
  <c r="A12208" i="1"/>
  <c r="D12208" i="1"/>
  <c r="A12209" i="1"/>
  <c r="D12209" i="1"/>
  <c r="A12210" i="1"/>
  <c r="D12210" i="1"/>
  <c r="A12211" i="1"/>
  <c r="D12211" i="1"/>
  <c r="A12212" i="1"/>
  <c r="D12212" i="1"/>
  <c r="A12213" i="1"/>
  <c r="D12213" i="1"/>
  <c r="A12214" i="1"/>
  <c r="D12214" i="1"/>
  <c r="A12215" i="1"/>
  <c r="D12215" i="1"/>
  <c r="A12216" i="1"/>
  <c r="D12216" i="1"/>
  <c r="A12217" i="1"/>
  <c r="D12217" i="1"/>
  <c r="A12218" i="1"/>
  <c r="D12218" i="1"/>
  <c r="A12219" i="1"/>
  <c r="D12219" i="1"/>
  <c r="A12220" i="1"/>
  <c r="D12220" i="1"/>
  <c r="A12221" i="1"/>
  <c r="D12221" i="1"/>
  <c r="A12222" i="1"/>
  <c r="D12222" i="1"/>
  <c r="A12223" i="1"/>
  <c r="D12223" i="1"/>
  <c r="A12224" i="1"/>
  <c r="D12224" i="1"/>
  <c r="A12225" i="1"/>
  <c r="D12225" i="1"/>
  <c r="A12226" i="1"/>
  <c r="D12226" i="1"/>
  <c r="A12227" i="1"/>
  <c r="D12227" i="1"/>
  <c r="A12228" i="1"/>
  <c r="D12228" i="1"/>
  <c r="A12229" i="1"/>
  <c r="D12229" i="1"/>
  <c r="A12230" i="1"/>
  <c r="D12230" i="1"/>
  <c r="A12231" i="1"/>
  <c r="D12231" i="1"/>
  <c r="A12232" i="1"/>
  <c r="D12232" i="1"/>
  <c r="A12233" i="1"/>
  <c r="D12233" i="1"/>
  <c r="A12234" i="1"/>
  <c r="D12234" i="1"/>
  <c r="A12235" i="1"/>
  <c r="D12235" i="1"/>
  <c r="A12236" i="1"/>
  <c r="D12236" i="1"/>
  <c r="A12237" i="1"/>
  <c r="D12237" i="1"/>
  <c r="A12238" i="1"/>
  <c r="D12238" i="1"/>
  <c r="A12239" i="1"/>
  <c r="D12239" i="1"/>
  <c r="A12240" i="1"/>
  <c r="D12240" i="1"/>
  <c r="A12241" i="1"/>
  <c r="D12241" i="1"/>
  <c r="A12242" i="1"/>
  <c r="D12242" i="1"/>
  <c r="A12243" i="1"/>
  <c r="D12243" i="1"/>
  <c r="A12244" i="1"/>
  <c r="D12244" i="1"/>
  <c r="A12245" i="1"/>
  <c r="D12245" i="1"/>
  <c r="A12246" i="1"/>
  <c r="D12246" i="1"/>
  <c r="A12247" i="1"/>
  <c r="D12247" i="1"/>
  <c r="A12248" i="1"/>
  <c r="D12248" i="1"/>
  <c r="A12249" i="1"/>
  <c r="D12249" i="1"/>
  <c r="A12250" i="1"/>
  <c r="D12250" i="1"/>
  <c r="A12251" i="1"/>
  <c r="D12251" i="1"/>
  <c r="A12252" i="1"/>
  <c r="D12252" i="1"/>
  <c r="A12253" i="1"/>
  <c r="D12253" i="1"/>
  <c r="A12254" i="1"/>
  <c r="D12254" i="1"/>
  <c r="A12255" i="1"/>
  <c r="D12255" i="1"/>
  <c r="A12256" i="1"/>
  <c r="D12256" i="1"/>
  <c r="A12257" i="1"/>
  <c r="D12257" i="1"/>
  <c r="A12258" i="1"/>
  <c r="D12258" i="1"/>
  <c r="A12259" i="1"/>
  <c r="D12259" i="1"/>
  <c r="A12260" i="1"/>
  <c r="D12260" i="1"/>
  <c r="A12261" i="1"/>
  <c r="D12261" i="1"/>
  <c r="A12262" i="1"/>
  <c r="D12262" i="1"/>
  <c r="A12263" i="1"/>
  <c r="D12263" i="1"/>
  <c r="A12264" i="1"/>
  <c r="D12264" i="1"/>
  <c r="A12265" i="1"/>
  <c r="D12265" i="1"/>
  <c r="A12266" i="1"/>
  <c r="D12266" i="1"/>
  <c r="A12267" i="1"/>
  <c r="D12267" i="1"/>
  <c r="A12268" i="1"/>
  <c r="D12268" i="1"/>
  <c r="A12269" i="1"/>
  <c r="D12269" i="1"/>
  <c r="A12270" i="1"/>
  <c r="D12270" i="1"/>
  <c r="A12271" i="1"/>
  <c r="D12271" i="1"/>
  <c r="A12272" i="1"/>
  <c r="D12272" i="1"/>
  <c r="A12273" i="1"/>
  <c r="D12273" i="1"/>
  <c r="A12274" i="1"/>
  <c r="D12274" i="1"/>
  <c r="A12275" i="1"/>
  <c r="D12275" i="1"/>
  <c r="A12276" i="1"/>
  <c r="D12276" i="1"/>
  <c r="A12277" i="1"/>
  <c r="D12277" i="1"/>
  <c r="A12278" i="1"/>
  <c r="D12278" i="1"/>
  <c r="A12279" i="1"/>
  <c r="D12279" i="1"/>
  <c r="A12280" i="1"/>
  <c r="D12280" i="1"/>
  <c r="A12281" i="1"/>
  <c r="D12281" i="1"/>
  <c r="A12282" i="1"/>
  <c r="D12282" i="1"/>
  <c r="A12283" i="1"/>
  <c r="D12283" i="1"/>
  <c r="A12284" i="1"/>
  <c r="D12284" i="1"/>
  <c r="A12285" i="1"/>
  <c r="D12285" i="1"/>
  <c r="A12286" i="1"/>
  <c r="D12286" i="1"/>
  <c r="A12287" i="1"/>
  <c r="D12287" i="1"/>
  <c r="A12288" i="1"/>
  <c r="D12288" i="1"/>
  <c r="A12289" i="1"/>
  <c r="D12289" i="1"/>
  <c r="A12290" i="1"/>
  <c r="D12290" i="1"/>
  <c r="A12291" i="1"/>
  <c r="D12291" i="1"/>
  <c r="A12292" i="1"/>
  <c r="D12292" i="1"/>
  <c r="A12293" i="1"/>
  <c r="D12293" i="1"/>
  <c r="A12294" i="1"/>
  <c r="D12294" i="1"/>
  <c r="A12295" i="1"/>
  <c r="D12295" i="1"/>
  <c r="A12296" i="1"/>
  <c r="D12296" i="1"/>
  <c r="A12297" i="1"/>
  <c r="D12297" i="1"/>
  <c r="A12298" i="1"/>
  <c r="D12298" i="1"/>
  <c r="A12299" i="1"/>
  <c r="D12299" i="1"/>
  <c r="A12300" i="1"/>
  <c r="D12300" i="1"/>
  <c r="A12301" i="1"/>
  <c r="D12301" i="1"/>
  <c r="A12302" i="1"/>
  <c r="D12302" i="1"/>
  <c r="A12303" i="1"/>
  <c r="D12303" i="1"/>
  <c r="A12304" i="1"/>
  <c r="D12304" i="1"/>
  <c r="A12305" i="1"/>
  <c r="D12305" i="1"/>
  <c r="A12306" i="1"/>
  <c r="D12306" i="1"/>
  <c r="A12307" i="1"/>
  <c r="D12307" i="1"/>
  <c r="A12308" i="1"/>
  <c r="D12308" i="1"/>
  <c r="A12309" i="1"/>
  <c r="D12309" i="1"/>
  <c r="A12310" i="1"/>
  <c r="D12310" i="1"/>
  <c r="A12311" i="1"/>
  <c r="D12311" i="1"/>
  <c r="A12312" i="1"/>
  <c r="D12312" i="1"/>
  <c r="A12313" i="1"/>
  <c r="D12313" i="1"/>
  <c r="A12314" i="1"/>
  <c r="D12314" i="1"/>
  <c r="A12315" i="1"/>
  <c r="D12315" i="1"/>
  <c r="A12316" i="1"/>
  <c r="D12316" i="1"/>
  <c r="A12317" i="1"/>
  <c r="D12317" i="1"/>
  <c r="A12318" i="1"/>
  <c r="D12318" i="1"/>
  <c r="A12319" i="1"/>
  <c r="D12319" i="1"/>
  <c r="A12320" i="1"/>
  <c r="D12320" i="1"/>
  <c r="A12321" i="1"/>
  <c r="D12321" i="1"/>
  <c r="A12322" i="1"/>
  <c r="D12322" i="1"/>
  <c r="A12323" i="1"/>
  <c r="D12323" i="1"/>
  <c r="A12324" i="1"/>
  <c r="D12324" i="1"/>
  <c r="A12325" i="1"/>
  <c r="D12325" i="1"/>
  <c r="A12326" i="1"/>
  <c r="D12326" i="1"/>
  <c r="A12327" i="1"/>
  <c r="D12327" i="1"/>
  <c r="A12328" i="1"/>
  <c r="D12328" i="1"/>
  <c r="A12329" i="1"/>
  <c r="D12329" i="1"/>
  <c r="A12330" i="1"/>
  <c r="D12330" i="1"/>
  <c r="A12331" i="1"/>
  <c r="D12331" i="1"/>
  <c r="A12332" i="1"/>
  <c r="D12332" i="1"/>
  <c r="A12333" i="1"/>
  <c r="D12333" i="1"/>
  <c r="A12334" i="1"/>
  <c r="D12334" i="1"/>
  <c r="A12335" i="1"/>
  <c r="D12335" i="1"/>
  <c r="A12336" i="1"/>
  <c r="D12336" i="1"/>
  <c r="A12337" i="1"/>
  <c r="D12337" i="1"/>
  <c r="A12338" i="1"/>
  <c r="D12338" i="1"/>
  <c r="A12339" i="1"/>
  <c r="D12339" i="1"/>
  <c r="A12340" i="1"/>
  <c r="D12340" i="1"/>
  <c r="A12341" i="1"/>
  <c r="D12341" i="1"/>
  <c r="A12342" i="1"/>
  <c r="D12342" i="1"/>
  <c r="A12343" i="1"/>
  <c r="D12343" i="1"/>
  <c r="A12344" i="1"/>
  <c r="D12344" i="1"/>
  <c r="A12345" i="1"/>
  <c r="D12345" i="1"/>
  <c r="A12346" i="1"/>
  <c r="D12346" i="1"/>
  <c r="A12347" i="1"/>
  <c r="D12347" i="1"/>
  <c r="A12348" i="1"/>
  <c r="D12348" i="1"/>
  <c r="A12349" i="1"/>
  <c r="D12349" i="1"/>
  <c r="A12350" i="1"/>
  <c r="D12350" i="1"/>
  <c r="A12351" i="1"/>
  <c r="D12351" i="1"/>
  <c r="A12352" i="1"/>
  <c r="D12352" i="1"/>
  <c r="A12353" i="1"/>
  <c r="D12353" i="1"/>
  <c r="A12354" i="1"/>
  <c r="D12354" i="1"/>
  <c r="A12355" i="1"/>
  <c r="D12355" i="1"/>
  <c r="A12356" i="1"/>
  <c r="D12356" i="1"/>
  <c r="A12357" i="1"/>
  <c r="D12357" i="1"/>
  <c r="A12358" i="1"/>
  <c r="D12358" i="1"/>
  <c r="A12359" i="1"/>
  <c r="D12359" i="1"/>
  <c r="A12360" i="1"/>
  <c r="D12360" i="1"/>
  <c r="A12361" i="1"/>
  <c r="D12361" i="1"/>
  <c r="A12362" i="1"/>
  <c r="D12362" i="1"/>
  <c r="A12363" i="1"/>
  <c r="D12363" i="1"/>
  <c r="A12364" i="1"/>
  <c r="D12364" i="1"/>
  <c r="A12365" i="1"/>
  <c r="D12365" i="1"/>
  <c r="A12366" i="1"/>
  <c r="D12366" i="1"/>
  <c r="A12367" i="1"/>
  <c r="D12367" i="1"/>
  <c r="A12368" i="1"/>
  <c r="D12368" i="1"/>
  <c r="A12369" i="1"/>
  <c r="D12369" i="1"/>
  <c r="A12370" i="1"/>
  <c r="D12370" i="1"/>
  <c r="A12371" i="1"/>
  <c r="D12371" i="1"/>
  <c r="A12372" i="1"/>
  <c r="D12372" i="1"/>
  <c r="A12373" i="1"/>
  <c r="D12373" i="1"/>
  <c r="A12374" i="1"/>
  <c r="D12374" i="1"/>
  <c r="A12375" i="1"/>
  <c r="D12375" i="1"/>
  <c r="A12376" i="1"/>
  <c r="D12376" i="1"/>
  <c r="A12377" i="1"/>
  <c r="D12377" i="1"/>
  <c r="A12378" i="1"/>
  <c r="D12378" i="1"/>
  <c r="A12379" i="1"/>
  <c r="D12379" i="1"/>
  <c r="A12380" i="1"/>
  <c r="D12380" i="1"/>
  <c r="A12381" i="1"/>
  <c r="D12381" i="1"/>
  <c r="A12382" i="1"/>
  <c r="D12382" i="1"/>
  <c r="A12383" i="1"/>
  <c r="D12383" i="1"/>
  <c r="A12384" i="1"/>
  <c r="D12384" i="1"/>
  <c r="A12385" i="1"/>
  <c r="D12385" i="1"/>
  <c r="A12386" i="1"/>
  <c r="D12386" i="1"/>
  <c r="A12387" i="1"/>
  <c r="D12387" i="1"/>
  <c r="A12388" i="1"/>
  <c r="D12388" i="1"/>
  <c r="A12389" i="1"/>
  <c r="D12389" i="1"/>
  <c r="A12390" i="1"/>
  <c r="D12390" i="1"/>
  <c r="A12391" i="1"/>
  <c r="D12391" i="1"/>
  <c r="A12392" i="1"/>
  <c r="D12392" i="1"/>
  <c r="A12393" i="1"/>
  <c r="D12393" i="1"/>
  <c r="A12394" i="1"/>
  <c r="D12394" i="1"/>
  <c r="A12395" i="1"/>
  <c r="D12395" i="1"/>
  <c r="A12396" i="1"/>
  <c r="D12396" i="1"/>
  <c r="A12397" i="1"/>
  <c r="D12397" i="1"/>
  <c r="A12398" i="1"/>
  <c r="D12398" i="1"/>
  <c r="A12399" i="1"/>
  <c r="D12399" i="1"/>
  <c r="A12400" i="1"/>
  <c r="D12400" i="1"/>
  <c r="A12401" i="1"/>
  <c r="D12401" i="1"/>
  <c r="A12402" i="1"/>
  <c r="D12402" i="1"/>
  <c r="A12403" i="1"/>
  <c r="D12403" i="1"/>
  <c r="A12404" i="1"/>
  <c r="D12404" i="1"/>
  <c r="A12405" i="1"/>
  <c r="D12405" i="1"/>
  <c r="A12406" i="1"/>
  <c r="D12406" i="1"/>
  <c r="A12407" i="1"/>
  <c r="D12407" i="1"/>
  <c r="A12408" i="1"/>
  <c r="D12408" i="1"/>
  <c r="A12409" i="1"/>
  <c r="D12409" i="1"/>
  <c r="A12410" i="1"/>
  <c r="D12410" i="1"/>
  <c r="A12411" i="1"/>
  <c r="D12411" i="1"/>
  <c r="A12412" i="1"/>
  <c r="D12412" i="1"/>
  <c r="A12413" i="1"/>
  <c r="D12413" i="1"/>
  <c r="A12414" i="1"/>
  <c r="D12414" i="1"/>
  <c r="A12415" i="1"/>
  <c r="D12415" i="1"/>
  <c r="A12416" i="1"/>
  <c r="D12416" i="1"/>
  <c r="A12417" i="1"/>
  <c r="D12417" i="1"/>
  <c r="A12418" i="1"/>
  <c r="D12418" i="1"/>
  <c r="A12419" i="1"/>
  <c r="D12419" i="1"/>
  <c r="A12420" i="1"/>
  <c r="D12420" i="1"/>
  <c r="A12421" i="1"/>
  <c r="D12421" i="1"/>
  <c r="A12422" i="1"/>
  <c r="D12422" i="1"/>
  <c r="A12423" i="1"/>
  <c r="D12423" i="1"/>
  <c r="A12424" i="1"/>
  <c r="D12424" i="1"/>
  <c r="A12425" i="1"/>
  <c r="D12425" i="1"/>
  <c r="A12426" i="1"/>
  <c r="D12426" i="1"/>
  <c r="A12427" i="1"/>
  <c r="D12427" i="1"/>
  <c r="A12428" i="1"/>
  <c r="D12428" i="1"/>
  <c r="A12429" i="1"/>
  <c r="D12429" i="1"/>
  <c r="A12430" i="1"/>
  <c r="D12430" i="1"/>
  <c r="A12431" i="1"/>
  <c r="D12431" i="1"/>
  <c r="A12432" i="1"/>
  <c r="D12432" i="1"/>
  <c r="A12433" i="1"/>
  <c r="D12433" i="1"/>
  <c r="A12434" i="1"/>
  <c r="D12434" i="1"/>
  <c r="A12435" i="1"/>
  <c r="D12435" i="1"/>
  <c r="A12436" i="1"/>
  <c r="D12436" i="1"/>
  <c r="A12437" i="1"/>
  <c r="D12437" i="1"/>
  <c r="A12438" i="1"/>
  <c r="D12438" i="1"/>
  <c r="A12439" i="1"/>
  <c r="D12439" i="1"/>
  <c r="A12440" i="1"/>
  <c r="D12440" i="1"/>
  <c r="A12441"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A12922" i="1"/>
  <c r="D12922" i="1"/>
  <c r="A12923" i="1"/>
  <c r="D12923" i="1"/>
  <c r="A12924" i="1"/>
  <c r="D12924" i="1"/>
  <c r="A12925" i="1"/>
  <c r="D12925" i="1"/>
  <c r="A12926" i="1"/>
  <c r="D12926" i="1"/>
  <c r="A12927" i="1"/>
  <c r="D12927" i="1"/>
  <c r="A12928" i="1"/>
  <c r="D12928" i="1"/>
  <c r="A12929" i="1"/>
  <c r="D12929" i="1"/>
  <c r="A12930" i="1"/>
  <c r="D12930" i="1"/>
  <c r="A12931" i="1"/>
  <c r="D12931" i="1"/>
  <c r="A12932" i="1"/>
  <c r="D12932" i="1"/>
  <c r="A12933" i="1"/>
  <c r="D12933" i="1"/>
  <c r="A12934" i="1"/>
  <c r="D12934" i="1"/>
  <c r="A12935" i="1"/>
  <c r="D12935" i="1"/>
  <c r="A12936" i="1"/>
  <c r="D12936" i="1"/>
  <c r="A12937" i="1"/>
  <c r="D12937" i="1"/>
  <c r="A12938" i="1"/>
  <c r="D12938" i="1"/>
  <c r="A12939" i="1"/>
  <c r="D12939" i="1"/>
  <c r="A12940" i="1"/>
  <c r="D12940" i="1"/>
  <c r="A12941" i="1"/>
  <c r="D12941" i="1"/>
  <c r="A12942" i="1"/>
  <c r="D12942" i="1"/>
  <c r="A12943" i="1"/>
  <c r="D12943" i="1"/>
  <c r="A12944" i="1"/>
  <c r="D12944" i="1"/>
  <c r="A12945" i="1"/>
  <c r="D12945" i="1"/>
  <c r="A12946" i="1"/>
  <c r="D12946" i="1"/>
  <c r="A12947" i="1"/>
  <c r="D12947" i="1"/>
  <c r="A12948" i="1"/>
  <c r="D12948" i="1"/>
  <c r="A12949" i="1"/>
  <c r="D12949" i="1"/>
  <c r="A12950" i="1"/>
  <c r="D12950" i="1"/>
  <c r="A12951" i="1"/>
  <c r="D12951" i="1"/>
  <c r="A12952" i="1"/>
  <c r="D12952" i="1"/>
  <c r="A12953" i="1"/>
  <c r="D12953" i="1"/>
  <c r="A12954" i="1"/>
  <c r="D12954" i="1"/>
  <c r="A12955" i="1"/>
  <c r="D12955" i="1"/>
  <c r="A12956" i="1"/>
  <c r="D12956" i="1"/>
  <c r="A12957" i="1"/>
  <c r="D12957" i="1"/>
  <c r="A12958" i="1"/>
  <c r="D12958" i="1"/>
  <c r="A12959" i="1"/>
  <c r="D12959" i="1"/>
  <c r="A12960" i="1"/>
  <c r="D12960" i="1"/>
  <c r="A12961" i="1"/>
  <c r="D12961" i="1"/>
  <c r="A12962" i="1"/>
  <c r="D12962" i="1"/>
  <c r="A12963" i="1"/>
  <c r="D12963" i="1"/>
  <c r="A12964" i="1"/>
  <c r="D12964" i="1"/>
  <c r="A12965" i="1"/>
  <c r="D12965" i="1"/>
  <c r="A12966" i="1"/>
  <c r="D12966" i="1"/>
  <c r="A12967" i="1"/>
  <c r="D12967" i="1"/>
  <c r="A12968" i="1"/>
  <c r="D12968" i="1"/>
  <c r="A12969" i="1"/>
  <c r="D12969" i="1"/>
  <c r="A12970" i="1"/>
  <c r="D12970" i="1"/>
  <c r="A12971" i="1"/>
  <c r="D12971" i="1"/>
  <c r="A12972" i="1"/>
  <c r="D12972" i="1"/>
  <c r="A12973" i="1"/>
  <c r="D12973" i="1"/>
  <c r="A12974" i="1"/>
  <c r="D12974" i="1"/>
  <c r="A12975" i="1"/>
  <c r="D12975" i="1"/>
  <c r="A12976" i="1"/>
  <c r="D12976" i="1"/>
  <c r="A12977" i="1"/>
  <c r="D12977" i="1"/>
  <c r="A12978" i="1"/>
  <c r="D12978" i="1"/>
  <c r="A12979" i="1"/>
  <c r="D12979" i="1"/>
  <c r="A12980" i="1"/>
  <c r="D12980" i="1"/>
  <c r="A12981" i="1"/>
  <c r="D12981" i="1"/>
  <c r="A12982" i="1"/>
  <c r="D12982" i="1"/>
  <c r="A12983" i="1"/>
  <c r="D12983" i="1"/>
  <c r="A12984" i="1"/>
  <c r="D12984" i="1"/>
  <c r="A12985" i="1"/>
  <c r="D12985" i="1"/>
  <c r="A12986" i="1"/>
  <c r="D12986" i="1"/>
  <c r="A12987" i="1"/>
  <c r="D12987" i="1"/>
  <c r="A12988" i="1"/>
  <c r="D12988" i="1"/>
  <c r="A12989" i="1"/>
  <c r="D12989" i="1"/>
  <c r="A12990" i="1"/>
  <c r="D12990" i="1"/>
  <c r="A12991" i="1"/>
  <c r="D12991" i="1"/>
  <c r="A12992" i="1"/>
  <c r="D12992" i="1"/>
  <c r="A12993" i="1"/>
  <c r="D12993" i="1"/>
  <c r="A12994" i="1"/>
  <c r="D12994" i="1"/>
  <c r="A12995" i="1"/>
  <c r="D12995" i="1"/>
  <c r="A12996" i="1"/>
  <c r="D12996" i="1"/>
  <c r="A12997" i="1"/>
  <c r="D12997" i="1"/>
  <c r="A12998" i="1"/>
  <c r="D12998" i="1"/>
  <c r="A12999" i="1"/>
  <c r="D12999" i="1"/>
  <c r="A13000" i="1"/>
  <c r="D13000" i="1"/>
  <c r="A13001" i="1"/>
  <c r="D13001" i="1"/>
  <c r="A13002" i="1"/>
  <c r="D13002" i="1"/>
  <c r="A13003" i="1"/>
  <c r="D13003" i="1"/>
  <c r="A13004" i="1"/>
  <c r="D13004" i="1"/>
  <c r="A13005" i="1"/>
  <c r="D13005" i="1"/>
  <c r="A13006" i="1"/>
  <c r="D13006" i="1"/>
  <c r="A13007" i="1"/>
  <c r="D13007" i="1"/>
  <c r="A13008" i="1"/>
  <c r="D13008" i="1"/>
  <c r="A13009" i="1"/>
  <c r="D13009" i="1"/>
  <c r="A13010" i="1"/>
  <c r="D13010" i="1"/>
  <c r="A13011" i="1"/>
  <c r="D13011" i="1"/>
  <c r="A13012" i="1"/>
  <c r="D13012" i="1"/>
  <c r="A13013" i="1"/>
  <c r="D13013" i="1"/>
  <c r="A13014" i="1"/>
  <c r="D13014" i="1"/>
  <c r="A13015" i="1"/>
  <c r="D13015" i="1"/>
  <c r="A13016" i="1"/>
  <c r="D13016" i="1"/>
  <c r="A13017" i="1"/>
  <c r="D13017" i="1"/>
  <c r="A13018" i="1"/>
  <c r="D13018" i="1"/>
  <c r="A13019" i="1"/>
  <c r="D13019" i="1"/>
  <c r="A13020" i="1"/>
  <c r="D13020" i="1"/>
  <c r="A13021" i="1"/>
  <c r="D13021" i="1"/>
  <c r="A13022" i="1"/>
  <c r="D13022" i="1"/>
  <c r="A13023" i="1"/>
  <c r="D13023" i="1"/>
  <c r="A13024" i="1"/>
  <c r="D13024" i="1"/>
  <c r="A13025" i="1"/>
  <c r="D13025" i="1"/>
  <c r="A13026" i="1"/>
  <c r="D13026" i="1"/>
  <c r="A13027" i="1"/>
  <c r="D13027" i="1"/>
  <c r="A13028" i="1"/>
  <c r="D13028" i="1"/>
  <c r="A13029" i="1"/>
  <c r="D13029" i="1"/>
  <c r="A13030" i="1"/>
  <c r="D13030" i="1"/>
  <c r="A13031" i="1"/>
  <c r="D13031" i="1"/>
  <c r="A13032" i="1"/>
  <c r="D13032" i="1"/>
  <c r="A13033" i="1"/>
  <c r="D13033" i="1"/>
  <c r="A13034" i="1"/>
  <c r="D13034" i="1"/>
  <c r="A13035" i="1"/>
  <c r="D13035" i="1"/>
  <c r="A13036" i="1"/>
  <c r="D13036" i="1"/>
  <c r="A13037" i="1"/>
  <c r="D13037" i="1"/>
  <c r="A13038" i="1"/>
  <c r="D13038" i="1"/>
  <c r="A13039" i="1"/>
  <c r="D13039" i="1"/>
  <c r="A13040" i="1"/>
  <c r="D13040" i="1"/>
  <c r="A13041" i="1"/>
  <c r="D13041" i="1"/>
  <c r="A13042" i="1"/>
  <c r="D13042" i="1"/>
  <c r="A13043" i="1"/>
  <c r="D13043" i="1"/>
  <c r="A13044" i="1"/>
  <c r="D13044" i="1"/>
  <c r="A13045" i="1"/>
  <c r="D13045" i="1"/>
  <c r="A13046" i="1"/>
  <c r="D13046" i="1"/>
  <c r="A13047" i="1"/>
  <c r="D13047" i="1"/>
  <c r="A13048" i="1"/>
  <c r="D13048" i="1"/>
  <c r="A13049" i="1"/>
  <c r="D13049" i="1"/>
  <c r="A13050" i="1"/>
  <c r="D13050" i="1"/>
  <c r="A13051" i="1"/>
  <c r="D13051" i="1"/>
  <c r="A13052" i="1"/>
  <c r="D13052" i="1"/>
  <c r="A13053" i="1"/>
  <c r="D13053" i="1"/>
  <c r="A13054" i="1"/>
  <c r="D13054" i="1"/>
  <c r="A13055" i="1"/>
  <c r="D13055" i="1"/>
  <c r="A13056" i="1"/>
  <c r="D13056" i="1"/>
  <c r="A13057" i="1"/>
  <c r="D13057" i="1"/>
  <c r="A13058" i="1"/>
  <c r="D13058" i="1"/>
  <c r="A13059" i="1"/>
  <c r="D13059" i="1"/>
  <c r="A13060" i="1"/>
  <c r="D13060" i="1"/>
  <c r="A13061" i="1"/>
  <c r="D13061" i="1"/>
  <c r="A13062" i="1"/>
  <c r="D13062" i="1"/>
  <c r="A13063" i="1"/>
  <c r="D13063" i="1"/>
  <c r="A13064" i="1"/>
  <c r="D13064" i="1"/>
  <c r="A13065" i="1"/>
  <c r="D13065" i="1"/>
  <c r="A13066" i="1"/>
  <c r="D13066" i="1"/>
  <c r="A13067" i="1"/>
  <c r="D13067" i="1"/>
  <c r="A13068" i="1"/>
  <c r="D13068" i="1"/>
  <c r="A13069" i="1"/>
  <c r="D13069" i="1"/>
  <c r="A13070" i="1"/>
  <c r="D13070" i="1"/>
  <c r="A13071" i="1"/>
  <c r="D13071" i="1"/>
  <c r="A13072" i="1"/>
  <c r="D13072" i="1"/>
  <c r="A13073" i="1"/>
  <c r="D13073" i="1"/>
  <c r="A13074" i="1"/>
  <c r="D13074" i="1"/>
  <c r="A13075" i="1"/>
  <c r="D13075" i="1"/>
  <c r="A13076" i="1"/>
  <c r="D13076" i="1"/>
  <c r="A13077" i="1"/>
  <c r="D13077" i="1"/>
  <c r="A13078" i="1"/>
  <c r="D13078" i="1"/>
  <c r="A13079" i="1"/>
  <c r="D13079" i="1"/>
  <c r="A13080" i="1"/>
  <c r="D13080" i="1"/>
  <c r="A13081" i="1"/>
  <c r="D13081" i="1"/>
  <c r="A13082" i="1"/>
  <c r="D13082" i="1"/>
  <c r="A13083" i="1"/>
  <c r="D13083" i="1"/>
  <c r="A13084" i="1"/>
  <c r="D13084" i="1"/>
  <c r="A13085" i="1"/>
  <c r="D13085" i="1"/>
  <c r="A13086" i="1"/>
  <c r="D13086" i="1"/>
  <c r="A13087" i="1"/>
  <c r="D13087" i="1"/>
  <c r="A13088" i="1"/>
  <c r="D13088" i="1"/>
  <c r="A13089" i="1"/>
  <c r="D13089" i="1"/>
  <c r="A13090" i="1"/>
  <c r="D13090" i="1"/>
  <c r="A13091" i="1"/>
  <c r="D13091" i="1"/>
  <c r="A13092" i="1"/>
  <c r="D13092" i="1"/>
  <c r="A13093" i="1"/>
  <c r="D13093" i="1"/>
  <c r="A13094" i="1"/>
  <c r="D13094" i="1"/>
  <c r="A13095" i="1"/>
  <c r="D13095" i="1"/>
  <c r="A13096" i="1"/>
  <c r="D13096" i="1"/>
  <c r="A13097" i="1"/>
  <c r="D13097" i="1"/>
  <c r="A13098" i="1"/>
  <c r="D13098" i="1"/>
  <c r="A13099" i="1"/>
  <c r="D13099" i="1"/>
  <c r="A13100" i="1"/>
  <c r="D13100" i="1"/>
  <c r="A13101" i="1"/>
  <c r="D13101" i="1"/>
  <c r="A13102" i="1"/>
  <c r="D13102" i="1"/>
  <c r="A13103" i="1"/>
  <c r="D13103" i="1"/>
  <c r="A13104" i="1"/>
  <c r="D13104" i="1"/>
  <c r="A13105" i="1"/>
  <c r="D13105" i="1"/>
  <c r="A13106" i="1"/>
  <c r="D13106" i="1"/>
  <c r="A13107" i="1"/>
  <c r="D13107" i="1"/>
  <c r="A13108" i="1"/>
  <c r="D13108" i="1"/>
  <c r="A13109" i="1"/>
  <c r="D13109" i="1"/>
  <c r="A13110" i="1"/>
  <c r="D13110" i="1"/>
  <c r="A13111" i="1"/>
  <c r="D13111" i="1"/>
  <c r="A13112" i="1"/>
  <c r="D13112" i="1"/>
  <c r="A13113" i="1"/>
  <c r="D13113" i="1"/>
  <c r="A13114" i="1"/>
  <c r="D13114" i="1"/>
  <c r="A13115" i="1"/>
  <c r="D13115" i="1"/>
  <c r="A13116" i="1"/>
  <c r="D13116" i="1"/>
  <c r="A13117" i="1"/>
  <c r="D13117" i="1"/>
  <c r="A13118" i="1"/>
  <c r="D13118" i="1"/>
  <c r="A13119" i="1"/>
  <c r="D13119" i="1"/>
  <c r="A13120" i="1"/>
  <c r="D13120" i="1"/>
  <c r="A13121" i="1"/>
  <c r="D13121" i="1"/>
  <c r="A13122" i="1"/>
  <c r="D13122" i="1"/>
  <c r="A13123" i="1"/>
  <c r="D13123" i="1"/>
  <c r="A13124" i="1"/>
  <c r="D13124" i="1"/>
  <c r="A13125" i="1"/>
  <c r="D13125" i="1"/>
  <c r="A13126" i="1"/>
  <c r="D13126" i="1"/>
  <c r="A13127" i="1"/>
  <c r="D13127" i="1"/>
  <c r="A13128" i="1"/>
  <c r="D13128" i="1"/>
  <c r="A13129" i="1"/>
  <c r="D13129" i="1"/>
  <c r="A13130" i="1"/>
  <c r="D13130" i="1"/>
  <c r="A13131" i="1"/>
  <c r="D13131" i="1"/>
  <c r="A13132" i="1"/>
  <c r="D13132" i="1"/>
  <c r="A13133" i="1"/>
  <c r="D13133" i="1"/>
  <c r="A13134" i="1"/>
  <c r="D13134" i="1"/>
  <c r="A13135" i="1"/>
  <c r="D13135" i="1"/>
  <c r="A13136" i="1"/>
  <c r="D13136" i="1"/>
  <c r="A13137" i="1"/>
  <c r="D13137" i="1"/>
  <c r="A13138" i="1"/>
  <c r="D13138" i="1"/>
  <c r="A13139" i="1"/>
  <c r="D13139" i="1"/>
  <c r="A13140" i="1"/>
  <c r="D13140" i="1"/>
  <c r="A13141" i="1"/>
  <c r="D13141" i="1"/>
  <c r="A13142" i="1"/>
  <c r="D13142" i="1"/>
  <c r="A13143" i="1"/>
  <c r="D13143" i="1"/>
  <c r="A13144" i="1"/>
  <c r="D13144" i="1"/>
  <c r="A13145" i="1"/>
  <c r="D13145" i="1"/>
  <c r="A13146" i="1"/>
  <c r="D13146" i="1"/>
  <c r="A13147" i="1"/>
  <c r="D13147" i="1"/>
  <c r="A13148" i="1"/>
  <c r="D13148" i="1"/>
  <c r="A13149" i="1"/>
  <c r="D13149" i="1"/>
  <c r="A13150" i="1"/>
  <c r="D13150" i="1"/>
  <c r="A13151" i="1"/>
  <c r="D13151" i="1"/>
  <c r="A13152" i="1"/>
  <c r="D13152" i="1"/>
  <c r="A13153" i="1"/>
  <c r="D13153" i="1"/>
  <c r="A13154" i="1"/>
  <c r="D13154" i="1"/>
  <c r="A13155" i="1"/>
  <c r="D13155" i="1"/>
  <c r="A13156" i="1"/>
  <c r="D13156" i="1"/>
  <c r="A13157" i="1"/>
  <c r="D13157" i="1"/>
  <c r="A13158" i="1"/>
  <c r="D13158" i="1"/>
  <c r="A13159" i="1"/>
  <c r="D13159" i="1"/>
  <c r="A13160" i="1"/>
  <c r="D13160" i="1"/>
  <c r="A13161" i="1"/>
  <c r="D13161" i="1"/>
  <c r="A13162" i="1"/>
  <c r="D13162" i="1"/>
  <c r="A13163" i="1"/>
  <c r="D13163" i="1"/>
  <c r="A13164" i="1"/>
  <c r="D13164" i="1"/>
  <c r="A13165" i="1"/>
  <c r="D13165" i="1"/>
  <c r="A13166" i="1"/>
  <c r="D13166" i="1"/>
  <c r="A13167" i="1"/>
  <c r="D13167" i="1"/>
  <c r="A13168" i="1"/>
  <c r="D13168" i="1"/>
  <c r="A13169" i="1"/>
  <c r="D13169" i="1"/>
  <c r="A13170" i="1"/>
  <c r="D13170" i="1"/>
  <c r="A13171" i="1"/>
  <c r="D13171" i="1"/>
  <c r="A13172" i="1"/>
  <c r="D13172" i="1"/>
  <c r="A13173" i="1"/>
  <c r="D13173" i="1"/>
  <c r="A13174" i="1"/>
  <c r="D13174" i="1"/>
  <c r="A13175" i="1"/>
  <c r="D13175" i="1"/>
  <c r="A13176" i="1"/>
  <c r="D13176" i="1"/>
  <c r="A13177" i="1"/>
  <c r="D13177" i="1"/>
  <c r="A13178" i="1"/>
  <c r="D13178" i="1"/>
  <c r="A13179" i="1"/>
  <c r="D13179" i="1"/>
  <c r="A13180" i="1"/>
  <c r="D13180" i="1"/>
  <c r="A13181" i="1"/>
  <c r="D13181" i="1"/>
  <c r="A13182" i="1"/>
  <c r="D13182" i="1"/>
  <c r="A13183" i="1"/>
  <c r="D13183" i="1"/>
  <c r="A13184" i="1"/>
  <c r="D13184" i="1"/>
  <c r="A13185" i="1"/>
  <c r="D13185" i="1"/>
  <c r="A13186" i="1"/>
  <c r="D13186" i="1"/>
  <c r="A13187" i="1"/>
  <c r="D13187" i="1"/>
  <c r="A13188" i="1"/>
  <c r="D13188" i="1"/>
  <c r="A13189" i="1"/>
  <c r="D13189" i="1"/>
  <c r="A13190" i="1"/>
  <c r="D13190" i="1"/>
  <c r="A13191" i="1"/>
  <c r="D13191" i="1"/>
  <c r="A13192" i="1"/>
  <c r="D13192" i="1"/>
  <c r="A13193" i="1"/>
  <c r="D13193" i="1"/>
  <c r="A13194" i="1"/>
  <c r="D13194" i="1"/>
  <c r="A13195" i="1"/>
  <c r="D13195" i="1"/>
  <c r="A13196" i="1"/>
  <c r="D13196" i="1"/>
  <c r="A13197" i="1"/>
  <c r="D13197" i="1"/>
  <c r="A13198" i="1"/>
  <c r="D13198" i="1"/>
  <c r="A13199" i="1"/>
  <c r="D13199" i="1"/>
  <c r="A13200" i="1"/>
  <c r="D13200" i="1"/>
  <c r="A13201" i="1"/>
  <c r="D13201" i="1"/>
  <c r="A13202" i="1"/>
  <c r="D13202" i="1"/>
  <c r="A13203" i="1"/>
  <c r="D13203" i="1"/>
  <c r="A13204" i="1"/>
  <c r="D13204" i="1"/>
  <c r="A13205" i="1"/>
  <c r="D13205" i="1"/>
  <c r="A13206" i="1"/>
  <c r="D13206" i="1"/>
  <c r="A13207" i="1"/>
  <c r="D13207" i="1"/>
  <c r="A13208" i="1"/>
  <c r="D13208" i="1"/>
  <c r="A13209" i="1"/>
  <c r="D13209" i="1"/>
  <c r="A13210" i="1"/>
  <c r="D13210" i="1"/>
  <c r="A13211" i="1"/>
  <c r="D13211" i="1"/>
  <c r="A13212" i="1"/>
  <c r="D13212" i="1"/>
  <c r="A13213" i="1"/>
  <c r="D13213" i="1"/>
  <c r="A13214" i="1"/>
  <c r="D13214" i="1"/>
  <c r="A13215" i="1"/>
  <c r="D13215" i="1"/>
  <c r="A13216" i="1"/>
  <c r="D13216" i="1"/>
  <c r="A13217" i="1"/>
  <c r="D13217" i="1"/>
  <c r="A13218" i="1"/>
  <c r="D13218" i="1"/>
  <c r="A13219" i="1"/>
  <c r="D13219" i="1"/>
  <c r="A13220" i="1"/>
  <c r="D13220" i="1"/>
  <c r="A13221" i="1"/>
  <c r="D13221" i="1"/>
  <c r="A13222" i="1"/>
  <c r="D13222" i="1"/>
  <c r="A13223" i="1"/>
  <c r="D13223" i="1"/>
  <c r="A13224" i="1"/>
  <c r="D13224" i="1"/>
  <c r="A13225" i="1"/>
  <c r="D13225" i="1"/>
  <c r="A13226" i="1"/>
  <c r="D13226" i="1"/>
  <c r="A13227" i="1"/>
  <c r="D13227" i="1"/>
  <c r="A13228" i="1"/>
  <c r="D13228" i="1"/>
  <c r="A13229" i="1"/>
  <c r="D13229" i="1"/>
  <c r="A13230" i="1"/>
  <c r="D13230" i="1"/>
  <c r="A13231" i="1"/>
  <c r="D13231" i="1"/>
  <c r="A13232" i="1"/>
  <c r="D13232" i="1"/>
  <c r="A13233" i="1"/>
  <c r="D13233" i="1"/>
  <c r="A13234" i="1"/>
  <c r="D13234" i="1"/>
  <c r="A13235" i="1"/>
  <c r="D13235" i="1"/>
  <c r="A13236" i="1"/>
  <c r="D13236" i="1"/>
  <c r="A13237" i="1"/>
  <c r="D13237" i="1"/>
  <c r="A13238" i="1"/>
  <c r="D13238" i="1"/>
  <c r="A13239" i="1"/>
  <c r="D13239" i="1"/>
  <c r="A13240" i="1"/>
  <c r="D13240" i="1"/>
  <c r="A13241" i="1"/>
  <c r="D13241" i="1"/>
  <c r="A13242" i="1"/>
  <c r="D13242" i="1"/>
  <c r="A13243" i="1"/>
  <c r="D13243" i="1"/>
  <c r="A13244" i="1"/>
  <c r="D13244" i="1"/>
  <c r="A13245" i="1"/>
  <c r="D13245" i="1"/>
  <c r="A13246" i="1"/>
  <c r="D13246" i="1"/>
  <c r="A13247" i="1"/>
  <c r="D13247" i="1"/>
  <c r="A13248" i="1"/>
  <c r="D13248" i="1"/>
  <c r="A13249" i="1"/>
  <c r="D13249" i="1"/>
  <c r="A13250" i="1"/>
  <c r="D13250" i="1"/>
  <c r="A13251" i="1"/>
  <c r="D13251" i="1"/>
  <c r="A13252" i="1"/>
  <c r="D13252" i="1"/>
  <c r="A13253" i="1"/>
  <c r="D13253" i="1"/>
  <c r="A13254" i="1"/>
  <c r="D13254" i="1"/>
  <c r="A13255" i="1"/>
  <c r="D13255" i="1"/>
  <c r="A13256" i="1"/>
  <c r="D13256" i="1"/>
  <c r="A13257" i="1"/>
  <c r="D13257" i="1"/>
  <c r="A13258" i="1"/>
  <c r="D13258" i="1"/>
  <c r="A13259" i="1"/>
  <c r="D13259" i="1"/>
  <c r="A13260" i="1"/>
  <c r="D13260" i="1"/>
  <c r="A13261" i="1"/>
  <c r="D13261" i="1"/>
  <c r="A13262" i="1"/>
  <c r="D13262" i="1"/>
  <c r="A13263" i="1"/>
  <c r="D13263" i="1"/>
  <c r="A13264" i="1"/>
  <c r="D13264" i="1"/>
  <c r="A13265" i="1"/>
  <c r="D13265" i="1"/>
  <c r="A13266" i="1"/>
  <c r="D13266" i="1"/>
  <c r="A13267" i="1"/>
  <c r="D13267" i="1"/>
  <c r="A13268" i="1"/>
  <c r="D13268" i="1"/>
  <c r="A13269" i="1"/>
  <c r="D13269" i="1"/>
  <c r="A13270" i="1"/>
  <c r="D13270" i="1"/>
  <c r="A13271" i="1"/>
  <c r="D13271" i="1"/>
  <c r="A13272" i="1"/>
  <c r="D13272" i="1"/>
  <c r="A13273" i="1"/>
  <c r="D13273" i="1"/>
  <c r="A13274" i="1"/>
  <c r="D13274" i="1"/>
  <c r="A13275" i="1"/>
  <c r="D13275" i="1"/>
  <c r="A13276" i="1"/>
  <c r="D13276" i="1"/>
  <c r="A13277" i="1"/>
  <c r="D13277" i="1"/>
  <c r="A13278" i="1"/>
  <c r="D13278" i="1"/>
  <c r="A13279" i="1"/>
  <c r="D13279" i="1"/>
  <c r="A13280" i="1"/>
  <c r="D13280" i="1"/>
  <c r="A13281" i="1"/>
  <c r="D13281" i="1"/>
  <c r="A13282" i="1"/>
  <c r="D13282" i="1"/>
  <c r="A13283" i="1"/>
  <c r="D13283" i="1"/>
  <c r="A13284" i="1"/>
  <c r="D13284" i="1"/>
  <c r="A13285" i="1"/>
  <c r="D13285" i="1"/>
  <c r="A13286" i="1"/>
  <c r="D13286" i="1"/>
  <c r="A13287" i="1"/>
  <c r="D13287" i="1"/>
  <c r="A13288" i="1"/>
  <c r="D13288" i="1"/>
  <c r="A13289" i="1"/>
  <c r="D13289" i="1"/>
  <c r="A13290" i="1"/>
  <c r="D13290" i="1"/>
  <c r="A13291" i="1"/>
  <c r="D13291" i="1"/>
  <c r="A13292" i="1"/>
  <c r="D13292" i="1"/>
  <c r="A13293" i="1"/>
  <c r="D13293" i="1"/>
  <c r="A13294" i="1"/>
  <c r="D13294" i="1"/>
  <c r="A13295" i="1"/>
  <c r="D13295" i="1"/>
  <c r="A13296" i="1"/>
  <c r="D13296" i="1"/>
  <c r="A13297" i="1"/>
  <c r="D13297" i="1"/>
  <c r="A13298" i="1"/>
  <c r="D13298" i="1"/>
  <c r="A13299" i="1"/>
  <c r="D13299" i="1"/>
  <c r="A13300" i="1"/>
  <c r="D13300" i="1"/>
  <c r="A13301" i="1"/>
  <c r="D13301" i="1"/>
  <c r="A13302" i="1"/>
  <c r="D13302" i="1"/>
  <c r="A13303" i="1"/>
  <c r="D13303" i="1"/>
  <c r="A13304" i="1"/>
  <c r="D13304" i="1"/>
  <c r="A13305" i="1"/>
  <c r="D13305" i="1"/>
  <c r="A13306" i="1"/>
  <c r="D13306" i="1"/>
  <c r="A13307" i="1"/>
  <c r="D13307" i="1"/>
  <c r="A13308" i="1"/>
  <c r="D13308" i="1"/>
  <c r="A13309" i="1"/>
  <c r="D13309" i="1"/>
  <c r="A13310" i="1"/>
  <c r="D13310" i="1"/>
  <c r="A13311" i="1"/>
  <c r="D13311" i="1"/>
  <c r="A13312" i="1"/>
  <c r="D13312" i="1"/>
  <c r="A13313" i="1"/>
  <c r="D13313" i="1"/>
  <c r="A13314" i="1"/>
  <c r="D13314" i="1"/>
  <c r="A13315" i="1"/>
  <c r="D13315" i="1"/>
  <c r="A13316" i="1"/>
  <c r="D13316" i="1"/>
  <c r="A13317" i="1"/>
  <c r="D13317" i="1"/>
  <c r="A13318" i="1"/>
  <c r="D13318" i="1"/>
  <c r="A13319" i="1"/>
  <c r="D13319" i="1"/>
  <c r="A13320" i="1"/>
  <c r="D13320" i="1"/>
  <c r="A13321" i="1"/>
  <c r="D13321" i="1"/>
  <c r="A13322" i="1"/>
  <c r="D13322" i="1"/>
  <c r="A13323" i="1"/>
  <c r="D13323" i="1"/>
  <c r="A13324" i="1"/>
  <c r="D13324" i="1"/>
  <c r="A13325" i="1"/>
  <c r="D13325" i="1"/>
  <c r="A13326" i="1"/>
  <c r="D13326" i="1"/>
  <c r="A13327" i="1"/>
  <c r="D13327" i="1"/>
  <c r="A13328" i="1"/>
  <c r="D13328" i="1"/>
  <c r="A13329" i="1"/>
  <c r="D13329" i="1"/>
  <c r="A13330" i="1"/>
  <c r="D13330" i="1"/>
  <c r="A13331" i="1"/>
  <c r="D13331" i="1"/>
  <c r="A13332" i="1"/>
  <c r="D13332" i="1"/>
  <c r="A13333" i="1"/>
  <c r="D13333" i="1"/>
  <c r="A13334" i="1"/>
  <c r="D13334" i="1"/>
  <c r="A13335" i="1"/>
  <c r="D13335" i="1"/>
  <c r="A13336" i="1"/>
  <c r="D13336" i="1"/>
  <c r="A13337"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A18835" i="1"/>
  <c r="D18835" i="1"/>
  <c r="A18836" i="1"/>
  <c r="D18836" i="1"/>
  <c r="A18837" i="1"/>
  <c r="D18837" i="1"/>
  <c r="A18838" i="1"/>
  <c r="D18838" i="1"/>
  <c r="A18839" i="1"/>
  <c r="D18839" i="1"/>
  <c r="A18840" i="1"/>
  <c r="D18840" i="1"/>
  <c r="A18841" i="1"/>
  <c r="D18841" i="1"/>
  <c r="A18842" i="1"/>
  <c r="D18842" i="1"/>
  <c r="A18843" i="1"/>
  <c r="D18843" i="1"/>
  <c r="A18844" i="1"/>
  <c r="D18844" i="1"/>
  <c r="A18845" i="1"/>
  <c r="D18845" i="1"/>
  <c r="A18846" i="1"/>
  <c r="D18846" i="1"/>
  <c r="A18847" i="1"/>
  <c r="D18847" i="1"/>
  <c r="A18848" i="1"/>
  <c r="D18848" i="1"/>
  <c r="A18849" i="1"/>
  <c r="D18849" i="1"/>
  <c r="A18850" i="1"/>
  <c r="D18850" i="1"/>
  <c r="A18851" i="1"/>
  <c r="D18851" i="1"/>
  <c r="A18852" i="1"/>
  <c r="D18852" i="1"/>
  <c r="A18853" i="1"/>
  <c r="D18853" i="1"/>
  <c r="A18854" i="1"/>
  <c r="D18854" i="1"/>
  <c r="A18855" i="1"/>
  <c r="D18855" i="1"/>
  <c r="A18856" i="1"/>
  <c r="D18856" i="1"/>
  <c r="A18857" i="1"/>
  <c r="D18857" i="1"/>
  <c r="A18858" i="1"/>
  <c r="D18858" i="1"/>
  <c r="A18859" i="1"/>
  <c r="D18859" i="1"/>
  <c r="A18860" i="1"/>
  <c r="D18860" i="1"/>
  <c r="A18861" i="1"/>
  <c r="D18861" i="1"/>
  <c r="A18862" i="1"/>
  <c r="D18862" i="1"/>
  <c r="A18863" i="1"/>
  <c r="D18863" i="1"/>
  <c r="A18864" i="1"/>
  <c r="D18864" i="1"/>
  <c r="A18865" i="1"/>
  <c r="D18865" i="1"/>
  <c r="A18866" i="1"/>
  <c r="D18866" i="1"/>
  <c r="A18867" i="1"/>
  <c r="D18867" i="1"/>
  <c r="A18868" i="1"/>
  <c r="D18868" i="1"/>
  <c r="A18869" i="1"/>
  <c r="D18869" i="1"/>
  <c r="A18870" i="1"/>
  <c r="D18870" i="1"/>
  <c r="A18871" i="1"/>
  <c r="D18871" i="1"/>
  <c r="A18872" i="1"/>
  <c r="D18872" i="1"/>
  <c r="A18873" i="1"/>
  <c r="D18873" i="1"/>
  <c r="A18874" i="1"/>
  <c r="D18874" i="1"/>
  <c r="A18875" i="1"/>
  <c r="D18875" i="1"/>
  <c r="A18876" i="1"/>
  <c r="D18876" i="1"/>
  <c r="A18877" i="1"/>
  <c r="D18877" i="1"/>
  <c r="A18878" i="1"/>
  <c r="D18878" i="1"/>
  <c r="A18879" i="1"/>
  <c r="D18879" i="1"/>
  <c r="A18880" i="1"/>
  <c r="D18880" i="1"/>
  <c r="A18881" i="1"/>
  <c r="D18881" i="1"/>
  <c r="A18882" i="1"/>
  <c r="D18882" i="1"/>
  <c r="A18883" i="1"/>
  <c r="D18883" i="1"/>
  <c r="A18884" i="1"/>
  <c r="D18884" i="1"/>
  <c r="A18885" i="1"/>
  <c r="D18885" i="1"/>
  <c r="A18886" i="1"/>
  <c r="D18886" i="1"/>
  <c r="A18887" i="1"/>
  <c r="D18887" i="1"/>
  <c r="A18888" i="1"/>
  <c r="D18888" i="1"/>
  <c r="A18889" i="1"/>
  <c r="D18889" i="1"/>
  <c r="A18890" i="1"/>
  <c r="D18890" i="1"/>
  <c r="A18891" i="1"/>
  <c r="D18891" i="1"/>
  <c r="A18892" i="1"/>
  <c r="D18892" i="1"/>
  <c r="A18893" i="1"/>
  <c r="D18893" i="1"/>
  <c r="A18894" i="1"/>
  <c r="D18894" i="1"/>
  <c r="A18895" i="1"/>
  <c r="D18895" i="1"/>
  <c r="A18896" i="1"/>
  <c r="D18896" i="1"/>
  <c r="A18897" i="1"/>
  <c r="D18897" i="1"/>
  <c r="A18898" i="1"/>
  <c r="D18898" i="1"/>
  <c r="A18899" i="1"/>
  <c r="D18899" i="1"/>
  <c r="A18900" i="1"/>
  <c r="D18900" i="1"/>
  <c r="A18901" i="1"/>
  <c r="D18901" i="1"/>
  <c r="A18902" i="1"/>
  <c r="D18902" i="1"/>
  <c r="A18903" i="1"/>
  <c r="D18903" i="1"/>
  <c r="A18904" i="1"/>
  <c r="D18904" i="1"/>
  <c r="A18905" i="1"/>
  <c r="D18905" i="1"/>
  <c r="A18906" i="1"/>
  <c r="D18906" i="1"/>
  <c r="A18907" i="1"/>
  <c r="D18907" i="1"/>
  <c r="A18908" i="1"/>
  <c r="D18908" i="1"/>
  <c r="A18909" i="1"/>
  <c r="D18909" i="1"/>
  <c r="A18910" i="1"/>
  <c r="D18910" i="1"/>
  <c r="A18911" i="1"/>
  <c r="D18911" i="1"/>
  <c r="A18912" i="1"/>
  <c r="D18912" i="1"/>
  <c r="A18913" i="1"/>
  <c r="D18913" i="1"/>
  <c r="A18914" i="1"/>
  <c r="D18914" i="1"/>
  <c r="A18915" i="1"/>
  <c r="D18915" i="1"/>
  <c r="A18916" i="1"/>
  <c r="D18916" i="1"/>
  <c r="A18917" i="1"/>
  <c r="D18917" i="1"/>
  <c r="A18918" i="1"/>
  <c r="D18918" i="1"/>
  <c r="A18919" i="1"/>
  <c r="D18919" i="1"/>
  <c r="A18920" i="1"/>
  <c r="D18920" i="1"/>
  <c r="A18921" i="1"/>
  <c r="D18921" i="1"/>
  <c r="A18922" i="1"/>
  <c r="D18922" i="1"/>
  <c r="A18923" i="1"/>
  <c r="D18923" i="1"/>
  <c r="A18924" i="1"/>
  <c r="D18924" i="1"/>
  <c r="A18925" i="1"/>
  <c r="D18925" i="1"/>
  <c r="A18926" i="1"/>
  <c r="D18926" i="1"/>
  <c r="A18927" i="1"/>
  <c r="D18927" i="1"/>
  <c r="A18928" i="1"/>
  <c r="D18928" i="1"/>
  <c r="A18929" i="1"/>
  <c r="D18929" i="1"/>
  <c r="A18930" i="1"/>
  <c r="D18930" i="1"/>
  <c r="A18931" i="1"/>
  <c r="D18931" i="1"/>
  <c r="A18932" i="1"/>
  <c r="D18932" i="1"/>
  <c r="A18933" i="1"/>
  <c r="D18933" i="1"/>
  <c r="A18934" i="1"/>
  <c r="D18934" i="1"/>
  <c r="A18935" i="1"/>
  <c r="D18935" i="1"/>
  <c r="A18936" i="1"/>
  <c r="D18936" i="1"/>
  <c r="A18937" i="1"/>
  <c r="D18937" i="1"/>
  <c r="A18938" i="1"/>
  <c r="D18938" i="1"/>
  <c r="A18939" i="1"/>
  <c r="D18939" i="1"/>
  <c r="A18940" i="1"/>
  <c r="D18940" i="1"/>
  <c r="A18941" i="1"/>
  <c r="D18941" i="1"/>
  <c r="A18942" i="1"/>
  <c r="D18942" i="1"/>
  <c r="A18943" i="1"/>
  <c r="D18943" i="1"/>
  <c r="A18944" i="1"/>
  <c r="D18944" i="1"/>
  <c r="A18945" i="1"/>
  <c r="D18945" i="1"/>
  <c r="A18946" i="1"/>
  <c r="D18946" i="1"/>
  <c r="A18947" i="1"/>
  <c r="D18947" i="1"/>
  <c r="A18948" i="1"/>
  <c r="D18948" i="1"/>
  <c r="A18949" i="1"/>
  <c r="D18949" i="1"/>
  <c r="A18950" i="1"/>
  <c r="D18950" i="1"/>
  <c r="A18951" i="1"/>
  <c r="D18951" i="1"/>
  <c r="A18952" i="1"/>
  <c r="D18952" i="1"/>
  <c r="A18953" i="1"/>
  <c r="D18953" i="1"/>
  <c r="A18954" i="1"/>
  <c r="D18954" i="1"/>
  <c r="A18955" i="1"/>
  <c r="D18955" i="1"/>
  <c r="A18956" i="1"/>
  <c r="D18956" i="1"/>
  <c r="A18957" i="1"/>
  <c r="D18957" i="1"/>
  <c r="A18958" i="1"/>
  <c r="D18958" i="1"/>
  <c r="A18959" i="1"/>
  <c r="D18959" i="1"/>
  <c r="A18960" i="1"/>
  <c r="D18960" i="1"/>
  <c r="A18961" i="1"/>
  <c r="D18961" i="1"/>
  <c r="A18962" i="1"/>
  <c r="D18962" i="1"/>
  <c r="A18963" i="1"/>
  <c r="D18963" i="1"/>
  <c r="A18964" i="1"/>
  <c r="D18964" i="1"/>
  <c r="A18965" i="1"/>
  <c r="D18965" i="1"/>
  <c r="A18966" i="1"/>
  <c r="D18966" i="1"/>
  <c r="A18967" i="1"/>
  <c r="D18967" i="1"/>
  <c r="A18968" i="1"/>
  <c r="D18968" i="1"/>
  <c r="A18969" i="1"/>
  <c r="D18969" i="1"/>
  <c r="A18970" i="1"/>
  <c r="D18970" i="1"/>
  <c r="A18971" i="1"/>
  <c r="D18971" i="1"/>
  <c r="A18972" i="1"/>
  <c r="D18972" i="1"/>
  <c r="A18973" i="1"/>
  <c r="D18973" i="1"/>
  <c r="A18974" i="1"/>
  <c r="D18974" i="1"/>
  <c r="A18975" i="1"/>
  <c r="D18975" i="1"/>
  <c r="A18976" i="1"/>
  <c r="D18976" i="1"/>
  <c r="A18977" i="1"/>
  <c r="D18977" i="1"/>
  <c r="A18978" i="1"/>
  <c r="D18978" i="1"/>
  <c r="A18979" i="1"/>
  <c r="D18979" i="1"/>
  <c r="A18980" i="1"/>
  <c r="D18980" i="1"/>
  <c r="A18981" i="1"/>
  <c r="D18981" i="1"/>
  <c r="A18982" i="1"/>
  <c r="D18982" i="1"/>
  <c r="A18983" i="1"/>
  <c r="D18983" i="1"/>
  <c r="A18984" i="1"/>
  <c r="D18984" i="1"/>
  <c r="A18985" i="1"/>
  <c r="D18985" i="1"/>
  <c r="A18986" i="1"/>
  <c r="D18986" i="1"/>
  <c r="A18987" i="1"/>
  <c r="D18987" i="1"/>
  <c r="A18988" i="1"/>
  <c r="D18988" i="1"/>
  <c r="A18989" i="1"/>
  <c r="D18989" i="1"/>
  <c r="A18990" i="1"/>
  <c r="D18990" i="1"/>
  <c r="A18991" i="1"/>
  <c r="D18991" i="1"/>
  <c r="A18992" i="1"/>
  <c r="D18992" i="1"/>
  <c r="A18993" i="1"/>
  <c r="D18993" i="1"/>
  <c r="A18994" i="1"/>
  <c r="D18994" i="1"/>
  <c r="A18995" i="1"/>
  <c r="D18995" i="1"/>
  <c r="A18996" i="1"/>
  <c r="D18996" i="1"/>
  <c r="A18997" i="1"/>
  <c r="D18997" i="1"/>
  <c r="A18998" i="1"/>
  <c r="D18998" i="1"/>
  <c r="A18999" i="1"/>
  <c r="D18999" i="1"/>
  <c r="A19000" i="1"/>
  <c r="D19000" i="1"/>
  <c r="A19001" i="1"/>
  <c r="D19001" i="1"/>
  <c r="A19002" i="1"/>
  <c r="D19002" i="1"/>
  <c r="A19003" i="1"/>
  <c r="D19003" i="1"/>
  <c r="A19004" i="1"/>
  <c r="D19004" i="1"/>
  <c r="A19005" i="1"/>
  <c r="D19005" i="1"/>
  <c r="A19006" i="1"/>
  <c r="D19006" i="1"/>
  <c r="A19007" i="1"/>
  <c r="D19007" i="1"/>
  <c r="A19008" i="1"/>
  <c r="D19008" i="1"/>
  <c r="A19009" i="1"/>
  <c r="D19009" i="1"/>
  <c r="A19010" i="1"/>
  <c r="D19010" i="1"/>
  <c r="A19011" i="1"/>
  <c r="D19011" i="1"/>
  <c r="A19012" i="1"/>
  <c r="D19012" i="1"/>
  <c r="A19013" i="1"/>
  <c r="D19013" i="1"/>
  <c r="A19014" i="1"/>
  <c r="D19014" i="1"/>
  <c r="A19015" i="1"/>
  <c r="D19015" i="1"/>
  <c r="A19016" i="1"/>
  <c r="D19016" i="1"/>
  <c r="A19017" i="1"/>
  <c r="D19017" i="1"/>
  <c r="A19018" i="1"/>
  <c r="D19018" i="1"/>
  <c r="A19019" i="1"/>
  <c r="D19019" i="1"/>
  <c r="A19020" i="1"/>
  <c r="D19020" i="1"/>
  <c r="A19021" i="1"/>
  <c r="D19021" i="1"/>
  <c r="A19022" i="1"/>
  <c r="D19022" i="1"/>
  <c r="A19023" i="1"/>
  <c r="D19023" i="1"/>
  <c r="A19024" i="1"/>
  <c r="D19024" i="1"/>
  <c r="A19025" i="1"/>
  <c r="D19025" i="1"/>
  <c r="A19026" i="1"/>
  <c r="D19026" i="1"/>
  <c r="A19027" i="1"/>
  <c r="D19027" i="1"/>
  <c r="A19028" i="1"/>
  <c r="D19028" i="1"/>
  <c r="A19029" i="1"/>
  <c r="D19029" i="1"/>
  <c r="A19030" i="1"/>
  <c r="D19030" i="1"/>
  <c r="A19031" i="1"/>
  <c r="D19031" i="1"/>
  <c r="A19032" i="1"/>
  <c r="D19032" i="1"/>
  <c r="A19033" i="1"/>
  <c r="D19033" i="1"/>
  <c r="A19034" i="1"/>
  <c r="D19034" i="1"/>
  <c r="A19035" i="1"/>
  <c r="D19035" i="1"/>
  <c r="A19036" i="1"/>
  <c r="D19036" i="1"/>
  <c r="A19037" i="1"/>
  <c r="D19037" i="1"/>
  <c r="A19038" i="1"/>
  <c r="D19038" i="1"/>
  <c r="A19039" i="1"/>
  <c r="D19039" i="1"/>
  <c r="A19040" i="1"/>
  <c r="D19040" i="1"/>
  <c r="A19041" i="1"/>
  <c r="D19041" i="1"/>
  <c r="A19042" i="1"/>
  <c r="D19042" i="1"/>
  <c r="A19043" i="1"/>
  <c r="D19043" i="1"/>
  <c r="A19044" i="1"/>
  <c r="D19044" i="1"/>
  <c r="A19045" i="1"/>
  <c r="D19045" i="1"/>
  <c r="A19046" i="1"/>
  <c r="D19046" i="1"/>
  <c r="A19047" i="1"/>
  <c r="D19047" i="1"/>
  <c r="A19048" i="1"/>
  <c r="D19048" i="1"/>
  <c r="A19049" i="1"/>
  <c r="D19049" i="1"/>
  <c r="A19050" i="1"/>
  <c r="D19050" i="1"/>
  <c r="A19051" i="1"/>
  <c r="D19051" i="1"/>
  <c r="A19052" i="1"/>
  <c r="D19052" i="1"/>
  <c r="A19053" i="1"/>
  <c r="D19053" i="1"/>
  <c r="A19054" i="1"/>
  <c r="D19054" i="1"/>
  <c r="A19055" i="1"/>
  <c r="D19055" i="1"/>
  <c r="A19056" i="1"/>
  <c r="D19056" i="1"/>
  <c r="A19057" i="1"/>
  <c r="D19057" i="1"/>
  <c r="A19058" i="1"/>
  <c r="D19058" i="1"/>
  <c r="A19059" i="1"/>
  <c r="D19059" i="1"/>
  <c r="A19060" i="1"/>
  <c r="D19060" i="1"/>
  <c r="A19061" i="1"/>
  <c r="D19061" i="1"/>
  <c r="A19062" i="1"/>
  <c r="D19062" i="1"/>
  <c r="A19063" i="1"/>
  <c r="D19063" i="1"/>
  <c r="A19064" i="1"/>
  <c r="D19064" i="1"/>
  <c r="A19065" i="1"/>
  <c r="D19065" i="1"/>
  <c r="A19066" i="1"/>
  <c r="D19066" i="1"/>
  <c r="A19067" i="1"/>
  <c r="D19067" i="1"/>
  <c r="A19068" i="1"/>
  <c r="D19068" i="1"/>
  <c r="A19069" i="1"/>
  <c r="D19069" i="1"/>
  <c r="A19070" i="1"/>
  <c r="D19070" i="1"/>
  <c r="A19071" i="1"/>
  <c r="D19071" i="1"/>
  <c r="A19072" i="1"/>
  <c r="D19072" i="1"/>
  <c r="A19073" i="1"/>
  <c r="D19073" i="1"/>
  <c r="A19074" i="1"/>
  <c r="D19074" i="1"/>
  <c r="A19075" i="1"/>
  <c r="D19075" i="1"/>
  <c r="A19076" i="1"/>
  <c r="D19076" i="1"/>
  <c r="A19077" i="1"/>
  <c r="D19077" i="1"/>
  <c r="A19078" i="1"/>
  <c r="D19078" i="1"/>
  <c r="A19079" i="1"/>
  <c r="D19079" i="1"/>
  <c r="A19080" i="1"/>
  <c r="D19080" i="1"/>
  <c r="A19081" i="1"/>
  <c r="D19081" i="1"/>
  <c r="A19082" i="1"/>
  <c r="D19082" i="1"/>
  <c r="A19083" i="1"/>
  <c r="D19083" i="1"/>
  <c r="A19084" i="1"/>
  <c r="D19084" i="1"/>
  <c r="A19085" i="1"/>
  <c r="D19085" i="1"/>
  <c r="A19086" i="1"/>
  <c r="D19086" i="1"/>
  <c r="A19087" i="1"/>
  <c r="D19087" i="1"/>
  <c r="A19088" i="1"/>
  <c r="D19088" i="1"/>
  <c r="A19089" i="1"/>
  <c r="D19089" i="1"/>
  <c r="A19090" i="1"/>
  <c r="D19090" i="1"/>
  <c r="A19091" i="1"/>
  <c r="D19091" i="1"/>
  <c r="A19092" i="1"/>
  <c r="D19092" i="1"/>
  <c r="A19093" i="1"/>
  <c r="D19093" i="1"/>
  <c r="A19094" i="1"/>
  <c r="D19094" i="1"/>
  <c r="A19095" i="1"/>
  <c r="D19095" i="1"/>
  <c r="A19096" i="1"/>
  <c r="D19096" i="1"/>
  <c r="A19097" i="1"/>
  <c r="D19097" i="1"/>
  <c r="A19098" i="1"/>
  <c r="D19098" i="1"/>
  <c r="A19099" i="1"/>
  <c r="D19099" i="1"/>
  <c r="A19100" i="1"/>
  <c r="D19100" i="1"/>
  <c r="A19101" i="1"/>
  <c r="D19101" i="1"/>
  <c r="A19102" i="1"/>
  <c r="D19102" i="1"/>
  <c r="A19103" i="1"/>
  <c r="D19103" i="1"/>
  <c r="A19104" i="1"/>
  <c r="D19104" i="1"/>
  <c r="A19105" i="1"/>
  <c r="D19105" i="1"/>
  <c r="A19106" i="1"/>
  <c r="D19106" i="1"/>
  <c r="A19107" i="1"/>
  <c r="D19107" i="1"/>
  <c r="A19108" i="1"/>
  <c r="D19108" i="1"/>
  <c r="A19109" i="1"/>
  <c r="D19109" i="1"/>
  <c r="A19110" i="1"/>
  <c r="D19110" i="1"/>
  <c r="A19111" i="1"/>
  <c r="D19111" i="1"/>
  <c r="A19112" i="1"/>
  <c r="D19112" i="1"/>
  <c r="A19113" i="1"/>
  <c r="D19113" i="1"/>
  <c r="A19114" i="1"/>
  <c r="D19114" i="1"/>
  <c r="A19115" i="1"/>
  <c r="D19115" i="1"/>
  <c r="A19116" i="1"/>
  <c r="D19116" i="1"/>
  <c r="A19117" i="1"/>
  <c r="D19117" i="1"/>
  <c r="A19118" i="1"/>
  <c r="D19118" i="1"/>
  <c r="A19119" i="1"/>
  <c r="D19119" i="1"/>
  <c r="A19120" i="1"/>
  <c r="D19120" i="1"/>
  <c r="A19121" i="1"/>
  <c r="D19121" i="1"/>
  <c r="A19122" i="1"/>
  <c r="D19122" i="1"/>
  <c r="A19123" i="1"/>
  <c r="D19123" i="1"/>
  <c r="A19124" i="1"/>
  <c r="D19124" i="1"/>
  <c r="A19125" i="1"/>
  <c r="D19125" i="1"/>
  <c r="A19126" i="1"/>
  <c r="D19126" i="1"/>
  <c r="A19127" i="1"/>
  <c r="D19127" i="1"/>
  <c r="A19128" i="1"/>
  <c r="D19128" i="1"/>
  <c r="A19129" i="1"/>
  <c r="D19129" i="1"/>
  <c r="A19130" i="1"/>
  <c r="D19130" i="1"/>
  <c r="A19131" i="1"/>
  <c r="D19131" i="1"/>
  <c r="A19132" i="1"/>
  <c r="D19132" i="1"/>
  <c r="A19133" i="1"/>
  <c r="D19133" i="1"/>
  <c r="A19134" i="1"/>
  <c r="D19134" i="1"/>
  <c r="A19135" i="1"/>
  <c r="D19135" i="1"/>
  <c r="A19136" i="1"/>
  <c r="D19136" i="1"/>
  <c r="A19137" i="1"/>
  <c r="D19137" i="1"/>
  <c r="A19138" i="1"/>
  <c r="D19138" i="1"/>
  <c r="A19139" i="1"/>
  <c r="D19139" i="1"/>
  <c r="A19140" i="1"/>
  <c r="D19140" i="1"/>
  <c r="A19141" i="1"/>
  <c r="D19141" i="1"/>
  <c r="A19142" i="1"/>
  <c r="D19142" i="1"/>
  <c r="A19143" i="1"/>
  <c r="D19143" i="1"/>
  <c r="A19144" i="1"/>
  <c r="D19144" i="1"/>
  <c r="A19145" i="1"/>
  <c r="D19145" i="1"/>
  <c r="A19146" i="1"/>
  <c r="D19146" i="1"/>
  <c r="A19147" i="1"/>
  <c r="D19147" i="1"/>
  <c r="A19148" i="1"/>
  <c r="D19148" i="1"/>
  <c r="A19149" i="1"/>
  <c r="D19149" i="1"/>
  <c r="A19150" i="1"/>
  <c r="D19150" i="1"/>
  <c r="A19151" i="1"/>
  <c r="D19151" i="1"/>
  <c r="A19152" i="1"/>
  <c r="D19152" i="1"/>
  <c r="A19153" i="1"/>
  <c r="D19153" i="1"/>
  <c r="A19154" i="1"/>
  <c r="D19154" i="1"/>
  <c r="A19155" i="1"/>
  <c r="D19155" i="1"/>
  <c r="A19156" i="1"/>
  <c r="D19156" i="1"/>
  <c r="A19157" i="1"/>
  <c r="D19157" i="1"/>
  <c r="A19158" i="1"/>
  <c r="D19158" i="1"/>
  <c r="A19159" i="1"/>
  <c r="D19159" i="1"/>
  <c r="A19160" i="1"/>
  <c r="D19160" i="1"/>
  <c r="A19161" i="1"/>
  <c r="D19161" i="1"/>
  <c r="A19162" i="1"/>
  <c r="D19162" i="1"/>
  <c r="A19163" i="1"/>
  <c r="D19163" i="1"/>
  <c r="A19164" i="1"/>
  <c r="D19164" i="1"/>
  <c r="A19165" i="1"/>
  <c r="D19165" i="1"/>
  <c r="A19166" i="1"/>
  <c r="D19166" i="1"/>
  <c r="A19167" i="1"/>
  <c r="D19167" i="1"/>
  <c r="A19168" i="1"/>
  <c r="D19168" i="1"/>
  <c r="A19169" i="1"/>
  <c r="D19169" i="1"/>
  <c r="A19170" i="1"/>
  <c r="D19170" i="1"/>
  <c r="A19171" i="1"/>
  <c r="D19171" i="1"/>
  <c r="A19172" i="1"/>
  <c r="D19172" i="1"/>
  <c r="A19173" i="1"/>
  <c r="D19173" i="1"/>
  <c r="A19174" i="1"/>
  <c r="D19174" i="1"/>
  <c r="A19175" i="1"/>
  <c r="D19175" i="1"/>
  <c r="A19176" i="1"/>
  <c r="D19176" i="1"/>
  <c r="A19177" i="1"/>
  <c r="D19177" i="1"/>
  <c r="A19178" i="1"/>
  <c r="D19178" i="1"/>
  <c r="A19179" i="1"/>
  <c r="D19179" i="1"/>
  <c r="A19180" i="1"/>
  <c r="D19180" i="1"/>
  <c r="A19181" i="1"/>
  <c r="D19181" i="1"/>
  <c r="A19182" i="1"/>
  <c r="D19182" i="1"/>
  <c r="A19183" i="1"/>
  <c r="D19183" i="1"/>
  <c r="A19184" i="1"/>
  <c r="D19184" i="1"/>
  <c r="A19185" i="1"/>
  <c r="D19185" i="1"/>
  <c r="A19186" i="1"/>
  <c r="D19186" i="1"/>
  <c r="A19187" i="1"/>
  <c r="D19187" i="1"/>
  <c r="A19188" i="1"/>
  <c r="D19188" i="1"/>
  <c r="A19189" i="1"/>
  <c r="D19189" i="1"/>
  <c r="A19190" i="1"/>
  <c r="D19190" i="1"/>
  <c r="A19191" i="1"/>
  <c r="D19191" i="1"/>
  <c r="A19192" i="1"/>
  <c r="D19192" i="1"/>
  <c r="A19193" i="1"/>
  <c r="D19193" i="1"/>
  <c r="A19194" i="1"/>
  <c r="D19194" i="1"/>
  <c r="A19195" i="1"/>
  <c r="D19195" i="1"/>
  <c r="A19196" i="1"/>
  <c r="D19196" i="1"/>
  <c r="A19197" i="1"/>
  <c r="D19197" i="1"/>
  <c r="A19198" i="1"/>
  <c r="D19198" i="1"/>
  <c r="A19199" i="1"/>
  <c r="D19199" i="1"/>
  <c r="A19200" i="1"/>
  <c r="D19200" i="1"/>
  <c r="A19201" i="1"/>
  <c r="D19201" i="1"/>
  <c r="A19202" i="1"/>
  <c r="D19202" i="1"/>
  <c r="A19203" i="1"/>
  <c r="D19203" i="1"/>
  <c r="A19204" i="1"/>
  <c r="D19204" i="1"/>
  <c r="A19205" i="1"/>
  <c r="D19205" i="1"/>
  <c r="A19206" i="1"/>
  <c r="D19206" i="1"/>
  <c r="A19207" i="1"/>
  <c r="D19207" i="1"/>
  <c r="A19208" i="1"/>
  <c r="D19208" i="1"/>
  <c r="A19209" i="1"/>
  <c r="D19209" i="1"/>
  <c r="A19210" i="1"/>
  <c r="D19210" i="1"/>
  <c r="A19211" i="1"/>
  <c r="D19211" i="1"/>
  <c r="A19212" i="1"/>
  <c r="D19212" i="1"/>
  <c r="A19213" i="1"/>
  <c r="D19213" i="1"/>
  <c r="A19214" i="1"/>
  <c r="D19214" i="1"/>
  <c r="A19215" i="1"/>
  <c r="D19215" i="1"/>
  <c r="A19216" i="1"/>
  <c r="D19216" i="1"/>
  <c r="A19217" i="1"/>
  <c r="D19217" i="1"/>
  <c r="A19218" i="1"/>
  <c r="D19218" i="1"/>
  <c r="A19219" i="1"/>
  <c r="D19219" i="1"/>
  <c r="A19220" i="1"/>
  <c r="D19220" i="1"/>
  <c r="A19221" i="1"/>
  <c r="D19221" i="1"/>
  <c r="A19222" i="1"/>
  <c r="D19222" i="1"/>
  <c r="A19223" i="1"/>
  <c r="D19223" i="1"/>
  <c r="A19224" i="1"/>
  <c r="D19224" i="1"/>
  <c r="A19225" i="1"/>
  <c r="D19225" i="1"/>
  <c r="A19226" i="1"/>
  <c r="D19226" i="1"/>
  <c r="A19227" i="1"/>
  <c r="D19227" i="1"/>
  <c r="A19228" i="1"/>
  <c r="D19228" i="1"/>
  <c r="A19229" i="1"/>
  <c r="D19229" i="1"/>
  <c r="A19230" i="1"/>
  <c r="D19230" i="1"/>
  <c r="A19231" i="1"/>
  <c r="D19231" i="1"/>
  <c r="A19232" i="1"/>
  <c r="D19232" i="1"/>
  <c r="A19233" i="1"/>
  <c r="D19233" i="1"/>
  <c r="A19234" i="1"/>
  <c r="D19234" i="1"/>
  <c r="A19235" i="1"/>
  <c r="D19235" i="1"/>
  <c r="A19236" i="1"/>
  <c r="D19236" i="1"/>
  <c r="A19237" i="1"/>
  <c r="D19237" i="1"/>
  <c r="A19238" i="1"/>
  <c r="D19238" i="1"/>
  <c r="A19239" i="1"/>
  <c r="D19239" i="1"/>
  <c r="A19240" i="1"/>
  <c r="D19240" i="1"/>
  <c r="A19241" i="1"/>
  <c r="D19241" i="1"/>
  <c r="A19242" i="1"/>
  <c r="D19242" i="1"/>
  <c r="A19243" i="1"/>
  <c r="D19243" i="1"/>
  <c r="A19244" i="1"/>
  <c r="D19244" i="1"/>
  <c r="A19245" i="1"/>
  <c r="D19245" i="1"/>
  <c r="A19246" i="1"/>
  <c r="D19246" i="1"/>
  <c r="A19247" i="1"/>
  <c r="D19247" i="1"/>
  <c r="A19248" i="1"/>
  <c r="D19248" i="1"/>
  <c r="A19249" i="1"/>
  <c r="D19249" i="1"/>
  <c r="A19250" i="1"/>
  <c r="D19250" i="1"/>
  <c r="A19251" i="1"/>
  <c r="D19251" i="1"/>
  <c r="A19252" i="1"/>
  <c r="D19252" i="1"/>
  <c r="A19253" i="1"/>
  <c r="D19253" i="1"/>
  <c r="A19254" i="1"/>
  <c r="D19254" i="1"/>
  <c r="A19255" i="1"/>
  <c r="D19255" i="1"/>
  <c r="A19256" i="1"/>
  <c r="D19256" i="1"/>
  <c r="A19257" i="1"/>
  <c r="D19257" i="1"/>
  <c r="A19258" i="1"/>
  <c r="D19258" i="1"/>
  <c r="A19259" i="1"/>
  <c r="D19259" i="1"/>
  <c r="A19260" i="1"/>
  <c r="D19260" i="1"/>
  <c r="A19261" i="1"/>
  <c r="D19261" i="1"/>
  <c r="A19262" i="1"/>
  <c r="D19262" i="1"/>
  <c r="A19263" i="1"/>
  <c r="D19263" i="1"/>
  <c r="A19264" i="1"/>
  <c r="D19264" i="1"/>
  <c r="A19265" i="1"/>
  <c r="D19265" i="1"/>
  <c r="A19266" i="1"/>
  <c r="D19266" i="1"/>
  <c r="A19267" i="1"/>
  <c r="D19267" i="1"/>
  <c r="A19268" i="1"/>
  <c r="D19268" i="1"/>
  <c r="A19269" i="1"/>
  <c r="D19269" i="1"/>
  <c r="A19270" i="1"/>
  <c r="D19270" i="1"/>
  <c r="A19271" i="1"/>
  <c r="D19271" i="1"/>
  <c r="A19272" i="1"/>
  <c r="D19272" i="1"/>
  <c r="A19273" i="1"/>
  <c r="D19273" i="1"/>
  <c r="A19274" i="1"/>
  <c r="D19274" i="1"/>
  <c r="A19275" i="1"/>
  <c r="D19275" i="1"/>
  <c r="A19276" i="1"/>
  <c r="D19276" i="1"/>
  <c r="A19277" i="1"/>
  <c r="D19277" i="1"/>
  <c r="A19278" i="1"/>
  <c r="D19278" i="1"/>
  <c r="A19279" i="1"/>
  <c r="D19279" i="1"/>
  <c r="A19280" i="1"/>
  <c r="D19280" i="1"/>
  <c r="A19281" i="1"/>
  <c r="D19281" i="1"/>
  <c r="A19282" i="1"/>
  <c r="D19282" i="1"/>
  <c r="A19283" i="1"/>
  <c r="D19283" i="1"/>
  <c r="A19284" i="1"/>
  <c r="D19284" i="1"/>
  <c r="A19285" i="1"/>
  <c r="D19285" i="1"/>
  <c r="A19286" i="1"/>
  <c r="D19286" i="1"/>
  <c r="A19287" i="1"/>
  <c r="D19287" i="1"/>
  <c r="A19288" i="1"/>
  <c r="D19288" i="1"/>
  <c r="A19289" i="1"/>
  <c r="D19289" i="1"/>
  <c r="A19290" i="1"/>
  <c r="D19290" i="1"/>
  <c r="A19291" i="1"/>
  <c r="D19291" i="1"/>
  <c r="A19292" i="1"/>
  <c r="D19292" i="1"/>
  <c r="A19293" i="1"/>
  <c r="D19293" i="1"/>
  <c r="A19294" i="1"/>
  <c r="D19294" i="1"/>
  <c r="A19295" i="1"/>
  <c r="D19295" i="1"/>
  <c r="A19296" i="1"/>
  <c r="D19296" i="1"/>
  <c r="A19297" i="1"/>
  <c r="D19297" i="1"/>
  <c r="A19298" i="1"/>
  <c r="D19298" i="1"/>
  <c r="A19299" i="1"/>
  <c r="D19299" i="1"/>
  <c r="A19300" i="1"/>
  <c r="D19300" i="1"/>
  <c r="A19301" i="1"/>
  <c r="D19301" i="1"/>
  <c r="A19302" i="1"/>
  <c r="D19302" i="1"/>
  <c r="A19303" i="1"/>
  <c r="D19303" i="1"/>
  <c r="A19304" i="1"/>
  <c r="D19304" i="1"/>
  <c r="A19305" i="1"/>
  <c r="D19305" i="1"/>
  <c r="A19306" i="1"/>
  <c r="D19306" i="1"/>
  <c r="A19307" i="1"/>
  <c r="D19307" i="1"/>
  <c r="A19308" i="1"/>
  <c r="D19308" i="1"/>
  <c r="A19309" i="1"/>
  <c r="D19309" i="1"/>
  <c r="A19310" i="1"/>
  <c r="D19310" i="1"/>
  <c r="A19311" i="1"/>
  <c r="D19311" i="1"/>
  <c r="A19312" i="1"/>
  <c r="D19312" i="1"/>
  <c r="A19313" i="1"/>
  <c r="D19313" i="1"/>
  <c r="A19314" i="1"/>
  <c r="D19314" i="1"/>
  <c r="A19315" i="1"/>
  <c r="D19315" i="1"/>
  <c r="A19316" i="1"/>
  <c r="D19316" i="1"/>
  <c r="A19317" i="1"/>
  <c r="D19317" i="1"/>
  <c r="A19318" i="1"/>
  <c r="D19318" i="1"/>
  <c r="A19319" i="1"/>
  <c r="D19319" i="1"/>
  <c r="A19320" i="1"/>
  <c r="D19320" i="1"/>
  <c r="A19321" i="1"/>
  <c r="D19321" i="1"/>
  <c r="A19322" i="1"/>
  <c r="D19322" i="1"/>
  <c r="A19323" i="1"/>
  <c r="D19323" i="1"/>
  <c r="A19324" i="1"/>
  <c r="D19324" i="1"/>
  <c r="A19325" i="1"/>
  <c r="D19325" i="1"/>
  <c r="A19326" i="1"/>
  <c r="D19326" i="1"/>
  <c r="A19327" i="1"/>
  <c r="D19327" i="1"/>
  <c r="A19328" i="1"/>
  <c r="D19328" i="1"/>
  <c r="A19329" i="1"/>
  <c r="D19329" i="1"/>
  <c r="A19330" i="1"/>
  <c r="D19330" i="1"/>
  <c r="A19331" i="1"/>
  <c r="D19331" i="1"/>
  <c r="A19332" i="1"/>
  <c r="D19332" i="1"/>
  <c r="A19333" i="1"/>
  <c r="D19333" i="1"/>
  <c r="A19334" i="1"/>
  <c r="D19334" i="1"/>
  <c r="A19335" i="1"/>
  <c r="D19335" i="1"/>
  <c r="A19336" i="1"/>
  <c r="D19336" i="1"/>
  <c r="A19337" i="1"/>
  <c r="D19337" i="1"/>
  <c r="A19338" i="1"/>
  <c r="D19338" i="1"/>
  <c r="A19339" i="1"/>
  <c r="D19339" i="1"/>
  <c r="A19340" i="1"/>
  <c r="D19340" i="1"/>
  <c r="A19341" i="1"/>
  <c r="D19341" i="1"/>
  <c r="A19342" i="1"/>
  <c r="D19342" i="1"/>
  <c r="A19343" i="1"/>
  <c r="D19343" i="1"/>
  <c r="A19344" i="1"/>
  <c r="D19344" i="1"/>
  <c r="A19345" i="1"/>
  <c r="D19345" i="1"/>
  <c r="A19346" i="1"/>
  <c r="D19346" i="1"/>
  <c r="A19347" i="1"/>
  <c r="D19347" i="1"/>
  <c r="A19348" i="1"/>
  <c r="D19348" i="1"/>
  <c r="A19349" i="1"/>
  <c r="D19349" i="1"/>
  <c r="A19350" i="1"/>
  <c r="D19350" i="1"/>
  <c r="A19351" i="1"/>
  <c r="D19351" i="1"/>
  <c r="A19352" i="1"/>
  <c r="D19352" i="1"/>
  <c r="A19353" i="1"/>
  <c r="D19353" i="1"/>
  <c r="A19354" i="1"/>
  <c r="D19354" i="1"/>
  <c r="A19355" i="1"/>
  <c r="D19355" i="1"/>
  <c r="A19356" i="1"/>
  <c r="D19356" i="1"/>
  <c r="A19357" i="1"/>
  <c r="D19357" i="1"/>
  <c r="A19358" i="1"/>
  <c r="D19358" i="1"/>
  <c r="A19359" i="1"/>
  <c r="D19359" i="1"/>
  <c r="A19360" i="1"/>
  <c r="D19360" i="1"/>
  <c r="A19361" i="1"/>
  <c r="D19361" i="1"/>
  <c r="A19362" i="1"/>
  <c r="D19362" i="1"/>
  <c r="A19363" i="1"/>
  <c r="D19363" i="1"/>
  <c r="A19364" i="1"/>
  <c r="D19364" i="1"/>
  <c r="A19365" i="1"/>
  <c r="D19365" i="1"/>
  <c r="A19366" i="1"/>
  <c r="D19366" i="1"/>
  <c r="A19367" i="1"/>
  <c r="D19367" i="1"/>
  <c r="A19368" i="1"/>
  <c r="D19368" i="1"/>
  <c r="A19369" i="1"/>
  <c r="D19369" i="1"/>
  <c r="A19370" i="1"/>
  <c r="D19370" i="1"/>
  <c r="A19371" i="1"/>
  <c r="D19371" i="1"/>
  <c r="A19372" i="1"/>
  <c r="D19372" i="1"/>
  <c r="A19373" i="1"/>
  <c r="D19373" i="1"/>
  <c r="A19374" i="1"/>
  <c r="D19374" i="1"/>
  <c r="A19375" i="1"/>
  <c r="D19375" i="1"/>
  <c r="A19376" i="1"/>
  <c r="D19376" i="1"/>
  <c r="A19377" i="1"/>
  <c r="D19377" i="1"/>
  <c r="A19378" i="1"/>
  <c r="D19378" i="1"/>
  <c r="A19379" i="1"/>
  <c r="D19379" i="1"/>
  <c r="A19380" i="1"/>
  <c r="D19380" i="1"/>
  <c r="A19381" i="1"/>
  <c r="D19381" i="1"/>
  <c r="A19382" i="1"/>
  <c r="D19382" i="1"/>
  <c r="A19383" i="1"/>
  <c r="D19383" i="1"/>
  <c r="A19384" i="1"/>
  <c r="D19384" i="1"/>
  <c r="A19385" i="1"/>
  <c r="D19385" i="1"/>
  <c r="A19386" i="1"/>
  <c r="D19386" i="1"/>
  <c r="A19387" i="1"/>
  <c r="D19387" i="1"/>
  <c r="A19388" i="1"/>
  <c r="D19388" i="1"/>
  <c r="A19389" i="1"/>
  <c r="D19389" i="1"/>
  <c r="A19390" i="1"/>
  <c r="D19390" i="1"/>
  <c r="A19391" i="1"/>
  <c r="D19391" i="1"/>
  <c r="A19392" i="1"/>
  <c r="D19392" i="1"/>
  <c r="A19393" i="1"/>
  <c r="D19393" i="1"/>
  <c r="A19394" i="1"/>
  <c r="D19394" i="1"/>
  <c r="A19395" i="1"/>
  <c r="D19395" i="1"/>
  <c r="A19396" i="1"/>
  <c r="D19396" i="1"/>
  <c r="A19397" i="1"/>
  <c r="D19397" i="1"/>
  <c r="A19398" i="1"/>
  <c r="D19398" i="1"/>
  <c r="A19399" i="1"/>
  <c r="D19399" i="1"/>
  <c r="A19400" i="1"/>
  <c r="D19400" i="1"/>
  <c r="A19401" i="1"/>
  <c r="D19401" i="1"/>
  <c r="A19402" i="1"/>
  <c r="D19402" i="1"/>
  <c r="A19403" i="1"/>
  <c r="D19403" i="1"/>
  <c r="A19404" i="1"/>
  <c r="D19404" i="1"/>
  <c r="A19405" i="1"/>
  <c r="D19405" i="1"/>
  <c r="A19406" i="1"/>
  <c r="D19406" i="1"/>
  <c r="A19407" i="1"/>
  <c r="D19407" i="1"/>
  <c r="A19408" i="1"/>
  <c r="D19408" i="1"/>
  <c r="A19409" i="1"/>
  <c r="D19409" i="1"/>
  <c r="A19410" i="1"/>
  <c r="D19410" i="1"/>
  <c r="A19411" i="1"/>
  <c r="D19411" i="1"/>
  <c r="A19412" i="1"/>
  <c r="D19412" i="1"/>
  <c r="A19413" i="1"/>
  <c r="D19413" i="1"/>
  <c r="A19414" i="1"/>
  <c r="D19414" i="1"/>
  <c r="A19415" i="1"/>
  <c r="D19415" i="1"/>
  <c r="A19416" i="1"/>
  <c r="D19416" i="1"/>
  <c r="A19417" i="1"/>
  <c r="D19417" i="1"/>
  <c r="A19418" i="1"/>
  <c r="D19418" i="1"/>
  <c r="A19419" i="1"/>
  <c r="D19419" i="1"/>
  <c r="A19420" i="1"/>
  <c r="D19420" i="1"/>
  <c r="A19421" i="1"/>
  <c r="D19421" i="1"/>
  <c r="A19422" i="1"/>
  <c r="D19422" i="1"/>
  <c r="A19423" i="1"/>
  <c r="D19423" i="1"/>
  <c r="A19424" i="1"/>
  <c r="D19424" i="1"/>
  <c r="A19425" i="1"/>
  <c r="D19425" i="1"/>
  <c r="A19426" i="1"/>
  <c r="D19426" i="1"/>
  <c r="A19427" i="1"/>
  <c r="D19427" i="1"/>
  <c r="A19428" i="1"/>
  <c r="D19428" i="1"/>
  <c r="A19429" i="1"/>
  <c r="D19429" i="1"/>
  <c r="A19430" i="1"/>
  <c r="D19430" i="1"/>
  <c r="A19431" i="1"/>
  <c r="D19431" i="1"/>
  <c r="A19432" i="1"/>
  <c r="D19432" i="1"/>
  <c r="A19433" i="1"/>
  <c r="D19433" i="1"/>
  <c r="A19434" i="1"/>
  <c r="D19434" i="1"/>
  <c r="A19435" i="1"/>
  <c r="D19435" i="1"/>
  <c r="A19436" i="1"/>
  <c r="D19436" i="1"/>
  <c r="A19437" i="1"/>
  <c r="D19437" i="1"/>
  <c r="A19438" i="1"/>
  <c r="D19438" i="1"/>
  <c r="A19439" i="1"/>
  <c r="D19439" i="1"/>
  <c r="A19440" i="1"/>
  <c r="D19440" i="1"/>
  <c r="A19441" i="1"/>
  <c r="D19441" i="1"/>
  <c r="A19442" i="1"/>
  <c r="D19442" i="1"/>
  <c r="A19443" i="1"/>
  <c r="D19443" i="1"/>
  <c r="A19444" i="1"/>
  <c r="D19444" i="1"/>
  <c r="A19445" i="1"/>
  <c r="D19445" i="1"/>
  <c r="A19446" i="1"/>
  <c r="D19446" i="1"/>
  <c r="A19447" i="1"/>
  <c r="D19447" i="1"/>
  <c r="A19448" i="1"/>
  <c r="D19448" i="1"/>
  <c r="A19449" i="1"/>
  <c r="D19449" i="1"/>
  <c r="A19450" i="1"/>
  <c r="D19450" i="1"/>
  <c r="A19451" i="1"/>
  <c r="D19451" i="1"/>
  <c r="A19452" i="1"/>
  <c r="D19452" i="1"/>
  <c r="A19453" i="1"/>
  <c r="D19453" i="1"/>
  <c r="A19454" i="1"/>
  <c r="D19454" i="1"/>
  <c r="A19455" i="1"/>
  <c r="D19455" i="1"/>
  <c r="A19456" i="1"/>
  <c r="D19456" i="1"/>
  <c r="A19457" i="1"/>
  <c r="D19457" i="1"/>
  <c r="A19458" i="1"/>
  <c r="D19458" i="1"/>
  <c r="A19459" i="1"/>
  <c r="D19459" i="1"/>
  <c r="A19460" i="1"/>
  <c r="D19460" i="1"/>
  <c r="A19461" i="1"/>
  <c r="D19461" i="1"/>
  <c r="A19462" i="1"/>
  <c r="D19462" i="1"/>
  <c r="A19463" i="1"/>
  <c r="D19463" i="1"/>
  <c r="A19464" i="1"/>
  <c r="D19464" i="1"/>
  <c r="A19465" i="1"/>
  <c r="D19465" i="1"/>
  <c r="A19466" i="1"/>
  <c r="D19466" i="1"/>
  <c r="A19467" i="1"/>
  <c r="D19467" i="1"/>
  <c r="A19468" i="1"/>
  <c r="D19468" i="1"/>
  <c r="A19469" i="1"/>
  <c r="D19469" i="1"/>
  <c r="A19470" i="1"/>
  <c r="D19470" i="1"/>
  <c r="A19471" i="1"/>
  <c r="D19471" i="1"/>
  <c r="A19472" i="1"/>
  <c r="D19472" i="1"/>
  <c r="A19473" i="1"/>
  <c r="D19473" i="1"/>
  <c r="A19474" i="1"/>
  <c r="D19474" i="1"/>
  <c r="A19475" i="1"/>
  <c r="D19475" i="1"/>
  <c r="A19476" i="1"/>
  <c r="D19476" i="1"/>
  <c r="A19477" i="1"/>
  <c r="D19477" i="1"/>
  <c r="A19478" i="1"/>
  <c r="D19478" i="1"/>
  <c r="A19479" i="1"/>
  <c r="D19479" i="1"/>
  <c r="A19480" i="1"/>
  <c r="D19480" i="1"/>
  <c r="A19481" i="1"/>
  <c r="D19481" i="1"/>
  <c r="A19482" i="1"/>
  <c r="D19482" i="1"/>
  <c r="A19483" i="1"/>
  <c r="D19483" i="1"/>
  <c r="A19484" i="1"/>
  <c r="D19484" i="1"/>
  <c r="A19485" i="1"/>
  <c r="D19485" i="1"/>
  <c r="A19486" i="1"/>
  <c r="D19486" i="1"/>
  <c r="A19487" i="1"/>
  <c r="D19487" i="1"/>
  <c r="A19488" i="1"/>
  <c r="D19488" i="1"/>
  <c r="A19489" i="1"/>
  <c r="D19489" i="1"/>
  <c r="A19490" i="1"/>
  <c r="D19490" i="1"/>
  <c r="A19491" i="1"/>
  <c r="D19491" i="1"/>
  <c r="A19492" i="1"/>
  <c r="D19492" i="1"/>
  <c r="A19493" i="1"/>
  <c r="D19493" i="1"/>
  <c r="A19494" i="1"/>
  <c r="D19494" i="1"/>
  <c r="A19495" i="1"/>
  <c r="D19495" i="1"/>
  <c r="A19496" i="1"/>
  <c r="D19496" i="1"/>
  <c r="A19497" i="1"/>
  <c r="D19497" i="1"/>
  <c r="A19498" i="1"/>
  <c r="D19498" i="1"/>
  <c r="A19499" i="1"/>
  <c r="D19499" i="1"/>
  <c r="A19500" i="1"/>
  <c r="D19500" i="1"/>
  <c r="A19501" i="1"/>
  <c r="D19501" i="1"/>
  <c r="A19502" i="1"/>
  <c r="D19502" i="1"/>
  <c r="A19503" i="1"/>
  <c r="D19503" i="1"/>
  <c r="A19504" i="1"/>
  <c r="D19504" i="1"/>
  <c r="A19505" i="1"/>
  <c r="D19505" i="1"/>
  <c r="A19506" i="1"/>
  <c r="D19506" i="1"/>
  <c r="A19507" i="1"/>
  <c r="D19507" i="1"/>
  <c r="A19508" i="1"/>
  <c r="D19508" i="1"/>
  <c r="A19509" i="1"/>
  <c r="D19509" i="1"/>
  <c r="A19510" i="1"/>
  <c r="D19510" i="1"/>
  <c r="A19511" i="1"/>
  <c r="D19511" i="1"/>
  <c r="A19512" i="1"/>
  <c r="D19512" i="1"/>
  <c r="A19513" i="1"/>
  <c r="D19513" i="1"/>
  <c r="A19514" i="1"/>
  <c r="D19514" i="1"/>
  <c r="A19515" i="1"/>
  <c r="D19515" i="1"/>
  <c r="A19516" i="1"/>
  <c r="D19516" i="1"/>
  <c r="A19517" i="1"/>
  <c r="D19517" i="1"/>
  <c r="A19518" i="1"/>
  <c r="D19518" i="1"/>
  <c r="A19519" i="1"/>
  <c r="D19519" i="1"/>
  <c r="A19520" i="1"/>
  <c r="D19520" i="1"/>
  <c r="A19521" i="1"/>
  <c r="D19521" i="1"/>
  <c r="A19522" i="1"/>
  <c r="D19522" i="1"/>
  <c r="A19523" i="1"/>
  <c r="D19523" i="1"/>
  <c r="A19524" i="1"/>
  <c r="D19524" i="1"/>
  <c r="A19525" i="1"/>
  <c r="D19525" i="1"/>
  <c r="A19526" i="1"/>
  <c r="D19526" i="1"/>
  <c r="A19527" i="1"/>
  <c r="D19527" i="1"/>
  <c r="A19528" i="1"/>
  <c r="D19528" i="1"/>
  <c r="A19529" i="1"/>
  <c r="D19529" i="1"/>
  <c r="A19530" i="1"/>
  <c r="D19530" i="1"/>
  <c r="A19531" i="1"/>
  <c r="D19531" i="1"/>
  <c r="A19532" i="1"/>
  <c r="D19532" i="1"/>
  <c r="A19533" i="1"/>
  <c r="D19533" i="1"/>
  <c r="A19534" i="1"/>
  <c r="D19534" i="1"/>
  <c r="A19535" i="1"/>
  <c r="D19535" i="1"/>
  <c r="A19536" i="1"/>
  <c r="D19536" i="1"/>
  <c r="A19537" i="1"/>
  <c r="D19537" i="1"/>
  <c r="A19538" i="1"/>
  <c r="D19538" i="1"/>
  <c r="A19539" i="1"/>
  <c r="D19539" i="1"/>
  <c r="A19540" i="1"/>
  <c r="D19540" i="1"/>
  <c r="A19541" i="1"/>
  <c r="D19541" i="1"/>
  <c r="A19542" i="1"/>
  <c r="D19542" i="1"/>
  <c r="A19543" i="1"/>
  <c r="D19543" i="1"/>
  <c r="A19544" i="1"/>
  <c r="D19544" i="1"/>
  <c r="A19545" i="1"/>
  <c r="D19545" i="1"/>
  <c r="A19546" i="1"/>
  <c r="D19546" i="1"/>
  <c r="A19547" i="1"/>
  <c r="D19547" i="1"/>
  <c r="A19548" i="1"/>
  <c r="D19548" i="1"/>
  <c r="A19549" i="1"/>
  <c r="D19549" i="1"/>
  <c r="A19550" i="1"/>
  <c r="D19550" i="1"/>
  <c r="A19551" i="1"/>
  <c r="D19551" i="1"/>
  <c r="A19552" i="1"/>
  <c r="D19552" i="1"/>
  <c r="A19553" i="1"/>
  <c r="D19553" i="1"/>
  <c r="A19554" i="1"/>
  <c r="D19554" i="1"/>
  <c r="A19555" i="1"/>
  <c r="D19555" i="1"/>
  <c r="A19556" i="1"/>
  <c r="D19556" i="1"/>
  <c r="A19557" i="1"/>
  <c r="D19557" i="1"/>
  <c r="A19558" i="1"/>
  <c r="D19558" i="1"/>
  <c r="A19559" i="1"/>
  <c r="D19559" i="1"/>
  <c r="A19560" i="1"/>
  <c r="D19560" i="1"/>
  <c r="A19561" i="1"/>
  <c r="D19561" i="1"/>
  <c r="A19562" i="1"/>
  <c r="D19562" i="1"/>
  <c r="A19563" i="1"/>
  <c r="D19563" i="1"/>
  <c r="A19564" i="1"/>
  <c r="D19564" i="1"/>
  <c r="A19565" i="1"/>
  <c r="D19565" i="1"/>
  <c r="A19566" i="1"/>
  <c r="D19566" i="1"/>
  <c r="A19567" i="1"/>
  <c r="D19567" i="1"/>
  <c r="A19568" i="1"/>
  <c r="D19568" i="1"/>
  <c r="A19569" i="1"/>
  <c r="D19569" i="1"/>
  <c r="A19570" i="1"/>
  <c r="D19570" i="1"/>
  <c r="A19571" i="1"/>
  <c r="D19571" i="1"/>
  <c r="A19572" i="1"/>
  <c r="D19572" i="1"/>
  <c r="A19573" i="1"/>
  <c r="D19573" i="1"/>
  <c r="A19574" i="1"/>
  <c r="D19574" i="1"/>
  <c r="A19575" i="1"/>
  <c r="D19575" i="1"/>
  <c r="A19576" i="1"/>
  <c r="D19576" i="1"/>
  <c r="A19577" i="1"/>
  <c r="D19577" i="1"/>
  <c r="A19578" i="1"/>
  <c r="D19578" i="1"/>
  <c r="A19579" i="1"/>
  <c r="D19579" i="1"/>
  <c r="A19580" i="1"/>
  <c r="D19580" i="1"/>
  <c r="A19581" i="1"/>
  <c r="D19581" i="1"/>
  <c r="A19582" i="1"/>
  <c r="D19582" i="1"/>
  <c r="A19583" i="1"/>
  <c r="D19583" i="1"/>
  <c r="A19584" i="1"/>
  <c r="D19584" i="1"/>
  <c r="A19585" i="1"/>
  <c r="D19585" i="1"/>
  <c r="A19586" i="1"/>
  <c r="D19586" i="1"/>
  <c r="A19587" i="1"/>
  <c r="D19587" i="1"/>
  <c r="A19588" i="1"/>
  <c r="D19588" i="1"/>
  <c r="A19589" i="1"/>
  <c r="D19589" i="1"/>
  <c r="A19590" i="1"/>
  <c r="D19590" i="1"/>
  <c r="A19591" i="1"/>
  <c r="D19591" i="1"/>
  <c r="A19592" i="1"/>
  <c r="D19592" i="1"/>
  <c r="A19593" i="1"/>
  <c r="D19593" i="1"/>
  <c r="A19594" i="1"/>
  <c r="D19594" i="1"/>
  <c r="A19595" i="1"/>
  <c r="D19595" i="1"/>
  <c r="A19596" i="1"/>
  <c r="D19596" i="1"/>
  <c r="A19597" i="1"/>
  <c r="D19597" i="1"/>
  <c r="A19598" i="1"/>
  <c r="D19598" i="1"/>
  <c r="A19599" i="1"/>
  <c r="D19599" i="1"/>
  <c r="A19600" i="1"/>
  <c r="D19600" i="1"/>
  <c r="A19601" i="1"/>
  <c r="D19601" i="1"/>
  <c r="A19602" i="1"/>
  <c r="D19602" i="1"/>
  <c r="A19603" i="1"/>
  <c r="D19603" i="1"/>
  <c r="A19604" i="1"/>
  <c r="D19604" i="1"/>
  <c r="A19605" i="1"/>
  <c r="D19605" i="1"/>
  <c r="A19606" i="1"/>
  <c r="D19606" i="1"/>
  <c r="A19607" i="1"/>
  <c r="D19607" i="1"/>
  <c r="A19608" i="1"/>
  <c r="D19608" i="1"/>
  <c r="A19609" i="1"/>
  <c r="D19609" i="1"/>
  <c r="A19610" i="1"/>
  <c r="D19610" i="1"/>
  <c r="A19611" i="1"/>
  <c r="D19611" i="1"/>
  <c r="A19612" i="1"/>
  <c r="D19612" i="1"/>
  <c r="A19613" i="1"/>
  <c r="D19613" i="1"/>
  <c r="A19614" i="1"/>
  <c r="D19614" i="1"/>
  <c r="A19615" i="1"/>
  <c r="D19615" i="1"/>
  <c r="A19616" i="1"/>
  <c r="D19616" i="1"/>
  <c r="A19617" i="1"/>
  <c r="D19617" i="1"/>
  <c r="A19618" i="1"/>
  <c r="D19618" i="1"/>
  <c r="A19619" i="1"/>
  <c r="D19619" i="1"/>
  <c r="A19620" i="1"/>
  <c r="D19620" i="1"/>
  <c r="A19621" i="1"/>
  <c r="D19621" i="1"/>
  <c r="A19622" i="1"/>
  <c r="D19622" i="1"/>
  <c r="A19623" i="1"/>
  <c r="D19623" i="1"/>
  <c r="A19624" i="1"/>
  <c r="D19624" i="1"/>
  <c r="A19625" i="1"/>
  <c r="D19625" i="1"/>
  <c r="A19626" i="1"/>
  <c r="D19626" i="1"/>
  <c r="A19627" i="1"/>
  <c r="D19627" i="1"/>
  <c r="A19628" i="1"/>
  <c r="D19628" i="1"/>
  <c r="A19629" i="1"/>
  <c r="D19629" i="1"/>
  <c r="A19630" i="1"/>
  <c r="D19630" i="1"/>
  <c r="A19631" i="1"/>
  <c r="D19631" i="1"/>
  <c r="A19632" i="1"/>
  <c r="D19632" i="1"/>
  <c r="A19633" i="1"/>
  <c r="D19633" i="1"/>
  <c r="A19634" i="1"/>
  <c r="D19634" i="1"/>
  <c r="A19635" i="1"/>
  <c r="D19635" i="1"/>
  <c r="A19636" i="1"/>
  <c r="D19636" i="1"/>
  <c r="A19637" i="1"/>
  <c r="D19637" i="1"/>
  <c r="A19638" i="1"/>
  <c r="D19638" i="1"/>
  <c r="A19639" i="1"/>
  <c r="D19639" i="1"/>
  <c r="A19640" i="1"/>
  <c r="D19640" i="1"/>
  <c r="A19641" i="1"/>
  <c r="D19641" i="1"/>
  <c r="A19642" i="1"/>
  <c r="D19642" i="1"/>
  <c r="A19643" i="1"/>
  <c r="D19643" i="1"/>
  <c r="A19644" i="1"/>
  <c r="D19644" i="1"/>
  <c r="A19645" i="1"/>
  <c r="D19645" i="1"/>
  <c r="A19646" i="1"/>
  <c r="D19646" i="1"/>
  <c r="A19647" i="1"/>
  <c r="D19647" i="1"/>
  <c r="A19648" i="1"/>
  <c r="D19648" i="1"/>
  <c r="A19649" i="1"/>
  <c r="D19649" i="1"/>
  <c r="A19650" i="1"/>
  <c r="D19650" i="1"/>
  <c r="A19651" i="1"/>
  <c r="D19651" i="1"/>
  <c r="A19652" i="1"/>
  <c r="D19652" i="1"/>
  <c r="A19653" i="1"/>
  <c r="D19653" i="1"/>
  <c r="A19654" i="1"/>
  <c r="D19654" i="1"/>
  <c r="A19655" i="1"/>
  <c r="D19655" i="1"/>
  <c r="A19656" i="1"/>
  <c r="D19656" i="1"/>
  <c r="A19657" i="1"/>
  <c r="D19657" i="1"/>
  <c r="A19658" i="1"/>
  <c r="D19658" i="1"/>
  <c r="A19659" i="1"/>
  <c r="D19659" i="1"/>
  <c r="A19660" i="1"/>
  <c r="D19660" i="1"/>
  <c r="A19661" i="1"/>
  <c r="D19661" i="1"/>
  <c r="A19662" i="1"/>
  <c r="D19662" i="1"/>
  <c r="A19663" i="1"/>
  <c r="D19663" i="1"/>
  <c r="A19664" i="1"/>
  <c r="D19664" i="1"/>
  <c r="A19665" i="1"/>
  <c r="D19665" i="1"/>
  <c r="A19666" i="1"/>
  <c r="D19666" i="1"/>
  <c r="A19667" i="1"/>
  <c r="D19667" i="1"/>
  <c r="A19668"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A20219"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 r="D20509" i="1"/>
  <c r="D20510" i="1"/>
  <c r="D20511" i="1"/>
  <c r="D20512" i="1"/>
  <c r="D20513" i="1"/>
  <c r="D20514" i="1"/>
  <c r="D20515" i="1"/>
  <c r="D20516" i="1"/>
  <c r="D20517" i="1"/>
  <c r="D20518" i="1"/>
  <c r="D20519" i="1"/>
  <c r="D20520" i="1"/>
  <c r="D20521" i="1"/>
  <c r="D20522" i="1"/>
  <c r="D20523" i="1"/>
  <c r="D20524" i="1"/>
  <c r="D20525" i="1"/>
  <c r="D20526" i="1"/>
  <c r="D20527" i="1"/>
  <c r="D20528" i="1"/>
  <c r="D20529" i="1"/>
  <c r="D20530" i="1"/>
  <c r="D20531" i="1"/>
  <c r="D20532" i="1"/>
  <c r="D20533" i="1"/>
  <c r="D20534" i="1"/>
  <c r="D20535" i="1"/>
  <c r="D20536" i="1"/>
  <c r="D20537" i="1"/>
  <c r="D20538" i="1"/>
  <c r="D20539" i="1"/>
  <c r="D20540" i="1"/>
  <c r="D20541" i="1"/>
  <c r="D20542" i="1"/>
  <c r="D20543" i="1"/>
  <c r="D20544" i="1"/>
  <c r="D20545" i="1"/>
  <c r="D20546" i="1"/>
  <c r="D20547" i="1"/>
  <c r="D20548" i="1"/>
  <c r="D20549" i="1"/>
  <c r="D20550" i="1"/>
  <c r="D20551" i="1"/>
  <c r="D20552" i="1"/>
  <c r="D20553" i="1"/>
  <c r="D20554" i="1"/>
  <c r="D20555" i="1"/>
  <c r="D20556" i="1"/>
  <c r="D20557" i="1"/>
  <c r="D20558" i="1"/>
  <c r="D20559" i="1"/>
  <c r="D20560" i="1"/>
  <c r="D20561" i="1"/>
  <c r="D20562" i="1"/>
  <c r="D20563" i="1"/>
  <c r="D20564" i="1"/>
  <c r="D20565" i="1"/>
  <c r="D20566" i="1"/>
  <c r="D20567" i="1"/>
  <c r="D20568" i="1"/>
  <c r="D20569" i="1"/>
  <c r="D20570" i="1"/>
  <c r="D20571" i="1"/>
  <c r="D20572" i="1"/>
  <c r="D20573" i="1"/>
  <c r="D20574" i="1"/>
  <c r="D20575" i="1"/>
  <c r="D20576" i="1"/>
  <c r="D20577" i="1"/>
  <c r="D20578" i="1"/>
  <c r="D20579" i="1"/>
  <c r="D20580" i="1"/>
  <c r="D20581" i="1"/>
  <c r="D20582" i="1"/>
  <c r="D20583" i="1"/>
  <c r="D20584" i="1"/>
  <c r="D20585" i="1"/>
  <c r="D20586" i="1"/>
  <c r="D20587" i="1"/>
  <c r="D20588" i="1"/>
  <c r="D20589" i="1"/>
  <c r="D20590" i="1"/>
  <c r="D20591" i="1"/>
  <c r="D20592" i="1"/>
  <c r="D20593" i="1"/>
  <c r="D20594" i="1"/>
  <c r="D20595" i="1"/>
  <c r="D20596" i="1"/>
  <c r="D20597" i="1"/>
  <c r="D20598" i="1"/>
  <c r="D20599" i="1"/>
  <c r="D20600" i="1"/>
  <c r="D20601" i="1"/>
  <c r="D20602" i="1"/>
  <c r="D20603" i="1"/>
  <c r="D20604" i="1"/>
  <c r="D20605" i="1"/>
  <c r="D20606" i="1"/>
  <c r="D20607" i="1"/>
  <c r="D20608" i="1"/>
  <c r="D20609" i="1"/>
  <c r="D20610" i="1"/>
  <c r="D20611" i="1"/>
  <c r="D20612" i="1"/>
  <c r="D20613" i="1"/>
  <c r="D20614" i="1"/>
  <c r="D20615" i="1"/>
  <c r="D20616" i="1"/>
  <c r="D20617" i="1"/>
  <c r="D20618" i="1"/>
  <c r="D20619" i="1"/>
  <c r="D20620" i="1"/>
  <c r="D20621" i="1"/>
  <c r="D20622" i="1"/>
  <c r="D20623" i="1"/>
  <c r="D20624" i="1"/>
  <c r="D20625" i="1"/>
  <c r="D20626" i="1"/>
  <c r="D20627" i="1"/>
  <c r="D20628" i="1"/>
  <c r="D20629" i="1"/>
  <c r="D20630" i="1"/>
  <c r="D20631" i="1"/>
  <c r="D20632" i="1"/>
  <c r="D20633" i="1"/>
  <c r="D20634" i="1"/>
  <c r="D20635" i="1"/>
  <c r="D20636" i="1"/>
  <c r="D20637" i="1"/>
  <c r="D20638" i="1"/>
  <c r="D20639" i="1"/>
  <c r="D20640" i="1"/>
  <c r="D20641" i="1"/>
  <c r="D20642" i="1"/>
  <c r="D20643" i="1"/>
  <c r="D20644" i="1"/>
  <c r="D20645" i="1"/>
  <c r="D20646" i="1"/>
  <c r="D20647" i="1"/>
  <c r="D20648" i="1"/>
  <c r="D20649" i="1"/>
  <c r="D20650" i="1"/>
  <c r="D20651" i="1"/>
  <c r="D20652" i="1"/>
  <c r="D20653" i="1"/>
  <c r="D20654" i="1"/>
  <c r="D20655" i="1"/>
  <c r="D20656" i="1"/>
  <c r="D20657" i="1"/>
  <c r="D20658" i="1"/>
  <c r="D20659" i="1"/>
  <c r="D20660" i="1"/>
  <c r="D20661" i="1"/>
  <c r="D20662" i="1"/>
  <c r="D20663" i="1"/>
  <c r="D20664" i="1"/>
  <c r="D20665" i="1"/>
  <c r="D20666" i="1"/>
  <c r="D20667" i="1"/>
  <c r="D20668" i="1"/>
  <c r="D20669" i="1"/>
  <c r="D20670" i="1"/>
  <c r="D20671" i="1"/>
  <c r="D20672" i="1"/>
  <c r="D20673" i="1"/>
  <c r="D20674" i="1"/>
  <c r="D20675" i="1"/>
  <c r="D20676" i="1"/>
  <c r="D20677" i="1"/>
  <c r="D20678" i="1"/>
  <c r="D20679" i="1"/>
  <c r="D20680" i="1"/>
  <c r="D20681" i="1"/>
  <c r="D20682" i="1"/>
  <c r="D20683" i="1"/>
  <c r="D20684" i="1"/>
  <c r="D20685" i="1"/>
  <c r="D20686" i="1"/>
  <c r="D20687" i="1"/>
  <c r="D20688" i="1"/>
  <c r="D20689" i="1"/>
  <c r="D20690" i="1"/>
  <c r="D20691" i="1"/>
  <c r="D20692" i="1"/>
  <c r="D20693" i="1"/>
  <c r="D20694" i="1"/>
  <c r="D20695" i="1"/>
  <c r="D20696" i="1"/>
  <c r="D20697" i="1"/>
  <c r="D20698" i="1"/>
  <c r="D20699" i="1"/>
  <c r="D20700" i="1"/>
  <c r="D20701" i="1"/>
  <c r="D20702" i="1"/>
  <c r="D20703" i="1"/>
  <c r="D20704" i="1"/>
  <c r="D20705" i="1"/>
  <c r="D20706" i="1"/>
  <c r="D20707" i="1"/>
  <c r="D20708" i="1"/>
  <c r="D20709" i="1"/>
  <c r="D20710" i="1"/>
  <c r="D20711" i="1"/>
  <c r="D20712" i="1"/>
  <c r="D20713" i="1"/>
  <c r="D20714" i="1"/>
  <c r="D20715" i="1"/>
  <c r="D20716" i="1"/>
  <c r="D20717" i="1"/>
  <c r="D20718" i="1"/>
  <c r="D20719" i="1"/>
  <c r="D20720" i="1"/>
  <c r="D20721" i="1"/>
  <c r="D20722" i="1"/>
  <c r="D20723" i="1"/>
  <c r="D20724" i="1"/>
  <c r="D20725" i="1"/>
  <c r="D20726" i="1"/>
  <c r="D20727" i="1"/>
  <c r="D20728" i="1"/>
  <c r="D20729" i="1"/>
  <c r="D20730" i="1"/>
  <c r="D20731" i="1"/>
  <c r="D20732" i="1"/>
  <c r="D20733" i="1"/>
  <c r="D20734" i="1"/>
  <c r="D20735" i="1"/>
  <c r="D20736" i="1"/>
  <c r="D20737" i="1"/>
  <c r="D20738" i="1"/>
  <c r="D20739" i="1"/>
  <c r="D20740" i="1"/>
  <c r="D20741" i="1"/>
  <c r="D20742" i="1"/>
  <c r="D20743" i="1"/>
  <c r="D20744" i="1"/>
  <c r="D20745" i="1"/>
  <c r="D20746" i="1"/>
  <c r="D20747" i="1"/>
  <c r="D20748" i="1"/>
  <c r="D20749" i="1"/>
  <c r="D20750" i="1"/>
  <c r="D20751" i="1"/>
  <c r="D20752" i="1"/>
  <c r="D20753" i="1"/>
  <c r="D20754" i="1"/>
  <c r="D20755" i="1"/>
  <c r="D20756" i="1"/>
  <c r="D20757" i="1"/>
  <c r="D20758" i="1"/>
  <c r="D20759" i="1"/>
  <c r="D20760" i="1"/>
  <c r="D20761" i="1"/>
  <c r="D20762" i="1"/>
  <c r="D20763" i="1"/>
  <c r="D20764" i="1"/>
  <c r="D20765" i="1"/>
  <c r="D20766" i="1"/>
  <c r="D20767" i="1"/>
  <c r="D20768" i="1"/>
  <c r="D20769" i="1"/>
  <c r="D20770" i="1"/>
  <c r="D20771" i="1"/>
  <c r="D20772" i="1"/>
  <c r="D20773" i="1"/>
  <c r="D20774" i="1"/>
  <c r="D20775" i="1"/>
  <c r="D20776" i="1"/>
  <c r="D20777" i="1"/>
  <c r="D20778" i="1"/>
  <c r="D20779" i="1"/>
  <c r="D20780" i="1"/>
  <c r="D20781" i="1"/>
  <c r="D20782" i="1"/>
  <c r="D20783" i="1"/>
  <c r="D20784" i="1"/>
  <c r="D20785" i="1"/>
  <c r="D20786" i="1"/>
  <c r="D20787" i="1"/>
  <c r="D20788" i="1"/>
  <c r="D20789" i="1"/>
  <c r="D20790" i="1"/>
  <c r="D20791" i="1"/>
  <c r="D20792" i="1"/>
  <c r="D20793" i="1"/>
  <c r="D20794" i="1"/>
  <c r="D20795" i="1"/>
  <c r="D20796" i="1"/>
  <c r="D20797" i="1"/>
  <c r="D20798" i="1"/>
  <c r="D20799" i="1"/>
  <c r="D20800" i="1"/>
  <c r="D20801" i="1"/>
  <c r="D20802" i="1"/>
  <c r="D20803" i="1"/>
  <c r="D20804" i="1"/>
  <c r="D20805" i="1"/>
  <c r="D20806" i="1"/>
  <c r="D20807" i="1"/>
  <c r="D20808" i="1"/>
  <c r="D20809" i="1"/>
  <c r="D20810" i="1"/>
  <c r="D20811" i="1"/>
  <c r="D20812" i="1"/>
  <c r="D20813" i="1"/>
  <c r="D20814" i="1"/>
  <c r="D20815" i="1"/>
  <c r="D20816" i="1"/>
  <c r="D20817" i="1"/>
  <c r="D20818" i="1"/>
  <c r="D20819" i="1"/>
  <c r="D20820" i="1"/>
  <c r="D20821" i="1"/>
  <c r="D20822" i="1"/>
  <c r="D20823" i="1"/>
  <c r="D20824" i="1"/>
  <c r="D20825" i="1"/>
  <c r="D20826" i="1"/>
  <c r="D20827" i="1"/>
  <c r="D20828" i="1"/>
  <c r="D20829" i="1"/>
  <c r="D20830" i="1"/>
  <c r="D20831" i="1"/>
  <c r="D20832" i="1"/>
  <c r="D20833" i="1"/>
  <c r="D20834" i="1"/>
  <c r="D20835" i="1"/>
  <c r="D20836" i="1"/>
  <c r="D20837" i="1"/>
  <c r="D20838" i="1"/>
  <c r="D20839" i="1"/>
  <c r="D20840" i="1"/>
  <c r="D20841" i="1"/>
  <c r="D20842" i="1"/>
  <c r="D20843" i="1"/>
  <c r="D20844" i="1"/>
  <c r="D20845" i="1"/>
  <c r="D20846" i="1"/>
  <c r="D20847" i="1"/>
  <c r="D20848" i="1"/>
  <c r="D20849" i="1"/>
  <c r="D20850" i="1"/>
  <c r="D20851" i="1"/>
  <c r="D20852" i="1"/>
  <c r="D20853" i="1"/>
  <c r="D20854" i="1"/>
  <c r="D20855" i="1"/>
  <c r="D20856" i="1"/>
  <c r="D20857" i="1"/>
  <c r="D20858" i="1"/>
  <c r="D20859" i="1"/>
  <c r="D20860" i="1"/>
  <c r="D20861" i="1"/>
  <c r="D20862" i="1"/>
  <c r="D20863" i="1"/>
  <c r="D20864" i="1"/>
  <c r="D20865" i="1"/>
  <c r="D20866" i="1"/>
  <c r="D20867" i="1"/>
  <c r="D20868" i="1"/>
  <c r="D20869" i="1"/>
  <c r="D20870" i="1"/>
  <c r="D20871" i="1"/>
  <c r="D20872" i="1"/>
  <c r="D20873" i="1"/>
  <c r="D20874" i="1"/>
  <c r="D20875" i="1"/>
  <c r="D20876" i="1"/>
  <c r="D20877" i="1"/>
  <c r="D20878" i="1"/>
  <c r="D20879" i="1"/>
  <c r="D20880" i="1"/>
  <c r="D20881" i="1"/>
  <c r="D20882" i="1"/>
  <c r="D20883" i="1"/>
  <c r="D20884" i="1"/>
  <c r="D20885" i="1"/>
  <c r="D20886" i="1"/>
  <c r="D20887" i="1"/>
  <c r="D20888" i="1"/>
  <c r="D20889" i="1"/>
  <c r="D20890" i="1"/>
  <c r="D20891" i="1"/>
  <c r="D20892" i="1"/>
  <c r="D20893" i="1"/>
  <c r="D20894" i="1"/>
  <c r="D20895" i="1"/>
  <c r="D20896" i="1"/>
  <c r="D20897" i="1"/>
  <c r="D20898" i="1"/>
  <c r="D20899" i="1"/>
  <c r="D20900" i="1"/>
  <c r="D20901" i="1"/>
  <c r="D20902" i="1"/>
  <c r="D20903" i="1"/>
  <c r="D20904" i="1"/>
  <c r="D20905" i="1"/>
  <c r="D20906" i="1"/>
  <c r="D20907" i="1"/>
  <c r="D20908" i="1"/>
  <c r="D20909" i="1"/>
  <c r="D20910" i="1"/>
  <c r="D20911" i="1"/>
  <c r="D20912" i="1"/>
  <c r="D20913" i="1"/>
  <c r="D20914" i="1"/>
  <c r="D20915" i="1"/>
  <c r="D20916" i="1"/>
  <c r="D20917" i="1"/>
  <c r="D20918" i="1"/>
  <c r="D20919" i="1"/>
  <c r="D20920" i="1"/>
  <c r="D20921" i="1"/>
  <c r="D20922" i="1"/>
  <c r="D20923" i="1"/>
  <c r="D20924" i="1"/>
  <c r="D20925" i="1"/>
  <c r="D20926" i="1"/>
  <c r="D20927" i="1"/>
  <c r="D20928" i="1"/>
  <c r="D20929" i="1"/>
  <c r="D20930" i="1"/>
  <c r="D20931" i="1"/>
  <c r="D20932" i="1"/>
  <c r="D20933" i="1"/>
  <c r="D20934" i="1"/>
  <c r="D20935" i="1"/>
  <c r="D20936" i="1"/>
  <c r="D20937" i="1"/>
  <c r="D20938" i="1"/>
  <c r="D20939" i="1"/>
  <c r="D20940" i="1"/>
  <c r="D20941" i="1"/>
  <c r="D20942" i="1"/>
  <c r="D20943" i="1"/>
  <c r="D20944" i="1"/>
  <c r="D20945" i="1"/>
  <c r="D20946" i="1"/>
  <c r="D20947" i="1"/>
  <c r="D20948" i="1"/>
  <c r="D20949" i="1"/>
  <c r="D20950" i="1"/>
  <c r="D20951" i="1"/>
  <c r="D20952" i="1"/>
  <c r="D20953" i="1"/>
  <c r="D20954" i="1"/>
  <c r="D20955" i="1"/>
  <c r="D20956" i="1"/>
  <c r="D20957" i="1"/>
  <c r="D20958" i="1"/>
  <c r="D20959" i="1"/>
  <c r="D20960" i="1"/>
  <c r="D20961" i="1"/>
  <c r="D20962" i="1"/>
  <c r="D20963" i="1"/>
  <c r="D20964" i="1"/>
  <c r="D20965" i="1"/>
  <c r="D20966" i="1"/>
  <c r="D20967" i="1"/>
  <c r="D20968" i="1"/>
  <c r="D20969" i="1"/>
  <c r="D20970" i="1"/>
  <c r="D20971" i="1"/>
  <c r="D20972" i="1"/>
  <c r="D20973" i="1"/>
  <c r="D20974" i="1"/>
  <c r="D20975" i="1"/>
  <c r="D20976" i="1"/>
  <c r="D20977" i="1"/>
  <c r="D20978" i="1"/>
  <c r="D20979" i="1"/>
  <c r="D20980" i="1"/>
  <c r="D20981" i="1"/>
  <c r="D20982" i="1"/>
  <c r="D20983" i="1"/>
  <c r="D20984" i="1"/>
  <c r="D20985" i="1"/>
  <c r="D20986" i="1"/>
  <c r="D20987" i="1"/>
  <c r="D20988" i="1"/>
  <c r="D20989" i="1"/>
  <c r="D20990" i="1"/>
  <c r="D20991" i="1"/>
  <c r="D20992" i="1"/>
  <c r="D20993" i="1"/>
  <c r="D20994" i="1"/>
  <c r="D20995" i="1"/>
  <c r="D20996" i="1"/>
  <c r="D20997" i="1"/>
  <c r="D20998" i="1"/>
  <c r="D20999" i="1"/>
  <c r="D21000" i="1"/>
  <c r="D21001" i="1"/>
  <c r="D21002" i="1"/>
  <c r="D21003" i="1"/>
  <c r="D21004" i="1"/>
  <c r="D21005" i="1"/>
  <c r="D21006" i="1"/>
  <c r="D21007" i="1"/>
  <c r="D21008" i="1"/>
  <c r="D21009" i="1"/>
  <c r="D21010" i="1"/>
  <c r="D21011" i="1"/>
  <c r="D21012" i="1"/>
  <c r="D21013" i="1"/>
  <c r="D21014" i="1"/>
  <c r="D21015" i="1"/>
  <c r="D21016" i="1"/>
  <c r="D21017" i="1"/>
  <c r="D21018" i="1"/>
  <c r="D21019" i="1"/>
  <c r="D21020" i="1"/>
  <c r="D21021" i="1"/>
  <c r="D21022" i="1"/>
  <c r="D21023" i="1"/>
  <c r="D21024" i="1"/>
  <c r="D21025" i="1"/>
  <c r="D21026" i="1"/>
  <c r="D21027" i="1"/>
  <c r="D21028" i="1"/>
  <c r="D21029" i="1"/>
  <c r="D21030" i="1"/>
  <c r="D21031" i="1"/>
  <c r="D21032" i="1"/>
  <c r="D21033" i="1"/>
  <c r="D21034" i="1"/>
  <c r="D21035" i="1"/>
  <c r="D21036" i="1"/>
  <c r="D21037" i="1"/>
  <c r="D21038" i="1"/>
  <c r="D21039" i="1"/>
  <c r="D21040" i="1"/>
  <c r="D21041" i="1"/>
  <c r="D21042" i="1"/>
  <c r="D21043" i="1"/>
  <c r="D21044" i="1"/>
  <c r="D21045" i="1"/>
  <c r="D21046" i="1"/>
  <c r="D21047" i="1"/>
  <c r="D21048" i="1"/>
  <c r="D21049" i="1"/>
  <c r="D21050" i="1"/>
  <c r="D21051" i="1"/>
  <c r="D21052" i="1"/>
  <c r="D21053" i="1"/>
  <c r="D21054" i="1"/>
  <c r="D21055" i="1"/>
  <c r="D21056" i="1"/>
  <c r="D21057" i="1"/>
  <c r="D21058" i="1"/>
  <c r="D21059" i="1"/>
  <c r="D21060" i="1"/>
  <c r="D21061" i="1"/>
  <c r="D21062" i="1"/>
  <c r="D21063" i="1"/>
  <c r="D21064" i="1"/>
  <c r="D21065" i="1"/>
  <c r="D21066" i="1"/>
  <c r="D21067" i="1"/>
  <c r="D21068" i="1"/>
  <c r="D21069" i="1"/>
  <c r="D21070" i="1"/>
  <c r="D21071" i="1"/>
  <c r="D21072" i="1"/>
  <c r="D21073" i="1"/>
  <c r="D21074" i="1"/>
  <c r="D21075" i="1"/>
  <c r="D21076" i="1"/>
  <c r="D21077" i="1"/>
  <c r="D21078" i="1"/>
  <c r="D21079" i="1"/>
  <c r="D21080" i="1"/>
  <c r="D21081" i="1"/>
  <c r="D21082" i="1"/>
  <c r="D21083" i="1"/>
  <c r="D21084" i="1"/>
  <c r="D21085" i="1"/>
  <c r="D21086" i="1"/>
  <c r="D21087" i="1"/>
  <c r="D21088" i="1"/>
  <c r="D21089" i="1"/>
  <c r="D21090" i="1"/>
  <c r="D21091" i="1"/>
  <c r="D21092" i="1"/>
  <c r="D21093" i="1"/>
  <c r="D21094" i="1"/>
  <c r="D21095" i="1"/>
  <c r="D21096" i="1"/>
  <c r="D21097" i="1"/>
  <c r="D21098" i="1"/>
  <c r="D21099" i="1"/>
  <c r="D21100" i="1"/>
  <c r="D21101" i="1"/>
  <c r="D21102" i="1"/>
  <c r="D21103" i="1"/>
  <c r="D21104" i="1"/>
  <c r="D21105" i="1"/>
  <c r="D21106" i="1"/>
  <c r="D21107" i="1"/>
  <c r="D21108" i="1"/>
  <c r="D21109" i="1"/>
  <c r="D21110" i="1"/>
  <c r="D21111" i="1"/>
  <c r="D21112" i="1"/>
  <c r="D21113" i="1"/>
  <c r="D21114" i="1"/>
  <c r="D21115" i="1"/>
  <c r="D21116" i="1"/>
  <c r="D21117" i="1"/>
  <c r="D21118" i="1"/>
  <c r="D21119" i="1"/>
  <c r="D21120" i="1"/>
  <c r="D21121" i="1"/>
  <c r="D21122" i="1"/>
  <c r="D21123" i="1"/>
  <c r="D21124" i="1"/>
  <c r="D21125" i="1"/>
  <c r="D21126" i="1"/>
  <c r="D21127" i="1"/>
  <c r="D21128" i="1"/>
  <c r="D21129" i="1"/>
  <c r="D21130" i="1"/>
  <c r="D21131" i="1"/>
  <c r="D21132" i="1"/>
  <c r="D21133" i="1"/>
  <c r="D21134" i="1"/>
  <c r="D21135" i="1"/>
  <c r="D21136" i="1"/>
  <c r="D21137" i="1"/>
  <c r="D21138" i="1"/>
  <c r="D21139" i="1"/>
  <c r="D21140" i="1"/>
  <c r="D21141" i="1"/>
  <c r="D21142" i="1"/>
  <c r="D21143" i="1"/>
  <c r="D21144" i="1"/>
  <c r="D21145" i="1"/>
  <c r="D21146" i="1"/>
  <c r="D21147" i="1"/>
  <c r="D21148" i="1"/>
  <c r="D21149" i="1"/>
  <c r="D21150" i="1"/>
  <c r="D21151" i="1"/>
  <c r="D21152" i="1"/>
  <c r="D21153" i="1"/>
  <c r="D21154" i="1"/>
  <c r="D21155" i="1"/>
  <c r="D21156" i="1"/>
  <c r="D21157" i="1"/>
  <c r="D21158" i="1"/>
  <c r="D21159" i="1"/>
  <c r="D21160" i="1"/>
  <c r="D21161" i="1"/>
  <c r="D21162" i="1"/>
  <c r="D21163" i="1"/>
  <c r="D21164" i="1"/>
  <c r="D21165" i="1"/>
  <c r="D21166" i="1"/>
  <c r="D21167" i="1"/>
  <c r="D21168" i="1"/>
  <c r="D21169" i="1"/>
  <c r="D21170" i="1"/>
  <c r="D21171" i="1"/>
  <c r="D21172" i="1"/>
  <c r="D21173" i="1"/>
  <c r="D21174" i="1"/>
  <c r="D21175" i="1"/>
  <c r="D21176" i="1"/>
  <c r="D21177" i="1"/>
  <c r="D21178" i="1"/>
  <c r="D21179" i="1"/>
  <c r="D21180" i="1"/>
  <c r="D21181" i="1"/>
  <c r="D21182" i="1"/>
  <c r="D21183" i="1"/>
  <c r="D21184" i="1"/>
  <c r="D21185" i="1"/>
  <c r="D21186" i="1"/>
  <c r="D21187" i="1"/>
  <c r="D21188" i="1"/>
  <c r="D21189" i="1"/>
  <c r="D21190" i="1"/>
  <c r="D21191" i="1"/>
  <c r="D21192" i="1"/>
  <c r="D21193" i="1"/>
  <c r="D21194" i="1"/>
  <c r="D21195" i="1"/>
  <c r="D21196" i="1"/>
  <c r="D21197" i="1"/>
  <c r="D21198" i="1"/>
  <c r="D21199" i="1"/>
  <c r="D21200" i="1"/>
  <c r="D21201" i="1"/>
  <c r="D21202" i="1"/>
  <c r="D21203" i="1"/>
  <c r="D21204" i="1"/>
  <c r="D21205" i="1"/>
  <c r="D21206" i="1"/>
  <c r="D21207" i="1"/>
  <c r="D21208" i="1"/>
  <c r="D21209" i="1"/>
  <c r="D21210" i="1"/>
  <c r="D21211" i="1"/>
  <c r="D21212" i="1"/>
  <c r="D21213" i="1"/>
  <c r="D21214" i="1"/>
  <c r="D21215" i="1"/>
  <c r="D21216" i="1"/>
  <c r="D21217" i="1"/>
  <c r="D21218" i="1"/>
  <c r="D21219" i="1"/>
  <c r="D21220" i="1"/>
  <c r="D21221" i="1"/>
  <c r="D21222" i="1"/>
  <c r="D21223" i="1"/>
  <c r="D21224" i="1"/>
  <c r="D21225" i="1"/>
  <c r="D21226" i="1"/>
  <c r="D21227" i="1"/>
  <c r="D21228" i="1"/>
  <c r="D21229" i="1"/>
  <c r="D21230" i="1"/>
  <c r="D21231" i="1"/>
  <c r="D21232" i="1"/>
  <c r="D21233" i="1"/>
  <c r="D21234" i="1"/>
  <c r="D21235" i="1"/>
  <c r="D21236" i="1"/>
  <c r="D21237" i="1"/>
  <c r="D21238" i="1"/>
  <c r="D21239" i="1"/>
  <c r="D21240" i="1"/>
  <c r="D21241" i="1"/>
  <c r="D21242" i="1"/>
  <c r="D21243" i="1"/>
  <c r="D21244" i="1"/>
  <c r="D21245" i="1"/>
  <c r="D21246" i="1"/>
  <c r="D21247" i="1"/>
  <c r="D21248" i="1"/>
  <c r="D21249" i="1"/>
  <c r="D21250" i="1"/>
  <c r="D21251" i="1"/>
  <c r="D21252" i="1"/>
  <c r="D21253" i="1"/>
  <c r="D21254" i="1"/>
  <c r="D21255" i="1"/>
  <c r="D21256" i="1"/>
  <c r="D21257" i="1"/>
  <c r="D21258" i="1"/>
  <c r="D21259" i="1"/>
  <c r="D21260" i="1"/>
  <c r="D21261" i="1"/>
  <c r="D21262" i="1"/>
  <c r="D21263" i="1"/>
  <c r="D21264" i="1"/>
  <c r="D21265" i="1"/>
  <c r="D21266" i="1"/>
  <c r="D21267" i="1"/>
  <c r="D21268" i="1"/>
  <c r="D21269" i="1"/>
  <c r="D21270" i="1"/>
  <c r="D21271" i="1"/>
  <c r="D21272" i="1"/>
  <c r="D21273" i="1"/>
  <c r="D21274" i="1"/>
  <c r="D21275" i="1"/>
  <c r="D21276" i="1"/>
  <c r="D21277" i="1"/>
  <c r="D21278" i="1"/>
  <c r="D21279" i="1"/>
  <c r="D21280" i="1"/>
  <c r="D21281" i="1"/>
  <c r="D21282" i="1"/>
  <c r="D21283" i="1"/>
  <c r="D21284" i="1"/>
  <c r="D21285" i="1"/>
  <c r="D21286" i="1"/>
  <c r="D21287" i="1"/>
  <c r="D21288" i="1"/>
  <c r="D21289" i="1"/>
  <c r="D21290" i="1"/>
  <c r="D21291" i="1"/>
  <c r="D21292" i="1"/>
  <c r="D21293" i="1"/>
  <c r="D21294" i="1"/>
  <c r="D21295" i="1"/>
  <c r="D21296" i="1"/>
  <c r="D21297" i="1"/>
  <c r="D21298" i="1"/>
  <c r="D21299" i="1"/>
  <c r="D21300" i="1"/>
  <c r="D21301" i="1"/>
  <c r="D21302" i="1"/>
  <c r="D21303" i="1"/>
  <c r="D21304" i="1"/>
  <c r="D21305" i="1"/>
  <c r="D21306" i="1"/>
  <c r="D21307" i="1"/>
  <c r="D21308" i="1"/>
  <c r="D21309" i="1"/>
  <c r="D21310" i="1"/>
  <c r="D21311" i="1"/>
  <c r="D21312" i="1"/>
  <c r="D21313" i="1"/>
  <c r="D21314" i="1"/>
  <c r="D21315" i="1"/>
  <c r="D21316" i="1"/>
  <c r="D21317" i="1"/>
  <c r="D21318" i="1"/>
  <c r="D21319" i="1"/>
  <c r="D21320" i="1"/>
  <c r="D21321" i="1"/>
  <c r="D21322" i="1"/>
  <c r="D21323" i="1"/>
  <c r="D21324" i="1"/>
  <c r="D21325" i="1"/>
  <c r="D21326" i="1"/>
  <c r="D21327" i="1"/>
  <c r="D21328" i="1"/>
  <c r="D21329" i="1"/>
  <c r="D21330" i="1"/>
  <c r="D21331" i="1"/>
  <c r="D21332" i="1"/>
  <c r="D21333" i="1"/>
  <c r="D21334" i="1"/>
  <c r="D21335" i="1"/>
  <c r="D21336" i="1"/>
  <c r="D21337" i="1"/>
  <c r="D21338" i="1"/>
  <c r="D21339" i="1"/>
  <c r="D21340" i="1"/>
  <c r="D21341" i="1"/>
  <c r="D21342" i="1"/>
  <c r="D21343" i="1"/>
  <c r="D21344" i="1"/>
  <c r="D21345" i="1"/>
  <c r="D21346" i="1"/>
  <c r="D21347" i="1"/>
  <c r="D21348" i="1"/>
  <c r="D21349" i="1"/>
  <c r="D21350" i="1"/>
  <c r="D21351" i="1"/>
  <c r="D21352" i="1"/>
  <c r="D21353" i="1"/>
  <c r="D21354" i="1"/>
  <c r="D21355" i="1"/>
  <c r="D21356" i="1"/>
  <c r="D21357" i="1"/>
  <c r="D21358" i="1"/>
  <c r="D21359" i="1"/>
  <c r="D21360" i="1"/>
  <c r="D21361" i="1"/>
  <c r="D21362" i="1"/>
  <c r="D21363" i="1"/>
  <c r="D21364" i="1"/>
  <c r="D21365" i="1"/>
  <c r="D21366" i="1"/>
  <c r="D21367" i="1"/>
  <c r="D21368" i="1"/>
  <c r="D21369" i="1"/>
  <c r="D21370" i="1"/>
  <c r="D21371" i="1"/>
  <c r="D21372" i="1"/>
  <c r="D21373" i="1"/>
  <c r="D21374" i="1"/>
  <c r="D21375" i="1"/>
  <c r="D21376" i="1"/>
  <c r="D21377" i="1"/>
  <c r="D21378" i="1"/>
  <c r="D21379" i="1"/>
  <c r="D21380" i="1"/>
  <c r="D21381" i="1"/>
  <c r="D21382" i="1"/>
  <c r="D21383" i="1"/>
  <c r="D21384" i="1"/>
  <c r="D21385" i="1"/>
  <c r="D21386" i="1"/>
  <c r="D21387" i="1"/>
  <c r="D21388" i="1"/>
  <c r="D21389" i="1"/>
  <c r="D21390" i="1"/>
  <c r="D21391" i="1"/>
  <c r="D21392" i="1"/>
  <c r="D21393" i="1"/>
  <c r="D21394" i="1"/>
  <c r="D21395" i="1"/>
  <c r="D21396" i="1"/>
  <c r="D21397" i="1"/>
  <c r="D21398" i="1"/>
  <c r="D21399" i="1"/>
  <c r="D21400" i="1"/>
  <c r="D21401" i="1"/>
  <c r="D21402" i="1"/>
  <c r="D21403" i="1"/>
  <c r="D21404" i="1"/>
  <c r="D21405" i="1"/>
  <c r="D21406" i="1"/>
  <c r="D21407" i="1"/>
  <c r="D21408" i="1"/>
  <c r="D21409" i="1"/>
  <c r="D21410" i="1"/>
  <c r="D21411" i="1"/>
  <c r="D21412" i="1"/>
  <c r="D21413" i="1"/>
  <c r="D21414" i="1"/>
  <c r="D21415" i="1"/>
  <c r="D21416" i="1"/>
  <c r="D21417" i="1"/>
  <c r="D21418" i="1"/>
  <c r="D21419" i="1"/>
  <c r="D21420" i="1"/>
  <c r="D21421" i="1"/>
  <c r="D21422" i="1"/>
  <c r="D21423" i="1"/>
  <c r="D21424" i="1"/>
  <c r="D21425" i="1"/>
  <c r="D21426" i="1"/>
  <c r="D21427" i="1"/>
  <c r="D21428" i="1"/>
  <c r="D21429" i="1"/>
  <c r="D21430" i="1"/>
  <c r="D21431" i="1"/>
  <c r="D21432" i="1"/>
  <c r="D21433" i="1"/>
  <c r="D21434" i="1"/>
  <c r="D21435" i="1"/>
  <c r="D21436" i="1"/>
  <c r="D21437" i="1"/>
  <c r="D21438" i="1"/>
  <c r="D21439" i="1"/>
  <c r="D21440" i="1"/>
  <c r="D21441" i="1"/>
  <c r="D21442" i="1"/>
  <c r="D21443" i="1"/>
  <c r="D21444" i="1"/>
  <c r="D21445" i="1"/>
  <c r="D21446" i="1"/>
  <c r="D21447" i="1"/>
  <c r="D21448" i="1"/>
  <c r="D21449" i="1"/>
  <c r="D21450" i="1"/>
  <c r="D21451" i="1"/>
  <c r="D21452" i="1"/>
  <c r="D21453" i="1"/>
  <c r="D21454" i="1"/>
  <c r="D21455" i="1"/>
  <c r="D21456" i="1"/>
  <c r="D21457" i="1"/>
  <c r="D21458" i="1"/>
  <c r="D21459" i="1"/>
  <c r="D21460" i="1"/>
  <c r="D21461" i="1"/>
  <c r="D21462" i="1"/>
  <c r="D21463" i="1"/>
  <c r="D21464" i="1"/>
  <c r="D21465" i="1"/>
  <c r="D21466" i="1"/>
  <c r="D21467" i="1"/>
  <c r="D21468" i="1"/>
  <c r="D21469" i="1"/>
  <c r="D21470" i="1"/>
  <c r="D21471" i="1"/>
  <c r="D21472" i="1"/>
  <c r="D21473" i="1"/>
  <c r="D21474" i="1"/>
  <c r="D21475" i="1"/>
  <c r="D21476" i="1"/>
  <c r="D21477" i="1"/>
  <c r="D21478" i="1"/>
  <c r="D21479" i="1"/>
  <c r="D21480" i="1"/>
  <c r="D21481" i="1"/>
  <c r="D21482" i="1"/>
  <c r="D21483" i="1"/>
  <c r="D21484" i="1"/>
  <c r="D21485" i="1"/>
  <c r="D21486" i="1"/>
  <c r="D21487" i="1"/>
  <c r="D21488" i="1"/>
  <c r="D21489" i="1"/>
  <c r="D21490" i="1"/>
  <c r="D21491" i="1"/>
  <c r="D21492" i="1"/>
  <c r="D21493" i="1"/>
  <c r="D21494" i="1"/>
  <c r="D21495" i="1"/>
  <c r="D21496" i="1"/>
  <c r="D21497" i="1"/>
  <c r="D21498" i="1"/>
  <c r="D21499" i="1"/>
  <c r="D21500" i="1"/>
  <c r="D21501" i="1"/>
  <c r="D21502" i="1"/>
  <c r="D21503" i="1"/>
  <c r="D21504" i="1"/>
  <c r="D21505" i="1"/>
  <c r="D21506" i="1"/>
  <c r="D21507" i="1"/>
  <c r="D21508" i="1"/>
  <c r="D21509" i="1"/>
  <c r="D21510" i="1"/>
  <c r="D21511" i="1"/>
  <c r="D21512" i="1"/>
  <c r="D21513" i="1"/>
  <c r="D21514" i="1"/>
  <c r="D21515" i="1"/>
  <c r="D21516" i="1"/>
  <c r="D21517" i="1"/>
  <c r="D21518" i="1"/>
  <c r="D21519" i="1"/>
  <c r="D21520" i="1"/>
  <c r="D21521" i="1"/>
  <c r="D21522" i="1"/>
  <c r="D21523" i="1"/>
  <c r="D21524" i="1"/>
  <c r="D21525" i="1"/>
  <c r="D21526" i="1"/>
  <c r="D21527" i="1"/>
  <c r="D21528" i="1"/>
  <c r="D21529" i="1"/>
  <c r="D21530" i="1"/>
  <c r="D21531" i="1"/>
  <c r="D21532" i="1"/>
  <c r="D21533" i="1"/>
  <c r="D21534" i="1"/>
  <c r="D21535" i="1"/>
  <c r="D21536" i="1"/>
  <c r="D21537" i="1"/>
  <c r="D21538" i="1"/>
  <c r="D21539" i="1"/>
  <c r="D21540" i="1"/>
  <c r="D21541" i="1"/>
  <c r="D21542" i="1"/>
  <c r="D21543" i="1"/>
  <c r="D21544" i="1"/>
  <c r="D21545" i="1"/>
  <c r="D21546" i="1"/>
  <c r="D21547" i="1"/>
  <c r="D21548" i="1"/>
  <c r="D21549" i="1"/>
  <c r="D21550" i="1"/>
  <c r="D21551" i="1"/>
  <c r="D21552" i="1"/>
  <c r="D21553" i="1"/>
  <c r="D21554" i="1"/>
  <c r="D21555" i="1"/>
  <c r="D21556" i="1"/>
  <c r="D21557" i="1"/>
  <c r="D21558" i="1"/>
  <c r="D21559" i="1"/>
  <c r="D21560" i="1"/>
  <c r="D21561" i="1"/>
  <c r="D21562" i="1"/>
  <c r="D21563" i="1"/>
  <c r="D21564" i="1"/>
  <c r="D21565" i="1"/>
  <c r="D21566" i="1"/>
  <c r="D21567" i="1"/>
  <c r="D21568" i="1"/>
  <c r="D21569" i="1"/>
  <c r="D21570" i="1"/>
  <c r="D21571" i="1"/>
  <c r="D21572" i="1"/>
  <c r="D21573" i="1"/>
  <c r="D21574" i="1"/>
  <c r="D21575" i="1"/>
  <c r="D21576" i="1"/>
  <c r="D21577" i="1"/>
  <c r="D21578" i="1"/>
  <c r="D21579" i="1"/>
  <c r="D21580" i="1"/>
  <c r="D21581" i="1"/>
  <c r="D21582" i="1"/>
  <c r="D21583" i="1"/>
  <c r="D21584" i="1"/>
  <c r="D21585" i="1"/>
  <c r="D21586" i="1"/>
  <c r="D21587" i="1"/>
  <c r="D21588" i="1"/>
  <c r="D21589" i="1"/>
  <c r="D21590" i="1"/>
  <c r="D21591" i="1"/>
  <c r="D21592" i="1"/>
  <c r="D21593" i="1"/>
  <c r="D21594" i="1"/>
  <c r="D21595" i="1"/>
  <c r="D21596" i="1"/>
  <c r="D21597" i="1"/>
  <c r="D21598" i="1"/>
  <c r="D21599" i="1"/>
  <c r="D21600" i="1"/>
  <c r="D21601" i="1"/>
  <c r="D21602" i="1"/>
  <c r="D21603" i="1"/>
  <c r="D21604" i="1"/>
  <c r="D21605" i="1"/>
  <c r="D21606" i="1"/>
  <c r="D21607" i="1"/>
  <c r="D21608" i="1"/>
  <c r="D21609" i="1"/>
  <c r="D21610" i="1"/>
  <c r="D21611" i="1"/>
  <c r="D21612" i="1"/>
  <c r="D21613" i="1"/>
  <c r="D21614" i="1"/>
  <c r="D21615" i="1"/>
  <c r="D21616" i="1"/>
  <c r="D21617" i="1"/>
  <c r="D21618" i="1"/>
  <c r="D21619" i="1"/>
  <c r="D21620" i="1"/>
  <c r="D21621" i="1"/>
  <c r="D21622" i="1"/>
  <c r="D21623" i="1"/>
  <c r="D21624" i="1"/>
  <c r="D21625" i="1"/>
  <c r="D21626" i="1"/>
  <c r="D21627" i="1"/>
  <c r="D21628" i="1"/>
  <c r="D21629" i="1"/>
  <c r="D21630" i="1"/>
  <c r="D21631" i="1"/>
  <c r="D21632" i="1"/>
  <c r="D21633" i="1"/>
  <c r="D21634" i="1"/>
  <c r="D21635" i="1"/>
  <c r="D21636" i="1"/>
  <c r="D21637" i="1"/>
  <c r="D21638" i="1"/>
  <c r="D21639" i="1"/>
  <c r="D21640" i="1"/>
  <c r="D21641" i="1"/>
  <c r="D21642" i="1"/>
  <c r="D21643" i="1"/>
  <c r="D21644" i="1"/>
  <c r="D21645" i="1"/>
  <c r="D21646" i="1"/>
  <c r="D21647" i="1"/>
  <c r="D21648" i="1"/>
  <c r="D21649" i="1"/>
  <c r="D21650" i="1"/>
  <c r="D21651" i="1"/>
  <c r="D21652" i="1"/>
  <c r="D21653" i="1"/>
  <c r="D21654" i="1"/>
  <c r="D21655" i="1"/>
  <c r="D21656" i="1"/>
  <c r="D21657" i="1"/>
  <c r="D21658" i="1"/>
  <c r="D21659" i="1"/>
  <c r="D21660" i="1"/>
  <c r="D21661" i="1"/>
  <c r="D21662" i="1"/>
  <c r="D21663" i="1"/>
  <c r="D21664" i="1"/>
  <c r="D21665" i="1"/>
  <c r="D21666" i="1"/>
  <c r="D21667" i="1"/>
  <c r="D21668" i="1"/>
  <c r="D21669" i="1"/>
  <c r="D21670" i="1"/>
  <c r="D21671" i="1"/>
  <c r="D21672" i="1"/>
  <c r="D21673" i="1"/>
  <c r="D21674" i="1"/>
  <c r="D21675" i="1"/>
  <c r="D21676" i="1"/>
  <c r="D21677" i="1"/>
  <c r="D21678" i="1"/>
  <c r="D21679" i="1"/>
  <c r="D21680" i="1"/>
  <c r="D21681" i="1"/>
  <c r="D21682" i="1"/>
  <c r="D21683" i="1"/>
  <c r="D21684" i="1"/>
  <c r="D21685" i="1"/>
  <c r="D21686" i="1"/>
  <c r="D21687" i="1"/>
  <c r="D21688" i="1"/>
  <c r="D21689" i="1"/>
  <c r="D21690" i="1"/>
  <c r="D21691" i="1"/>
  <c r="D21692" i="1"/>
  <c r="D21693" i="1"/>
  <c r="D21694" i="1"/>
  <c r="D21695" i="1"/>
  <c r="D21696" i="1"/>
  <c r="D21697" i="1"/>
  <c r="D21698" i="1"/>
  <c r="D21699" i="1"/>
  <c r="D21700" i="1"/>
  <c r="D21701" i="1"/>
  <c r="D21702" i="1"/>
  <c r="D21703" i="1"/>
  <c r="D21704" i="1"/>
  <c r="D21705" i="1"/>
  <c r="D21706" i="1"/>
  <c r="D21707" i="1"/>
  <c r="D21708" i="1"/>
  <c r="D21709" i="1"/>
  <c r="D21710" i="1"/>
  <c r="D21711" i="1"/>
  <c r="D21712" i="1"/>
  <c r="D21713" i="1"/>
  <c r="D21714" i="1"/>
  <c r="D21715" i="1"/>
  <c r="D21716" i="1"/>
  <c r="D21717" i="1"/>
  <c r="D21718" i="1"/>
  <c r="D21719" i="1"/>
  <c r="D21720" i="1"/>
  <c r="D21721" i="1"/>
  <c r="D21722" i="1"/>
  <c r="D21723" i="1"/>
  <c r="D21724" i="1"/>
  <c r="D21725" i="1"/>
  <c r="D21726" i="1"/>
  <c r="D21727" i="1"/>
  <c r="D21728" i="1"/>
  <c r="D21729" i="1"/>
  <c r="D21730" i="1"/>
  <c r="D21731" i="1"/>
  <c r="D21732" i="1"/>
  <c r="D21733" i="1"/>
  <c r="D21734" i="1"/>
  <c r="D21735" i="1"/>
  <c r="D21736" i="1"/>
  <c r="D21737" i="1"/>
  <c r="D21738" i="1"/>
  <c r="D21739" i="1"/>
  <c r="D21740" i="1"/>
  <c r="D21741" i="1"/>
  <c r="D21742" i="1"/>
  <c r="D21743" i="1"/>
  <c r="D21744" i="1"/>
  <c r="D21745" i="1"/>
  <c r="D21746" i="1"/>
  <c r="D21747" i="1"/>
  <c r="D21748" i="1"/>
  <c r="D21749" i="1"/>
  <c r="D21750" i="1"/>
  <c r="D21751" i="1"/>
  <c r="D21752" i="1"/>
  <c r="D21753" i="1"/>
  <c r="D21754" i="1"/>
  <c r="D21755" i="1"/>
  <c r="D21756" i="1"/>
  <c r="D21757" i="1"/>
  <c r="D21758" i="1"/>
  <c r="D21759" i="1"/>
  <c r="D21760" i="1"/>
  <c r="D21761" i="1"/>
  <c r="D21762" i="1"/>
  <c r="D21763" i="1"/>
  <c r="D21764" i="1"/>
  <c r="D21765" i="1"/>
  <c r="D21766" i="1"/>
  <c r="D21767" i="1"/>
  <c r="D21768" i="1"/>
  <c r="D21769" i="1"/>
  <c r="D21770" i="1"/>
  <c r="D21771" i="1"/>
  <c r="D21772" i="1"/>
  <c r="D21773" i="1"/>
  <c r="D21774" i="1"/>
  <c r="D21775" i="1"/>
  <c r="D21776" i="1"/>
  <c r="D21777" i="1"/>
  <c r="D21778" i="1"/>
  <c r="D21779" i="1"/>
  <c r="D21780" i="1"/>
  <c r="D21781" i="1"/>
  <c r="D21782" i="1"/>
  <c r="D21783" i="1"/>
  <c r="D21784" i="1"/>
  <c r="D21785" i="1"/>
  <c r="D21786" i="1"/>
  <c r="D21787" i="1"/>
  <c r="D21788" i="1"/>
  <c r="D21789" i="1"/>
  <c r="D21790" i="1"/>
  <c r="D21791" i="1"/>
  <c r="D21792" i="1"/>
  <c r="D21793" i="1"/>
  <c r="D21794" i="1"/>
  <c r="D21795" i="1"/>
  <c r="D21796" i="1"/>
  <c r="D21797" i="1"/>
  <c r="D21798" i="1"/>
  <c r="D21799" i="1"/>
  <c r="D21800" i="1"/>
  <c r="D21801" i="1"/>
  <c r="D21802" i="1"/>
  <c r="D21803" i="1"/>
  <c r="D21804" i="1"/>
  <c r="D21805" i="1"/>
  <c r="D21806" i="1"/>
  <c r="D21807" i="1"/>
  <c r="D21808" i="1"/>
  <c r="D21809" i="1"/>
  <c r="D21810" i="1"/>
  <c r="D21811" i="1"/>
  <c r="D21812" i="1"/>
  <c r="D21813" i="1"/>
  <c r="D21814" i="1"/>
  <c r="D21815" i="1"/>
  <c r="D21816" i="1"/>
  <c r="D21817" i="1"/>
  <c r="D21818" i="1"/>
  <c r="D21819" i="1"/>
  <c r="D21820" i="1"/>
  <c r="D21821" i="1"/>
  <c r="D21822" i="1"/>
  <c r="D21823" i="1"/>
  <c r="D21824" i="1"/>
  <c r="D21825" i="1"/>
  <c r="D21826" i="1"/>
  <c r="D21827" i="1"/>
  <c r="D21828" i="1"/>
  <c r="D21829" i="1"/>
  <c r="D21830" i="1"/>
  <c r="D21831" i="1"/>
  <c r="D21832" i="1"/>
  <c r="D21833" i="1"/>
  <c r="D21834" i="1"/>
  <c r="D21835" i="1"/>
  <c r="D21836" i="1"/>
  <c r="D21837" i="1"/>
  <c r="D21838" i="1"/>
  <c r="D21839" i="1"/>
  <c r="D21840" i="1"/>
  <c r="D21841" i="1"/>
  <c r="D21842" i="1"/>
  <c r="D21843" i="1"/>
  <c r="D21844" i="1"/>
  <c r="D21845" i="1"/>
  <c r="D21846" i="1"/>
  <c r="D21847" i="1"/>
  <c r="D21848" i="1"/>
  <c r="D21849" i="1"/>
  <c r="D21850" i="1"/>
  <c r="D21851" i="1"/>
  <c r="D21852" i="1"/>
  <c r="D21853" i="1"/>
  <c r="D21854" i="1"/>
  <c r="D21855" i="1"/>
  <c r="D21856" i="1"/>
  <c r="D21857" i="1"/>
  <c r="D21858" i="1"/>
  <c r="D21859" i="1"/>
  <c r="D21860" i="1"/>
  <c r="D21861" i="1"/>
  <c r="D21862" i="1"/>
  <c r="D21863" i="1"/>
  <c r="D21864" i="1"/>
  <c r="D21865" i="1"/>
  <c r="D21866" i="1"/>
  <c r="D21867" i="1"/>
  <c r="D21868" i="1"/>
  <c r="D21869" i="1"/>
  <c r="D21870" i="1"/>
  <c r="D21871" i="1"/>
  <c r="D21872" i="1"/>
  <c r="D21873" i="1"/>
  <c r="D21874" i="1"/>
  <c r="D21875" i="1"/>
  <c r="D21876" i="1"/>
  <c r="D21877" i="1"/>
  <c r="D21878" i="1"/>
  <c r="D21879" i="1"/>
  <c r="D21880" i="1"/>
  <c r="D21881" i="1"/>
  <c r="D21882" i="1"/>
  <c r="D21883" i="1"/>
  <c r="D21884" i="1"/>
  <c r="D21885" i="1"/>
  <c r="D21886" i="1"/>
  <c r="D21887" i="1"/>
  <c r="D21888" i="1"/>
  <c r="D21889" i="1"/>
  <c r="D21890" i="1"/>
  <c r="D21891" i="1"/>
  <c r="D21892" i="1"/>
  <c r="D21893" i="1"/>
  <c r="D21894" i="1"/>
  <c r="D21895" i="1"/>
  <c r="D21896" i="1"/>
  <c r="D21897" i="1"/>
  <c r="D21898" i="1"/>
  <c r="D21899" i="1"/>
  <c r="D21900" i="1"/>
  <c r="D21901" i="1"/>
  <c r="D21902" i="1"/>
  <c r="D21903" i="1"/>
  <c r="D21904" i="1"/>
  <c r="D21905" i="1"/>
  <c r="D21906" i="1"/>
  <c r="D21907" i="1"/>
  <c r="D21908" i="1"/>
  <c r="D21909" i="1"/>
  <c r="D21910" i="1"/>
  <c r="D21911" i="1"/>
  <c r="D21912" i="1"/>
  <c r="D21913" i="1"/>
  <c r="D21914" i="1"/>
  <c r="D21915" i="1"/>
  <c r="D21916" i="1"/>
  <c r="D21917" i="1"/>
  <c r="D21918" i="1"/>
  <c r="D21919" i="1"/>
  <c r="D21920" i="1"/>
  <c r="D21921" i="1"/>
  <c r="D21922" i="1"/>
  <c r="D21923" i="1"/>
  <c r="D21924" i="1"/>
  <c r="D21925" i="1"/>
  <c r="D21926" i="1"/>
  <c r="D21927" i="1"/>
  <c r="D21928" i="1"/>
  <c r="D21929" i="1"/>
  <c r="D21930" i="1"/>
  <c r="D21931" i="1"/>
  <c r="D21932" i="1"/>
  <c r="D21933" i="1"/>
  <c r="D21934" i="1"/>
  <c r="D21935" i="1"/>
  <c r="D21936" i="1"/>
  <c r="D21937" i="1"/>
  <c r="D21938" i="1"/>
  <c r="D21939" i="1"/>
  <c r="D21940" i="1"/>
  <c r="D21941" i="1"/>
  <c r="D21942" i="1"/>
  <c r="D21943" i="1"/>
  <c r="D21944" i="1"/>
  <c r="D21945" i="1"/>
  <c r="D21946" i="1"/>
  <c r="D21947" i="1"/>
  <c r="D21948" i="1"/>
  <c r="D21949" i="1"/>
  <c r="D21950" i="1"/>
  <c r="D21951" i="1"/>
  <c r="D21952" i="1"/>
  <c r="D21953" i="1"/>
  <c r="D21954" i="1"/>
  <c r="D21955" i="1"/>
  <c r="D21956" i="1"/>
  <c r="D21957" i="1"/>
  <c r="D21958" i="1"/>
  <c r="D21959" i="1"/>
  <c r="D21960" i="1"/>
  <c r="D21961" i="1"/>
  <c r="D21962" i="1"/>
  <c r="D21963" i="1"/>
  <c r="D21964" i="1"/>
  <c r="D21965" i="1"/>
  <c r="D21966" i="1"/>
  <c r="D21967" i="1"/>
  <c r="D21968" i="1"/>
  <c r="D21969" i="1"/>
  <c r="D21970" i="1"/>
  <c r="D21971" i="1"/>
  <c r="D21972" i="1"/>
  <c r="D21973" i="1"/>
  <c r="D21974" i="1"/>
  <c r="D21975" i="1"/>
  <c r="D21976" i="1"/>
  <c r="D21977" i="1"/>
  <c r="D21978" i="1"/>
  <c r="D21979" i="1"/>
  <c r="D21980" i="1"/>
  <c r="D21981" i="1"/>
  <c r="D21982" i="1"/>
  <c r="D21983" i="1"/>
  <c r="D21984" i="1"/>
  <c r="D21985" i="1"/>
  <c r="D21986" i="1"/>
  <c r="D21987" i="1"/>
  <c r="D21988" i="1"/>
  <c r="D21989" i="1"/>
  <c r="D21990" i="1"/>
  <c r="D21991" i="1"/>
  <c r="D21992" i="1"/>
  <c r="D21993" i="1"/>
  <c r="D21994" i="1"/>
  <c r="D21995" i="1"/>
  <c r="D21996" i="1"/>
  <c r="D21997" i="1"/>
  <c r="D21998" i="1"/>
  <c r="D21999" i="1"/>
  <c r="D22000" i="1"/>
  <c r="D22001" i="1"/>
  <c r="D22002" i="1"/>
  <c r="D22003" i="1"/>
  <c r="D22004" i="1"/>
  <c r="D22005" i="1"/>
  <c r="D22006" i="1"/>
  <c r="D22007" i="1"/>
  <c r="D22008" i="1"/>
  <c r="D22009" i="1"/>
  <c r="D22010" i="1"/>
  <c r="D22011" i="1"/>
  <c r="D22012" i="1"/>
  <c r="D22013" i="1"/>
  <c r="D22014" i="1"/>
  <c r="D22015" i="1"/>
  <c r="D22016" i="1"/>
  <c r="D22017" i="1"/>
  <c r="D22018" i="1"/>
  <c r="D22019" i="1"/>
  <c r="D22020" i="1"/>
  <c r="D22021" i="1"/>
  <c r="D22022" i="1"/>
  <c r="D22023" i="1"/>
  <c r="D22024" i="1"/>
  <c r="D22025" i="1"/>
  <c r="D22026" i="1"/>
  <c r="D22027" i="1"/>
  <c r="D22028" i="1"/>
  <c r="D22029" i="1"/>
  <c r="D22030" i="1"/>
  <c r="D22031" i="1"/>
  <c r="D22032" i="1"/>
  <c r="D22033" i="1"/>
  <c r="D22034" i="1"/>
  <c r="D22035" i="1"/>
  <c r="D22036" i="1"/>
  <c r="D22037" i="1"/>
  <c r="D22038" i="1"/>
  <c r="D22039" i="1"/>
  <c r="D22040" i="1"/>
  <c r="D22041" i="1"/>
  <c r="D22042" i="1"/>
  <c r="D22043" i="1"/>
  <c r="D22044" i="1"/>
  <c r="D22045" i="1"/>
  <c r="D22046" i="1"/>
  <c r="D22047" i="1"/>
  <c r="D22048" i="1"/>
  <c r="D22049" i="1"/>
  <c r="D22050" i="1"/>
  <c r="D22051" i="1"/>
  <c r="D22052" i="1"/>
  <c r="D22053" i="1"/>
  <c r="D22054" i="1"/>
  <c r="D22055" i="1"/>
  <c r="D22056" i="1"/>
  <c r="D22057" i="1"/>
  <c r="D22058" i="1"/>
  <c r="D22059" i="1"/>
  <c r="D22060" i="1"/>
  <c r="D22061" i="1"/>
  <c r="D22062" i="1"/>
  <c r="D22063" i="1"/>
  <c r="D22064" i="1"/>
  <c r="D22065" i="1"/>
  <c r="D22066" i="1"/>
  <c r="D22067" i="1"/>
  <c r="D22068" i="1"/>
  <c r="D22069" i="1"/>
  <c r="D22070" i="1"/>
  <c r="D22071" i="1"/>
  <c r="D22072" i="1"/>
  <c r="D22073" i="1"/>
  <c r="D22074" i="1"/>
  <c r="D22075" i="1"/>
  <c r="D22076" i="1"/>
  <c r="D22077" i="1"/>
  <c r="D22078" i="1"/>
  <c r="D22079" i="1"/>
  <c r="D22080" i="1"/>
  <c r="D22081" i="1"/>
  <c r="D22082" i="1"/>
  <c r="D22083" i="1"/>
  <c r="D22084" i="1"/>
  <c r="D22085" i="1"/>
  <c r="D22086" i="1"/>
  <c r="D22087" i="1"/>
  <c r="D22088" i="1"/>
  <c r="D22089" i="1"/>
  <c r="D22090" i="1"/>
  <c r="D22091" i="1"/>
  <c r="D22092" i="1"/>
  <c r="D22093" i="1"/>
  <c r="D22094" i="1"/>
  <c r="D22095" i="1"/>
  <c r="D22096" i="1"/>
  <c r="D22097" i="1"/>
  <c r="D22098" i="1"/>
  <c r="D22099" i="1"/>
  <c r="D22100" i="1"/>
  <c r="D22101" i="1"/>
  <c r="D22102" i="1"/>
  <c r="D22103" i="1"/>
  <c r="D22104" i="1"/>
  <c r="D22105" i="1"/>
  <c r="D22106" i="1"/>
  <c r="D22107" i="1"/>
  <c r="D22108" i="1"/>
  <c r="D22109" i="1"/>
  <c r="D22110" i="1"/>
  <c r="D22111" i="1"/>
  <c r="D22112" i="1"/>
  <c r="D22113" i="1"/>
  <c r="D22114" i="1"/>
  <c r="D22115" i="1"/>
  <c r="D22116" i="1"/>
  <c r="D22117" i="1"/>
  <c r="D22118" i="1"/>
  <c r="D22119" i="1"/>
  <c r="D22120" i="1"/>
  <c r="D22121" i="1"/>
  <c r="D22122" i="1"/>
  <c r="D22123" i="1"/>
  <c r="D22124" i="1"/>
  <c r="D22125" i="1"/>
  <c r="D22126" i="1"/>
  <c r="D22127" i="1"/>
  <c r="D22128" i="1"/>
  <c r="D22129" i="1"/>
  <c r="D22130" i="1"/>
  <c r="D22131" i="1"/>
  <c r="D22132" i="1"/>
  <c r="D22133" i="1"/>
  <c r="D22134" i="1"/>
  <c r="D22135" i="1"/>
  <c r="D22136" i="1"/>
  <c r="D22137" i="1"/>
  <c r="D22138" i="1"/>
  <c r="D22139" i="1"/>
  <c r="D22140" i="1"/>
  <c r="D22141" i="1"/>
  <c r="D22142" i="1"/>
  <c r="D22143" i="1"/>
  <c r="D22144" i="1"/>
  <c r="D22145" i="1"/>
  <c r="D22146" i="1"/>
  <c r="D22147" i="1"/>
  <c r="D22148" i="1"/>
  <c r="D22149" i="1"/>
  <c r="D22150" i="1"/>
  <c r="D22151" i="1"/>
  <c r="D22152" i="1"/>
  <c r="D22153" i="1"/>
  <c r="D22154" i="1"/>
  <c r="D22155" i="1"/>
  <c r="D22156" i="1"/>
  <c r="D22157" i="1"/>
  <c r="D22158" i="1"/>
  <c r="D22159" i="1"/>
  <c r="D22160" i="1"/>
  <c r="D22161" i="1"/>
  <c r="D22162" i="1"/>
  <c r="D22163" i="1"/>
  <c r="D22164" i="1"/>
  <c r="D22165" i="1"/>
  <c r="D22166" i="1"/>
  <c r="D22167" i="1"/>
  <c r="D22168" i="1"/>
  <c r="D22169" i="1"/>
  <c r="D22170" i="1"/>
  <c r="D22171" i="1"/>
  <c r="D22172" i="1"/>
  <c r="D22173" i="1"/>
  <c r="D22174" i="1"/>
  <c r="D22175" i="1"/>
  <c r="D22176" i="1"/>
  <c r="D22177" i="1"/>
  <c r="D22178" i="1"/>
  <c r="D22179" i="1"/>
  <c r="D22180" i="1"/>
  <c r="D22181" i="1"/>
  <c r="D22182" i="1"/>
  <c r="D22183" i="1"/>
  <c r="D22184" i="1"/>
  <c r="D22185" i="1"/>
  <c r="D22186" i="1"/>
  <c r="D22187" i="1"/>
  <c r="D22188" i="1"/>
  <c r="D22189" i="1"/>
  <c r="D22190" i="1"/>
  <c r="D22191" i="1"/>
  <c r="D22192" i="1"/>
  <c r="D22193" i="1"/>
  <c r="D22194" i="1"/>
  <c r="D22195" i="1"/>
  <c r="D22196" i="1"/>
  <c r="D22197" i="1"/>
  <c r="D22198" i="1"/>
  <c r="D22199" i="1"/>
  <c r="D22200" i="1"/>
  <c r="D22201" i="1"/>
  <c r="D22202" i="1"/>
  <c r="D22203" i="1"/>
  <c r="D22204" i="1"/>
  <c r="D22205" i="1"/>
  <c r="D22206" i="1"/>
  <c r="D22207" i="1"/>
  <c r="D22208" i="1"/>
  <c r="D22209" i="1"/>
  <c r="D22210" i="1"/>
  <c r="D22211" i="1"/>
  <c r="D22212" i="1"/>
  <c r="D22213" i="1"/>
  <c r="D22214" i="1"/>
  <c r="D22215" i="1"/>
  <c r="D22216" i="1"/>
  <c r="D22217" i="1"/>
  <c r="D22218" i="1"/>
  <c r="D22219" i="1"/>
  <c r="D22220" i="1"/>
  <c r="D22221" i="1"/>
  <c r="D22222" i="1"/>
  <c r="D22223" i="1"/>
  <c r="D22224" i="1"/>
  <c r="D22225" i="1"/>
  <c r="D22226" i="1"/>
  <c r="D22227" i="1"/>
  <c r="D22228" i="1"/>
  <c r="D22229" i="1"/>
  <c r="D22230" i="1"/>
  <c r="D22231" i="1"/>
  <c r="D22232" i="1"/>
  <c r="D22233" i="1"/>
  <c r="D22234" i="1"/>
  <c r="D22235" i="1"/>
  <c r="D22236" i="1"/>
  <c r="D22237" i="1"/>
  <c r="D22238" i="1"/>
  <c r="D22239" i="1"/>
  <c r="D22240" i="1"/>
  <c r="D22241" i="1"/>
  <c r="D22242" i="1"/>
  <c r="D22243" i="1"/>
  <c r="D22244" i="1"/>
  <c r="D22245" i="1"/>
  <c r="D22246" i="1"/>
  <c r="D22247" i="1"/>
  <c r="D22248" i="1"/>
  <c r="D22249" i="1"/>
  <c r="D22250" i="1"/>
  <c r="D22251" i="1"/>
  <c r="D22252" i="1"/>
  <c r="D22253" i="1"/>
  <c r="D22254" i="1"/>
  <c r="D22255" i="1"/>
  <c r="D22256" i="1"/>
  <c r="D22257" i="1"/>
  <c r="D22258" i="1"/>
  <c r="D22259" i="1"/>
  <c r="D22260" i="1"/>
  <c r="D22261" i="1"/>
  <c r="D22262" i="1"/>
  <c r="D22263" i="1"/>
  <c r="D22264" i="1"/>
  <c r="D22265" i="1"/>
  <c r="D22266" i="1"/>
  <c r="D22267" i="1"/>
  <c r="D22268" i="1"/>
  <c r="D22269" i="1"/>
  <c r="D22270" i="1"/>
  <c r="D22271" i="1"/>
  <c r="D22272" i="1"/>
  <c r="D22273" i="1"/>
  <c r="D22274" i="1"/>
  <c r="D22275" i="1"/>
  <c r="D22276" i="1"/>
  <c r="D22277" i="1"/>
  <c r="D22278" i="1"/>
  <c r="D22279" i="1"/>
  <c r="D22280" i="1"/>
  <c r="D22281" i="1"/>
  <c r="D22282" i="1"/>
  <c r="D22283" i="1"/>
  <c r="D22284" i="1"/>
  <c r="D22285" i="1"/>
  <c r="D22286" i="1"/>
  <c r="D22287" i="1"/>
  <c r="D22288" i="1"/>
  <c r="D22289" i="1"/>
  <c r="D22290" i="1"/>
  <c r="D22291" i="1"/>
  <c r="D22292" i="1"/>
  <c r="D22293" i="1"/>
  <c r="D22294" i="1"/>
  <c r="D22295" i="1"/>
  <c r="D22296" i="1"/>
  <c r="D22297" i="1"/>
  <c r="D22298" i="1"/>
  <c r="D22299" i="1"/>
  <c r="D22300" i="1"/>
  <c r="D22301" i="1"/>
  <c r="D22302" i="1"/>
  <c r="D22303" i="1"/>
  <c r="D22304" i="1"/>
  <c r="D22305" i="1"/>
  <c r="D22306" i="1"/>
  <c r="D22307" i="1"/>
  <c r="D22308" i="1"/>
  <c r="D22309" i="1"/>
  <c r="D22310" i="1"/>
  <c r="D22311" i="1"/>
  <c r="D22312" i="1"/>
  <c r="D22313" i="1"/>
  <c r="D22314" i="1"/>
  <c r="D22315" i="1"/>
  <c r="D22316" i="1"/>
  <c r="D22317" i="1"/>
  <c r="D22318" i="1"/>
  <c r="D22319" i="1"/>
  <c r="D22320" i="1"/>
  <c r="D22321" i="1"/>
  <c r="D22322" i="1"/>
  <c r="D22323" i="1"/>
  <c r="D22324" i="1"/>
  <c r="D22325" i="1"/>
  <c r="D22326" i="1"/>
  <c r="D22327" i="1"/>
  <c r="D22328" i="1"/>
  <c r="D22329" i="1"/>
  <c r="D22330" i="1"/>
  <c r="D22331" i="1"/>
  <c r="D22332" i="1"/>
  <c r="D22333" i="1"/>
  <c r="D22334" i="1"/>
  <c r="D22335" i="1"/>
  <c r="D22336" i="1"/>
  <c r="D22337" i="1"/>
  <c r="D22338" i="1"/>
  <c r="D22339" i="1"/>
  <c r="D22340" i="1"/>
  <c r="D22341" i="1"/>
  <c r="D22342" i="1"/>
  <c r="D22343" i="1"/>
  <c r="D22344" i="1"/>
  <c r="D22345" i="1"/>
  <c r="D22346" i="1"/>
  <c r="D22347" i="1"/>
  <c r="D22348" i="1"/>
  <c r="D22349" i="1"/>
  <c r="D22350" i="1"/>
  <c r="D22351" i="1"/>
  <c r="D22352" i="1"/>
  <c r="D22353" i="1"/>
  <c r="D22354" i="1"/>
  <c r="D22355" i="1"/>
  <c r="D22356" i="1"/>
  <c r="D22357" i="1"/>
  <c r="D22358" i="1"/>
  <c r="D22359" i="1"/>
  <c r="D22360" i="1"/>
  <c r="D22361" i="1"/>
  <c r="D22362" i="1"/>
  <c r="D22363" i="1"/>
  <c r="D22364" i="1"/>
  <c r="D22365" i="1"/>
  <c r="D22366" i="1"/>
  <c r="D22367" i="1"/>
  <c r="D22368" i="1"/>
  <c r="D22369" i="1"/>
  <c r="D22370" i="1"/>
  <c r="D22371" i="1"/>
  <c r="D22372" i="1"/>
  <c r="D22373" i="1"/>
  <c r="D22374" i="1"/>
  <c r="D22375" i="1"/>
  <c r="D22376" i="1"/>
  <c r="D22377" i="1"/>
  <c r="D22378" i="1"/>
  <c r="D22379" i="1"/>
  <c r="D22380" i="1"/>
  <c r="D22381" i="1"/>
  <c r="D22382" i="1"/>
  <c r="D22383" i="1"/>
  <c r="D22384" i="1"/>
  <c r="D22385" i="1"/>
  <c r="D22386" i="1"/>
  <c r="D22387" i="1"/>
  <c r="D22388" i="1"/>
  <c r="D22389" i="1"/>
  <c r="D22390" i="1"/>
  <c r="D22391" i="1"/>
  <c r="D22392" i="1"/>
  <c r="D22393" i="1"/>
  <c r="D22394" i="1"/>
  <c r="D22395" i="1"/>
  <c r="D22396" i="1"/>
  <c r="D22397" i="1"/>
  <c r="D22398" i="1"/>
  <c r="D22399" i="1"/>
  <c r="D22400" i="1"/>
  <c r="D22401" i="1"/>
  <c r="D22402" i="1"/>
  <c r="D22403" i="1"/>
  <c r="D22404" i="1"/>
  <c r="D22405" i="1"/>
  <c r="D22406" i="1"/>
  <c r="D22407" i="1"/>
  <c r="D22408" i="1"/>
  <c r="D22409" i="1"/>
  <c r="D22410" i="1"/>
  <c r="D22411" i="1"/>
  <c r="D22412" i="1"/>
  <c r="D22413" i="1"/>
  <c r="D22414" i="1"/>
  <c r="D22415" i="1"/>
  <c r="D22416" i="1"/>
  <c r="D22417" i="1"/>
  <c r="D22418" i="1"/>
  <c r="D22419" i="1"/>
  <c r="D22420" i="1"/>
  <c r="D22421" i="1"/>
  <c r="D22422" i="1"/>
  <c r="D22423" i="1"/>
  <c r="D22424" i="1"/>
  <c r="D22425" i="1"/>
  <c r="D22426" i="1"/>
  <c r="D22427" i="1"/>
  <c r="D22428" i="1"/>
  <c r="D22429" i="1"/>
  <c r="D22430" i="1"/>
  <c r="D22431" i="1"/>
  <c r="D22432" i="1"/>
  <c r="D22433" i="1"/>
  <c r="D22434" i="1"/>
  <c r="D22435" i="1"/>
  <c r="D22436" i="1"/>
  <c r="D22437" i="1"/>
  <c r="D22438" i="1"/>
  <c r="D22439" i="1"/>
  <c r="D22440" i="1"/>
  <c r="D22441" i="1"/>
  <c r="D22442" i="1"/>
  <c r="D22443" i="1"/>
  <c r="D22444" i="1"/>
  <c r="D22445" i="1"/>
  <c r="D22446" i="1"/>
  <c r="D22447" i="1"/>
  <c r="D22448" i="1"/>
  <c r="D22449" i="1"/>
  <c r="D22450" i="1"/>
  <c r="D22451" i="1"/>
  <c r="D22452" i="1"/>
  <c r="D22453" i="1"/>
  <c r="D22454" i="1"/>
  <c r="D22455" i="1"/>
  <c r="D22456" i="1"/>
  <c r="D22457" i="1"/>
  <c r="D22458" i="1"/>
  <c r="D22459" i="1"/>
  <c r="D22460" i="1"/>
  <c r="D22461" i="1"/>
  <c r="D22462" i="1"/>
  <c r="D22463" i="1"/>
  <c r="D22464" i="1"/>
  <c r="D22465" i="1"/>
  <c r="D22466" i="1"/>
  <c r="D22467" i="1"/>
  <c r="D22468" i="1"/>
  <c r="D22469" i="1"/>
  <c r="D22470" i="1"/>
  <c r="D22471" i="1"/>
  <c r="D22472" i="1"/>
  <c r="D22473" i="1"/>
  <c r="D22474" i="1"/>
  <c r="D22475" i="1"/>
  <c r="D22476" i="1"/>
  <c r="D22477" i="1"/>
  <c r="D22478" i="1"/>
  <c r="D22479" i="1"/>
  <c r="D22480" i="1"/>
  <c r="D22481" i="1"/>
  <c r="D22482" i="1"/>
  <c r="D22483" i="1"/>
  <c r="D22484" i="1"/>
  <c r="D22485" i="1"/>
  <c r="D22486" i="1"/>
  <c r="D22487" i="1"/>
  <c r="D22488" i="1"/>
  <c r="D22489" i="1"/>
  <c r="D22490" i="1"/>
  <c r="D22491" i="1"/>
  <c r="D22492" i="1"/>
  <c r="D22493" i="1"/>
  <c r="D22494" i="1"/>
  <c r="D22495" i="1"/>
  <c r="D22496" i="1"/>
  <c r="D22497" i="1"/>
  <c r="D22498" i="1"/>
  <c r="D22499" i="1"/>
  <c r="D22500" i="1"/>
  <c r="D22501" i="1"/>
  <c r="D22502" i="1"/>
  <c r="D22503" i="1"/>
  <c r="D22504" i="1"/>
  <c r="D22505" i="1"/>
  <c r="D22506" i="1"/>
  <c r="D22507" i="1"/>
  <c r="D22508" i="1"/>
  <c r="D22509" i="1"/>
  <c r="D22510" i="1"/>
  <c r="D22511" i="1"/>
  <c r="D22512" i="1"/>
  <c r="D22513" i="1"/>
  <c r="D22514" i="1"/>
  <c r="D22515" i="1"/>
  <c r="D22516" i="1"/>
  <c r="D22517" i="1"/>
  <c r="D22518" i="1"/>
  <c r="D22519" i="1"/>
  <c r="D22520" i="1"/>
  <c r="D22521" i="1"/>
  <c r="D22522" i="1"/>
  <c r="D22523" i="1"/>
  <c r="D22524" i="1"/>
  <c r="D22525" i="1"/>
  <c r="D22526" i="1"/>
  <c r="D22527" i="1"/>
  <c r="D22528" i="1"/>
  <c r="D22529" i="1"/>
  <c r="D22530" i="1"/>
  <c r="D22531" i="1"/>
  <c r="D22532" i="1"/>
  <c r="D22533" i="1"/>
  <c r="D22534" i="1"/>
  <c r="D22535" i="1"/>
  <c r="D22536" i="1"/>
  <c r="D22537" i="1"/>
  <c r="D22538" i="1"/>
  <c r="D22539" i="1"/>
  <c r="D22540" i="1"/>
  <c r="D22541" i="1"/>
  <c r="D22542" i="1"/>
  <c r="D22543" i="1"/>
  <c r="D22544" i="1"/>
  <c r="D22545" i="1"/>
  <c r="D22546" i="1"/>
  <c r="D22547" i="1"/>
  <c r="D22548" i="1"/>
  <c r="D22549" i="1"/>
  <c r="D22550" i="1"/>
  <c r="D22551" i="1"/>
  <c r="D22552" i="1"/>
  <c r="D22553" i="1"/>
  <c r="D22554" i="1"/>
  <c r="D22555" i="1"/>
  <c r="D22556" i="1"/>
  <c r="D22557" i="1"/>
  <c r="D22558" i="1"/>
  <c r="D22559" i="1"/>
  <c r="D22560" i="1"/>
  <c r="D22561" i="1"/>
  <c r="D22562" i="1"/>
  <c r="D22563" i="1"/>
  <c r="D22564" i="1"/>
  <c r="D22565" i="1"/>
  <c r="D22566" i="1"/>
  <c r="D22567" i="1"/>
  <c r="D22568" i="1"/>
  <c r="D22569" i="1"/>
  <c r="D22570" i="1"/>
  <c r="D22571" i="1"/>
  <c r="D22572" i="1"/>
  <c r="D22573" i="1"/>
  <c r="D22574" i="1"/>
  <c r="D22575" i="1"/>
  <c r="D22576" i="1"/>
  <c r="D22577" i="1"/>
  <c r="D22578" i="1"/>
  <c r="D22579" i="1"/>
  <c r="D22580" i="1"/>
  <c r="D22581" i="1"/>
  <c r="D22582" i="1"/>
  <c r="D22583" i="1"/>
  <c r="D22584" i="1"/>
  <c r="D22585" i="1"/>
  <c r="D22586" i="1"/>
  <c r="D22587" i="1"/>
  <c r="D22588" i="1"/>
  <c r="D22589" i="1"/>
  <c r="D22590" i="1"/>
  <c r="D22591" i="1"/>
  <c r="D22592" i="1"/>
  <c r="D22593" i="1"/>
  <c r="D22594" i="1"/>
  <c r="D22595" i="1"/>
  <c r="D22596" i="1"/>
  <c r="D22597" i="1"/>
  <c r="D22598" i="1"/>
  <c r="D22599" i="1"/>
  <c r="D22600" i="1"/>
  <c r="D22601" i="1"/>
  <c r="D22602" i="1"/>
  <c r="D22603" i="1"/>
  <c r="D22604" i="1"/>
  <c r="D22605" i="1"/>
  <c r="D22606" i="1"/>
  <c r="D22607" i="1"/>
  <c r="D22608" i="1"/>
  <c r="D22609" i="1"/>
  <c r="D22610" i="1"/>
  <c r="D22611" i="1"/>
  <c r="D22612" i="1"/>
  <c r="D22613" i="1"/>
  <c r="D22614" i="1"/>
  <c r="D22615" i="1"/>
  <c r="D22616" i="1"/>
  <c r="D22617" i="1"/>
  <c r="D22618" i="1"/>
  <c r="D22619" i="1"/>
  <c r="D22620" i="1"/>
  <c r="D22621" i="1"/>
  <c r="D22622" i="1"/>
  <c r="D22623" i="1"/>
  <c r="D22624" i="1"/>
  <c r="D22625" i="1"/>
  <c r="D22626" i="1"/>
  <c r="D22627" i="1"/>
  <c r="D22628" i="1"/>
  <c r="D22629" i="1"/>
  <c r="D22630" i="1"/>
  <c r="D22631" i="1"/>
  <c r="D22632" i="1"/>
  <c r="D22633" i="1"/>
  <c r="D22634" i="1"/>
  <c r="D22635" i="1"/>
  <c r="D22636" i="1"/>
  <c r="D22637" i="1"/>
  <c r="D22638" i="1"/>
  <c r="D22639" i="1"/>
  <c r="D22640" i="1"/>
  <c r="D22641" i="1"/>
  <c r="D22642" i="1"/>
  <c r="D22643" i="1"/>
  <c r="D22644" i="1"/>
  <c r="D22645" i="1"/>
  <c r="D22646" i="1"/>
  <c r="D22647" i="1"/>
  <c r="D22648" i="1"/>
  <c r="D22649" i="1"/>
  <c r="D22650" i="1"/>
  <c r="D22651" i="1"/>
  <c r="D22652" i="1"/>
  <c r="D22653" i="1"/>
  <c r="D22654" i="1"/>
  <c r="D22655" i="1"/>
  <c r="D22656" i="1"/>
  <c r="D22657" i="1"/>
  <c r="D22658" i="1"/>
  <c r="D22659" i="1"/>
  <c r="D22660" i="1"/>
  <c r="D22661" i="1"/>
  <c r="D22662" i="1"/>
  <c r="D22663" i="1"/>
  <c r="D22664" i="1"/>
  <c r="D22665" i="1"/>
  <c r="D22666" i="1"/>
  <c r="D22667" i="1"/>
  <c r="D22668" i="1"/>
  <c r="D22669" i="1"/>
  <c r="D22670" i="1"/>
  <c r="D22671" i="1"/>
  <c r="D22672" i="1"/>
  <c r="D22673" i="1"/>
  <c r="D22674" i="1"/>
  <c r="D22675" i="1"/>
  <c r="D22676" i="1"/>
  <c r="D22677" i="1"/>
  <c r="D22678" i="1"/>
  <c r="D22679" i="1"/>
  <c r="D22680" i="1"/>
  <c r="D22681" i="1"/>
  <c r="D22682" i="1"/>
  <c r="D22683" i="1"/>
  <c r="D22684" i="1"/>
  <c r="D22685" i="1"/>
  <c r="D22686" i="1"/>
  <c r="D22687" i="1"/>
  <c r="D22688" i="1"/>
  <c r="D22689" i="1"/>
  <c r="D22690" i="1"/>
  <c r="D22691" i="1"/>
  <c r="D22692" i="1"/>
  <c r="D22693" i="1"/>
  <c r="D22694" i="1"/>
  <c r="D22695" i="1"/>
  <c r="D22696" i="1"/>
  <c r="D22697" i="1"/>
  <c r="D22698" i="1"/>
  <c r="D22699" i="1"/>
  <c r="D22700" i="1"/>
  <c r="D22701" i="1"/>
  <c r="D22702" i="1"/>
  <c r="D22703" i="1"/>
  <c r="D22704" i="1"/>
  <c r="D22705" i="1"/>
  <c r="D22706" i="1"/>
  <c r="D22707" i="1"/>
  <c r="D22708" i="1"/>
  <c r="D22709" i="1"/>
  <c r="D22710" i="1"/>
  <c r="D22711" i="1"/>
  <c r="D22712" i="1"/>
  <c r="D22713" i="1"/>
  <c r="D22714" i="1"/>
  <c r="D22715" i="1"/>
  <c r="D22716" i="1"/>
  <c r="D22717" i="1"/>
  <c r="D22718" i="1"/>
  <c r="D22719" i="1"/>
  <c r="D22720" i="1"/>
  <c r="D22721" i="1"/>
  <c r="D22722" i="1"/>
  <c r="D22723" i="1"/>
  <c r="D22724" i="1"/>
  <c r="D22725" i="1"/>
  <c r="D22726" i="1"/>
  <c r="D22727" i="1"/>
  <c r="D22728" i="1"/>
  <c r="D22729" i="1"/>
  <c r="D22730" i="1"/>
  <c r="D22731" i="1"/>
  <c r="D22732" i="1"/>
  <c r="D22733" i="1"/>
  <c r="D22734" i="1"/>
  <c r="D22735" i="1"/>
  <c r="D22736" i="1"/>
  <c r="D22737" i="1"/>
  <c r="D22738" i="1"/>
  <c r="D22739" i="1"/>
  <c r="D22740" i="1"/>
  <c r="D22741" i="1"/>
  <c r="D22742" i="1"/>
  <c r="D22743" i="1"/>
  <c r="D22744" i="1"/>
  <c r="D22745" i="1"/>
  <c r="D22746" i="1"/>
  <c r="D22747" i="1"/>
  <c r="D22748" i="1"/>
  <c r="D22749" i="1"/>
  <c r="D22750" i="1"/>
  <c r="D22751" i="1"/>
  <c r="D22752" i="1"/>
  <c r="D22753" i="1"/>
  <c r="D22754" i="1"/>
  <c r="D22755" i="1"/>
  <c r="D22756" i="1"/>
  <c r="D22757" i="1"/>
  <c r="D22758" i="1"/>
  <c r="D22759" i="1"/>
  <c r="D22760" i="1"/>
  <c r="D22761" i="1"/>
  <c r="D22762" i="1"/>
  <c r="D22763" i="1"/>
  <c r="D22764" i="1"/>
  <c r="D22765" i="1"/>
  <c r="D22766" i="1"/>
  <c r="D22767" i="1"/>
  <c r="D22768" i="1"/>
  <c r="D22769" i="1"/>
  <c r="D22770" i="1"/>
  <c r="D22771" i="1"/>
  <c r="D22772" i="1"/>
  <c r="D22773" i="1"/>
  <c r="D22774" i="1"/>
  <c r="D22775" i="1"/>
  <c r="D22776" i="1"/>
  <c r="D22777" i="1"/>
  <c r="D22778" i="1"/>
  <c r="D22779" i="1"/>
  <c r="D22780" i="1"/>
  <c r="D22781" i="1"/>
  <c r="D22782" i="1"/>
  <c r="D22783" i="1"/>
  <c r="D22784" i="1"/>
  <c r="D22785" i="1"/>
  <c r="D22786" i="1"/>
  <c r="D22787" i="1"/>
  <c r="D22788" i="1"/>
  <c r="D22789" i="1"/>
  <c r="D22790" i="1"/>
  <c r="D22791" i="1"/>
  <c r="D22792" i="1"/>
  <c r="D22793" i="1"/>
  <c r="D22794" i="1"/>
  <c r="D22795" i="1"/>
  <c r="D22796" i="1"/>
  <c r="D22797" i="1"/>
  <c r="D22798" i="1"/>
  <c r="D22799" i="1"/>
  <c r="D22800" i="1"/>
  <c r="D22801" i="1"/>
  <c r="D22802" i="1"/>
  <c r="D22803" i="1"/>
  <c r="D22804" i="1"/>
  <c r="D22805" i="1"/>
  <c r="D22806" i="1"/>
  <c r="D22807" i="1"/>
  <c r="D22808" i="1"/>
  <c r="D22809" i="1"/>
  <c r="D22810" i="1"/>
  <c r="D22811" i="1"/>
  <c r="D22812" i="1"/>
  <c r="D22813" i="1"/>
  <c r="D22814" i="1"/>
  <c r="D22815" i="1"/>
  <c r="D22816" i="1"/>
  <c r="D22817" i="1"/>
  <c r="D22818" i="1"/>
  <c r="D22819" i="1"/>
  <c r="D22820" i="1"/>
  <c r="D22821" i="1"/>
  <c r="D22822" i="1"/>
  <c r="D22823" i="1"/>
  <c r="D22824" i="1"/>
  <c r="D22825" i="1"/>
  <c r="D22826" i="1"/>
  <c r="D22827" i="1"/>
  <c r="D22828" i="1"/>
  <c r="D22829" i="1"/>
  <c r="D22830" i="1"/>
  <c r="D22831" i="1"/>
  <c r="D22832" i="1"/>
  <c r="D22833" i="1"/>
  <c r="D22834" i="1"/>
  <c r="D22835" i="1"/>
  <c r="D22836" i="1"/>
  <c r="D22837" i="1"/>
  <c r="D22838" i="1"/>
  <c r="D22839" i="1"/>
  <c r="D22840" i="1"/>
  <c r="D22841" i="1"/>
  <c r="D22842" i="1"/>
  <c r="D22843" i="1"/>
  <c r="D22844" i="1"/>
  <c r="D22845" i="1"/>
  <c r="D22846" i="1"/>
  <c r="D22847" i="1"/>
  <c r="D22848" i="1"/>
  <c r="D22849" i="1"/>
  <c r="D22850" i="1"/>
  <c r="D22851" i="1"/>
  <c r="D22852" i="1"/>
  <c r="D22853" i="1"/>
  <c r="D22854" i="1"/>
  <c r="D22855" i="1"/>
  <c r="D22856" i="1"/>
  <c r="D22857" i="1"/>
  <c r="D22858" i="1"/>
  <c r="D22859" i="1"/>
  <c r="D22860" i="1"/>
  <c r="D22861" i="1"/>
  <c r="D22862" i="1"/>
  <c r="D22863" i="1"/>
  <c r="D22864" i="1"/>
  <c r="D22865" i="1"/>
  <c r="D22866" i="1"/>
  <c r="D22867" i="1"/>
  <c r="D22868" i="1"/>
  <c r="D22869" i="1"/>
  <c r="D22870" i="1"/>
  <c r="D22871" i="1"/>
  <c r="D22872" i="1"/>
  <c r="D22873" i="1"/>
  <c r="D22874" i="1"/>
  <c r="D22875" i="1"/>
  <c r="D22876" i="1"/>
  <c r="D22877" i="1"/>
  <c r="D22878" i="1"/>
  <c r="D22879" i="1"/>
  <c r="D22880" i="1"/>
  <c r="D22881" i="1"/>
  <c r="D22882" i="1"/>
  <c r="D22883" i="1"/>
  <c r="D22884" i="1"/>
  <c r="D22885" i="1"/>
  <c r="D22886" i="1"/>
  <c r="D22887" i="1"/>
  <c r="D22888" i="1"/>
  <c r="D22889" i="1"/>
  <c r="D22890" i="1"/>
  <c r="D22891" i="1"/>
  <c r="D22892" i="1"/>
  <c r="D22893" i="1"/>
  <c r="D22894" i="1"/>
  <c r="D22895" i="1"/>
  <c r="D22896" i="1"/>
  <c r="D22897" i="1"/>
  <c r="D22898" i="1"/>
  <c r="D22899" i="1"/>
  <c r="D22900" i="1"/>
  <c r="D22901" i="1"/>
  <c r="D22902" i="1"/>
  <c r="D22903" i="1"/>
  <c r="D22904" i="1"/>
  <c r="D22905" i="1"/>
  <c r="D22906" i="1"/>
  <c r="D22907" i="1"/>
  <c r="D22908" i="1"/>
  <c r="D22909" i="1"/>
  <c r="D22910" i="1"/>
  <c r="D22911" i="1"/>
  <c r="D22912" i="1"/>
  <c r="D22913" i="1"/>
  <c r="D22914" i="1"/>
  <c r="D22915" i="1"/>
  <c r="D22916" i="1"/>
  <c r="D22917" i="1"/>
  <c r="D22918" i="1"/>
  <c r="D22919" i="1"/>
  <c r="D22920" i="1"/>
  <c r="D22921" i="1"/>
  <c r="D22922" i="1"/>
  <c r="D22923" i="1"/>
  <c r="D22924" i="1"/>
  <c r="D22925" i="1"/>
  <c r="D22926" i="1"/>
  <c r="D22927" i="1"/>
  <c r="D22928" i="1"/>
  <c r="D22929" i="1"/>
  <c r="D22930" i="1"/>
  <c r="D22931" i="1"/>
  <c r="D22932" i="1"/>
  <c r="D22933" i="1"/>
  <c r="D22934" i="1"/>
  <c r="D22935" i="1"/>
  <c r="D22936" i="1"/>
  <c r="D22937" i="1"/>
  <c r="D22938" i="1"/>
  <c r="D22939" i="1"/>
  <c r="D22940" i="1"/>
  <c r="D22941" i="1"/>
  <c r="D22942" i="1"/>
  <c r="D22943" i="1"/>
  <c r="D22944" i="1"/>
  <c r="D22945" i="1"/>
  <c r="D22946" i="1"/>
  <c r="D22947" i="1"/>
  <c r="D22948" i="1"/>
  <c r="D22949" i="1"/>
  <c r="D22950" i="1"/>
  <c r="D22951" i="1"/>
  <c r="D22952" i="1"/>
  <c r="D22953" i="1"/>
  <c r="D22954" i="1"/>
  <c r="D22955" i="1"/>
  <c r="D22956" i="1"/>
  <c r="D22957" i="1"/>
  <c r="D22958" i="1"/>
  <c r="D22959" i="1"/>
  <c r="D22960" i="1"/>
  <c r="D22961" i="1"/>
  <c r="D22962" i="1"/>
  <c r="D22963" i="1"/>
  <c r="D22964" i="1"/>
  <c r="D22965" i="1"/>
  <c r="D22966" i="1"/>
  <c r="D22967" i="1"/>
  <c r="D22968" i="1"/>
  <c r="D22969" i="1"/>
  <c r="D22970" i="1"/>
  <c r="D22971" i="1"/>
  <c r="D22972" i="1"/>
  <c r="D22973" i="1"/>
  <c r="D22974" i="1"/>
  <c r="D22975" i="1"/>
  <c r="D22976" i="1"/>
  <c r="D22977" i="1"/>
  <c r="D22978" i="1"/>
  <c r="D22979" i="1"/>
  <c r="D22980" i="1"/>
  <c r="D22981" i="1"/>
  <c r="D22982" i="1"/>
  <c r="D22983" i="1"/>
  <c r="D22984" i="1"/>
  <c r="D22985" i="1"/>
  <c r="D22986" i="1"/>
  <c r="D22987" i="1"/>
  <c r="D22988" i="1"/>
  <c r="D22989" i="1"/>
  <c r="D22990" i="1"/>
  <c r="D22991" i="1"/>
  <c r="D22992" i="1"/>
  <c r="D22993" i="1"/>
  <c r="D22994" i="1"/>
  <c r="D22995" i="1"/>
  <c r="D22996" i="1"/>
  <c r="D22997" i="1"/>
  <c r="D22998" i="1"/>
  <c r="D22999" i="1"/>
  <c r="D23000" i="1"/>
  <c r="D23001" i="1"/>
  <c r="D23002" i="1"/>
  <c r="D23003" i="1"/>
  <c r="D23004" i="1"/>
  <c r="D23005" i="1"/>
  <c r="D23006" i="1"/>
  <c r="D23007" i="1"/>
  <c r="D23008" i="1"/>
  <c r="D23009" i="1"/>
  <c r="D23010" i="1"/>
  <c r="D23011" i="1"/>
  <c r="D23012" i="1"/>
  <c r="D23013" i="1"/>
  <c r="D23014" i="1"/>
  <c r="D23015" i="1"/>
  <c r="D23016" i="1"/>
  <c r="D23017" i="1"/>
  <c r="D23018" i="1"/>
  <c r="D23019" i="1"/>
  <c r="D23020" i="1"/>
  <c r="D23021" i="1"/>
  <c r="D23022" i="1"/>
  <c r="D23023" i="1"/>
  <c r="D23024" i="1"/>
  <c r="D23025" i="1"/>
  <c r="D23026" i="1"/>
  <c r="D23027" i="1"/>
  <c r="D23028" i="1"/>
  <c r="D23029" i="1"/>
  <c r="D23030" i="1"/>
  <c r="D23031" i="1"/>
  <c r="D23032" i="1"/>
  <c r="D23033" i="1"/>
  <c r="D23034" i="1"/>
  <c r="D23035" i="1"/>
  <c r="D23036" i="1"/>
  <c r="D23037" i="1"/>
  <c r="D23038" i="1"/>
  <c r="D23039" i="1"/>
  <c r="D23040" i="1"/>
  <c r="D23041" i="1"/>
  <c r="D23042" i="1"/>
  <c r="D23043" i="1"/>
  <c r="D23044" i="1"/>
  <c r="D23045" i="1"/>
  <c r="D23046" i="1"/>
  <c r="D23047" i="1"/>
  <c r="D23048" i="1"/>
  <c r="D23049" i="1"/>
  <c r="D23050" i="1"/>
  <c r="D23051" i="1"/>
  <c r="D23052" i="1"/>
  <c r="D23053" i="1"/>
  <c r="D23054" i="1"/>
  <c r="D23055" i="1"/>
  <c r="D23056" i="1"/>
  <c r="D23057" i="1"/>
  <c r="D23058" i="1"/>
  <c r="D23059" i="1"/>
  <c r="D23060" i="1"/>
  <c r="D23061" i="1"/>
  <c r="D23062" i="1"/>
  <c r="D23063" i="1"/>
  <c r="D23064" i="1"/>
  <c r="D23065" i="1"/>
  <c r="D23066" i="1"/>
  <c r="D23067" i="1"/>
  <c r="D23068" i="1"/>
  <c r="D23069" i="1"/>
  <c r="D23070" i="1"/>
  <c r="D23071" i="1"/>
  <c r="D23072" i="1"/>
  <c r="D23073" i="1"/>
  <c r="D23074" i="1"/>
  <c r="D23075" i="1"/>
  <c r="D23076" i="1"/>
  <c r="D23077" i="1"/>
  <c r="D23078" i="1"/>
  <c r="D23079" i="1"/>
  <c r="D23080" i="1"/>
  <c r="D23081" i="1"/>
  <c r="D23082" i="1"/>
  <c r="D23083" i="1"/>
  <c r="D23084" i="1"/>
  <c r="D23085" i="1"/>
  <c r="D23086" i="1"/>
  <c r="D23087" i="1"/>
  <c r="D23088" i="1"/>
  <c r="D23089" i="1"/>
  <c r="D23090" i="1"/>
  <c r="D23091" i="1"/>
  <c r="D23092" i="1"/>
  <c r="D23093" i="1"/>
  <c r="D23094" i="1"/>
  <c r="D23095" i="1"/>
  <c r="D23096" i="1"/>
  <c r="D23097" i="1"/>
  <c r="D23098" i="1"/>
  <c r="D23099" i="1"/>
  <c r="D23100" i="1"/>
  <c r="D23101" i="1"/>
  <c r="D23102" i="1"/>
  <c r="D23103" i="1"/>
  <c r="D23104" i="1"/>
  <c r="D23105" i="1"/>
  <c r="D23106" i="1"/>
  <c r="D23107" i="1"/>
  <c r="D23108" i="1"/>
  <c r="D23109" i="1"/>
  <c r="D23110" i="1"/>
  <c r="D23111" i="1"/>
  <c r="D23112" i="1"/>
  <c r="D23113" i="1"/>
  <c r="D23114" i="1"/>
  <c r="D23115" i="1"/>
  <c r="D23116" i="1"/>
  <c r="D23117" i="1"/>
  <c r="D23118" i="1"/>
  <c r="D23119" i="1"/>
  <c r="D23120" i="1"/>
  <c r="D23121" i="1"/>
  <c r="D23122" i="1"/>
  <c r="D23123" i="1"/>
  <c r="D23124" i="1"/>
  <c r="D23125" i="1"/>
  <c r="D23126" i="1"/>
  <c r="D23127" i="1"/>
  <c r="D23128" i="1"/>
  <c r="D23129" i="1"/>
  <c r="D23130" i="1"/>
  <c r="D23131" i="1"/>
  <c r="D23132" i="1"/>
  <c r="D23133" i="1"/>
  <c r="D23134" i="1"/>
  <c r="D23135" i="1"/>
  <c r="D23136" i="1"/>
  <c r="D23137" i="1"/>
  <c r="D23138" i="1"/>
  <c r="D23139" i="1"/>
  <c r="D23140" i="1"/>
  <c r="D23141" i="1"/>
  <c r="D23142" i="1"/>
  <c r="D23143" i="1"/>
  <c r="D23144" i="1"/>
  <c r="D23145" i="1"/>
  <c r="D23146" i="1"/>
  <c r="D23147" i="1"/>
  <c r="D23148" i="1"/>
  <c r="D23149" i="1"/>
  <c r="D23150" i="1"/>
  <c r="D23151" i="1"/>
  <c r="D23152" i="1"/>
  <c r="D23153" i="1"/>
  <c r="D23154" i="1"/>
  <c r="D23155" i="1"/>
  <c r="D23156" i="1"/>
  <c r="D23157" i="1"/>
  <c r="D23158" i="1"/>
  <c r="D23159" i="1"/>
  <c r="D23160" i="1"/>
  <c r="D23161" i="1"/>
  <c r="D23162" i="1"/>
  <c r="D23163" i="1"/>
  <c r="D23164" i="1"/>
  <c r="D23165" i="1"/>
  <c r="D23166" i="1"/>
  <c r="D23167" i="1"/>
  <c r="D23168" i="1"/>
  <c r="D23169" i="1"/>
  <c r="D23170" i="1"/>
  <c r="D23171" i="1"/>
  <c r="D23172" i="1"/>
  <c r="D23173" i="1"/>
  <c r="D23174" i="1"/>
  <c r="D23175" i="1"/>
  <c r="D23176" i="1"/>
  <c r="D23177" i="1"/>
  <c r="D23178" i="1"/>
  <c r="D23179" i="1"/>
  <c r="D23180" i="1"/>
  <c r="D23181" i="1"/>
  <c r="D23182" i="1"/>
  <c r="D23183" i="1"/>
  <c r="D23184" i="1"/>
  <c r="D23185" i="1"/>
  <c r="D23186" i="1"/>
  <c r="D23187" i="1"/>
  <c r="D23188" i="1"/>
  <c r="D23189" i="1"/>
  <c r="D23190" i="1"/>
  <c r="D23191" i="1"/>
  <c r="D23192" i="1"/>
  <c r="D23193" i="1"/>
  <c r="D23194" i="1"/>
  <c r="D23195" i="1"/>
  <c r="D23196" i="1"/>
  <c r="D23197" i="1"/>
  <c r="D23198" i="1"/>
  <c r="D23199" i="1"/>
  <c r="D23200" i="1"/>
  <c r="D23201" i="1"/>
  <c r="D23202" i="1"/>
  <c r="D23203" i="1"/>
  <c r="D23204" i="1"/>
  <c r="D23205" i="1"/>
  <c r="D23206" i="1"/>
  <c r="D23207" i="1"/>
  <c r="D23208" i="1"/>
  <c r="D23209" i="1"/>
  <c r="D23210" i="1"/>
  <c r="D23211" i="1"/>
  <c r="D23212" i="1"/>
  <c r="D23213" i="1"/>
  <c r="D23214" i="1"/>
  <c r="D23215" i="1"/>
  <c r="D23216" i="1"/>
  <c r="D23217" i="1"/>
  <c r="D23218" i="1"/>
  <c r="D23219" i="1"/>
  <c r="D23220" i="1"/>
  <c r="D23221" i="1"/>
  <c r="D23222" i="1"/>
  <c r="D23223" i="1"/>
  <c r="D23224" i="1"/>
  <c r="D23225" i="1"/>
  <c r="D23226" i="1"/>
  <c r="D23227" i="1"/>
  <c r="D23228" i="1"/>
  <c r="D23229" i="1"/>
  <c r="D23230" i="1"/>
  <c r="D23231" i="1"/>
  <c r="D23232" i="1"/>
  <c r="D23233" i="1"/>
  <c r="D23234" i="1"/>
  <c r="D23235" i="1"/>
  <c r="D23236" i="1"/>
  <c r="D23237" i="1"/>
  <c r="D23238" i="1"/>
  <c r="D23239" i="1"/>
  <c r="D23240" i="1"/>
  <c r="D23241" i="1"/>
  <c r="D23242" i="1"/>
  <c r="D23243" i="1"/>
  <c r="D23244" i="1"/>
  <c r="D23245" i="1"/>
  <c r="D23246" i="1"/>
  <c r="D23247" i="1"/>
  <c r="D23248" i="1"/>
  <c r="D23249" i="1"/>
  <c r="D23250" i="1"/>
  <c r="D23251" i="1"/>
  <c r="D23252" i="1"/>
  <c r="D23253" i="1"/>
  <c r="D23254" i="1"/>
  <c r="D23255" i="1"/>
  <c r="D23256" i="1"/>
  <c r="D23257" i="1"/>
  <c r="D23258" i="1"/>
  <c r="D23259" i="1"/>
  <c r="D23260" i="1"/>
  <c r="D23261" i="1"/>
  <c r="D23262" i="1"/>
  <c r="D23263" i="1"/>
  <c r="D23264" i="1"/>
  <c r="D23265" i="1"/>
  <c r="D23266" i="1"/>
  <c r="D23267" i="1"/>
  <c r="D23268" i="1"/>
  <c r="D23269" i="1"/>
  <c r="D23270" i="1"/>
  <c r="D23271" i="1"/>
  <c r="D23272" i="1"/>
  <c r="D23273" i="1"/>
  <c r="D23274" i="1"/>
  <c r="D23275" i="1"/>
  <c r="D23276" i="1"/>
  <c r="D23277" i="1"/>
  <c r="D23278" i="1"/>
  <c r="D23279" i="1"/>
  <c r="D23280" i="1"/>
  <c r="D23281" i="1"/>
  <c r="D23282" i="1"/>
  <c r="D23283" i="1"/>
  <c r="D23284" i="1"/>
  <c r="D23285" i="1"/>
  <c r="D23286" i="1"/>
  <c r="D23287" i="1"/>
  <c r="D23288" i="1"/>
  <c r="D23289" i="1"/>
  <c r="D23290" i="1"/>
  <c r="D23291" i="1"/>
  <c r="D23292" i="1"/>
  <c r="D23293" i="1"/>
  <c r="D23294" i="1"/>
  <c r="D23295" i="1"/>
  <c r="D23296" i="1"/>
  <c r="D23297" i="1"/>
  <c r="D23298" i="1"/>
  <c r="D23299" i="1"/>
  <c r="D23300" i="1"/>
  <c r="D23301" i="1"/>
  <c r="D23302" i="1"/>
  <c r="D23303" i="1"/>
  <c r="D23304" i="1"/>
  <c r="D23305" i="1"/>
  <c r="D23306" i="1"/>
  <c r="D23307" i="1"/>
  <c r="D23308" i="1"/>
  <c r="D23309" i="1"/>
  <c r="D23310" i="1"/>
  <c r="D23311" i="1"/>
  <c r="D23312" i="1"/>
  <c r="D23313" i="1"/>
  <c r="D23314" i="1"/>
  <c r="D23315" i="1"/>
  <c r="D23316" i="1"/>
  <c r="D23317" i="1"/>
  <c r="D23318" i="1"/>
  <c r="D23319" i="1"/>
  <c r="D23320" i="1"/>
  <c r="D23321" i="1"/>
  <c r="D23322" i="1"/>
  <c r="D23323" i="1"/>
  <c r="D23324" i="1"/>
  <c r="D23325" i="1"/>
  <c r="D23326" i="1"/>
  <c r="D23327" i="1"/>
  <c r="D23328" i="1"/>
  <c r="D23329" i="1"/>
  <c r="D23330" i="1"/>
  <c r="D23331" i="1"/>
  <c r="D23332" i="1"/>
  <c r="D23333" i="1"/>
  <c r="D23334" i="1"/>
  <c r="D23335" i="1"/>
  <c r="D23336" i="1"/>
  <c r="D23337" i="1"/>
  <c r="D23338" i="1"/>
  <c r="D23339" i="1"/>
  <c r="D23340" i="1"/>
  <c r="D23341" i="1"/>
  <c r="D23342" i="1"/>
  <c r="D23343" i="1"/>
  <c r="D23344" i="1"/>
  <c r="D23345" i="1"/>
  <c r="D23346" i="1"/>
  <c r="D23347" i="1"/>
  <c r="D23348" i="1"/>
  <c r="D23349" i="1"/>
  <c r="D23350" i="1"/>
  <c r="D23351" i="1"/>
  <c r="D23352" i="1"/>
  <c r="D23353" i="1"/>
  <c r="D23354" i="1"/>
  <c r="D23355" i="1"/>
  <c r="D23356" i="1"/>
  <c r="D23357" i="1"/>
  <c r="D23358" i="1"/>
  <c r="D23359" i="1"/>
  <c r="D23360" i="1"/>
  <c r="D23361" i="1"/>
  <c r="D23362" i="1"/>
  <c r="D23363" i="1"/>
  <c r="D23364" i="1"/>
  <c r="D23365" i="1"/>
  <c r="D23366" i="1"/>
  <c r="D23367" i="1"/>
  <c r="D23368" i="1"/>
  <c r="D23369" i="1"/>
  <c r="D23370" i="1"/>
  <c r="D23371" i="1"/>
  <c r="D23372" i="1"/>
  <c r="D23373" i="1"/>
  <c r="D23374" i="1"/>
  <c r="D23375" i="1"/>
  <c r="D23376" i="1"/>
  <c r="D23377" i="1"/>
  <c r="D23378" i="1"/>
  <c r="D23379" i="1"/>
  <c r="D23380" i="1"/>
  <c r="D23381" i="1"/>
  <c r="D23382" i="1"/>
  <c r="D23383" i="1"/>
  <c r="D23384" i="1"/>
  <c r="D23385" i="1"/>
  <c r="D23386" i="1"/>
  <c r="D23387" i="1"/>
  <c r="D23388" i="1"/>
  <c r="D23389" i="1"/>
  <c r="D23390" i="1"/>
  <c r="D23391" i="1"/>
  <c r="D23392" i="1"/>
  <c r="D23393" i="1"/>
  <c r="D23394" i="1"/>
  <c r="D23395" i="1"/>
  <c r="D23396" i="1"/>
  <c r="D23397" i="1"/>
  <c r="D23398" i="1"/>
  <c r="D23399" i="1"/>
  <c r="D23400" i="1"/>
  <c r="D23401" i="1"/>
  <c r="D23402" i="1"/>
  <c r="D23403" i="1"/>
  <c r="D23404" i="1"/>
  <c r="D23405" i="1"/>
  <c r="D23406" i="1"/>
  <c r="D23407" i="1"/>
  <c r="D23408" i="1"/>
  <c r="D23409" i="1"/>
  <c r="D23410" i="1"/>
  <c r="D23411" i="1"/>
  <c r="D23412" i="1"/>
  <c r="D23413" i="1"/>
  <c r="D23414" i="1"/>
  <c r="D23415" i="1"/>
  <c r="D23416" i="1"/>
  <c r="D23417" i="1"/>
  <c r="D23418" i="1"/>
  <c r="D23419" i="1"/>
  <c r="D23420" i="1"/>
  <c r="D23421" i="1"/>
  <c r="D23422" i="1"/>
  <c r="D23423" i="1"/>
  <c r="D23424" i="1"/>
  <c r="D23425" i="1"/>
  <c r="D23426" i="1"/>
  <c r="D23427" i="1"/>
  <c r="D23428" i="1"/>
  <c r="D23429" i="1"/>
  <c r="D23430" i="1"/>
  <c r="D23431" i="1"/>
  <c r="D23432" i="1"/>
  <c r="D23433" i="1"/>
  <c r="D23434" i="1"/>
  <c r="D23435" i="1"/>
  <c r="D23436" i="1"/>
  <c r="D23437" i="1"/>
  <c r="D23438" i="1"/>
  <c r="D23439" i="1"/>
  <c r="D23440" i="1"/>
  <c r="D23441" i="1"/>
  <c r="D23442" i="1"/>
  <c r="D23443" i="1"/>
  <c r="D23444" i="1"/>
  <c r="D23445" i="1"/>
  <c r="D23446" i="1"/>
  <c r="D23447" i="1"/>
  <c r="D23448" i="1"/>
  <c r="D23449" i="1"/>
  <c r="D23450" i="1"/>
  <c r="D23451" i="1"/>
  <c r="D23452" i="1"/>
  <c r="D23453" i="1"/>
  <c r="D23454" i="1"/>
  <c r="D23455" i="1"/>
  <c r="D23456" i="1"/>
  <c r="D23457" i="1"/>
  <c r="D23458" i="1"/>
  <c r="D23459" i="1"/>
  <c r="D23460" i="1"/>
  <c r="D23461" i="1"/>
  <c r="D23462" i="1"/>
  <c r="D23463" i="1"/>
  <c r="D23464" i="1"/>
  <c r="D23465" i="1"/>
  <c r="D23466" i="1"/>
  <c r="D23467" i="1"/>
  <c r="D23468" i="1"/>
  <c r="D23469" i="1"/>
  <c r="D23470" i="1"/>
  <c r="D23471" i="1"/>
  <c r="D23472" i="1"/>
  <c r="D23473" i="1"/>
  <c r="D23474" i="1"/>
  <c r="D23475" i="1"/>
  <c r="D23476" i="1"/>
  <c r="D23477" i="1"/>
  <c r="D23478" i="1"/>
  <c r="D23479" i="1"/>
  <c r="D23480" i="1"/>
  <c r="D23481" i="1"/>
  <c r="D23482" i="1"/>
  <c r="D23483" i="1"/>
  <c r="D23484" i="1"/>
  <c r="D23485" i="1"/>
  <c r="D23486" i="1"/>
  <c r="D23487" i="1"/>
  <c r="D23488" i="1"/>
  <c r="D23489" i="1"/>
  <c r="D23490" i="1"/>
  <c r="D23491" i="1"/>
  <c r="D23492" i="1"/>
  <c r="D23493" i="1"/>
  <c r="D23494" i="1"/>
  <c r="D23495" i="1"/>
  <c r="D23496" i="1"/>
  <c r="D23497" i="1"/>
  <c r="D23498" i="1"/>
  <c r="D23499" i="1"/>
  <c r="D23500" i="1"/>
  <c r="D23501" i="1"/>
  <c r="D23502" i="1"/>
  <c r="D23503" i="1"/>
  <c r="D23504" i="1"/>
  <c r="D23505" i="1"/>
  <c r="D23506" i="1"/>
  <c r="D23507" i="1"/>
  <c r="D23508" i="1"/>
  <c r="D23509" i="1"/>
  <c r="D23510" i="1"/>
  <c r="D23511" i="1"/>
  <c r="D23512" i="1"/>
  <c r="D23513" i="1"/>
  <c r="D23514" i="1"/>
  <c r="D23515" i="1"/>
  <c r="D23516" i="1"/>
  <c r="D23517" i="1"/>
  <c r="D23518" i="1"/>
  <c r="D23519" i="1"/>
  <c r="D23520" i="1"/>
  <c r="D23521" i="1"/>
  <c r="D23522" i="1"/>
  <c r="D23523" i="1"/>
  <c r="D23524" i="1"/>
  <c r="D23525" i="1"/>
  <c r="D23526" i="1"/>
  <c r="D23527" i="1"/>
  <c r="D23528" i="1"/>
  <c r="D23529" i="1"/>
  <c r="D23530" i="1"/>
  <c r="D23531" i="1"/>
  <c r="D23532" i="1"/>
  <c r="D23533" i="1"/>
  <c r="D23534" i="1"/>
  <c r="D23535" i="1"/>
  <c r="D23536" i="1"/>
  <c r="D23537" i="1"/>
  <c r="D23538" i="1"/>
  <c r="D23539" i="1"/>
  <c r="D23540" i="1"/>
  <c r="D23541" i="1"/>
  <c r="D23542" i="1"/>
  <c r="D23543" i="1"/>
  <c r="D23544" i="1"/>
  <c r="D23545" i="1"/>
  <c r="D23546" i="1"/>
  <c r="D23547" i="1"/>
  <c r="D23548" i="1"/>
  <c r="D23549" i="1"/>
  <c r="D23550" i="1"/>
  <c r="D23551" i="1"/>
  <c r="D23552" i="1"/>
  <c r="D23553" i="1"/>
  <c r="D23554" i="1"/>
  <c r="D23555" i="1"/>
  <c r="D23556" i="1"/>
  <c r="D23557" i="1"/>
  <c r="D23558" i="1"/>
  <c r="D23559" i="1"/>
  <c r="D23560" i="1"/>
  <c r="D23561" i="1"/>
  <c r="D23562" i="1"/>
  <c r="D23563" i="1"/>
  <c r="D23564" i="1"/>
  <c r="D23565" i="1"/>
  <c r="D23566" i="1"/>
  <c r="D23567" i="1"/>
  <c r="D23568" i="1"/>
  <c r="D23569" i="1"/>
  <c r="D23570" i="1"/>
  <c r="D23571" i="1"/>
  <c r="D23572" i="1"/>
  <c r="D23573" i="1"/>
  <c r="D23574" i="1"/>
  <c r="D23575" i="1"/>
  <c r="D23576" i="1"/>
  <c r="D23577" i="1"/>
  <c r="D23578" i="1"/>
  <c r="D23579" i="1"/>
  <c r="D23580" i="1"/>
  <c r="D23581" i="1"/>
  <c r="D23582" i="1"/>
  <c r="D23583" i="1"/>
  <c r="D23584" i="1"/>
  <c r="D23585" i="1"/>
  <c r="D23586" i="1"/>
  <c r="D23587" i="1"/>
  <c r="D23588" i="1"/>
  <c r="D23589" i="1"/>
  <c r="D23590" i="1"/>
  <c r="D23591" i="1"/>
  <c r="D23592" i="1"/>
  <c r="D23593" i="1"/>
  <c r="D23594" i="1"/>
  <c r="D23595" i="1"/>
  <c r="D23596" i="1"/>
  <c r="D23597" i="1"/>
  <c r="D23598" i="1"/>
  <c r="D23599" i="1"/>
  <c r="D23600" i="1"/>
  <c r="D23601" i="1"/>
  <c r="D23602" i="1"/>
  <c r="D23603" i="1"/>
  <c r="D23604" i="1"/>
  <c r="D23605" i="1"/>
  <c r="D23606" i="1"/>
  <c r="D23607" i="1"/>
  <c r="D23608" i="1"/>
  <c r="D23609" i="1"/>
  <c r="D23610" i="1"/>
  <c r="D23611" i="1"/>
  <c r="D23612" i="1"/>
  <c r="D23613" i="1"/>
  <c r="D23614" i="1"/>
  <c r="D23615" i="1"/>
  <c r="D23616" i="1"/>
  <c r="D23617" i="1"/>
  <c r="D23618" i="1"/>
  <c r="D23619" i="1"/>
  <c r="D23620" i="1"/>
  <c r="D23621" i="1"/>
  <c r="D23622" i="1"/>
  <c r="D23623" i="1"/>
  <c r="D23624" i="1"/>
  <c r="D23625" i="1"/>
  <c r="D23626" i="1"/>
  <c r="D23627" i="1"/>
  <c r="D23628" i="1"/>
  <c r="D23629" i="1"/>
  <c r="D23630" i="1"/>
  <c r="D23631" i="1"/>
  <c r="D23632" i="1"/>
  <c r="D23633" i="1"/>
  <c r="D23634" i="1"/>
  <c r="D23635" i="1"/>
  <c r="D23636" i="1"/>
  <c r="D23637" i="1"/>
  <c r="D23638" i="1"/>
  <c r="D23639" i="1"/>
  <c r="D23640" i="1"/>
  <c r="D23641" i="1"/>
  <c r="D23642" i="1"/>
  <c r="D23643" i="1"/>
  <c r="D23644" i="1"/>
  <c r="D23645" i="1"/>
  <c r="D23646" i="1"/>
  <c r="D23647" i="1"/>
  <c r="D23648" i="1"/>
  <c r="D23649" i="1"/>
  <c r="D23650" i="1"/>
  <c r="D23651" i="1"/>
  <c r="D23652" i="1"/>
  <c r="D23653" i="1"/>
  <c r="D23654" i="1"/>
  <c r="D23655" i="1"/>
  <c r="D23656" i="1"/>
  <c r="D23657" i="1"/>
  <c r="D23658" i="1"/>
  <c r="D23659" i="1"/>
  <c r="D23660" i="1"/>
  <c r="D23661" i="1"/>
  <c r="D23662" i="1"/>
  <c r="D23663" i="1"/>
  <c r="D23664" i="1"/>
  <c r="D23665" i="1"/>
  <c r="D23666" i="1"/>
  <c r="D23667" i="1"/>
  <c r="D23668" i="1"/>
  <c r="D23669" i="1"/>
  <c r="D23670" i="1"/>
  <c r="D23671" i="1"/>
  <c r="D23672" i="1"/>
  <c r="D23673" i="1"/>
  <c r="D23674" i="1"/>
  <c r="D23675" i="1"/>
  <c r="D23676" i="1"/>
  <c r="D23677" i="1"/>
  <c r="D23678" i="1"/>
  <c r="D23679" i="1"/>
  <c r="D23680" i="1"/>
  <c r="D23681" i="1"/>
  <c r="D23682" i="1"/>
  <c r="D23683" i="1"/>
  <c r="D23684" i="1"/>
  <c r="D23685" i="1"/>
  <c r="D23686" i="1"/>
  <c r="D23687" i="1"/>
  <c r="D23688" i="1"/>
  <c r="D23689" i="1"/>
  <c r="D23690" i="1"/>
  <c r="D23691" i="1"/>
  <c r="D23692" i="1"/>
  <c r="D23693" i="1"/>
  <c r="D23694" i="1"/>
  <c r="D23695" i="1"/>
  <c r="D23696" i="1"/>
  <c r="D23697" i="1"/>
  <c r="D23698" i="1"/>
  <c r="D23699" i="1"/>
  <c r="D23700" i="1"/>
  <c r="D23701" i="1"/>
  <c r="D23702" i="1"/>
  <c r="D23703" i="1"/>
  <c r="D23704" i="1"/>
  <c r="D23705" i="1"/>
  <c r="D23706" i="1"/>
  <c r="D23707" i="1"/>
  <c r="D23708" i="1"/>
  <c r="D23709" i="1"/>
  <c r="D23710" i="1"/>
  <c r="D23711" i="1"/>
  <c r="D23712" i="1"/>
  <c r="D23713" i="1"/>
  <c r="D23714" i="1"/>
  <c r="D23715" i="1"/>
  <c r="D23716" i="1"/>
  <c r="D23717" i="1"/>
  <c r="D23718" i="1"/>
  <c r="D23719" i="1"/>
  <c r="D23720" i="1"/>
  <c r="D23721" i="1"/>
  <c r="D23722" i="1"/>
  <c r="D23723" i="1"/>
  <c r="D23724" i="1"/>
  <c r="D23725" i="1"/>
  <c r="D23726" i="1"/>
  <c r="D23727" i="1"/>
  <c r="D23728" i="1"/>
  <c r="D23729" i="1"/>
  <c r="D23730" i="1"/>
  <c r="D23731" i="1"/>
  <c r="D23732" i="1"/>
  <c r="D23733" i="1"/>
  <c r="D23734" i="1"/>
  <c r="D23735" i="1"/>
  <c r="D23736" i="1"/>
  <c r="D23737" i="1"/>
  <c r="D23738" i="1"/>
  <c r="D23739" i="1"/>
  <c r="D23740" i="1"/>
  <c r="D23741" i="1"/>
  <c r="D23742" i="1"/>
  <c r="D23743" i="1"/>
  <c r="D23744" i="1"/>
  <c r="D23745" i="1"/>
  <c r="D23746" i="1"/>
  <c r="D23747" i="1"/>
  <c r="D23748" i="1"/>
  <c r="D23749" i="1"/>
  <c r="D23750" i="1"/>
  <c r="D23751" i="1"/>
  <c r="D23752" i="1"/>
  <c r="D23753" i="1"/>
  <c r="D23754" i="1"/>
  <c r="D23755" i="1"/>
  <c r="D23756" i="1"/>
  <c r="D23757" i="1"/>
  <c r="D23758" i="1"/>
  <c r="D23759" i="1"/>
  <c r="D23760" i="1"/>
  <c r="D23761" i="1"/>
  <c r="D23762" i="1"/>
  <c r="D23763" i="1"/>
  <c r="D23764" i="1"/>
  <c r="D23765" i="1"/>
  <c r="D23766" i="1"/>
  <c r="D23767" i="1"/>
  <c r="D23768" i="1"/>
  <c r="D23769" i="1"/>
  <c r="D23770" i="1"/>
  <c r="D23771" i="1"/>
  <c r="D23772" i="1"/>
  <c r="D23773" i="1"/>
  <c r="D23774" i="1"/>
  <c r="D23775" i="1"/>
  <c r="D23776" i="1"/>
  <c r="D23777" i="1"/>
  <c r="D23778" i="1"/>
  <c r="D23779" i="1"/>
  <c r="D23780" i="1"/>
  <c r="D23781" i="1"/>
  <c r="D23782" i="1"/>
  <c r="D23783" i="1"/>
  <c r="D23784" i="1"/>
  <c r="D23785" i="1"/>
  <c r="D23786" i="1"/>
  <c r="D23787" i="1"/>
  <c r="D23788" i="1"/>
  <c r="D23789" i="1"/>
  <c r="D23790" i="1"/>
  <c r="D23791" i="1"/>
  <c r="D23792" i="1"/>
  <c r="D23793" i="1"/>
  <c r="D23794" i="1"/>
  <c r="D23795" i="1"/>
  <c r="D23796" i="1"/>
  <c r="D23797" i="1"/>
  <c r="D23798" i="1"/>
  <c r="D23799" i="1"/>
  <c r="D23800" i="1"/>
  <c r="D23801" i="1"/>
  <c r="D23802" i="1"/>
  <c r="D23803" i="1"/>
  <c r="D23804" i="1"/>
  <c r="D23805" i="1"/>
  <c r="D23806" i="1"/>
  <c r="D23807" i="1"/>
  <c r="D23808" i="1"/>
  <c r="D23809" i="1"/>
  <c r="D23810" i="1"/>
  <c r="D23811" i="1"/>
  <c r="D23812" i="1"/>
  <c r="D23813" i="1"/>
  <c r="D23814" i="1"/>
  <c r="D23815" i="1"/>
  <c r="D23816" i="1"/>
  <c r="D23817" i="1"/>
  <c r="D23818" i="1"/>
  <c r="D23819" i="1"/>
  <c r="D23820" i="1"/>
  <c r="D23821" i="1"/>
  <c r="D23822" i="1"/>
  <c r="D23823" i="1"/>
  <c r="D23824" i="1"/>
  <c r="D23825" i="1"/>
  <c r="D23826" i="1"/>
  <c r="D23827" i="1"/>
  <c r="D23828" i="1"/>
  <c r="D23829" i="1"/>
  <c r="D23830" i="1"/>
  <c r="D23831" i="1"/>
  <c r="D23832" i="1"/>
  <c r="D23833" i="1"/>
  <c r="D23834" i="1"/>
  <c r="D23835" i="1"/>
  <c r="D23836" i="1"/>
  <c r="D23837" i="1"/>
  <c r="D23838" i="1"/>
  <c r="D23839" i="1"/>
  <c r="D23840" i="1"/>
  <c r="D23841" i="1"/>
  <c r="D23842" i="1"/>
  <c r="D23843" i="1"/>
  <c r="D23844" i="1"/>
  <c r="D23845" i="1"/>
  <c r="D23846" i="1"/>
  <c r="D23847" i="1"/>
  <c r="D23848" i="1"/>
  <c r="D23849" i="1"/>
  <c r="D23850" i="1"/>
  <c r="D23851" i="1"/>
  <c r="D23852" i="1"/>
  <c r="D23853" i="1"/>
  <c r="D23854" i="1"/>
  <c r="D23855" i="1"/>
  <c r="D23856" i="1"/>
  <c r="D23857" i="1"/>
  <c r="D23858" i="1"/>
  <c r="D23859" i="1"/>
  <c r="D23860" i="1"/>
  <c r="D23861" i="1"/>
  <c r="D23862" i="1"/>
  <c r="D23863" i="1"/>
  <c r="D23864" i="1"/>
  <c r="D23865" i="1"/>
  <c r="D23866" i="1"/>
  <c r="D23867" i="1"/>
  <c r="D23868" i="1"/>
  <c r="D23869" i="1"/>
  <c r="D23870" i="1"/>
  <c r="D23871" i="1"/>
  <c r="D23872" i="1"/>
  <c r="D23873" i="1"/>
  <c r="D23874" i="1"/>
  <c r="D23875" i="1"/>
  <c r="D23876" i="1"/>
  <c r="D23877" i="1"/>
  <c r="D23878" i="1"/>
  <c r="D23879" i="1"/>
  <c r="D23880" i="1"/>
  <c r="D23881" i="1"/>
  <c r="D23882" i="1"/>
  <c r="D23883" i="1"/>
  <c r="D23884" i="1"/>
  <c r="D23885" i="1"/>
  <c r="D23886" i="1"/>
  <c r="D23887" i="1"/>
  <c r="D23888" i="1"/>
  <c r="D23889" i="1"/>
  <c r="D23890" i="1"/>
  <c r="D23891" i="1"/>
  <c r="D23892" i="1"/>
  <c r="D23893" i="1"/>
  <c r="D23894" i="1"/>
  <c r="D23895" i="1"/>
  <c r="D23896" i="1"/>
  <c r="D23897" i="1"/>
  <c r="D23898" i="1"/>
  <c r="D23899" i="1"/>
  <c r="D23900" i="1"/>
  <c r="D23901" i="1"/>
  <c r="D23902" i="1"/>
  <c r="D23903" i="1"/>
  <c r="D23904" i="1"/>
  <c r="D23905" i="1"/>
  <c r="D23906" i="1"/>
  <c r="D23907" i="1"/>
  <c r="D23908" i="1"/>
  <c r="D23909" i="1"/>
  <c r="D23910" i="1"/>
  <c r="D23911" i="1"/>
  <c r="D23912" i="1"/>
  <c r="D23913" i="1"/>
  <c r="D23914" i="1"/>
  <c r="D23915" i="1"/>
  <c r="D23916" i="1"/>
  <c r="D23917" i="1"/>
  <c r="D23918" i="1"/>
  <c r="D23919" i="1"/>
  <c r="D23920" i="1"/>
  <c r="D23921" i="1"/>
  <c r="D23922" i="1"/>
  <c r="D23923" i="1"/>
  <c r="D23924" i="1"/>
  <c r="D23925" i="1"/>
  <c r="D23926" i="1"/>
  <c r="D23927" i="1"/>
  <c r="D23928" i="1"/>
  <c r="D23929" i="1"/>
  <c r="D23930" i="1"/>
  <c r="D23931" i="1"/>
  <c r="D23932" i="1"/>
  <c r="D23933" i="1"/>
  <c r="D23934" i="1"/>
  <c r="D23935" i="1"/>
  <c r="D23936" i="1"/>
  <c r="D23937" i="1"/>
  <c r="D23938" i="1"/>
  <c r="D23939" i="1"/>
  <c r="D23940" i="1"/>
  <c r="D23941" i="1"/>
  <c r="D23942" i="1"/>
  <c r="D23943" i="1"/>
  <c r="D23944" i="1"/>
  <c r="D23945" i="1"/>
  <c r="D23946" i="1"/>
  <c r="D23947" i="1"/>
  <c r="D23948" i="1"/>
  <c r="D23949" i="1"/>
  <c r="D23950" i="1"/>
  <c r="D23951" i="1"/>
  <c r="D23952" i="1"/>
  <c r="D23953" i="1"/>
  <c r="D23954" i="1"/>
  <c r="D23955" i="1"/>
  <c r="D23956" i="1"/>
  <c r="D23957" i="1"/>
  <c r="D23958" i="1"/>
  <c r="D23959" i="1"/>
  <c r="D23960" i="1"/>
  <c r="D23961" i="1"/>
  <c r="D23962" i="1"/>
  <c r="D23963" i="1"/>
  <c r="D23964" i="1"/>
  <c r="D23965" i="1"/>
  <c r="D23966" i="1"/>
  <c r="D23967" i="1"/>
  <c r="D23968" i="1"/>
  <c r="D23969" i="1"/>
  <c r="D23970" i="1"/>
  <c r="D23971" i="1"/>
  <c r="D23972" i="1"/>
  <c r="D23973" i="1"/>
  <c r="D23974" i="1"/>
  <c r="D23975" i="1"/>
  <c r="D23976" i="1"/>
  <c r="D23977" i="1"/>
  <c r="D23978" i="1"/>
  <c r="D23979" i="1"/>
  <c r="D23980" i="1"/>
  <c r="D23981" i="1"/>
  <c r="D23982" i="1"/>
  <c r="D23983" i="1"/>
  <c r="D23984" i="1"/>
  <c r="D23985" i="1"/>
  <c r="D23986" i="1"/>
  <c r="D23987" i="1"/>
  <c r="D23988" i="1"/>
  <c r="D23989" i="1"/>
  <c r="D23990" i="1"/>
  <c r="D23991" i="1"/>
  <c r="D23992" i="1"/>
  <c r="D23993" i="1"/>
  <c r="D23994" i="1"/>
  <c r="D23995" i="1"/>
  <c r="D23996" i="1"/>
  <c r="D23997" i="1"/>
  <c r="D23998" i="1"/>
  <c r="D23999" i="1"/>
  <c r="D24000" i="1"/>
  <c r="D24001" i="1"/>
  <c r="D24002" i="1"/>
  <c r="D24003" i="1"/>
  <c r="D24004" i="1"/>
  <c r="D24005" i="1"/>
  <c r="D24006" i="1"/>
  <c r="D24007" i="1"/>
  <c r="D24008" i="1"/>
  <c r="D24009" i="1"/>
  <c r="D24010" i="1"/>
  <c r="D24011" i="1"/>
  <c r="D24012" i="1"/>
  <c r="D24013" i="1"/>
  <c r="D24014" i="1"/>
  <c r="D24015" i="1"/>
  <c r="D24016" i="1"/>
  <c r="D24017" i="1"/>
  <c r="D24018" i="1"/>
  <c r="D24019" i="1"/>
  <c r="D24020" i="1"/>
  <c r="D24021" i="1"/>
  <c r="D24022" i="1"/>
  <c r="D24023" i="1"/>
  <c r="D24024" i="1"/>
  <c r="D24025" i="1"/>
  <c r="D24026" i="1"/>
  <c r="D24027" i="1"/>
  <c r="D24028" i="1"/>
  <c r="D24029" i="1"/>
  <c r="D24030" i="1"/>
  <c r="D24031" i="1"/>
  <c r="D24032" i="1"/>
  <c r="D24033" i="1"/>
  <c r="D24034" i="1"/>
  <c r="D24035" i="1"/>
  <c r="D24036" i="1"/>
  <c r="D24037" i="1"/>
  <c r="D24038" i="1"/>
  <c r="D24039" i="1"/>
  <c r="D24040" i="1"/>
  <c r="D24041" i="1"/>
  <c r="D24042" i="1"/>
  <c r="D24043" i="1"/>
  <c r="D24044" i="1"/>
  <c r="D24045" i="1"/>
  <c r="D24046" i="1"/>
  <c r="D24047" i="1"/>
  <c r="D24048" i="1"/>
  <c r="D24049" i="1"/>
  <c r="D24050" i="1"/>
  <c r="D24051" i="1"/>
  <c r="D24052" i="1"/>
  <c r="D24053" i="1"/>
  <c r="D24054" i="1"/>
  <c r="D24055" i="1"/>
  <c r="D24056" i="1"/>
  <c r="D24057" i="1"/>
  <c r="D24058" i="1"/>
  <c r="D24059" i="1"/>
  <c r="D24060" i="1"/>
  <c r="D24061" i="1"/>
  <c r="D24062" i="1"/>
  <c r="D24063" i="1"/>
  <c r="D24064" i="1"/>
  <c r="D24065" i="1"/>
  <c r="D24066" i="1"/>
  <c r="D24067" i="1"/>
  <c r="D24068" i="1"/>
  <c r="D24069" i="1"/>
  <c r="D24070" i="1"/>
  <c r="D24071" i="1"/>
  <c r="D24072" i="1"/>
  <c r="D24073" i="1"/>
  <c r="D24074" i="1"/>
  <c r="D24075" i="1"/>
  <c r="D24076" i="1"/>
  <c r="D24077" i="1"/>
  <c r="D24078" i="1"/>
  <c r="D24079" i="1"/>
  <c r="D24080" i="1"/>
  <c r="D24081" i="1"/>
  <c r="D24082" i="1"/>
  <c r="D24083" i="1"/>
  <c r="D24084" i="1"/>
  <c r="D24085" i="1"/>
  <c r="D24086" i="1"/>
  <c r="D24087" i="1"/>
  <c r="D24088" i="1"/>
  <c r="D24089" i="1"/>
  <c r="D24090" i="1"/>
  <c r="D24091" i="1"/>
  <c r="D24092" i="1"/>
  <c r="D24093" i="1"/>
  <c r="D24094" i="1"/>
  <c r="D24095" i="1"/>
  <c r="D24096" i="1"/>
  <c r="D24097" i="1"/>
  <c r="D24098" i="1"/>
  <c r="D24099" i="1"/>
  <c r="D24100" i="1"/>
  <c r="D24101" i="1"/>
  <c r="D24102" i="1"/>
  <c r="D24103" i="1"/>
  <c r="D24104" i="1"/>
  <c r="D24105" i="1"/>
  <c r="D24106" i="1"/>
  <c r="D24107" i="1"/>
  <c r="D24108" i="1"/>
  <c r="D24109" i="1"/>
  <c r="D24110" i="1"/>
  <c r="D24111" i="1"/>
  <c r="D24112" i="1"/>
  <c r="D24113" i="1"/>
  <c r="D24114" i="1"/>
  <c r="D24115" i="1"/>
  <c r="D24116" i="1"/>
  <c r="D24117" i="1"/>
  <c r="D24118" i="1"/>
  <c r="D24119" i="1"/>
  <c r="D24120" i="1"/>
  <c r="D24121" i="1"/>
  <c r="D24122" i="1"/>
  <c r="D24123" i="1"/>
  <c r="D24124" i="1"/>
  <c r="D24125" i="1"/>
  <c r="D24126" i="1"/>
  <c r="D24127" i="1"/>
  <c r="D24128" i="1"/>
  <c r="D24129" i="1"/>
  <c r="D24130" i="1"/>
  <c r="D24131" i="1"/>
  <c r="D24132" i="1"/>
  <c r="D24133" i="1"/>
  <c r="D24134" i="1"/>
  <c r="D24135" i="1"/>
  <c r="D24136" i="1"/>
  <c r="D24137" i="1"/>
  <c r="D24138" i="1"/>
  <c r="D24139" i="1"/>
  <c r="D24140" i="1"/>
  <c r="D24141" i="1"/>
  <c r="D24142" i="1"/>
  <c r="D24143" i="1"/>
  <c r="D24144" i="1"/>
  <c r="D24145" i="1"/>
  <c r="D24146" i="1"/>
  <c r="D24147" i="1"/>
  <c r="D24148" i="1"/>
  <c r="D24149" i="1"/>
  <c r="D24150" i="1"/>
  <c r="D24151" i="1"/>
  <c r="D24152" i="1"/>
  <c r="D24153" i="1"/>
  <c r="D24154" i="1"/>
  <c r="D24155" i="1"/>
  <c r="D24156" i="1"/>
  <c r="D24157" i="1"/>
  <c r="D24158" i="1"/>
  <c r="D24159" i="1"/>
  <c r="D24160" i="1"/>
  <c r="D24161" i="1"/>
  <c r="D24162" i="1"/>
  <c r="D24163" i="1"/>
  <c r="D24164" i="1"/>
  <c r="D24165" i="1"/>
  <c r="D24166" i="1"/>
  <c r="D24167" i="1"/>
  <c r="D24168" i="1"/>
  <c r="D24169" i="1"/>
  <c r="D24170" i="1"/>
  <c r="D24171" i="1"/>
  <c r="D24172" i="1"/>
  <c r="D24173" i="1"/>
  <c r="D24174" i="1"/>
  <c r="D24175" i="1"/>
  <c r="D24176" i="1"/>
  <c r="D24177" i="1"/>
  <c r="D24178" i="1"/>
  <c r="D24179" i="1"/>
  <c r="D24180" i="1"/>
  <c r="D24181" i="1"/>
  <c r="D24182" i="1"/>
  <c r="D24183" i="1"/>
  <c r="D24184" i="1"/>
  <c r="D24185" i="1"/>
  <c r="D24186" i="1"/>
  <c r="D24187" i="1"/>
  <c r="D24188" i="1"/>
  <c r="D24189" i="1"/>
  <c r="D24190" i="1"/>
  <c r="D24191" i="1"/>
  <c r="D24192" i="1"/>
  <c r="D24193" i="1"/>
  <c r="D24194" i="1"/>
  <c r="D24195" i="1"/>
  <c r="D24196" i="1"/>
  <c r="D24197" i="1"/>
  <c r="D24198" i="1"/>
  <c r="D24199" i="1"/>
  <c r="D24200" i="1"/>
  <c r="D24201" i="1"/>
  <c r="D24202" i="1"/>
  <c r="D24203" i="1"/>
  <c r="D24204" i="1"/>
  <c r="D24205" i="1"/>
  <c r="D24206" i="1"/>
  <c r="D24207" i="1"/>
  <c r="D24208" i="1"/>
  <c r="D24209" i="1"/>
  <c r="D24210" i="1"/>
  <c r="D24211" i="1"/>
  <c r="D24212" i="1"/>
  <c r="D24213" i="1"/>
  <c r="D24214" i="1"/>
  <c r="D24215" i="1"/>
  <c r="D24216" i="1"/>
  <c r="D24217" i="1"/>
  <c r="D24218" i="1"/>
  <c r="D24219" i="1"/>
  <c r="D24220" i="1"/>
  <c r="D24221" i="1"/>
  <c r="D24222" i="1"/>
  <c r="D24223" i="1"/>
  <c r="D24224" i="1"/>
  <c r="D24225" i="1"/>
  <c r="D24226" i="1"/>
  <c r="D24227" i="1"/>
  <c r="D24228" i="1"/>
  <c r="D24229" i="1"/>
  <c r="D24230" i="1"/>
  <c r="D24231" i="1"/>
  <c r="D24232" i="1"/>
  <c r="D24233" i="1"/>
  <c r="D24234" i="1"/>
  <c r="D24235" i="1"/>
  <c r="D24236" i="1"/>
  <c r="D24237" i="1"/>
  <c r="D24238" i="1"/>
  <c r="D24239" i="1"/>
  <c r="D24240" i="1"/>
  <c r="D24241" i="1"/>
  <c r="D24242" i="1"/>
  <c r="D24243" i="1"/>
  <c r="D24244" i="1"/>
  <c r="D24245" i="1"/>
  <c r="D24246" i="1"/>
  <c r="D24247" i="1"/>
  <c r="D24248" i="1"/>
  <c r="D24249" i="1"/>
  <c r="D24250" i="1"/>
  <c r="D24251" i="1"/>
  <c r="D24252" i="1"/>
  <c r="D24253" i="1"/>
  <c r="D24254" i="1"/>
  <c r="D24255" i="1"/>
  <c r="D24256" i="1"/>
  <c r="D24257" i="1"/>
  <c r="D24258" i="1"/>
  <c r="D24259" i="1"/>
  <c r="D24260" i="1"/>
  <c r="D24261" i="1"/>
  <c r="D24262" i="1"/>
  <c r="D24263" i="1"/>
  <c r="D24264" i="1"/>
  <c r="D24265" i="1"/>
  <c r="D24266" i="1"/>
  <c r="D24267" i="1"/>
  <c r="D24268" i="1"/>
  <c r="D24269" i="1"/>
  <c r="D24270" i="1"/>
  <c r="D24271" i="1"/>
  <c r="D24272" i="1"/>
  <c r="D24273" i="1"/>
  <c r="D24274" i="1"/>
  <c r="D24275" i="1"/>
  <c r="D24276" i="1"/>
  <c r="D24277" i="1"/>
  <c r="D24278" i="1"/>
  <c r="D24279" i="1"/>
  <c r="D24280" i="1"/>
  <c r="D24281" i="1"/>
  <c r="D24282" i="1"/>
  <c r="D24283" i="1"/>
  <c r="D24284" i="1"/>
  <c r="D24285" i="1"/>
  <c r="D24286" i="1"/>
  <c r="D24287" i="1"/>
  <c r="D24288" i="1"/>
  <c r="D24289" i="1"/>
  <c r="D24290" i="1"/>
  <c r="D24291" i="1"/>
  <c r="D24292" i="1"/>
  <c r="D24293" i="1"/>
  <c r="D24294" i="1"/>
  <c r="D24295" i="1"/>
  <c r="D24296" i="1"/>
  <c r="D24297" i="1"/>
  <c r="D24298" i="1"/>
  <c r="D24299" i="1"/>
  <c r="D24300" i="1"/>
  <c r="D24301" i="1"/>
  <c r="D24302" i="1"/>
  <c r="D24303" i="1"/>
  <c r="D24304" i="1"/>
  <c r="D24305" i="1"/>
  <c r="D24306" i="1"/>
  <c r="D24307" i="1"/>
  <c r="D24308" i="1"/>
  <c r="D24309" i="1"/>
  <c r="D24310" i="1"/>
  <c r="D24311" i="1"/>
  <c r="D24312" i="1"/>
  <c r="D24313" i="1"/>
  <c r="D24314" i="1"/>
  <c r="D24315" i="1"/>
  <c r="D24316" i="1"/>
  <c r="D24317" i="1"/>
  <c r="D24318" i="1"/>
  <c r="D24319" i="1"/>
  <c r="D24320" i="1"/>
  <c r="D24321" i="1"/>
  <c r="D24322" i="1"/>
  <c r="D24323" i="1"/>
  <c r="D24324" i="1"/>
  <c r="D24325" i="1"/>
  <c r="D24326" i="1"/>
  <c r="D24327" i="1"/>
  <c r="D24328" i="1"/>
  <c r="D24329" i="1"/>
  <c r="D24330" i="1"/>
  <c r="D24331" i="1"/>
  <c r="D24332" i="1"/>
  <c r="D24333" i="1"/>
  <c r="D24334" i="1"/>
  <c r="D24335" i="1"/>
  <c r="D24336" i="1"/>
  <c r="D24337" i="1"/>
  <c r="D24338" i="1"/>
  <c r="D24339" i="1"/>
  <c r="D24340" i="1"/>
  <c r="D24341" i="1"/>
  <c r="D24342" i="1"/>
  <c r="D24343" i="1"/>
  <c r="D24344" i="1"/>
  <c r="D24345" i="1"/>
  <c r="D24346" i="1"/>
  <c r="D24347" i="1"/>
  <c r="D24348" i="1"/>
  <c r="D24349" i="1"/>
  <c r="D24350" i="1"/>
  <c r="D24351" i="1"/>
  <c r="D24352" i="1"/>
  <c r="D24353" i="1"/>
  <c r="D24354" i="1"/>
  <c r="D24355" i="1"/>
  <c r="D24356" i="1"/>
  <c r="D24357" i="1"/>
  <c r="D24358" i="1"/>
  <c r="D24359" i="1"/>
  <c r="D24360" i="1"/>
  <c r="D24361" i="1"/>
  <c r="D24362" i="1"/>
  <c r="D24363" i="1"/>
  <c r="D24364" i="1"/>
  <c r="D24365" i="1"/>
  <c r="D24366" i="1"/>
  <c r="D24367" i="1"/>
  <c r="D24368" i="1"/>
  <c r="D24369" i="1"/>
  <c r="D24370" i="1"/>
  <c r="D24371" i="1"/>
  <c r="D24372" i="1"/>
  <c r="D24373" i="1"/>
  <c r="D24374" i="1"/>
  <c r="D24375" i="1"/>
  <c r="D24376" i="1"/>
  <c r="D24377" i="1"/>
  <c r="D24378" i="1"/>
  <c r="D24379" i="1"/>
  <c r="D24380" i="1"/>
  <c r="D24381" i="1"/>
  <c r="D24382" i="1"/>
  <c r="D24383" i="1"/>
  <c r="D24384" i="1"/>
  <c r="D24385" i="1"/>
  <c r="D24386" i="1"/>
  <c r="D24387" i="1"/>
  <c r="D24388" i="1"/>
  <c r="D24389" i="1"/>
  <c r="D24390" i="1"/>
  <c r="D24391" i="1"/>
  <c r="D24392" i="1"/>
  <c r="D24393" i="1"/>
  <c r="D24394" i="1"/>
  <c r="D24395" i="1"/>
  <c r="D24396" i="1"/>
  <c r="D24397" i="1"/>
  <c r="D24398" i="1"/>
  <c r="D24399" i="1"/>
  <c r="D24400" i="1"/>
  <c r="D24401" i="1"/>
  <c r="D24402" i="1"/>
  <c r="D24403" i="1"/>
  <c r="D24404" i="1"/>
  <c r="D24405" i="1"/>
  <c r="D24406" i="1"/>
  <c r="D24407" i="1"/>
  <c r="D24408" i="1"/>
  <c r="D24409" i="1"/>
  <c r="D24410" i="1"/>
  <c r="D24411" i="1"/>
  <c r="D24412" i="1"/>
  <c r="D24413" i="1"/>
  <c r="D24414" i="1"/>
  <c r="D24415" i="1"/>
  <c r="D24416" i="1"/>
  <c r="D24417" i="1"/>
  <c r="D24418" i="1"/>
  <c r="D24419" i="1"/>
  <c r="D24420" i="1"/>
  <c r="D24421" i="1"/>
  <c r="D24422" i="1"/>
  <c r="D24423" i="1"/>
  <c r="D24424" i="1"/>
  <c r="D24425" i="1"/>
  <c r="D24426" i="1"/>
  <c r="D24427" i="1"/>
  <c r="D24428" i="1"/>
  <c r="D24429" i="1"/>
  <c r="D24430" i="1"/>
  <c r="D24431" i="1"/>
  <c r="D24432" i="1"/>
  <c r="D24433" i="1"/>
  <c r="D24434" i="1"/>
  <c r="D24435" i="1"/>
  <c r="D24436" i="1"/>
  <c r="D24437" i="1"/>
  <c r="D24438" i="1"/>
  <c r="D24439" i="1"/>
  <c r="D24440" i="1"/>
  <c r="D24441" i="1"/>
  <c r="D24442" i="1"/>
  <c r="D24443" i="1"/>
  <c r="D24444" i="1"/>
  <c r="D24445" i="1"/>
  <c r="D24446" i="1"/>
  <c r="D24447" i="1"/>
  <c r="D24448" i="1"/>
  <c r="D24449" i="1"/>
  <c r="D24450" i="1"/>
  <c r="D24451" i="1"/>
  <c r="D24452" i="1"/>
  <c r="D24453" i="1"/>
  <c r="D24454" i="1"/>
  <c r="D24455" i="1"/>
  <c r="D24456" i="1"/>
  <c r="D24457" i="1"/>
  <c r="D24458" i="1"/>
  <c r="D24459" i="1"/>
  <c r="D24460" i="1"/>
  <c r="D24461" i="1"/>
  <c r="D24462" i="1"/>
  <c r="D24463" i="1"/>
  <c r="D24464" i="1"/>
  <c r="D24465" i="1"/>
  <c r="D24466" i="1"/>
  <c r="D24467" i="1"/>
  <c r="D24468" i="1"/>
  <c r="D24469" i="1"/>
  <c r="D24470" i="1"/>
  <c r="D24471" i="1"/>
  <c r="D24472" i="1"/>
  <c r="D24473" i="1"/>
  <c r="D24474" i="1"/>
  <c r="D24475" i="1"/>
  <c r="D24476" i="1"/>
  <c r="D24477" i="1"/>
  <c r="D24478" i="1"/>
  <c r="D24479" i="1"/>
  <c r="D24480" i="1"/>
  <c r="D24481" i="1"/>
  <c r="D24482" i="1"/>
  <c r="D24483" i="1"/>
  <c r="D24484" i="1"/>
  <c r="D24485" i="1"/>
  <c r="D24486" i="1"/>
  <c r="D24487" i="1"/>
  <c r="D24488" i="1"/>
  <c r="D24489" i="1"/>
  <c r="D24490" i="1"/>
  <c r="D24491" i="1"/>
  <c r="D24492" i="1"/>
  <c r="D24493" i="1"/>
  <c r="D24494" i="1"/>
  <c r="D24495" i="1"/>
  <c r="D24496" i="1"/>
  <c r="D24497" i="1"/>
  <c r="D24498" i="1"/>
  <c r="D24499" i="1"/>
  <c r="D24500" i="1"/>
  <c r="D24501" i="1"/>
  <c r="D24502" i="1"/>
  <c r="D24503" i="1"/>
  <c r="D24504" i="1"/>
  <c r="D24505" i="1"/>
  <c r="D24506" i="1"/>
  <c r="D24507" i="1"/>
  <c r="D24508" i="1"/>
  <c r="D24509" i="1"/>
  <c r="D24510" i="1"/>
  <c r="D24511" i="1"/>
  <c r="D24512" i="1"/>
  <c r="D24513" i="1"/>
  <c r="D24514" i="1"/>
  <c r="D24515" i="1"/>
  <c r="D24516" i="1"/>
  <c r="D24517" i="1"/>
  <c r="D24518" i="1"/>
  <c r="D24519" i="1"/>
  <c r="D24520" i="1"/>
  <c r="D24521" i="1"/>
  <c r="D24522" i="1"/>
  <c r="D24523" i="1"/>
  <c r="D24524" i="1"/>
  <c r="D24525" i="1"/>
  <c r="D24526" i="1"/>
  <c r="D24527" i="1"/>
  <c r="D24528" i="1"/>
  <c r="D24529" i="1"/>
  <c r="D24530" i="1"/>
  <c r="D24531" i="1"/>
  <c r="D24532" i="1"/>
  <c r="D24533" i="1"/>
  <c r="D24534" i="1"/>
  <c r="D24535" i="1"/>
  <c r="D24536" i="1"/>
  <c r="D24537" i="1"/>
  <c r="D24538" i="1"/>
  <c r="D24539" i="1"/>
  <c r="D24540" i="1"/>
  <c r="D24541" i="1"/>
  <c r="D24542" i="1"/>
  <c r="D24543" i="1"/>
  <c r="D24544" i="1"/>
  <c r="D24545" i="1"/>
  <c r="D24546" i="1"/>
  <c r="D24547" i="1"/>
  <c r="D24548" i="1"/>
  <c r="D24549" i="1"/>
  <c r="D24550" i="1"/>
  <c r="D24551" i="1"/>
  <c r="D24552" i="1"/>
  <c r="D24553" i="1"/>
  <c r="D24554" i="1"/>
  <c r="D24555" i="1"/>
  <c r="D24556" i="1"/>
  <c r="D24557" i="1"/>
  <c r="D24558" i="1"/>
  <c r="D24559" i="1"/>
  <c r="D24560" i="1"/>
  <c r="D24561" i="1"/>
  <c r="D24562" i="1"/>
  <c r="D24563" i="1"/>
  <c r="D24564" i="1"/>
  <c r="D24565" i="1"/>
  <c r="D24566" i="1"/>
  <c r="D24567" i="1"/>
  <c r="D24568" i="1"/>
  <c r="D24569" i="1"/>
  <c r="D24570" i="1"/>
  <c r="D24571" i="1"/>
  <c r="D24572" i="1"/>
  <c r="D24573" i="1"/>
  <c r="D24574" i="1"/>
  <c r="D24575" i="1"/>
  <c r="D24576" i="1"/>
  <c r="D24577" i="1"/>
  <c r="D24578" i="1"/>
  <c r="D24579" i="1"/>
  <c r="D24580" i="1"/>
  <c r="D24581" i="1"/>
  <c r="D24582" i="1"/>
  <c r="D24583" i="1"/>
  <c r="D24584" i="1"/>
  <c r="D24585" i="1"/>
  <c r="D24586" i="1"/>
  <c r="D24587" i="1"/>
  <c r="D24588" i="1"/>
  <c r="D24589" i="1"/>
  <c r="D24590" i="1"/>
  <c r="D24591" i="1"/>
  <c r="D24592" i="1"/>
  <c r="D24593" i="1"/>
  <c r="D24594" i="1"/>
  <c r="D24595" i="1"/>
  <c r="D24596" i="1"/>
  <c r="D24597" i="1"/>
  <c r="D24598" i="1"/>
  <c r="D24599" i="1"/>
  <c r="D24600" i="1"/>
  <c r="D24601" i="1"/>
  <c r="D24602" i="1"/>
  <c r="D24603" i="1"/>
  <c r="D24604" i="1"/>
  <c r="D24605" i="1"/>
  <c r="D24606" i="1"/>
  <c r="D24607" i="1"/>
  <c r="D24608" i="1"/>
  <c r="D24609" i="1"/>
  <c r="D24610" i="1"/>
  <c r="D24611" i="1"/>
  <c r="D24612" i="1"/>
  <c r="D24613" i="1"/>
  <c r="D24614" i="1"/>
  <c r="D24615" i="1"/>
  <c r="D24616" i="1"/>
  <c r="D24617" i="1"/>
  <c r="D24618" i="1"/>
  <c r="D24619" i="1"/>
  <c r="D24620" i="1"/>
  <c r="D24621" i="1"/>
  <c r="D24622" i="1"/>
  <c r="D24623" i="1"/>
  <c r="D24624" i="1"/>
  <c r="D24625" i="1"/>
  <c r="D24626" i="1"/>
  <c r="D24627" i="1"/>
  <c r="D24628" i="1"/>
  <c r="D24629" i="1"/>
  <c r="D24630" i="1"/>
  <c r="D24631" i="1"/>
  <c r="D24632" i="1"/>
  <c r="D24633" i="1"/>
  <c r="D24634" i="1"/>
  <c r="D24635" i="1"/>
  <c r="D24636" i="1"/>
  <c r="D24637" i="1"/>
  <c r="D24638" i="1"/>
  <c r="D24639" i="1"/>
  <c r="D24640" i="1"/>
  <c r="D24641" i="1"/>
  <c r="D24642" i="1"/>
  <c r="D24643" i="1"/>
  <c r="D24644" i="1"/>
  <c r="D24645" i="1"/>
  <c r="D24646" i="1"/>
  <c r="D24647" i="1"/>
  <c r="D24648" i="1"/>
  <c r="D24649" i="1"/>
  <c r="D24650" i="1"/>
  <c r="D24651" i="1"/>
  <c r="D24652" i="1"/>
  <c r="D24653" i="1"/>
  <c r="D24654" i="1"/>
  <c r="D24655" i="1"/>
  <c r="D24656" i="1"/>
  <c r="D24657" i="1"/>
  <c r="D24658" i="1"/>
  <c r="D24659" i="1"/>
  <c r="D24660" i="1"/>
  <c r="D24661" i="1"/>
  <c r="D24662" i="1"/>
  <c r="D24663" i="1"/>
  <c r="D24664" i="1"/>
  <c r="D24665" i="1"/>
  <c r="D24666" i="1"/>
  <c r="D24667" i="1"/>
  <c r="D24668" i="1"/>
  <c r="D24669" i="1"/>
  <c r="D24670" i="1"/>
  <c r="D24671" i="1"/>
  <c r="D24672" i="1"/>
  <c r="D24673" i="1"/>
  <c r="D24674" i="1"/>
  <c r="D24675" i="1"/>
  <c r="D24676" i="1"/>
  <c r="D24677" i="1"/>
  <c r="D24678" i="1"/>
  <c r="D24679" i="1"/>
  <c r="D24680" i="1"/>
  <c r="D24681" i="1"/>
  <c r="D24682" i="1"/>
  <c r="D24683" i="1"/>
  <c r="D24684" i="1"/>
  <c r="D24685" i="1"/>
  <c r="D24686" i="1"/>
  <c r="D24687" i="1"/>
  <c r="D24688" i="1"/>
  <c r="D24689" i="1"/>
  <c r="D24690" i="1"/>
  <c r="D24691" i="1"/>
  <c r="D24692" i="1"/>
  <c r="D24693" i="1"/>
  <c r="D24694" i="1"/>
  <c r="D24695" i="1"/>
  <c r="D24696" i="1"/>
  <c r="D24697" i="1"/>
  <c r="D24698" i="1"/>
  <c r="D24699" i="1"/>
  <c r="D24700" i="1"/>
  <c r="D24701" i="1"/>
  <c r="D24702" i="1"/>
  <c r="D24703" i="1"/>
  <c r="D24704" i="1"/>
  <c r="D24705" i="1"/>
  <c r="D24706" i="1"/>
  <c r="D24707" i="1"/>
  <c r="D24708" i="1"/>
  <c r="D24709" i="1"/>
  <c r="D24710" i="1"/>
  <c r="D24711" i="1"/>
  <c r="D24712" i="1"/>
  <c r="D24713" i="1"/>
  <c r="D24714" i="1"/>
  <c r="D24715" i="1"/>
  <c r="D24716" i="1"/>
  <c r="D24717" i="1"/>
  <c r="D24718" i="1"/>
  <c r="D24719" i="1"/>
  <c r="D24720" i="1"/>
  <c r="D24721" i="1"/>
  <c r="D24722" i="1"/>
  <c r="D24723" i="1"/>
  <c r="D24724" i="1"/>
  <c r="D24725" i="1"/>
  <c r="D24726" i="1"/>
  <c r="D24727" i="1"/>
  <c r="D24728" i="1"/>
  <c r="D24729" i="1"/>
  <c r="D24730" i="1"/>
  <c r="D24731" i="1"/>
  <c r="D24732" i="1"/>
  <c r="D24733" i="1"/>
  <c r="D24734" i="1"/>
  <c r="D24735" i="1"/>
  <c r="D24736" i="1"/>
  <c r="D24737" i="1"/>
  <c r="D24738" i="1"/>
  <c r="D24739" i="1"/>
  <c r="D24740" i="1"/>
  <c r="D24741" i="1"/>
  <c r="D24742" i="1"/>
  <c r="D24743" i="1"/>
  <c r="D24744" i="1"/>
  <c r="D24745" i="1"/>
  <c r="D24746" i="1"/>
  <c r="D24747" i="1"/>
  <c r="D24748" i="1"/>
  <c r="D24749" i="1"/>
  <c r="D24750" i="1"/>
  <c r="D24751" i="1"/>
  <c r="D24752" i="1"/>
  <c r="D24753" i="1"/>
  <c r="D24754" i="1"/>
  <c r="D24755" i="1"/>
  <c r="D24756" i="1"/>
  <c r="D24757" i="1"/>
  <c r="D24758" i="1"/>
  <c r="D24759" i="1"/>
  <c r="D24760" i="1"/>
  <c r="D24761" i="1"/>
  <c r="D24762" i="1"/>
  <c r="D24763" i="1"/>
  <c r="D24764" i="1"/>
  <c r="D24765" i="1"/>
  <c r="D24766" i="1"/>
  <c r="D24767" i="1"/>
  <c r="D24768" i="1"/>
  <c r="D24769" i="1"/>
  <c r="D24770" i="1"/>
  <c r="D24771" i="1"/>
  <c r="D24772" i="1"/>
  <c r="D24773" i="1"/>
  <c r="D24774" i="1"/>
  <c r="D24775" i="1"/>
  <c r="D24776" i="1"/>
  <c r="D24777" i="1"/>
  <c r="D24778" i="1"/>
  <c r="D24779" i="1"/>
  <c r="D24780" i="1"/>
  <c r="D24781" i="1"/>
  <c r="D24782" i="1"/>
  <c r="D24783" i="1"/>
  <c r="D24784" i="1"/>
  <c r="D24785" i="1"/>
  <c r="D24786" i="1"/>
  <c r="D24787" i="1"/>
  <c r="D24788" i="1"/>
  <c r="D24789" i="1"/>
  <c r="D24790" i="1"/>
  <c r="D24791" i="1"/>
  <c r="D24792" i="1"/>
  <c r="D24793" i="1"/>
  <c r="D24794" i="1"/>
  <c r="D24795" i="1"/>
  <c r="D24796" i="1"/>
  <c r="D24797" i="1"/>
  <c r="D24798" i="1"/>
  <c r="D24799" i="1"/>
  <c r="D24800" i="1"/>
  <c r="D24801" i="1"/>
  <c r="D24802" i="1"/>
  <c r="D24803" i="1"/>
  <c r="D24804" i="1"/>
  <c r="D24805" i="1"/>
  <c r="D24806" i="1"/>
  <c r="D24807" i="1"/>
  <c r="D24808" i="1"/>
  <c r="D24809" i="1"/>
  <c r="D24810" i="1"/>
  <c r="D24811" i="1"/>
  <c r="D24812" i="1"/>
  <c r="D24813" i="1"/>
  <c r="D24814" i="1"/>
  <c r="D24815" i="1"/>
  <c r="D24816" i="1"/>
  <c r="D24817" i="1"/>
  <c r="D24818" i="1"/>
  <c r="D24819" i="1"/>
  <c r="D24820" i="1"/>
  <c r="D24821" i="1"/>
  <c r="D24822" i="1"/>
  <c r="D24823" i="1"/>
  <c r="D24824" i="1"/>
  <c r="D24825" i="1"/>
  <c r="D24826" i="1"/>
  <c r="D24827" i="1"/>
  <c r="D24828" i="1"/>
  <c r="D24829" i="1"/>
  <c r="D24830" i="1"/>
  <c r="D24831" i="1"/>
  <c r="D24832" i="1"/>
  <c r="D24833" i="1"/>
  <c r="D24834" i="1"/>
  <c r="D24835" i="1"/>
  <c r="D24836" i="1"/>
  <c r="D24837" i="1"/>
  <c r="D24838" i="1"/>
  <c r="D24839" i="1"/>
  <c r="D24840" i="1"/>
  <c r="D24841" i="1"/>
  <c r="D24842" i="1"/>
  <c r="D24843" i="1"/>
  <c r="D24844" i="1"/>
  <c r="D24845" i="1"/>
  <c r="D24846" i="1"/>
  <c r="D24847" i="1"/>
  <c r="D24848" i="1"/>
  <c r="D24849" i="1"/>
  <c r="D24850" i="1"/>
  <c r="D24851" i="1"/>
  <c r="D24852" i="1"/>
  <c r="D24853" i="1"/>
  <c r="D24854" i="1"/>
  <c r="D24855" i="1"/>
  <c r="D24856" i="1"/>
  <c r="D24857" i="1"/>
  <c r="D24858" i="1"/>
  <c r="D24859" i="1"/>
  <c r="D24860" i="1"/>
  <c r="D24861" i="1"/>
  <c r="D24862" i="1"/>
  <c r="D24863" i="1"/>
  <c r="D24864" i="1"/>
  <c r="D24865" i="1"/>
  <c r="D24866" i="1"/>
  <c r="D24867" i="1"/>
  <c r="D24868" i="1"/>
  <c r="D24869" i="1"/>
  <c r="D24870" i="1"/>
  <c r="D24871" i="1"/>
  <c r="D24872" i="1"/>
  <c r="D24873" i="1"/>
  <c r="D24874" i="1"/>
  <c r="D24875" i="1"/>
  <c r="D24876" i="1"/>
  <c r="D24877" i="1"/>
  <c r="D24878" i="1"/>
  <c r="D24879" i="1"/>
  <c r="D24880" i="1"/>
  <c r="D24881" i="1"/>
  <c r="D24882" i="1"/>
  <c r="D24883" i="1"/>
  <c r="D24884" i="1"/>
  <c r="D24885" i="1"/>
  <c r="D24886" i="1"/>
  <c r="D24887" i="1"/>
  <c r="D24888" i="1"/>
  <c r="D24889" i="1"/>
  <c r="D24890" i="1"/>
  <c r="D24891" i="1"/>
  <c r="D24892" i="1"/>
  <c r="D24893" i="1"/>
  <c r="D24894" i="1"/>
  <c r="D24895" i="1"/>
  <c r="D24896" i="1"/>
  <c r="D24897" i="1"/>
  <c r="D24898" i="1"/>
  <c r="D24899" i="1"/>
  <c r="D24900" i="1"/>
  <c r="D24901" i="1"/>
  <c r="D24902" i="1"/>
  <c r="D24903" i="1"/>
  <c r="D24904" i="1"/>
  <c r="D24905" i="1"/>
  <c r="D24906" i="1"/>
  <c r="D24907" i="1"/>
  <c r="D24908" i="1"/>
  <c r="D24909" i="1"/>
  <c r="D24910" i="1"/>
  <c r="D24911" i="1"/>
  <c r="D24912" i="1"/>
  <c r="D24913" i="1"/>
  <c r="D24914" i="1"/>
  <c r="D24915" i="1"/>
  <c r="D24916" i="1"/>
  <c r="D24917" i="1"/>
  <c r="D24918" i="1"/>
  <c r="D24919" i="1"/>
  <c r="D24920" i="1"/>
  <c r="D24921" i="1"/>
  <c r="D24922" i="1"/>
  <c r="D24923" i="1"/>
  <c r="D24924" i="1"/>
  <c r="D24925" i="1"/>
  <c r="D24926" i="1"/>
  <c r="D24927" i="1"/>
  <c r="D24928" i="1"/>
  <c r="D24929" i="1"/>
  <c r="D24930" i="1"/>
  <c r="D24931" i="1"/>
  <c r="D24932" i="1"/>
  <c r="D24933" i="1"/>
  <c r="D24934" i="1"/>
  <c r="D24935" i="1"/>
  <c r="D24936" i="1"/>
  <c r="D24937" i="1"/>
  <c r="D24938" i="1"/>
  <c r="D24939" i="1"/>
  <c r="D24940" i="1"/>
  <c r="D24941" i="1"/>
  <c r="D24942" i="1"/>
  <c r="D24943" i="1"/>
  <c r="D24944" i="1"/>
  <c r="D24945" i="1"/>
  <c r="D24946" i="1"/>
  <c r="D24947" i="1"/>
  <c r="D24948" i="1"/>
  <c r="D24949" i="1"/>
  <c r="D24950" i="1"/>
  <c r="D24951" i="1"/>
  <c r="D24952" i="1"/>
  <c r="D24953" i="1"/>
  <c r="D24954" i="1"/>
  <c r="D24955" i="1"/>
  <c r="D24956" i="1"/>
  <c r="D24957" i="1"/>
  <c r="D24958" i="1"/>
  <c r="D24959" i="1"/>
  <c r="D24960" i="1"/>
  <c r="D24961" i="1"/>
  <c r="D24962" i="1"/>
  <c r="D24963" i="1"/>
  <c r="D24964" i="1"/>
  <c r="D24965" i="1"/>
  <c r="D24966" i="1"/>
  <c r="D24967" i="1"/>
  <c r="D24968" i="1"/>
  <c r="D24969" i="1"/>
  <c r="D24970" i="1"/>
  <c r="D24971" i="1"/>
  <c r="D24972" i="1"/>
  <c r="D24973" i="1"/>
  <c r="D24974" i="1"/>
  <c r="D24975" i="1"/>
  <c r="D24976" i="1"/>
  <c r="D24977" i="1"/>
  <c r="D24978" i="1"/>
  <c r="D24979" i="1"/>
  <c r="D24980" i="1"/>
  <c r="D24981" i="1"/>
  <c r="D24982" i="1"/>
  <c r="D24983" i="1"/>
  <c r="D24984" i="1"/>
  <c r="D24985" i="1"/>
  <c r="D24986" i="1"/>
  <c r="D24987" i="1"/>
  <c r="D24988" i="1"/>
  <c r="D24989" i="1"/>
  <c r="D24990" i="1"/>
  <c r="D24991" i="1"/>
  <c r="D24992" i="1"/>
  <c r="D24993" i="1"/>
  <c r="D24994" i="1"/>
  <c r="D24995" i="1"/>
  <c r="D24996" i="1"/>
  <c r="D24997" i="1"/>
  <c r="D24998" i="1"/>
  <c r="D24999" i="1"/>
  <c r="D25000" i="1"/>
  <c r="D25001" i="1"/>
  <c r="D25002" i="1"/>
  <c r="D25003" i="1"/>
  <c r="D25004" i="1"/>
  <c r="D25005" i="1"/>
  <c r="D25006" i="1"/>
  <c r="D25007" i="1"/>
  <c r="D25008" i="1"/>
  <c r="D25009" i="1"/>
  <c r="D25010" i="1"/>
  <c r="D25011" i="1"/>
  <c r="D25012" i="1"/>
  <c r="D25013" i="1"/>
  <c r="D25014" i="1"/>
  <c r="D25015" i="1"/>
  <c r="D25016" i="1"/>
  <c r="D25017" i="1"/>
  <c r="D25018" i="1"/>
  <c r="D25019" i="1"/>
  <c r="D25020" i="1"/>
  <c r="D25021" i="1"/>
  <c r="D25022" i="1"/>
  <c r="D25023" i="1"/>
  <c r="D25024" i="1"/>
  <c r="D25025" i="1"/>
  <c r="D25026" i="1"/>
  <c r="D25027" i="1"/>
  <c r="D25028" i="1"/>
  <c r="D25029" i="1"/>
  <c r="D25030" i="1"/>
  <c r="D25031" i="1"/>
  <c r="D25032" i="1"/>
  <c r="D25033" i="1"/>
  <c r="D25034" i="1"/>
  <c r="D25035" i="1"/>
  <c r="D25036" i="1"/>
  <c r="D25037" i="1"/>
  <c r="D25038" i="1"/>
  <c r="D25039" i="1"/>
  <c r="D25040" i="1"/>
  <c r="D25041" i="1"/>
  <c r="D25042" i="1"/>
  <c r="D25043" i="1"/>
  <c r="D25044" i="1"/>
  <c r="D25045" i="1"/>
  <c r="D25046" i="1"/>
  <c r="D25047" i="1"/>
  <c r="D25048" i="1"/>
  <c r="D25049" i="1"/>
  <c r="D25050" i="1"/>
  <c r="D25051" i="1"/>
  <c r="D25052" i="1"/>
  <c r="D25053" i="1"/>
  <c r="D25054" i="1"/>
  <c r="D25055" i="1"/>
  <c r="D25056" i="1"/>
  <c r="D25057" i="1"/>
  <c r="D25058" i="1"/>
  <c r="D25059" i="1"/>
  <c r="D25060" i="1"/>
  <c r="D25061" i="1"/>
  <c r="D25062" i="1"/>
  <c r="D25063" i="1"/>
  <c r="D25064" i="1"/>
  <c r="D25065" i="1"/>
  <c r="D25066" i="1"/>
  <c r="D25067" i="1"/>
  <c r="D25068" i="1"/>
  <c r="D25069" i="1"/>
  <c r="D25070" i="1"/>
  <c r="D25071" i="1"/>
  <c r="D25072" i="1"/>
  <c r="D25073" i="1"/>
  <c r="D25074" i="1"/>
  <c r="D25075" i="1"/>
  <c r="D25076" i="1"/>
  <c r="D25077" i="1"/>
  <c r="D25078" i="1"/>
  <c r="D25079" i="1"/>
  <c r="D25080" i="1"/>
  <c r="D25081" i="1"/>
  <c r="D25082" i="1"/>
  <c r="D25083" i="1"/>
  <c r="D25084" i="1"/>
  <c r="D25085" i="1"/>
  <c r="D25086" i="1"/>
  <c r="D25087" i="1"/>
  <c r="D25088" i="1"/>
  <c r="D25089" i="1"/>
  <c r="D25090" i="1"/>
  <c r="D25091" i="1"/>
  <c r="D25092" i="1"/>
  <c r="D25093" i="1"/>
  <c r="D25094" i="1"/>
  <c r="D25095" i="1"/>
  <c r="D25096" i="1"/>
  <c r="D25097" i="1"/>
  <c r="D25098" i="1"/>
  <c r="D25099" i="1"/>
  <c r="D25100" i="1"/>
  <c r="D25101" i="1"/>
  <c r="D25102" i="1"/>
  <c r="D25103" i="1"/>
  <c r="D25104" i="1"/>
  <c r="D25105" i="1"/>
  <c r="D25106" i="1"/>
  <c r="D25107" i="1"/>
  <c r="D25108" i="1"/>
  <c r="D25109" i="1"/>
  <c r="D25110" i="1"/>
  <c r="D25111" i="1"/>
  <c r="D25112" i="1"/>
  <c r="D25113" i="1"/>
  <c r="D25114" i="1"/>
  <c r="D25115" i="1"/>
  <c r="D25116" i="1"/>
  <c r="D25117" i="1"/>
  <c r="D25118" i="1"/>
  <c r="D25119" i="1"/>
  <c r="D25120" i="1"/>
  <c r="D25121" i="1"/>
  <c r="D25122" i="1"/>
  <c r="D25123" i="1"/>
  <c r="D25124" i="1"/>
  <c r="D25125" i="1"/>
  <c r="D25126" i="1"/>
  <c r="D25127" i="1"/>
  <c r="D25128" i="1"/>
  <c r="D25129" i="1"/>
  <c r="D25130" i="1"/>
  <c r="D25131" i="1"/>
  <c r="D25132" i="1"/>
  <c r="D25133" i="1"/>
  <c r="D25134" i="1"/>
  <c r="D25135" i="1"/>
  <c r="D25136" i="1"/>
  <c r="D25137" i="1"/>
  <c r="D25138" i="1"/>
  <c r="D25139" i="1"/>
  <c r="D25140" i="1"/>
  <c r="D25141" i="1"/>
  <c r="D25142" i="1"/>
  <c r="D25143" i="1"/>
  <c r="D25144" i="1"/>
  <c r="D25145" i="1"/>
  <c r="D25146" i="1"/>
  <c r="D25147" i="1"/>
  <c r="D25148" i="1"/>
  <c r="D25149" i="1"/>
  <c r="D25150" i="1"/>
  <c r="D25151" i="1"/>
  <c r="D25152" i="1"/>
  <c r="D25153" i="1"/>
  <c r="D25154" i="1"/>
  <c r="D25155" i="1"/>
  <c r="D25156" i="1"/>
  <c r="D25157" i="1"/>
  <c r="D25158" i="1"/>
  <c r="D25159" i="1"/>
  <c r="D25160" i="1"/>
  <c r="D25161" i="1"/>
  <c r="D25162" i="1"/>
  <c r="D25163" i="1"/>
  <c r="D25164" i="1"/>
  <c r="D25165" i="1"/>
  <c r="D25166" i="1"/>
  <c r="D25167" i="1"/>
  <c r="D25168" i="1"/>
  <c r="D25169" i="1"/>
  <c r="D25170" i="1"/>
  <c r="D25171" i="1"/>
  <c r="D25172" i="1"/>
  <c r="D25173" i="1"/>
  <c r="D25174" i="1"/>
  <c r="D25175" i="1"/>
  <c r="D25176" i="1"/>
  <c r="D25177" i="1"/>
  <c r="D25178" i="1"/>
  <c r="D25179" i="1"/>
  <c r="D25180" i="1"/>
  <c r="D25181" i="1"/>
  <c r="D25182" i="1"/>
  <c r="D25183" i="1"/>
  <c r="D25184" i="1"/>
  <c r="D25185" i="1"/>
  <c r="D25186" i="1"/>
  <c r="D25187" i="1"/>
  <c r="D25188" i="1"/>
  <c r="D25189" i="1"/>
  <c r="D25190" i="1"/>
  <c r="D25191" i="1"/>
  <c r="D25192" i="1"/>
  <c r="D25193" i="1"/>
  <c r="D25194" i="1"/>
  <c r="D25195" i="1"/>
  <c r="D25196" i="1"/>
  <c r="D25197" i="1"/>
  <c r="D25198" i="1"/>
  <c r="D25199" i="1"/>
  <c r="D25200" i="1"/>
  <c r="D25201" i="1"/>
  <c r="D25202" i="1"/>
  <c r="D25203" i="1"/>
  <c r="D25204" i="1"/>
  <c r="D25205" i="1"/>
  <c r="D25206" i="1"/>
  <c r="D25207" i="1"/>
  <c r="D25208" i="1"/>
  <c r="D25209" i="1"/>
  <c r="D25210" i="1"/>
  <c r="D25211" i="1"/>
  <c r="D25212" i="1"/>
  <c r="D25213" i="1"/>
  <c r="D25214" i="1"/>
  <c r="D25215" i="1"/>
  <c r="D25216" i="1"/>
  <c r="D25217" i="1"/>
  <c r="D25218" i="1"/>
  <c r="D25219" i="1"/>
  <c r="D25220" i="1"/>
  <c r="D25221" i="1"/>
  <c r="D25222" i="1"/>
  <c r="D25223" i="1"/>
  <c r="D25224" i="1"/>
  <c r="D25225" i="1"/>
  <c r="D25226" i="1"/>
  <c r="D25227" i="1"/>
  <c r="D25228" i="1"/>
  <c r="D25229" i="1"/>
  <c r="D25230" i="1"/>
  <c r="D25231" i="1"/>
  <c r="D25232" i="1"/>
  <c r="D25233" i="1"/>
  <c r="D25234" i="1"/>
  <c r="D25235" i="1"/>
  <c r="D25236" i="1"/>
  <c r="D25237" i="1"/>
  <c r="D25238" i="1"/>
  <c r="D25239" i="1"/>
  <c r="D25240" i="1"/>
  <c r="D25241" i="1"/>
  <c r="D25242" i="1"/>
  <c r="D25243" i="1"/>
  <c r="D25244" i="1"/>
  <c r="D25245" i="1"/>
  <c r="D25246" i="1"/>
  <c r="D25247" i="1"/>
  <c r="D25248" i="1"/>
  <c r="D25249" i="1"/>
  <c r="D25250" i="1"/>
  <c r="D25251" i="1"/>
  <c r="D25252" i="1"/>
  <c r="D25253" i="1"/>
  <c r="D25254" i="1"/>
  <c r="D25255" i="1"/>
  <c r="D25256" i="1"/>
  <c r="D25257" i="1"/>
  <c r="D25258" i="1"/>
  <c r="D25259" i="1"/>
  <c r="D25260" i="1"/>
  <c r="D25261" i="1"/>
  <c r="D25262" i="1"/>
  <c r="D25263" i="1"/>
  <c r="D25264" i="1"/>
  <c r="D25265" i="1"/>
  <c r="D25266" i="1"/>
  <c r="D25267" i="1"/>
  <c r="D25268" i="1"/>
  <c r="D25269" i="1"/>
  <c r="D25270" i="1"/>
  <c r="D25271" i="1"/>
  <c r="D25272" i="1"/>
  <c r="D25273" i="1"/>
  <c r="D25274" i="1"/>
  <c r="D25275" i="1"/>
  <c r="D25276" i="1"/>
  <c r="D25277" i="1"/>
  <c r="D25278" i="1"/>
  <c r="D25279" i="1"/>
  <c r="D25280" i="1"/>
  <c r="D25281" i="1"/>
  <c r="D25282" i="1"/>
  <c r="D25283" i="1"/>
  <c r="D25284" i="1"/>
  <c r="D25285" i="1"/>
  <c r="D25286" i="1"/>
  <c r="D25287" i="1"/>
  <c r="D25288" i="1"/>
  <c r="D25289" i="1"/>
  <c r="D25290" i="1"/>
  <c r="D25291" i="1"/>
  <c r="D25292" i="1"/>
  <c r="D25293" i="1"/>
  <c r="D25294" i="1"/>
  <c r="D25295" i="1"/>
  <c r="D25296" i="1"/>
  <c r="D25297" i="1"/>
  <c r="D25298" i="1"/>
  <c r="D25299" i="1"/>
  <c r="D25300" i="1"/>
  <c r="D25301" i="1"/>
  <c r="D25302" i="1"/>
  <c r="D25303" i="1"/>
  <c r="D25304" i="1"/>
  <c r="D25305" i="1"/>
  <c r="D25306" i="1"/>
  <c r="D25307" i="1"/>
  <c r="D25308" i="1"/>
  <c r="D25309" i="1"/>
  <c r="D25310" i="1"/>
  <c r="D25311" i="1"/>
  <c r="D25312" i="1"/>
  <c r="D25313" i="1"/>
  <c r="D25314" i="1"/>
  <c r="D25315" i="1"/>
  <c r="D25316" i="1"/>
  <c r="D25317" i="1"/>
  <c r="D25318" i="1"/>
  <c r="D25319" i="1"/>
  <c r="D25320" i="1"/>
  <c r="D25321" i="1"/>
  <c r="D25322" i="1"/>
  <c r="D25323" i="1"/>
  <c r="D25324" i="1"/>
  <c r="D25325" i="1"/>
  <c r="D25326" i="1"/>
  <c r="D25327" i="1"/>
  <c r="D25328" i="1"/>
  <c r="D25329" i="1"/>
  <c r="D25330" i="1"/>
  <c r="D25331" i="1"/>
  <c r="D25332" i="1"/>
  <c r="D25333" i="1"/>
  <c r="D25334" i="1"/>
  <c r="D25335" i="1"/>
  <c r="D25336" i="1"/>
  <c r="D25337" i="1"/>
  <c r="D25338" i="1"/>
  <c r="D25339" i="1"/>
  <c r="D25340" i="1"/>
  <c r="D25341" i="1"/>
  <c r="D25342" i="1"/>
  <c r="D25343" i="1"/>
  <c r="D25344" i="1"/>
  <c r="D25345" i="1"/>
  <c r="D25346" i="1"/>
  <c r="D25347" i="1"/>
  <c r="D25348" i="1"/>
  <c r="D25349" i="1"/>
  <c r="D25350" i="1"/>
  <c r="D25351" i="1"/>
  <c r="D25352" i="1"/>
  <c r="D25353" i="1"/>
  <c r="D25354" i="1"/>
  <c r="D25355" i="1"/>
  <c r="D25356" i="1"/>
  <c r="D25357" i="1"/>
  <c r="D25358" i="1"/>
  <c r="D25359" i="1"/>
  <c r="D25360" i="1"/>
  <c r="D25361" i="1"/>
  <c r="D25362" i="1"/>
  <c r="D25363" i="1"/>
  <c r="D25364" i="1"/>
  <c r="D25365" i="1"/>
  <c r="D25366" i="1"/>
  <c r="D25367" i="1"/>
  <c r="D25368" i="1"/>
  <c r="D25369" i="1"/>
  <c r="D25370" i="1"/>
  <c r="D25371" i="1"/>
  <c r="D25372" i="1"/>
  <c r="D25373" i="1"/>
  <c r="D25374" i="1"/>
  <c r="D25375" i="1"/>
  <c r="D25376" i="1"/>
  <c r="D25377" i="1"/>
  <c r="D25378" i="1"/>
  <c r="D25379" i="1"/>
  <c r="D25380" i="1"/>
  <c r="D25381" i="1"/>
  <c r="D25382" i="1"/>
  <c r="D25383" i="1"/>
  <c r="D25384" i="1"/>
  <c r="D25385" i="1"/>
  <c r="D25386" i="1"/>
  <c r="D25387" i="1"/>
  <c r="D25388" i="1"/>
  <c r="D25389" i="1"/>
  <c r="D25390" i="1"/>
  <c r="D25391" i="1"/>
  <c r="D25392" i="1"/>
  <c r="D25393" i="1"/>
  <c r="D25394" i="1"/>
  <c r="D25395" i="1"/>
  <c r="D25396" i="1"/>
  <c r="D25397" i="1"/>
  <c r="D25398" i="1"/>
  <c r="D25399" i="1"/>
  <c r="D25400" i="1"/>
  <c r="D25401" i="1"/>
  <c r="D25402" i="1"/>
  <c r="D25403" i="1"/>
  <c r="D25404" i="1"/>
  <c r="D25405" i="1"/>
  <c r="D25406" i="1"/>
  <c r="D25407" i="1"/>
  <c r="D25408" i="1"/>
  <c r="D25409" i="1"/>
  <c r="D25410" i="1"/>
  <c r="D25411" i="1"/>
  <c r="D25412" i="1"/>
  <c r="D25413" i="1"/>
  <c r="D25414" i="1"/>
  <c r="D25415" i="1"/>
  <c r="D25416" i="1"/>
  <c r="D25417" i="1"/>
  <c r="D25418" i="1"/>
  <c r="D25419" i="1"/>
  <c r="D25420" i="1"/>
  <c r="D25421" i="1"/>
  <c r="D25422" i="1"/>
  <c r="D25423" i="1"/>
  <c r="D25424" i="1"/>
  <c r="D25425" i="1"/>
  <c r="D25426" i="1"/>
  <c r="D25427" i="1"/>
  <c r="D25428" i="1"/>
  <c r="D25429" i="1"/>
  <c r="D25430" i="1"/>
  <c r="D25431" i="1"/>
  <c r="D25432" i="1"/>
  <c r="D25433" i="1"/>
  <c r="D25434" i="1"/>
  <c r="D25435" i="1"/>
  <c r="D25436" i="1"/>
  <c r="D25437" i="1"/>
  <c r="D25438" i="1"/>
  <c r="D25439" i="1"/>
  <c r="D25440" i="1"/>
  <c r="D25441" i="1"/>
  <c r="D25442" i="1"/>
  <c r="D25443" i="1"/>
  <c r="D25444" i="1"/>
  <c r="D25445" i="1"/>
  <c r="D25446" i="1"/>
  <c r="D25447" i="1"/>
  <c r="D25448" i="1"/>
  <c r="D25449" i="1"/>
  <c r="D25450" i="1"/>
  <c r="D25451" i="1"/>
  <c r="D25452" i="1"/>
  <c r="D25453" i="1"/>
  <c r="D25454" i="1"/>
  <c r="D25455" i="1"/>
  <c r="D25456" i="1"/>
  <c r="D25457" i="1"/>
  <c r="D25458" i="1"/>
  <c r="D25459" i="1"/>
  <c r="D25460" i="1"/>
  <c r="D25461" i="1"/>
  <c r="D25462" i="1"/>
  <c r="D25463" i="1"/>
  <c r="D25464" i="1"/>
  <c r="D25465" i="1"/>
  <c r="D25466" i="1"/>
  <c r="D25467" i="1"/>
  <c r="D25468" i="1"/>
  <c r="D25469" i="1"/>
  <c r="D25470" i="1"/>
  <c r="D25471" i="1"/>
  <c r="D25472" i="1"/>
  <c r="D25473" i="1"/>
  <c r="D25474" i="1"/>
  <c r="D25475" i="1"/>
  <c r="D25476" i="1"/>
  <c r="D25477" i="1"/>
  <c r="D25478" i="1"/>
  <c r="D25479" i="1"/>
  <c r="D25480" i="1"/>
  <c r="D25481" i="1"/>
  <c r="D25482" i="1"/>
  <c r="D25483" i="1"/>
  <c r="D25484" i="1"/>
  <c r="D25485" i="1"/>
  <c r="D25486" i="1"/>
  <c r="D25487" i="1"/>
  <c r="D25488" i="1"/>
  <c r="D25489" i="1"/>
  <c r="D25490" i="1"/>
  <c r="D25491" i="1"/>
  <c r="D25492" i="1"/>
  <c r="D25493" i="1"/>
  <c r="D25494" i="1"/>
  <c r="D25495" i="1"/>
  <c r="D25496" i="1"/>
  <c r="D25497" i="1"/>
  <c r="D25498" i="1"/>
  <c r="D25499" i="1"/>
  <c r="D25500" i="1"/>
  <c r="D25501" i="1"/>
  <c r="D25502" i="1"/>
  <c r="D25503" i="1"/>
  <c r="D25504" i="1"/>
  <c r="D25505" i="1"/>
  <c r="D25506" i="1"/>
  <c r="D25507" i="1"/>
  <c r="D25508" i="1"/>
  <c r="D25509" i="1"/>
  <c r="D25510" i="1"/>
  <c r="D25511" i="1"/>
  <c r="D25512" i="1"/>
  <c r="D25513" i="1"/>
  <c r="D25514" i="1"/>
  <c r="D25515" i="1"/>
  <c r="D25516" i="1"/>
  <c r="D25517" i="1"/>
  <c r="D25518" i="1"/>
  <c r="D25519" i="1"/>
  <c r="D25520" i="1"/>
  <c r="D25521" i="1"/>
  <c r="D25522" i="1"/>
  <c r="D25523" i="1"/>
  <c r="D25524" i="1"/>
  <c r="D25525" i="1"/>
  <c r="D25526" i="1"/>
  <c r="D25527" i="1"/>
  <c r="D25528" i="1"/>
  <c r="D25529" i="1"/>
  <c r="D25530" i="1"/>
  <c r="D25531" i="1"/>
  <c r="D25532" i="1"/>
  <c r="D25533" i="1"/>
  <c r="D25534" i="1"/>
  <c r="D25535" i="1"/>
  <c r="D25536" i="1"/>
  <c r="D25537" i="1"/>
  <c r="D25538" i="1"/>
  <c r="D25539" i="1"/>
  <c r="D25540" i="1"/>
  <c r="D25541" i="1"/>
  <c r="D25542" i="1"/>
  <c r="D25543" i="1"/>
  <c r="D25544" i="1"/>
  <c r="D25545" i="1"/>
  <c r="D25546" i="1"/>
  <c r="D25547" i="1"/>
  <c r="D25548" i="1"/>
  <c r="D25549" i="1"/>
  <c r="D25550" i="1"/>
  <c r="D25551" i="1"/>
  <c r="D25552" i="1"/>
  <c r="D25553" i="1"/>
  <c r="D25554" i="1"/>
  <c r="D25555" i="1"/>
  <c r="D25556" i="1"/>
  <c r="D25557" i="1"/>
  <c r="D25558" i="1"/>
  <c r="D25559" i="1"/>
  <c r="D25560" i="1"/>
  <c r="D25561" i="1"/>
  <c r="D25562" i="1"/>
  <c r="D25563" i="1"/>
  <c r="D25564" i="1"/>
  <c r="D25565" i="1"/>
  <c r="D25566" i="1"/>
  <c r="D25567" i="1"/>
  <c r="D25568" i="1"/>
  <c r="D25569" i="1"/>
  <c r="D25570" i="1"/>
  <c r="D25571" i="1"/>
  <c r="D25572" i="1"/>
  <c r="D25573" i="1"/>
  <c r="D25574" i="1"/>
  <c r="D25575" i="1"/>
  <c r="D25576" i="1"/>
  <c r="D25577" i="1"/>
  <c r="D25578" i="1"/>
  <c r="D25579" i="1"/>
  <c r="D25580" i="1"/>
  <c r="D25581" i="1"/>
  <c r="D25582" i="1"/>
  <c r="D25583" i="1"/>
  <c r="D25584" i="1"/>
  <c r="D25585" i="1"/>
  <c r="D25586" i="1"/>
  <c r="D25587" i="1"/>
  <c r="D25588" i="1"/>
  <c r="D25589" i="1"/>
  <c r="D25590" i="1"/>
  <c r="D25591" i="1"/>
  <c r="D25592" i="1"/>
  <c r="D25593" i="1"/>
  <c r="D25594" i="1"/>
  <c r="D25595" i="1"/>
  <c r="D25596" i="1"/>
  <c r="D25597" i="1"/>
  <c r="D25598" i="1"/>
  <c r="D25599" i="1"/>
  <c r="D25600" i="1"/>
  <c r="D25601" i="1"/>
  <c r="D25602" i="1"/>
  <c r="D25603" i="1"/>
  <c r="D25604" i="1"/>
  <c r="D25605" i="1"/>
  <c r="D25606" i="1"/>
  <c r="D25607" i="1"/>
  <c r="D25608" i="1"/>
  <c r="D25609" i="1"/>
  <c r="D25610" i="1"/>
  <c r="D25611" i="1"/>
  <c r="D25612" i="1"/>
  <c r="D25613" i="1"/>
  <c r="D25614" i="1"/>
  <c r="D25615" i="1"/>
  <c r="D25616" i="1"/>
  <c r="D25617" i="1"/>
  <c r="D25618" i="1"/>
  <c r="D25619" i="1"/>
  <c r="D25620" i="1"/>
  <c r="D25621" i="1"/>
  <c r="D25622" i="1"/>
  <c r="D25623" i="1"/>
  <c r="D25624" i="1"/>
  <c r="D25625" i="1"/>
  <c r="D25626" i="1"/>
  <c r="D25627" i="1"/>
  <c r="D25628" i="1"/>
  <c r="D25629" i="1"/>
  <c r="D25630" i="1"/>
  <c r="D25631" i="1"/>
  <c r="D25632" i="1"/>
  <c r="D25633" i="1"/>
  <c r="D25634" i="1"/>
  <c r="D25635" i="1"/>
  <c r="D25636" i="1"/>
  <c r="D25637" i="1"/>
  <c r="D25638" i="1"/>
  <c r="D25639" i="1"/>
  <c r="D25640" i="1"/>
  <c r="D25641" i="1"/>
  <c r="D25642" i="1"/>
  <c r="D25643" i="1"/>
  <c r="D25644" i="1"/>
  <c r="D25645" i="1"/>
  <c r="D25646" i="1"/>
  <c r="D25647" i="1"/>
  <c r="D25648" i="1"/>
  <c r="D25649" i="1"/>
  <c r="D25650" i="1"/>
  <c r="D25651" i="1"/>
  <c r="D25652" i="1"/>
  <c r="D25653" i="1"/>
  <c r="D25654" i="1"/>
  <c r="D25655" i="1"/>
  <c r="D25656" i="1"/>
  <c r="D25657" i="1"/>
  <c r="D25658" i="1"/>
  <c r="D25659" i="1"/>
  <c r="D25660" i="1"/>
  <c r="D25661" i="1"/>
  <c r="D25662" i="1"/>
  <c r="D25663" i="1"/>
  <c r="D25664" i="1"/>
  <c r="D25665" i="1"/>
  <c r="D25666" i="1"/>
  <c r="D25667" i="1"/>
  <c r="D25668" i="1"/>
  <c r="D25669" i="1"/>
  <c r="D25670" i="1"/>
  <c r="D25671" i="1"/>
  <c r="D25672" i="1"/>
  <c r="D25673" i="1"/>
  <c r="D25674" i="1"/>
  <c r="D25675" i="1"/>
  <c r="D25676" i="1"/>
  <c r="D25677" i="1"/>
  <c r="D25678" i="1"/>
  <c r="D25679" i="1"/>
  <c r="D25680" i="1"/>
  <c r="D25681" i="1"/>
  <c r="D25682" i="1"/>
  <c r="D25683" i="1"/>
  <c r="D25684" i="1"/>
  <c r="D25685" i="1"/>
  <c r="D25686" i="1"/>
  <c r="D25687" i="1"/>
  <c r="D25688" i="1"/>
  <c r="D25689" i="1"/>
  <c r="D25690" i="1"/>
  <c r="D25691" i="1"/>
  <c r="D25692" i="1"/>
  <c r="D25693" i="1"/>
  <c r="D25694" i="1"/>
  <c r="D25695" i="1"/>
  <c r="D25696" i="1"/>
  <c r="D25697" i="1"/>
  <c r="D25698" i="1"/>
  <c r="D25699" i="1"/>
  <c r="D25700" i="1"/>
  <c r="D25701" i="1"/>
  <c r="D25702" i="1"/>
  <c r="D25703" i="1"/>
  <c r="D25704" i="1"/>
  <c r="D25705" i="1"/>
  <c r="D25706" i="1"/>
  <c r="D25707" i="1"/>
  <c r="D25708" i="1"/>
  <c r="D25709" i="1"/>
  <c r="D25710" i="1"/>
  <c r="D25711" i="1"/>
  <c r="D25712" i="1"/>
  <c r="D25713" i="1"/>
  <c r="D25714" i="1"/>
  <c r="D25715" i="1"/>
  <c r="D25716" i="1"/>
  <c r="D25717" i="1"/>
  <c r="D25718" i="1"/>
  <c r="D25719" i="1"/>
  <c r="D25720" i="1"/>
  <c r="D25721" i="1"/>
  <c r="D25722" i="1"/>
  <c r="D25723" i="1"/>
  <c r="D25724" i="1"/>
  <c r="D25725" i="1"/>
  <c r="D25726" i="1"/>
  <c r="D25727" i="1"/>
  <c r="D25728" i="1"/>
  <c r="D25729" i="1"/>
  <c r="D25730" i="1"/>
  <c r="D25731" i="1"/>
  <c r="D25732" i="1"/>
  <c r="D25733" i="1"/>
  <c r="D25734" i="1"/>
  <c r="D25735" i="1"/>
  <c r="D25736" i="1"/>
  <c r="D25737" i="1"/>
  <c r="D25738" i="1"/>
  <c r="D25739" i="1"/>
  <c r="D25740" i="1"/>
  <c r="D25741" i="1"/>
  <c r="D25742" i="1"/>
  <c r="D25743" i="1"/>
  <c r="D25744" i="1"/>
  <c r="D25745" i="1"/>
  <c r="D25746" i="1"/>
  <c r="D25747" i="1"/>
  <c r="D25748" i="1"/>
  <c r="D25749" i="1"/>
  <c r="D25750" i="1"/>
  <c r="D25751" i="1"/>
  <c r="D25752" i="1"/>
  <c r="D25753" i="1"/>
  <c r="D25754" i="1"/>
  <c r="D25755" i="1"/>
  <c r="D25756" i="1"/>
  <c r="D25757" i="1"/>
  <c r="D25758" i="1"/>
  <c r="D25759" i="1"/>
  <c r="D25760" i="1"/>
  <c r="D25761" i="1"/>
  <c r="D25762" i="1"/>
  <c r="D25763" i="1"/>
  <c r="D25764" i="1"/>
  <c r="D25765" i="1"/>
  <c r="D25766" i="1"/>
  <c r="D25767" i="1"/>
  <c r="D25768" i="1"/>
  <c r="D25769" i="1"/>
  <c r="D25770" i="1"/>
  <c r="D25771" i="1"/>
  <c r="D25772" i="1"/>
  <c r="D25773" i="1"/>
  <c r="D25774" i="1"/>
  <c r="D25775" i="1"/>
  <c r="D25776" i="1"/>
  <c r="D25777" i="1"/>
  <c r="D25778" i="1"/>
  <c r="D25779" i="1"/>
  <c r="D25780" i="1"/>
  <c r="D25781" i="1"/>
  <c r="D25782" i="1"/>
  <c r="D25783" i="1"/>
  <c r="D25784" i="1"/>
  <c r="D25785" i="1"/>
  <c r="D25786" i="1"/>
  <c r="D25787" i="1"/>
  <c r="D25788" i="1"/>
  <c r="D25789" i="1"/>
  <c r="D25790" i="1"/>
  <c r="D25791" i="1"/>
  <c r="D25792" i="1"/>
  <c r="D25793" i="1"/>
  <c r="D25794" i="1"/>
  <c r="D25795" i="1"/>
  <c r="D25796" i="1"/>
  <c r="D25797" i="1"/>
  <c r="D25798" i="1"/>
  <c r="D25799" i="1"/>
  <c r="D25800" i="1"/>
  <c r="D25801" i="1"/>
  <c r="D25802" i="1"/>
  <c r="D25803" i="1"/>
  <c r="D25804" i="1"/>
  <c r="D25805" i="1"/>
  <c r="D25806" i="1"/>
  <c r="D25807" i="1"/>
  <c r="D25808" i="1"/>
  <c r="D25809" i="1"/>
  <c r="D25810" i="1"/>
  <c r="D25811" i="1"/>
  <c r="D25812" i="1"/>
  <c r="D25813" i="1"/>
  <c r="D25814" i="1"/>
  <c r="D25815" i="1"/>
  <c r="D25816" i="1"/>
  <c r="D25817" i="1"/>
  <c r="D25818" i="1"/>
  <c r="D25819" i="1"/>
  <c r="D25820" i="1"/>
  <c r="D25821" i="1"/>
  <c r="D25822" i="1"/>
  <c r="D25823" i="1"/>
  <c r="D25824" i="1"/>
  <c r="D25825" i="1"/>
  <c r="D25826" i="1"/>
  <c r="D25827" i="1"/>
  <c r="D25828" i="1"/>
  <c r="D25829" i="1"/>
  <c r="D25830" i="1"/>
  <c r="D25831" i="1"/>
  <c r="D25832" i="1"/>
  <c r="D25833" i="1"/>
  <c r="D25834" i="1"/>
  <c r="D25835" i="1"/>
  <c r="D25836" i="1"/>
  <c r="D25837" i="1"/>
  <c r="D25838" i="1"/>
  <c r="D25839" i="1"/>
  <c r="D25840" i="1"/>
  <c r="D25841" i="1"/>
  <c r="D25842" i="1"/>
  <c r="D25843" i="1"/>
  <c r="D25844" i="1"/>
  <c r="D25845" i="1"/>
  <c r="D25846" i="1"/>
  <c r="D25847" i="1"/>
  <c r="D25848" i="1"/>
  <c r="D25849" i="1"/>
  <c r="D25850" i="1"/>
  <c r="D25851" i="1"/>
  <c r="D25852" i="1"/>
  <c r="D25853" i="1"/>
  <c r="D25854" i="1"/>
  <c r="D25855" i="1"/>
  <c r="D25856" i="1"/>
  <c r="D25857" i="1"/>
  <c r="D25858" i="1"/>
  <c r="D25859" i="1"/>
  <c r="D25860" i="1"/>
  <c r="D25861" i="1"/>
  <c r="D25862" i="1"/>
  <c r="D25863" i="1"/>
  <c r="D25864" i="1"/>
  <c r="D25865" i="1"/>
  <c r="D25866" i="1"/>
  <c r="D25867" i="1"/>
  <c r="D25868" i="1"/>
  <c r="D25869" i="1"/>
  <c r="D25870" i="1"/>
  <c r="D25871" i="1"/>
  <c r="D25872" i="1"/>
  <c r="D25873" i="1"/>
  <c r="D25874" i="1"/>
  <c r="D25875" i="1"/>
  <c r="D25876" i="1"/>
  <c r="D25877" i="1"/>
  <c r="D25878" i="1"/>
  <c r="D25879" i="1"/>
  <c r="D25880" i="1"/>
  <c r="D25881" i="1"/>
  <c r="D25882" i="1"/>
  <c r="D25883" i="1"/>
  <c r="D25884" i="1"/>
  <c r="D25885" i="1"/>
  <c r="D25886" i="1"/>
  <c r="D25887" i="1"/>
  <c r="D25888" i="1"/>
  <c r="D25889" i="1"/>
  <c r="D25890" i="1"/>
  <c r="D25891" i="1"/>
  <c r="D25892" i="1"/>
  <c r="D25893" i="1"/>
  <c r="D25894" i="1"/>
  <c r="D25895" i="1"/>
  <c r="D25896" i="1"/>
  <c r="D25897" i="1"/>
  <c r="D25898" i="1"/>
  <c r="D25899" i="1"/>
  <c r="D25900" i="1"/>
  <c r="D25901" i="1"/>
  <c r="D25902" i="1"/>
  <c r="D25903" i="1"/>
  <c r="D25904" i="1"/>
  <c r="D25905" i="1"/>
  <c r="D25906" i="1"/>
  <c r="D25907" i="1"/>
  <c r="D25908" i="1"/>
  <c r="D25909" i="1"/>
  <c r="D25910" i="1"/>
  <c r="D25911" i="1"/>
  <c r="D25912" i="1"/>
  <c r="D25913" i="1"/>
  <c r="D25914" i="1"/>
  <c r="D25915" i="1"/>
  <c r="D25916" i="1"/>
  <c r="D25917" i="1"/>
  <c r="D25918" i="1"/>
  <c r="D25919" i="1"/>
  <c r="D25920" i="1"/>
  <c r="D25921" i="1"/>
  <c r="D25922" i="1"/>
  <c r="D25923" i="1"/>
  <c r="D25924" i="1"/>
  <c r="D25925" i="1"/>
  <c r="D25926" i="1"/>
  <c r="D25927" i="1"/>
  <c r="D25928" i="1"/>
  <c r="D25929" i="1"/>
  <c r="D25930" i="1"/>
  <c r="D25931" i="1"/>
  <c r="D25932" i="1"/>
  <c r="D25933" i="1"/>
  <c r="D25934" i="1"/>
  <c r="D25935" i="1"/>
  <c r="D25936" i="1"/>
  <c r="D25937" i="1"/>
  <c r="D25938" i="1"/>
  <c r="D25939" i="1"/>
  <c r="D25940" i="1"/>
  <c r="D25941" i="1"/>
  <c r="D25942" i="1"/>
  <c r="D25943" i="1"/>
  <c r="D25944" i="1"/>
  <c r="D25945" i="1"/>
  <c r="D25946" i="1"/>
  <c r="D25947" i="1"/>
  <c r="D25948" i="1"/>
  <c r="D25949" i="1"/>
  <c r="D25950" i="1"/>
  <c r="D25951" i="1"/>
  <c r="D25952" i="1"/>
  <c r="D25953" i="1"/>
  <c r="D25954" i="1"/>
  <c r="D25955" i="1"/>
  <c r="D25956" i="1"/>
  <c r="D25957" i="1"/>
  <c r="D25958" i="1"/>
  <c r="D25959" i="1"/>
  <c r="D25960" i="1"/>
  <c r="D25961" i="1"/>
  <c r="D25962" i="1"/>
  <c r="D25963" i="1"/>
  <c r="D25964" i="1"/>
  <c r="D25965" i="1"/>
  <c r="D25966" i="1"/>
  <c r="D25967" i="1"/>
  <c r="D25968" i="1"/>
  <c r="D25969" i="1"/>
  <c r="D25970" i="1"/>
  <c r="D25971" i="1"/>
  <c r="D25972" i="1"/>
  <c r="D25973" i="1"/>
  <c r="D25974" i="1"/>
  <c r="D25975" i="1"/>
  <c r="D25976" i="1"/>
  <c r="D25977" i="1"/>
  <c r="D25978" i="1"/>
  <c r="D25979" i="1"/>
  <c r="D25980" i="1"/>
  <c r="D25981" i="1"/>
  <c r="D25982" i="1"/>
  <c r="D25983" i="1"/>
  <c r="D25984" i="1"/>
  <c r="D25985" i="1"/>
  <c r="D25986" i="1"/>
  <c r="D25987" i="1"/>
  <c r="D25988" i="1"/>
  <c r="D25989" i="1"/>
  <c r="D25990" i="1"/>
  <c r="D25991" i="1"/>
  <c r="D25992" i="1"/>
  <c r="D25993" i="1"/>
  <c r="D25994" i="1"/>
  <c r="D25995" i="1"/>
  <c r="D25996" i="1"/>
  <c r="D25997" i="1"/>
  <c r="D25998" i="1"/>
  <c r="D25999" i="1"/>
  <c r="D26000" i="1"/>
  <c r="A26001" i="1"/>
  <c r="D26001" i="1"/>
  <c r="A26002" i="1"/>
  <c r="D26002" i="1"/>
  <c r="A26003" i="1"/>
  <c r="D26003" i="1"/>
  <c r="A26004" i="1"/>
  <c r="D26004" i="1"/>
  <c r="A26005" i="1"/>
  <c r="D26005" i="1"/>
  <c r="A26006" i="1"/>
  <c r="D26006" i="1"/>
  <c r="A26007" i="1"/>
  <c r="D26007" i="1"/>
  <c r="A26008" i="1"/>
  <c r="D26008" i="1"/>
  <c r="A26009" i="1"/>
  <c r="D26009" i="1"/>
  <c r="A26010" i="1"/>
  <c r="D26010" i="1"/>
  <c r="A26011" i="1"/>
  <c r="D26011" i="1"/>
  <c r="A26012" i="1"/>
  <c r="D26012" i="1"/>
  <c r="A26013" i="1"/>
  <c r="D26013" i="1"/>
  <c r="A26014" i="1"/>
  <c r="D26014" i="1"/>
  <c r="A26015" i="1"/>
  <c r="D26015" i="1"/>
  <c r="A26016" i="1"/>
  <c r="D26016" i="1"/>
  <c r="A26017" i="1"/>
  <c r="D26017" i="1"/>
  <c r="A26018" i="1"/>
  <c r="D26018" i="1"/>
  <c r="A26019" i="1"/>
  <c r="D26019" i="1"/>
  <c r="A26020" i="1"/>
  <c r="D26020" i="1"/>
  <c r="A26021" i="1"/>
  <c r="D26021" i="1"/>
  <c r="A26022" i="1"/>
  <c r="D26022" i="1"/>
  <c r="A26023" i="1"/>
  <c r="D26023" i="1"/>
  <c r="A26024" i="1"/>
  <c r="D26024" i="1"/>
  <c r="A26025" i="1"/>
  <c r="D26025" i="1"/>
  <c r="A26026" i="1"/>
  <c r="D26026" i="1"/>
  <c r="A26027" i="1"/>
  <c r="D26027" i="1"/>
  <c r="A26028" i="1"/>
  <c r="D26028" i="1"/>
  <c r="A26029" i="1"/>
  <c r="D26029" i="1"/>
  <c r="A26030" i="1"/>
  <c r="D26030" i="1"/>
  <c r="A26031" i="1"/>
  <c r="D26031" i="1"/>
  <c r="A26032" i="1"/>
  <c r="D26032" i="1"/>
  <c r="A26033" i="1"/>
  <c r="D26033" i="1"/>
  <c r="A26034" i="1"/>
  <c r="D26034" i="1"/>
  <c r="A26035" i="1"/>
  <c r="D26035" i="1"/>
  <c r="A26036" i="1"/>
  <c r="D26036" i="1"/>
  <c r="A26037" i="1"/>
  <c r="D26037" i="1"/>
  <c r="A26038" i="1"/>
  <c r="D26038" i="1"/>
  <c r="A26039" i="1"/>
  <c r="D26039" i="1"/>
  <c r="A26040" i="1"/>
  <c r="D26040" i="1"/>
  <c r="A26041" i="1"/>
  <c r="D26041" i="1"/>
  <c r="A26042" i="1"/>
  <c r="D26042" i="1"/>
  <c r="A26043" i="1"/>
  <c r="D26043" i="1"/>
  <c r="A26044" i="1"/>
  <c r="D26044" i="1"/>
  <c r="A26045" i="1"/>
  <c r="D26045" i="1"/>
  <c r="A26046" i="1"/>
  <c r="D26046" i="1"/>
  <c r="A26047" i="1"/>
  <c r="D26047" i="1"/>
  <c r="A26048" i="1"/>
  <c r="D26048" i="1"/>
  <c r="A26049" i="1"/>
  <c r="D26049" i="1"/>
  <c r="A26050" i="1"/>
  <c r="D26050" i="1"/>
  <c r="A26051" i="1"/>
  <c r="D26051" i="1"/>
  <c r="A26052" i="1"/>
  <c r="D26052" i="1"/>
  <c r="A26053" i="1"/>
  <c r="D26053" i="1"/>
  <c r="A26054" i="1"/>
  <c r="D26054" i="1"/>
  <c r="A26055" i="1"/>
  <c r="D26055" i="1"/>
  <c r="A26056" i="1"/>
  <c r="D26056" i="1"/>
  <c r="A26057" i="1"/>
  <c r="D26057" i="1"/>
  <c r="A26058" i="1"/>
  <c r="D26058" i="1"/>
  <c r="A26059" i="1"/>
  <c r="D26059" i="1"/>
  <c r="A26060" i="1"/>
  <c r="D26060" i="1"/>
  <c r="A26061" i="1"/>
  <c r="D26061" i="1"/>
  <c r="A26062" i="1"/>
  <c r="D26062" i="1"/>
  <c r="A26063" i="1"/>
  <c r="D26063" i="1"/>
  <c r="A26064" i="1"/>
  <c r="D26064" i="1"/>
  <c r="A26065" i="1"/>
  <c r="D26065" i="1"/>
  <c r="A26066" i="1"/>
  <c r="D26066" i="1"/>
  <c r="A26067" i="1"/>
  <c r="D26067" i="1"/>
  <c r="A26068" i="1"/>
  <c r="D26068" i="1"/>
  <c r="A26069" i="1"/>
  <c r="D26069" i="1"/>
  <c r="A26070" i="1"/>
  <c r="D26070" i="1"/>
  <c r="A26071" i="1"/>
  <c r="D26071" i="1"/>
  <c r="A26072" i="1"/>
  <c r="D26072" i="1"/>
  <c r="A26073" i="1"/>
  <c r="D26073" i="1"/>
  <c r="A26074" i="1"/>
  <c r="D26074" i="1"/>
  <c r="A26075" i="1"/>
  <c r="D26075" i="1"/>
  <c r="A26076" i="1"/>
  <c r="D26076" i="1"/>
  <c r="A26077" i="1"/>
  <c r="D26077" i="1"/>
  <c r="A26078" i="1"/>
  <c r="D26078" i="1"/>
  <c r="A26079" i="1"/>
  <c r="D26079" i="1"/>
  <c r="A26080" i="1"/>
  <c r="D26080" i="1"/>
  <c r="A26081" i="1"/>
  <c r="D26081" i="1"/>
  <c r="A26082" i="1"/>
  <c r="D26082" i="1"/>
  <c r="A26083" i="1"/>
  <c r="D26083" i="1"/>
  <c r="A26084" i="1"/>
  <c r="D26084" i="1"/>
  <c r="A26085" i="1"/>
  <c r="D26085" i="1"/>
  <c r="A26086" i="1"/>
  <c r="D26086" i="1"/>
  <c r="A26087" i="1"/>
  <c r="D26087" i="1"/>
  <c r="A26088" i="1"/>
  <c r="D26088" i="1"/>
  <c r="A26089" i="1"/>
  <c r="D26089" i="1"/>
  <c r="A26090" i="1"/>
  <c r="D26090" i="1"/>
  <c r="A26091" i="1"/>
  <c r="D26091" i="1"/>
  <c r="A26092" i="1"/>
  <c r="D26092" i="1"/>
  <c r="A26093" i="1"/>
  <c r="D26093" i="1"/>
  <c r="A26094" i="1"/>
  <c r="D26094" i="1"/>
  <c r="A26095" i="1"/>
  <c r="D26095" i="1"/>
  <c r="A26096" i="1"/>
  <c r="D26096" i="1"/>
  <c r="A26097" i="1"/>
  <c r="D26097" i="1"/>
  <c r="A26098" i="1"/>
  <c r="D26098" i="1"/>
  <c r="A26099" i="1"/>
  <c r="D26099" i="1"/>
  <c r="A26100" i="1"/>
  <c r="D26100" i="1"/>
  <c r="A26101" i="1"/>
  <c r="D26101" i="1"/>
  <c r="A26102" i="1"/>
  <c r="D26102" i="1"/>
  <c r="A26103" i="1"/>
  <c r="D26103" i="1"/>
  <c r="A26104" i="1"/>
  <c r="D26104" i="1"/>
  <c r="A26105" i="1"/>
  <c r="D26105" i="1"/>
  <c r="A26106" i="1"/>
  <c r="D26106" i="1"/>
  <c r="A26107" i="1"/>
  <c r="D26107" i="1"/>
  <c r="A26108" i="1"/>
  <c r="D26108" i="1"/>
  <c r="A26109" i="1"/>
  <c r="D26109" i="1"/>
  <c r="A26110" i="1"/>
  <c r="D26110" i="1"/>
  <c r="A26111" i="1"/>
  <c r="D26111" i="1"/>
  <c r="A26112" i="1"/>
  <c r="D26112" i="1"/>
  <c r="A26113" i="1"/>
  <c r="D26113" i="1"/>
  <c r="A26114" i="1"/>
  <c r="D26114" i="1"/>
  <c r="A26115" i="1"/>
  <c r="D26115" i="1"/>
  <c r="A26116" i="1"/>
  <c r="D26116" i="1"/>
  <c r="A26117" i="1"/>
  <c r="D26117" i="1"/>
  <c r="A26118" i="1"/>
  <c r="D26118" i="1"/>
  <c r="A26119" i="1"/>
  <c r="D26119" i="1"/>
  <c r="A26120" i="1"/>
  <c r="D26120" i="1"/>
  <c r="A26121" i="1"/>
  <c r="D26121" i="1"/>
  <c r="A26122" i="1"/>
  <c r="D26122" i="1"/>
  <c r="A26123" i="1"/>
  <c r="D26123" i="1"/>
  <c r="A26124" i="1"/>
  <c r="D26124" i="1"/>
  <c r="A26125" i="1"/>
  <c r="D26125" i="1"/>
  <c r="A26126" i="1"/>
  <c r="D26126" i="1"/>
  <c r="A26127" i="1"/>
  <c r="D26127" i="1"/>
  <c r="A26128" i="1"/>
  <c r="D26128" i="1"/>
  <c r="A26129" i="1"/>
  <c r="D26129" i="1"/>
  <c r="A26130" i="1"/>
  <c r="D26130" i="1"/>
  <c r="A26131" i="1"/>
  <c r="D26131" i="1"/>
  <c r="A26132" i="1"/>
  <c r="D26132" i="1"/>
  <c r="A26133" i="1"/>
  <c r="D26133" i="1"/>
  <c r="A26134" i="1"/>
  <c r="D26134" i="1"/>
  <c r="A26135" i="1"/>
  <c r="D26135" i="1"/>
  <c r="A26136" i="1"/>
  <c r="D26136" i="1"/>
  <c r="A26137" i="1"/>
  <c r="D26137" i="1"/>
  <c r="A26138" i="1"/>
  <c r="D26138" i="1"/>
  <c r="A26139" i="1"/>
  <c r="D26139" i="1"/>
  <c r="A26140" i="1"/>
  <c r="D26140" i="1"/>
  <c r="A26141" i="1"/>
  <c r="D26141" i="1"/>
  <c r="A26142" i="1"/>
  <c r="D26142" i="1"/>
  <c r="A26143" i="1"/>
  <c r="D26143" i="1"/>
  <c r="A26144" i="1"/>
  <c r="D26144" i="1"/>
  <c r="A26145" i="1"/>
  <c r="D26145" i="1"/>
  <c r="A26146" i="1"/>
  <c r="D26146" i="1"/>
  <c r="A26147" i="1"/>
  <c r="D26147" i="1"/>
  <c r="A26148" i="1"/>
  <c r="D26148" i="1"/>
  <c r="A26149" i="1"/>
  <c r="D26149" i="1"/>
  <c r="A26150" i="1"/>
  <c r="D26150" i="1"/>
  <c r="A26151" i="1"/>
  <c r="D26151" i="1"/>
  <c r="A26152" i="1"/>
  <c r="D26152" i="1"/>
  <c r="A26153" i="1"/>
  <c r="D26153" i="1"/>
  <c r="A26154" i="1"/>
  <c r="D26154" i="1"/>
  <c r="A26155" i="1"/>
  <c r="D26155" i="1"/>
  <c r="A26156" i="1"/>
  <c r="D26156" i="1"/>
  <c r="A26157" i="1"/>
  <c r="D26157" i="1"/>
  <c r="A26158" i="1"/>
  <c r="D26158" i="1"/>
  <c r="A26159" i="1"/>
  <c r="D26159" i="1"/>
  <c r="A26160" i="1"/>
  <c r="D26160" i="1"/>
  <c r="A26161" i="1"/>
  <c r="D26161" i="1"/>
  <c r="A26162" i="1"/>
  <c r="D26162" i="1"/>
  <c r="A26163" i="1"/>
  <c r="D26163" i="1"/>
  <c r="A26164" i="1"/>
  <c r="D26164" i="1"/>
  <c r="A26165" i="1"/>
  <c r="D26165" i="1"/>
  <c r="A26166" i="1"/>
  <c r="D26166" i="1"/>
  <c r="A26167" i="1"/>
  <c r="D26167" i="1"/>
  <c r="A26168" i="1"/>
  <c r="D26168" i="1"/>
  <c r="A26169" i="1"/>
  <c r="D26169" i="1"/>
  <c r="A26170" i="1"/>
  <c r="D26170" i="1"/>
  <c r="A26171" i="1"/>
  <c r="D26171" i="1"/>
  <c r="A26172" i="1"/>
  <c r="D26172" i="1"/>
  <c r="A26173" i="1"/>
  <c r="D26173" i="1"/>
  <c r="A26174" i="1"/>
  <c r="D26174" i="1"/>
  <c r="A26175" i="1"/>
  <c r="D26175" i="1"/>
  <c r="A26176" i="1"/>
  <c r="D26176" i="1"/>
  <c r="A26177" i="1"/>
  <c r="D26177" i="1"/>
  <c r="A26178" i="1"/>
  <c r="D26178" i="1"/>
  <c r="A26179" i="1"/>
  <c r="D26179" i="1"/>
  <c r="A26180" i="1"/>
  <c r="D26180" i="1"/>
  <c r="A26181" i="1"/>
  <c r="D26181" i="1"/>
  <c r="A26182" i="1"/>
  <c r="D26182" i="1"/>
  <c r="A26183" i="1"/>
  <c r="D26183" i="1"/>
  <c r="A26184" i="1"/>
  <c r="D26184" i="1"/>
  <c r="A26185" i="1"/>
  <c r="D26185" i="1"/>
  <c r="A26186" i="1"/>
  <c r="D26186" i="1"/>
  <c r="A26187" i="1"/>
  <c r="D26187" i="1"/>
  <c r="A26188" i="1"/>
  <c r="D26188" i="1"/>
  <c r="A26189" i="1"/>
  <c r="D26189" i="1"/>
  <c r="A26190" i="1"/>
  <c r="D26190" i="1"/>
  <c r="A26191" i="1"/>
  <c r="D26191" i="1"/>
  <c r="A26192" i="1"/>
  <c r="D26192" i="1"/>
  <c r="A26193" i="1"/>
  <c r="D26193" i="1"/>
  <c r="A26194" i="1"/>
  <c r="D26194" i="1"/>
  <c r="A26195" i="1"/>
  <c r="D26195" i="1"/>
  <c r="A26196" i="1"/>
  <c r="D26196" i="1"/>
  <c r="A26197" i="1"/>
  <c r="D26197" i="1"/>
  <c r="A26198" i="1"/>
  <c r="D26198" i="1"/>
  <c r="A26199" i="1"/>
  <c r="D26199" i="1"/>
  <c r="A26200" i="1"/>
  <c r="D26200" i="1"/>
  <c r="A26201" i="1"/>
  <c r="D26201" i="1"/>
  <c r="A26202" i="1"/>
  <c r="D26202" i="1"/>
  <c r="A26203" i="1"/>
  <c r="D26203" i="1"/>
  <c r="A26204" i="1"/>
  <c r="D26204" i="1"/>
  <c r="A26205" i="1"/>
  <c r="D26205" i="1"/>
  <c r="A26206" i="1"/>
  <c r="D26206" i="1"/>
  <c r="A26207" i="1"/>
  <c r="D26207" i="1"/>
  <c r="A26208" i="1"/>
  <c r="D26208" i="1"/>
  <c r="A26209" i="1"/>
  <c r="D26209" i="1"/>
  <c r="A26210" i="1"/>
  <c r="D26210" i="1"/>
  <c r="A26211" i="1"/>
  <c r="D26211" i="1"/>
  <c r="A26212" i="1"/>
  <c r="D26212" i="1"/>
  <c r="A26213" i="1"/>
  <c r="D26213" i="1"/>
  <c r="A26214" i="1"/>
  <c r="D26214" i="1"/>
  <c r="A26215" i="1"/>
  <c r="D26215" i="1"/>
  <c r="D26216" i="1"/>
  <c r="D26217" i="1"/>
  <c r="D26218" i="1"/>
  <c r="D26219" i="1"/>
  <c r="D26220" i="1"/>
  <c r="D26221" i="1"/>
  <c r="D26222" i="1"/>
  <c r="D26223" i="1"/>
  <c r="D26224" i="1"/>
  <c r="D26225" i="1"/>
  <c r="D26226" i="1"/>
  <c r="D26227" i="1"/>
  <c r="D26228" i="1"/>
  <c r="D26229" i="1"/>
  <c r="D26230" i="1"/>
  <c r="D26231" i="1"/>
  <c r="D26232" i="1"/>
  <c r="D26233" i="1"/>
  <c r="D26234" i="1"/>
  <c r="D26235" i="1"/>
  <c r="D26236" i="1"/>
  <c r="D26237" i="1"/>
  <c r="D26238" i="1"/>
  <c r="D26239" i="1"/>
  <c r="D26240" i="1"/>
  <c r="D26241" i="1"/>
  <c r="D26242" i="1"/>
  <c r="D26243" i="1"/>
  <c r="D26244" i="1"/>
  <c r="D26245" i="1"/>
  <c r="D26246" i="1"/>
  <c r="D26247" i="1"/>
  <c r="D26248" i="1"/>
  <c r="D26249" i="1"/>
  <c r="D26250" i="1"/>
  <c r="D26251" i="1"/>
  <c r="D26252" i="1"/>
  <c r="D26253" i="1"/>
  <c r="D26254" i="1"/>
  <c r="D26255" i="1"/>
  <c r="D26256" i="1"/>
  <c r="D26257" i="1"/>
  <c r="D26258" i="1"/>
  <c r="D26259" i="1"/>
  <c r="D26260" i="1"/>
  <c r="D26261" i="1"/>
  <c r="D26262" i="1"/>
  <c r="D26263" i="1"/>
  <c r="D26264" i="1"/>
  <c r="D26265" i="1"/>
  <c r="D26266" i="1"/>
  <c r="D26267" i="1"/>
  <c r="D26268" i="1"/>
  <c r="D26269" i="1"/>
  <c r="D26270" i="1"/>
  <c r="D26271" i="1"/>
  <c r="D26272" i="1"/>
  <c r="D26273" i="1"/>
  <c r="D26274" i="1"/>
  <c r="D26275" i="1"/>
  <c r="D26276" i="1"/>
  <c r="D26277" i="1"/>
  <c r="D26278" i="1"/>
  <c r="D26279" i="1"/>
  <c r="D26280" i="1"/>
  <c r="D26281" i="1"/>
  <c r="D26282" i="1"/>
  <c r="D26283" i="1"/>
  <c r="D26284" i="1"/>
  <c r="D26285" i="1"/>
  <c r="D26286" i="1"/>
  <c r="D26287" i="1"/>
  <c r="D26288" i="1"/>
  <c r="D26289" i="1"/>
  <c r="D26290" i="1"/>
  <c r="D26291" i="1"/>
  <c r="D26292" i="1"/>
  <c r="D26293" i="1"/>
  <c r="D26294" i="1"/>
  <c r="D26295" i="1"/>
  <c r="D26296" i="1"/>
  <c r="D26297" i="1"/>
  <c r="D26298" i="1"/>
  <c r="D26299" i="1"/>
  <c r="D26300" i="1"/>
  <c r="D26301" i="1"/>
  <c r="D26302" i="1"/>
  <c r="D26303" i="1"/>
  <c r="D26304" i="1"/>
  <c r="D26305" i="1"/>
  <c r="D26306" i="1"/>
  <c r="D26307" i="1"/>
  <c r="D26308" i="1"/>
  <c r="D26309" i="1"/>
  <c r="D26310" i="1"/>
  <c r="D26311" i="1"/>
  <c r="D26312" i="1"/>
  <c r="D26313" i="1"/>
  <c r="D26314" i="1"/>
  <c r="D26315" i="1"/>
  <c r="D26316" i="1"/>
  <c r="D26317" i="1"/>
  <c r="D26318" i="1"/>
  <c r="D26319" i="1"/>
  <c r="D26320" i="1"/>
  <c r="D26321" i="1"/>
  <c r="D26322" i="1"/>
  <c r="D26323" i="1"/>
  <c r="D26324" i="1"/>
  <c r="D26325" i="1"/>
  <c r="D26326" i="1"/>
  <c r="D26327" i="1"/>
  <c r="D26328" i="1"/>
  <c r="D26329" i="1"/>
  <c r="D26330" i="1"/>
  <c r="D26331" i="1"/>
  <c r="D26332" i="1"/>
  <c r="D26333" i="1"/>
  <c r="D26334" i="1"/>
  <c r="D26335" i="1"/>
  <c r="D26336" i="1"/>
  <c r="D26337" i="1"/>
  <c r="D26338" i="1"/>
  <c r="D26339" i="1"/>
  <c r="D26340" i="1"/>
  <c r="D26341" i="1"/>
  <c r="D26342" i="1"/>
  <c r="D26343" i="1"/>
  <c r="D26344" i="1"/>
  <c r="D26345" i="1"/>
  <c r="D26346" i="1"/>
  <c r="D26347" i="1"/>
  <c r="D26348" i="1"/>
  <c r="D26349" i="1"/>
  <c r="D26350" i="1"/>
  <c r="D26351" i="1"/>
  <c r="D26352" i="1"/>
  <c r="D26353" i="1"/>
  <c r="D26354" i="1"/>
  <c r="D26355" i="1"/>
  <c r="D26356" i="1"/>
  <c r="D26357" i="1"/>
  <c r="D26358" i="1"/>
  <c r="D26359" i="1"/>
  <c r="D26360" i="1"/>
  <c r="D26361" i="1"/>
  <c r="D26362" i="1"/>
  <c r="D26363" i="1"/>
  <c r="D26364" i="1"/>
  <c r="D26365" i="1"/>
  <c r="D26366" i="1"/>
  <c r="D26367" i="1"/>
  <c r="D26368" i="1"/>
  <c r="D26369" i="1"/>
  <c r="D26370" i="1"/>
  <c r="D26371" i="1"/>
  <c r="D26372" i="1"/>
  <c r="D26373" i="1"/>
  <c r="D26374" i="1"/>
  <c r="D26375" i="1"/>
  <c r="D26376" i="1"/>
  <c r="D26377" i="1"/>
  <c r="D26378" i="1"/>
  <c r="D26379" i="1"/>
  <c r="D26380" i="1"/>
  <c r="D26381" i="1"/>
  <c r="D26382" i="1"/>
  <c r="D26383" i="1"/>
  <c r="D26384" i="1"/>
  <c r="D26385" i="1"/>
  <c r="D26386" i="1"/>
  <c r="D26387" i="1"/>
  <c r="D26388" i="1"/>
  <c r="D26389" i="1"/>
  <c r="D26390" i="1"/>
  <c r="D26391" i="1"/>
  <c r="D26392" i="1"/>
  <c r="D26393" i="1"/>
  <c r="D26394" i="1"/>
  <c r="D26395" i="1"/>
  <c r="D26396" i="1"/>
  <c r="D26397" i="1"/>
  <c r="D26398" i="1"/>
  <c r="D26399" i="1"/>
  <c r="D26400" i="1"/>
  <c r="D26401" i="1"/>
  <c r="D26402" i="1"/>
  <c r="D26403" i="1"/>
  <c r="D26404" i="1"/>
  <c r="D26405" i="1"/>
  <c r="D26406" i="1"/>
  <c r="D26407" i="1"/>
  <c r="D26408" i="1"/>
  <c r="D26409" i="1"/>
  <c r="D26410" i="1"/>
  <c r="D26411" i="1"/>
  <c r="D26412" i="1"/>
  <c r="D26413" i="1"/>
  <c r="D26414" i="1"/>
  <c r="D26415" i="1"/>
  <c r="D26416" i="1"/>
  <c r="D26417" i="1"/>
  <c r="D26418" i="1"/>
  <c r="D26419" i="1"/>
  <c r="D26420" i="1"/>
  <c r="D26421" i="1"/>
  <c r="D26422" i="1"/>
  <c r="D26423" i="1"/>
  <c r="D26424" i="1"/>
  <c r="D26425" i="1"/>
  <c r="D26426" i="1"/>
  <c r="D26427" i="1"/>
  <c r="D26428" i="1"/>
  <c r="D26429" i="1"/>
  <c r="D26430" i="1"/>
  <c r="D26431" i="1"/>
  <c r="D26432" i="1"/>
  <c r="D26433" i="1"/>
  <c r="D26434" i="1"/>
  <c r="D26435" i="1"/>
  <c r="D26436" i="1"/>
  <c r="D26437" i="1"/>
  <c r="D26438" i="1"/>
  <c r="D26439" i="1"/>
  <c r="D26440" i="1"/>
  <c r="D26441" i="1"/>
  <c r="D26442" i="1"/>
  <c r="D26443" i="1"/>
  <c r="D26444" i="1"/>
  <c r="D26445" i="1"/>
  <c r="D26446" i="1"/>
  <c r="D26447" i="1"/>
  <c r="D26448" i="1"/>
  <c r="D26449" i="1"/>
  <c r="D26450" i="1"/>
  <c r="D26451" i="1"/>
  <c r="D26452" i="1"/>
  <c r="D26453" i="1"/>
  <c r="D26454" i="1"/>
  <c r="D26455" i="1"/>
  <c r="D26456" i="1"/>
  <c r="D26457" i="1"/>
  <c r="D26458" i="1"/>
  <c r="D26459" i="1"/>
  <c r="D26460" i="1"/>
  <c r="D26461" i="1"/>
  <c r="D26462" i="1"/>
  <c r="D26463" i="1"/>
  <c r="D26464" i="1"/>
  <c r="D26465" i="1"/>
  <c r="D26466" i="1"/>
  <c r="D26467" i="1"/>
  <c r="D26468" i="1"/>
  <c r="D26469" i="1"/>
  <c r="D26470" i="1"/>
  <c r="D26471" i="1"/>
  <c r="D26472" i="1"/>
  <c r="D26473" i="1"/>
  <c r="D26474" i="1"/>
  <c r="D26475" i="1"/>
  <c r="D26476" i="1"/>
  <c r="D26477" i="1"/>
  <c r="D26478" i="1"/>
  <c r="D26479" i="1"/>
  <c r="D26480" i="1"/>
  <c r="D26481" i="1"/>
  <c r="D26482" i="1"/>
  <c r="D26483" i="1"/>
  <c r="D26484" i="1"/>
  <c r="D26485" i="1"/>
  <c r="D26486" i="1"/>
  <c r="D26487" i="1"/>
  <c r="D26488" i="1"/>
  <c r="D26489" i="1"/>
  <c r="D26490" i="1"/>
  <c r="D26491" i="1"/>
  <c r="D26492" i="1"/>
  <c r="D26493" i="1"/>
  <c r="D26494" i="1"/>
  <c r="D26495" i="1"/>
  <c r="D26496" i="1"/>
  <c r="D26497" i="1"/>
  <c r="D26498" i="1"/>
  <c r="D26499" i="1"/>
  <c r="D26500" i="1"/>
  <c r="D26501" i="1"/>
  <c r="D26502" i="1"/>
  <c r="D26503" i="1"/>
  <c r="D26504" i="1"/>
  <c r="D26505" i="1"/>
  <c r="D26506" i="1"/>
  <c r="D26507" i="1"/>
  <c r="D26508" i="1"/>
  <c r="D26509" i="1"/>
  <c r="D26510" i="1"/>
  <c r="D26511" i="1"/>
  <c r="D26512" i="1"/>
  <c r="D26513" i="1"/>
  <c r="D26514" i="1"/>
  <c r="D26515" i="1"/>
  <c r="D26516" i="1"/>
  <c r="D26517" i="1"/>
  <c r="D26518" i="1"/>
  <c r="D26519" i="1"/>
  <c r="D26520" i="1"/>
  <c r="D26521" i="1"/>
  <c r="D26522" i="1"/>
  <c r="D26523" i="1"/>
  <c r="D26524" i="1"/>
  <c r="D26525" i="1"/>
  <c r="D26526" i="1"/>
  <c r="D26527" i="1"/>
  <c r="D26528" i="1"/>
  <c r="D26529" i="1"/>
  <c r="D26530" i="1"/>
  <c r="D26531" i="1"/>
  <c r="D26532" i="1"/>
  <c r="D26533" i="1"/>
  <c r="D26534" i="1"/>
  <c r="D26535" i="1"/>
  <c r="D26536" i="1"/>
  <c r="D26537" i="1"/>
  <c r="D26538" i="1"/>
  <c r="D26539" i="1"/>
  <c r="D26540" i="1"/>
  <c r="D26541" i="1"/>
  <c r="D26542" i="1"/>
  <c r="D26543" i="1"/>
  <c r="D26544" i="1"/>
  <c r="D26545" i="1"/>
  <c r="D26546" i="1"/>
  <c r="D26547" i="1"/>
  <c r="D26548" i="1"/>
  <c r="D26549" i="1"/>
  <c r="D26550" i="1"/>
  <c r="D26551" i="1"/>
  <c r="D26552" i="1"/>
  <c r="D26553" i="1"/>
  <c r="D26554" i="1"/>
  <c r="D26555" i="1"/>
  <c r="D26556" i="1"/>
  <c r="D26557" i="1"/>
  <c r="D26558" i="1"/>
  <c r="D26559" i="1"/>
  <c r="D26560" i="1"/>
  <c r="D26561" i="1"/>
  <c r="D26562" i="1"/>
  <c r="D26563" i="1"/>
  <c r="D26564" i="1"/>
  <c r="D26565" i="1"/>
  <c r="D26566" i="1"/>
  <c r="D26567" i="1"/>
  <c r="D26568" i="1"/>
  <c r="D26569" i="1"/>
  <c r="D26570" i="1"/>
  <c r="D26571" i="1"/>
  <c r="D26572" i="1"/>
  <c r="D26573" i="1"/>
  <c r="D26574" i="1"/>
  <c r="D26575" i="1"/>
  <c r="D26576" i="1"/>
  <c r="D26577" i="1"/>
  <c r="D26578" i="1"/>
  <c r="D26579" i="1"/>
  <c r="D26580" i="1"/>
  <c r="D26581" i="1"/>
  <c r="D26582" i="1"/>
  <c r="D26583" i="1"/>
  <c r="D26584" i="1"/>
  <c r="D26585" i="1"/>
  <c r="D26586" i="1"/>
  <c r="D26587" i="1"/>
  <c r="D26588" i="1"/>
  <c r="D26589" i="1"/>
  <c r="D26590" i="1"/>
  <c r="D26591" i="1"/>
  <c r="D26592" i="1"/>
  <c r="D26593" i="1"/>
  <c r="D26594" i="1"/>
  <c r="D26595" i="1"/>
  <c r="D26596" i="1"/>
  <c r="D26597" i="1"/>
  <c r="D26598" i="1"/>
  <c r="D26599" i="1"/>
  <c r="D26600" i="1"/>
  <c r="D26601" i="1"/>
  <c r="D26602" i="1"/>
  <c r="D26603" i="1"/>
  <c r="D26604" i="1"/>
  <c r="D26605" i="1"/>
  <c r="D26606" i="1"/>
  <c r="D26607" i="1"/>
  <c r="D26608" i="1"/>
  <c r="D26609" i="1"/>
  <c r="D26610" i="1"/>
  <c r="D26611" i="1"/>
  <c r="D26612" i="1"/>
  <c r="D26613" i="1"/>
  <c r="D26614" i="1"/>
  <c r="D26615" i="1"/>
  <c r="D26616" i="1"/>
  <c r="D26617" i="1"/>
  <c r="D26618" i="1"/>
  <c r="D26619" i="1"/>
  <c r="D26620" i="1"/>
  <c r="D26621" i="1"/>
  <c r="D26622" i="1"/>
  <c r="D26623" i="1"/>
  <c r="D26624" i="1"/>
  <c r="D26625" i="1"/>
  <c r="D26626" i="1"/>
  <c r="D26627" i="1"/>
  <c r="D26628" i="1"/>
  <c r="D26629" i="1"/>
  <c r="D26630" i="1"/>
  <c r="D26631" i="1"/>
  <c r="D26632" i="1"/>
  <c r="D26633" i="1"/>
  <c r="D26634" i="1"/>
  <c r="D26635" i="1"/>
  <c r="D26636" i="1"/>
  <c r="D26637" i="1"/>
  <c r="D26638" i="1"/>
  <c r="D26639" i="1"/>
  <c r="D26640" i="1"/>
  <c r="D26641" i="1"/>
  <c r="D26642" i="1"/>
  <c r="D26643" i="1"/>
  <c r="D26644" i="1"/>
  <c r="D26645" i="1"/>
  <c r="D26646" i="1"/>
  <c r="D26647" i="1"/>
  <c r="D26648" i="1"/>
  <c r="D26649" i="1"/>
  <c r="D26650" i="1"/>
  <c r="D26651" i="1"/>
  <c r="D26652" i="1"/>
  <c r="D26653" i="1"/>
  <c r="D26654" i="1"/>
  <c r="D26655" i="1"/>
  <c r="D26656" i="1"/>
  <c r="D26657" i="1"/>
  <c r="D26658" i="1"/>
  <c r="D26659" i="1"/>
  <c r="D26660" i="1"/>
  <c r="D26661" i="1"/>
  <c r="D26662" i="1"/>
  <c r="D26663" i="1"/>
  <c r="D26664" i="1"/>
  <c r="D26665" i="1"/>
  <c r="D26666" i="1"/>
  <c r="D26667" i="1"/>
  <c r="D26668" i="1"/>
  <c r="D26669" i="1"/>
  <c r="D26670" i="1"/>
  <c r="D26671" i="1"/>
  <c r="D26672" i="1"/>
  <c r="D26673" i="1"/>
  <c r="D26674" i="1"/>
  <c r="D26675" i="1"/>
  <c r="D26676" i="1"/>
  <c r="D26677" i="1"/>
  <c r="D26678" i="1"/>
  <c r="D26679" i="1"/>
  <c r="D26680" i="1"/>
  <c r="D26681" i="1"/>
  <c r="D26682" i="1"/>
  <c r="D26683" i="1"/>
  <c r="D26684" i="1"/>
  <c r="D26685" i="1"/>
  <c r="D26686" i="1"/>
  <c r="D26687" i="1"/>
  <c r="D26688" i="1"/>
  <c r="D26689" i="1"/>
  <c r="D26690" i="1"/>
  <c r="D26691" i="1"/>
  <c r="D26692" i="1"/>
  <c r="D26693" i="1"/>
  <c r="D26694" i="1"/>
  <c r="D26695" i="1"/>
  <c r="D26696" i="1"/>
  <c r="D26697" i="1"/>
  <c r="D26698" i="1"/>
  <c r="D26699" i="1"/>
  <c r="D26700" i="1"/>
  <c r="D26701" i="1"/>
  <c r="D26702" i="1"/>
  <c r="D26703" i="1"/>
  <c r="D26704" i="1"/>
  <c r="D26705" i="1"/>
  <c r="D26706" i="1"/>
  <c r="D26707" i="1"/>
  <c r="D26708" i="1"/>
  <c r="D26709" i="1"/>
  <c r="D26710" i="1"/>
  <c r="D26711" i="1"/>
  <c r="D26712" i="1"/>
  <c r="D26713" i="1"/>
  <c r="D26714" i="1"/>
  <c r="D26715" i="1"/>
  <c r="D26716" i="1"/>
  <c r="D26717" i="1"/>
  <c r="D26718" i="1"/>
  <c r="D26719" i="1"/>
  <c r="D26720" i="1"/>
  <c r="D26721" i="1"/>
  <c r="D26722" i="1"/>
  <c r="D26723" i="1"/>
  <c r="D26724" i="1"/>
  <c r="D26725" i="1"/>
  <c r="D26726" i="1"/>
  <c r="D26727" i="1"/>
  <c r="D26728" i="1"/>
  <c r="D26729" i="1"/>
  <c r="D26730" i="1"/>
  <c r="D26731" i="1"/>
  <c r="D26732" i="1"/>
  <c r="D26733" i="1"/>
  <c r="D26734" i="1"/>
  <c r="D26735" i="1"/>
  <c r="D26736" i="1"/>
  <c r="D26737" i="1"/>
  <c r="D26738" i="1"/>
  <c r="D26739" i="1"/>
  <c r="D26740" i="1"/>
  <c r="D26741" i="1"/>
  <c r="D26742" i="1"/>
  <c r="D26743" i="1"/>
  <c r="D26744" i="1"/>
  <c r="D26745" i="1"/>
  <c r="D26746" i="1"/>
  <c r="D26747" i="1"/>
  <c r="D26748" i="1"/>
  <c r="D26749" i="1"/>
  <c r="D26750" i="1"/>
  <c r="D26751" i="1"/>
  <c r="D26752" i="1"/>
  <c r="D26753" i="1"/>
  <c r="D26754" i="1"/>
  <c r="D26755" i="1"/>
  <c r="D26756" i="1"/>
  <c r="D26757" i="1"/>
  <c r="D26758" i="1"/>
  <c r="D26759" i="1"/>
  <c r="D26760" i="1"/>
  <c r="D26761" i="1"/>
  <c r="D26762" i="1"/>
  <c r="D26763" i="1"/>
  <c r="D26764" i="1"/>
  <c r="D26765" i="1"/>
  <c r="D26766" i="1"/>
  <c r="D26767" i="1"/>
  <c r="D26768" i="1"/>
  <c r="D26769" i="1"/>
  <c r="D26770" i="1"/>
  <c r="D26771" i="1"/>
  <c r="D26772" i="1"/>
  <c r="D26773" i="1"/>
  <c r="D26774" i="1"/>
  <c r="D26775" i="1"/>
  <c r="D26776" i="1"/>
  <c r="D26777" i="1"/>
  <c r="D26778" i="1"/>
  <c r="D26779" i="1"/>
  <c r="D26780" i="1"/>
  <c r="D26781" i="1"/>
  <c r="D26782" i="1"/>
  <c r="D26783" i="1"/>
  <c r="D26784" i="1"/>
  <c r="D26785" i="1"/>
  <c r="D26786" i="1"/>
  <c r="D26787" i="1"/>
  <c r="D26788" i="1"/>
  <c r="D26789" i="1"/>
  <c r="D26790" i="1"/>
  <c r="D26791" i="1"/>
  <c r="D26792" i="1"/>
  <c r="D26793" i="1"/>
  <c r="D26794" i="1"/>
  <c r="D26795" i="1"/>
  <c r="D26796" i="1"/>
  <c r="D26797" i="1"/>
  <c r="D26798" i="1"/>
  <c r="D26799" i="1"/>
  <c r="D26800" i="1"/>
  <c r="D26801" i="1"/>
  <c r="D26802" i="1"/>
  <c r="D26803" i="1"/>
  <c r="D26804" i="1"/>
  <c r="D26805" i="1"/>
  <c r="D26806" i="1"/>
  <c r="D26807" i="1"/>
  <c r="D26808" i="1"/>
  <c r="D26809" i="1"/>
  <c r="D26810" i="1"/>
  <c r="D26811" i="1"/>
  <c r="D26812" i="1"/>
  <c r="D26813" i="1"/>
  <c r="D26814" i="1"/>
  <c r="D26815" i="1"/>
  <c r="D26816" i="1"/>
  <c r="D26817" i="1"/>
  <c r="D26818" i="1"/>
  <c r="D26819" i="1"/>
  <c r="D26820" i="1"/>
  <c r="D26821" i="1"/>
  <c r="D26822" i="1"/>
  <c r="D26823" i="1"/>
  <c r="D26824" i="1"/>
  <c r="D26825" i="1"/>
  <c r="D26826" i="1"/>
  <c r="D26827" i="1"/>
  <c r="D26828" i="1"/>
  <c r="D26829" i="1"/>
  <c r="D26830" i="1"/>
  <c r="D26831" i="1"/>
  <c r="D26832" i="1"/>
  <c r="D26833" i="1"/>
  <c r="D26834" i="1"/>
  <c r="D26835" i="1"/>
  <c r="D26836" i="1"/>
  <c r="D26837" i="1"/>
  <c r="D26838" i="1"/>
  <c r="D26839" i="1"/>
  <c r="D26840" i="1"/>
  <c r="D26841" i="1"/>
  <c r="D26842" i="1"/>
  <c r="D26843" i="1"/>
  <c r="D26844" i="1"/>
  <c r="D26845" i="1"/>
  <c r="D26846" i="1"/>
  <c r="D26847" i="1"/>
  <c r="D26848" i="1"/>
  <c r="D26849" i="1"/>
  <c r="D26850" i="1"/>
  <c r="D26851" i="1"/>
  <c r="D26852" i="1"/>
  <c r="D26853" i="1"/>
  <c r="D26854" i="1"/>
  <c r="D26855" i="1"/>
  <c r="D26856" i="1"/>
  <c r="D26857" i="1"/>
  <c r="D26858" i="1"/>
  <c r="D26859" i="1"/>
  <c r="D26860" i="1"/>
  <c r="D26861" i="1"/>
  <c r="D26862" i="1"/>
  <c r="D26863" i="1"/>
  <c r="D26864" i="1"/>
  <c r="D26865" i="1"/>
  <c r="D26866" i="1"/>
  <c r="D26867" i="1"/>
  <c r="D26868" i="1"/>
  <c r="D26869" i="1"/>
  <c r="D26870" i="1"/>
  <c r="D26871" i="1"/>
  <c r="D26872" i="1"/>
  <c r="D26873" i="1"/>
  <c r="D26874" i="1"/>
  <c r="D26875" i="1"/>
  <c r="D26876" i="1"/>
  <c r="D26877" i="1"/>
  <c r="D26878" i="1"/>
  <c r="D26879" i="1"/>
  <c r="D26880" i="1"/>
  <c r="D26881" i="1"/>
  <c r="D26882" i="1"/>
  <c r="D26883" i="1"/>
  <c r="D26884" i="1"/>
  <c r="D26885" i="1"/>
  <c r="D26886" i="1"/>
  <c r="D26887" i="1"/>
  <c r="D26888" i="1"/>
  <c r="D26889" i="1"/>
  <c r="D26890" i="1"/>
  <c r="D26891" i="1"/>
  <c r="D26892" i="1"/>
  <c r="D26893" i="1"/>
  <c r="D26894" i="1"/>
  <c r="D26895" i="1"/>
  <c r="D26896" i="1"/>
  <c r="D26897" i="1"/>
  <c r="D26898" i="1"/>
  <c r="D26899" i="1"/>
  <c r="D26900" i="1"/>
  <c r="D26901" i="1"/>
  <c r="D26902" i="1"/>
  <c r="D26903" i="1"/>
  <c r="D26904" i="1"/>
  <c r="D26905" i="1"/>
  <c r="D26906" i="1"/>
  <c r="D26907" i="1"/>
  <c r="D26908" i="1"/>
  <c r="D26909" i="1"/>
  <c r="D26910" i="1"/>
  <c r="D26911" i="1"/>
  <c r="D26912" i="1"/>
  <c r="D26913" i="1"/>
  <c r="D26914" i="1"/>
  <c r="D26915" i="1"/>
  <c r="D26916" i="1"/>
  <c r="D26917" i="1"/>
  <c r="D26918" i="1"/>
  <c r="D26919" i="1"/>
  <c r="D26920" i="1"/>
  <c r="D26921" i="1"/>
  <c r="D26922" i="1"/>
  <c r="D26923" i="1"/>
  <c r="D26924" i="1"/>
  <c r="D26925" i="1"/>
  <c r="D26926" i="1"/>
  <c r="D26927" i="1"/>
  <c r="D26928" i="1"/>
  <c r="D26929" i="1"/>
  <c r="D26930" i="1"/>
  <c r="D26931" i="1"/>
  <c r="D26932" i="1"/>
  <c r="D26933" i="1"/>
  <c r="D26934" i="1"/>
  <c r="D26935" i="1"/>
  <c r="D26936" i="1"/>
  <c r="D26937" i="1"/>
  <c r="D26938" i="1"/>
  <c r="D26939" i="1"/>
  <c r="D26940" i="1"/>
  <c r="D26941" i="1"/>
  <c r="D26942" i="1"/>
  <c r="D26943" i="1"/>
  <c r="D26944" i="1"/>
  <c r="D26945" i="1"/>
  <c r="D26946" i="1"/>
  <c r="D26947" i="1"/>
  <c r="D26948" i="1"/>
  <c r="D26949" i="1"/>
  <c r="D26950" i="1"/>
  <c r="D26951" i="1"/>
  <c r="D26952" i="1"/>
  <c r="D26953" i="1"/>
  <c r="D26954" i="1"/>
  <c r="D26955" i="1"/>
  <c r="D26956" i="1"/>
  <c r="D26957" i="1"/>
  <c r="D26958" i="1"/>
  <c r="D26959" i="1"/>
  <c r="D26960" i="1"/>
  <c r="D26961" i="1"/>
  <c r="D26962" i="1"/>
  <c r="D26963" i="1"/>
  <c r="D26964" i="1"/>
  <c r="D26965" i="1"/>
  <c r="D26966" i="1"/>
  <c r="D26967" i="1"/>
  <c r="D26968" i="1"/>
  <c r="D26969" i="1"/>
  <c r="D26970" i="1"/>
  <c r="D26971" i="1"/>
  <c r="D26972" i="1"/>
  <c r="D26973" i="1"/>
  <c r="D26974" i="1"/>
  <c r="D26975" i="1"/>
  <c r="D26976" i="1"/>
  <c r="D26977" i="1"/>
  <c r="D26978" i="1"/>
  <c r="D26979" i="1"/>
  <c r="D26980" i="1"/>
  <c r="D26981" i="1"/>
  <c r="D26982" i="1"/>
  <c r="D26983" i="1"/>
  <c r="D26984" i="1"/>
  <c r="D26985" i="1"/>
  <c r="D26986" i="1"/>
  <c r="D26987" i="1"/>
  <c r="D26988" i="1"/>
  <c r="D26989" i="1"/>
  <c r="D26990" i="1"/>
  <c r="D26991" i="1"/>
  <c r="D26992" i="1"/>
  <c r="D26993" i="1"/>
  <c r="D26994" i="1"/>
  <c r="D26995" i="1"/>
  <c r="D26996" i="1"/>
  <c r="D26997" i="1"/>
  <c r="D26998" i="1"/>
  <c r="D26999" i="1"/>
  <c r="D27000" i="1"/>
  <c r="D27001" i="1"/>
  <c r="D27002" i="1"/>
  <c r="D27003" i="1"/>
  <c r="D27004" i="1"/>
  <c r="D27005" i="1"/>
  <c r="D27006" i="1"/>
  <c r="D27007" i="1"/>
  <c r="D27008" i="1"/>
  <c r="D27009" i="1"/>
  <c r="D27010" i="1"/>
  <c r="D27011" i="1"/>
  <c r="D27012" i="1"/>
  <c r="D27013" i="1"/>
  <c r="D27014" i="1"/>
  <c r="D27015" i="1"/>
  <c r="D27016" i="1"/>
  <c r="D27017" i="1"/>
  <c r="D27018" i="1"/>
  <c r="D27019" i="1"/>
  <c r="D27020" i="1"/>
  <c r="D27021" i="1"/>
  <c r="D27022" i="1"/>
  <c r="D27023" i="1"/>
  <c r="D27024" i="1"/>
  <c r="D27025" i="1"/>
  <c r="D27026" i="1"/>
  <c r="D27027" i="1"/>
  <c r="D27028" i="1"/>
  <c r="D27029" i="1"/>
  <c r="D27030" i="1"/>
  <c r="D27031" i="1"/>
  <c r="D27032" i="1"/>
  <c r="D27033" i="1"/>
  <c r="D27034" i="1"/>
  <c r="D27035" i="1"/>
  <c r="D27036" i="1"/>
  <c r="D27037" i="1"/>
  <c r="D27038" i="1"/>
  <c r="D27039" i="1"/>
  <c r="D27040" i="1"/>
  <c r="D27041" i="1"/>
  <c r="D27042" i="1"/>
  <c r="D27043" i="1"/>
  <c r="D27044" i="1"/>
  <c r="D27045" i="1"/>
  <c r="D27046" i="1"/>
  <c r="D27047" i="1"/>
  <c r="D27048" i="1"/>
  <c r="D27049" i="1"/>
  <c r="D27050" i="1"/>
  <c r="D27051" i="1"/>
  <c r="D27052" i="1"/>
  <c r="D27053" i="1"/>
  <c r="D27054" i="1"/>
  <c r="D27055" i="1"/>
  <c r="D27056" i="1"/>
  <c r="D27057" i="1"/>
  <c r="D27058" i="1"/>
  <c r="D27059" i="1"/>
  <c r="D27060" i="1"/>
  <c r="D27061" i="1"/>
  <c r="D27062" i="1"/>
  <c r="D27063" i="1"/>
  <c r="D27064" i="1"/>
  <c r="D27065" i="1"/>
  <c r="D27066" i="1"/>
  <c r="D27067" i="1"/>
  <c r="D27068" i="1"/>
  <c r="D27069" i="1"/>
  <c r="D27070" i="1"/>
  <c r="D27071" i="1"/>
  <c r="D27072" i="1"/>
  <c r="D27073" i="1"/>
  <c r="D27074" i="1"/>
  <c r="D27075" i="1"/>
  <c r="D27076" i="1"/>
  <c r="D27077" i="1"/>
  <c r="D27078" i="1"/>
  <c r="D27079" i="1"/>
  <c r="D27080" i="1"/>
  <c r="D27081" i="1"/>
  <c r="D27082" i="1"/>
  <c r="D27083" i="1"/>
  <c r="D27084" i="1"/>
  <c r="D27085" i="1"/>
  <c r="D27086" i="1"/>
  <c r="D27087" i="1"/>
  <c r="D27088" i="1"/>
  <c r="D27089" i="1"/>
  <c r="D27090" i="1"/>
  <c r="D27091" i="1"/>
  <c r="D27092" i="1"/>
  <c r="D27093" i="1"/>
  <c r="D27094" i="1"/>
  <c r="D27095" i="1"/>
  <c r="D27096" i="1"/>
  <c r="D27097" i="1"/>
  <c r="D27098" i="1"/>
  <c r="D27099" i="1"/>
  <c r="D27100" i="1"/>
  <c r="D27101" i="1"/>
  <c r="D27102" i="1"/>
  <c r="D27103" i="1"/>
  <c r="D27104" i="1"/>
  <c r="D27105" i="1"/>
  <c r="D27106" i="1"/>
  <c r="D27107" i="1"/>
  <c r="D27108" i="1"/>
  <c r="D27109" i="1"/>
  <c r="D27110" i="1"/>
  <c r="D27111" i="1"/>
  <c r="D27112" i="1"/>
  <c r="D27113" i="1"/>
  <c r="D27114" i="1"/>
  <c r="D27115" i="1"/>
  <c r="D27116" i="1"/>
  <c r="D27117" i="1"/>
  <c r="D27118" i="1"/>
  <c r="D27119" i="1"/>
  <c r="D27120" i="1"/>
  <c r="D27121" i="1"/>
  <c r="D27122" i="1"/>
  <c r="D27123" i="1"/>
  <c r="D27124" i="1"/>
  <c r="D27125" i="1"/>
  <c r="D27126" i="1"/>
  <c r="D27127" i="1"/>
  <c r="D27128" i="1"/>
  <c r="D27129" i="1"/>
  <c r="D27130" i="1"/>
  <c r="D27131" i="1"/>
  <c r="D27132" i="1"/>
  <c r="D27133" i="1"/>
  <c r="D27134" i="1"/>
  <c r="D27135" i="1"/>
  <c r="D27136" i="1"/>
  <c r="D27137" i="1"/>
  <c r="D27138" i="1"/>
  <c r="D27139" i="1"/>
  <c r="D27140" i="1"/>
  <c r="D27141" i="1"/>
  <c r="D27142" i="1"/>
  <c r="D27143" i="1"/>
  <c r="D27144" i="1"/>
  <c r="D27145" i="1"/>
  <c r="D27146" i="1"/>
  <c r="D27147" i="1"/>
  <c r="D27148" i="1"/>
  <c r="D27149" i="1"/>
  <c r="D27150" i="1"/>
  <c r="D27151" i="1"/>
  <c r="D27152" i="1"/>
  <c r="D27153" i="1"/>
  <c r="D27154" i="1"/>
  <c r="D27155" i="1"/>
  <c r="D27156" i="1"/>
  <c r="D27157" i="1"/>
  <c r="D27158" i="1"/>
  <c r="D27159" i="1"/>
  <c r="D27160" i="1"/>
  <c r="D27161" i="1"/>
  <c r="D27162" i="1"/>
  <c r="D27163" i="1"/>
  <c r="D27164" i="1"/>
  <c r="D27165" i="1"/>
  <c r="D27166" i="1"/>
  <c r="D27167" i="1"/>
  <c r="D27168" i="1"/>
  <c r="D27169" i="1"/>
  <c r="D27170" i="1"/>
  <c r="D27171" i="1"/>
  <c r="D27172" i="1"/>
  <c r="D27173" i="1"/>
  <c r="D27174" i="1"/>
  <c r="D27175" i="1"/>
  <c r="D27176" i="1"/>
  <c r="D27177" i="1"/>
  <c r="D27178" i="1"/>
  <c r="D27179" i="1"/>
  <c r="D27180" i="1"/>
  <c r="D27181" i="1"/>
  <c r="D27182" i="1"/>
  <c r="D27183" i="1"/>
  <c r="D27184" i="1"/>
  <c r="D27185" i="1"/>
  <c r="D27186" i="1"/>
  <c r="D27187" i="1"/>
  <c r="D27188" i="1"/>
  <c r="D27189" i="1"/>
  <c r="D27190" i="1"/>
  <c r="D27191" i="1"/>
  <c r="D27192" i="1"/>
  <c r="D27193" i="1"/>
  <c r="D27194" i="1"/>
  <c r="D27195" i="1"/>
  <c r="D27196" i="1"/>
  <c r="D27197" i="1"/>
  <c r="D27198" i="1"/>
  <c r="D27199" i="1"/>
  <c r="D27200" i="1"/>
  <c r="D27201" i="1"/>
  <c r="D27202" i="1"/>
  <c r="D27203" i="1"/>
  <c r="D27204" i="1"/>
  <c r="D27205" i="1"/>
  <c r="D27206" i="1"/>
  <c r="D27207" i="1"/>
  <c r="D27208" i="1"/>
  <c r="D27209" i="1"/>
  <c r="D27210" i="1"/>
  <c r="D27211" i="1"/>
  <c r="D27212" i="1"/>
  <c r="D27213" i="1"/>
  <c r="D27214" i="1"/>
  <c r="D27215" i="1"/>
  <c r="D27216" i="1"/>
  <c r="D27217" i="1"/>
  <c r="D27218" i="1"/>
  <c r="D27219" i="1"/>
  <c r="D27220" i="1"/>
  <c r="D27221" i="1"/>
  <c r="D27222" i="1"/>
  <c r="D27223" i="1"/>
  <c r="D27224" i="1"/>
  <c r="D27225" i="1"/>
  <c r="D27226" i="1"/>
  <c r="D27227" i="1"/>
  <c r="D27228" i="1"/>
  <c r="D27229" i="1"/>
  <c r="D27230" i="1"/>
  <c r="D27231" i="1"/>
  <c r="D27232" i="1"/>
  <c r="D27233" i="1"/>
  <c r="D27234" i="1"/>
  <c r="D27235" i="1"/>
  <c r="D27236" i="1"/>
  <c r="D27237" i="1"/>
  <c r="D27238" i="1"/>
  <c r="D27239" i="1"/>
  <c r="D27240" i="1"/>
  <c r="D27241" i="1"/>
  <c r="D27242" i="1"/>
  <c r="D27243" i="1"/>
  <c r="D27244" i="1"/>
  <c r="D27245" i="1"/>
  <c r="D27246" i="1"/>
  <c r="D27247" i="1"/>
  <c r="D27248" i="1"/>
  <c r="D27249" i="1"/>
  <c r="D27250" i="1"/>
  <c r="D27251" i="1"/>
  <c r="D27252" i="1"/>
  <c r="D27253" i="1"/>
  <c r="D27254" i="1"/>
  <c r="D27255" i="1"/>
  <c r="D27256" i="1"/>
  <c r="D27257" i="1"/>
  <c r="D27258" i="1"/>
  <c r="D27259" i="1"/>
  <c r="D27260" i="1"/>
  <c r="D27261" i="1"/>
  <c r="D27262" i="1"/>
  <c r="D27263" i="1"/>
  <c r="D27264" i="1"/>
  <c r="D27265" i="1"/>
  <c r="D27266" i="1"/>
  <c r="D27267" i="1"/>
  <c r="D27268" i="1"/>
  <c r="D27269" i="1"/>
  <c r="D27270" i="1"/>
  <c r="D27271" i="1"/>
  <c r="D27272" i="1"/>
  <c r="D27273" i="1"/>
  <c r="D27274" i="1"/>
  <c r="D27275" i="1"/>
  <c r="D27276" i="1"/>
  <c r="D27277" i="1"/>
  <c r="D27278" i="1"/>
  <c r="D27279" i="1"/>
  <c r="D27280" i="1"/>
  <c r="D27281" i="1"/>
  <c r="D27282" i="1"/>
  <c r="D27283" i="1"/>
  <c r="D27284" i="1"/>
  <c r="D27285" i="1"/>
  <c r="D27286" i="1"/>
  <c r="D27287" i="1"/>
  <c r="D27288" i="1"/>
  <c r="D27289" i="1"/>
  <c r="D27290" i="1"/>
  <c r="D27291" i="1"/>
  <c r="D27292" i="1"/>
  <c r="D27293" i="1"/>
  <c r="D27294" i="1"/>
  <c r="D27295" i="1"/>
  <c r="D27296" i="1"/>
  <c r="D27297" i="1"/>
  <c r="D27298" i="1"/>
  <c r="D27299" i="1"/>
  <c r="D27300" i="1"/>
  <c r="D27301" i="1"/>
  <c r="D27302" i="1"/>
  <c r="D27303" i="1"/>
  <c r="D27304" i="1"/>
  <c r="D27305" i="1"/>
  <c r="D27306" i="1"/>
  <c r="D27307" i="1"/>
  <c r="D27308" i="1"/>
  <c r="D27309" i="1"/>
  <c r="D27310" i="1"/>
  <c r="D27311" i="1"/>
  <c r="D27312" i="1"/>
  <c r="D27313" i="1"/>
  <c r="D27314" i="1"/>
  <c r="D27315" i="1"/>
  <c r="D27316" i="1"/>
  <c r="D27317" i="1"/>
  <c r="D27318" i="1"/>
  <c r="D27319" i="1"/>
  <c r="D27320" i="1"/>
  <c r="D27321" i="1"/>
  <c r="D27322" i="1"/>
  <c r="D27323" i="1"/>
  <c r="D27324" i="1"/>
  <c r="D27325" i="1"/>
  <c r="D27326" i="1"/>
  <c r="D27327" i="1"/>
  <c r="D27328" i="1"/>
  <c r="D27329" i="1"/>
  <c r="D27330" i="1"/>
  <c r="D27331" i="1"/>
  <c r="D27332" i="1"/>
  <c r="D27333" i="1"/>
  <c r="D27334" i="1"/>
  <c r="D27335" i="1"/>
  <c r="D27336" i="1"/>
  <c r="D27337" i="1"/>
  <c r="D27338" i="1"/>
  <c r="D27339" i="1"/>
  <c r="D27340" i="1"/>
  <c r="D27341" i="1"/>
  <c r="D27342" i="1"/>
  <c r="D27343" i="1"/>
  <c r="D27344" i="1"/>
  <c r="D27345" i="1"/>
  <c r="D27346" i="1"/>
  <c r="D27347" i="1"/>
  <c r="D27348" i="1"/>
  <c r="D27349" i="1"/>
  <c r="D27350" i="1"/>
  <c r="D27351" i="1"/>
  <c r="D27352" i="1"/>
  <c r="D27353" i="1"/>
  <c r="D27354" i="1"/>
  <c r="D27355" i="1"/>
  <c r="D27356" i="1"/>
  <c r="D27357" i="1"/>
  <c r="D27358" i="1"/>
  <c r="D27359" i="1"/>
  <c r="D27360" i="1"/>
  <c r="D27361" i="1"/>
  <c r="D27362" i="1"/>
  <c r="D27363" i="1"/>
  <c r="D27364" i="1"/>
  <c r="D27365" i="1"/>
  <c r="D27366" i="1"/>
  <c r="D27367" i="1"/>
  <c r="D27368" i="1"/>
  <c r="D27369" i="1"/>
  <c r="D27370" i="1"/>
  <c r="D27371" i="1"/>
  <c r="D27372" i="1"/>
  <c r="D27373" i="1"/>
  <c r="D27374" i="1"/>
  <c r="D27375" i="1"/>
  <c r="D27376" i="1"/>
  <c r="D27377" i="1"/>
  <c r="D27378" i="1"/>
  <c r="D27379" i="1"/>
  <c r="D27380" i="1"/>
  <c r="D27381" i="1"/>
  <c r="D27382" i="1"/>
  <c r="D27383" i="1"/>
  <c r="D27384" i="1"/>
  <c r="D27385" i="1"/>
  <c r="D27386" i="1"/>
  <c r="D27387" i="1"/>
  <c r="D27388" i="1"/>
  <c r="D27389" i="1"/>
  <c r="D27390" i="1"/>
  <c r="D27391" i="1"/>
  <c r="D27392" i="1"/>
  <c r="D27393" i="1"/>
  <c r="D27394" i="1"/>
  <c r="D27395" i="1"/>
  <c r="D27396" i="1"/>
  <c r="D27397" i="1"/>
  <c r="D27398" i="1"/>
  <c r="D27399" i="1"/>
  <c r="D27400" i="1"/>
  <c r="D27401" i="1"/>
  <c r="D27402" i="1"/>
  <c r="D27403" i="1"/>
  <c r="D27404" i="1"/>
  <c r="D27405" i="1"/>
  <c r="D27406" i="1"/>
  <c r="D27407" i="1"/>
  <c r="D27408" i="1"/>
  <c r="D27409" i="1"/>
  <c r="D27410" i="1"/>
  <c r="D27411" i="1"/>
  <c r="D27412" i="1"/>
  <c r="D27413" i="1"/>
  <c r="D27414" i="1"/>
  <c r="D27415" i="1"/>
  <c r="D27416" i="1"/>
  <c r="D27417" i="1"/>
  <c r="D27418" i="1"/>
  <c r="D27419" i="1"/>
  <c r="D27420" i="1"/>
  <c r="D27421" i="1"/>
  <c r="D27422" i="1"/>
  <c r="D27423" i="1"/>
  <c r="D27424" i="1"/>
  <c r="D27425" i="1"/>
  <c r="D27426" i="1"/>
  <c r="D27427" i="1"/>
  <c r="D27428" i="1"/>
  <c r="D27429" i="1"/>
  <c r="D27430" i="1"/>
  <c r="D27431" i="1"/>
  <c r="D27432" i="1"/>
  <c r="D27433" i="1"/>
  <c r="D27434" i="1"/>
  <c r="D27435" i="1"/>
  <c r="D27436" i="1"/>
  <c r="D27437" i="1"/>
  <c r="D27438" i="1"/>
  <c r="D27439" i="1"/>
  <c r="D27440" i="1"/>
  <c r="D27441" i="1"/>
  <c r="D27442" i="1"/>
  <c r="D27443" i="1"/>
  <c r="D27444" i="1"/>
  <c r="D27445" i="1"/>
  <c r="D27446" i="1"/>
  <c r="D27447" i="1"/>
  <c r="D27448" i="1"/>
  <c r="D27449" i="1"/>
  <c r="D27450" i="1"/>
  <c r="D27451" i="1"/>
  <c r="D27452" i="1"/>
  <c r="D27453" i="1"/>
  <c r="D27454" i="1"/>
  <c r="D27455" i="1"/>
  <c r="D27456" i="1"/>
  <c r="D27457" i="1"/>
  <c r="D27458" i="1"/>
  <c r="D27459" i="1"/>
  <c r="D27460" i="1"/>
  <c r="D27461" i="1"/>
  <c r="D27462" i="1"/>
  <c r="D27463" i="1"/>
  <c r="D27464" i="1"/>
  <c r="D27465" i="1"/>
  <c r="D27466" i="1"/>
  <c r="D27467" i="1"/>
  <c r="D27468" i="1"/>
  <c r="D27469" i="1"/>
  <c r="D27470" i="1"/>
  <c r="D27471" i="1"/>
  <c r="D27472" i="1"/>
  <c r="D27473" i="1"/>
  <c r="D27474" i="1"/>
  <c r="D27475" i="1"/>
  <c r="D27476" i="1"/>
  <c r="D27477" i="1"/>
  <c r="D27478" i="1"/>
  <c r="D27479" i="1"/>
  <c r="D27480" i="1"/>
  <c r="D27481" i="1"/>
  <c r="D27482" i="1"/>
  <c r="D27483" i="1"/>
  <c r="D27484" i="1"/>
  <c r="D27485" i="1"/>
  <c r="D27486" i="1"/>
  <c r="D27487" i="1"/>
  <c r="D27488" i="1"/>
  <c r="D27489" i="1"/>
  <c r="D27490" i="1"/>
  <c r="D27491" i="1"/>
  <c r="D27492" i="1"/>
  <c r="D27493" i="1"/>
  <c r="D27494" i="1"/>
  <c r="D27495" i="1"/>
  <c r="D27496" i="1"/>
  <c r="D27497" i="1"/>
  <c r="D27498" i="1"/>
  <c r="D27499" i="1"/>
  <c r="D27500" i="1"/>
  <c r="D27501" i="1"/>
  <c r="D27502" i="1"/>
  <c r="D27503" i="1"/>
  <c r="D27504" i="1"/>
  <c r="D27505" i="1"/>
  <c r="D27506" i="1"/>
  <c r="D27507" i="1"/>
  <c r="D27508" i="1"/>
  <c r="D27509" i="1"/>
  <c r="D27510" i="1"/>
  <c r="D27511" i="1"/>
  <c r="D27512" i="1"/>
  <c r="D27513" i="1"/>
  <c r="D27514" i="1"/>
  <c r="D27515" i="1"/>
  <c r="D27516" i="1"/>
  <c r="D27517" i="1"/>
  <c r="D27518" i="1"/>
  <c r="D27519" i="1"/>
  <c r="D27520" i="1"/>
  <c r="D27521" i="1"/>
  <c r="D27522" i="1"/>
  <c r="D27523" i="1"/>
  <c r="D27524" i="1"/>
  <c r="D27525" i="1"/>
  <c r="D27526" i="1"/>
  <c r="D27527" i="1"/>
  <c r="D27528" i="1"/>
  <c r="D27529" i="1"/>
  <c r="D27530" i="1"/>
  <c r="D27531" i="1"/>
  <c r="D27532" i="1"/>
  <c r="D27533" i="1"/>
  <c r="D27534" i="1"/>
  <c r="D27535" i="1"/>
  <c r="D27536" i="1"/>
  <c r="D27537" i="1"/>
  <c r="D27538" i="1"/>
  <c r="D27539" i="1"/>
  <c r="D27540" i="1"/>
  <c r="D27541" i="1"/>
  <c r="D27542" i="1"/>
  <c r="D27543" i="1"/>
  <c r="D27544" i="1"/>
  <c r="D27545" i="1"/>
  <c r="D27546" i="1"/>
  <c r="D27547" i="1"/>
  <c r="D27548" i="1"/>
  <c r="D27549" i="1"/>
  <c r="D27550" i="1"/>
  <c r="D27551" i="1"/>
  <c r="D27552" i="1"/>
  <c r="D27553" i="1"/>
  <c r="D27554" i="1"/>
  <c r="D27555" i="1"/>
  <c r="D27556" i="1"/>
  <c r="D27557" i="1"/>
  <c r="D27558" i="1"/>
  <c r="D27559" i="1"/>
  <c r="D27560" i="1"/>
  <c r="D27561" i="1"/>
  <c r="D27562" i="1"/>
  <c r="D27563" i="1"/>
  <c r="D27564" i="1"/>
  <c r="D27565" i="1"/>
  <c r="D27566" i="1"/>
  <c r="D27567" i="1"/>
  <c r="D27568" i="1"/>
  <c r="D27569" i="1"/>
  <c r="D27570" i="1"/>
  <c r="D27571" i="1"/>
  <c r="D27572" i="1"/>
  <c r="D27573" i="1"/>
  <c r="D27574" i="1"/>
  <c r="D27575" i="1"/>
  <c r="D27576" i="1"/>
  <c r="D27577" i="1"/>
  <c r="D27578" i="1"/>
  <c r="D27579" i="1"/>
  <c r="D27580" i="1"/>
  <c r="D27581" i="1"/>
  <c r="D27582" i="1"/>
  <c r="D27583" i="1"/>
  <c r="D27584" i="1"/>
  <c r="D27585" i="1"/>
  <c r="D27586" i="1"/>
  <c r="D27587" i="1"/>
  <c r="D27588" i="1"/>
  <c r="D27589" i="1"/>
  <c r="D27590" i="1"/>
  <c r="D27591" i="1"/>
  <c r="D27592" i="1"/>
  <c r="D27593" i="1"/>
  <c r="D27594" i="1"/>
  <c r="D27595" i="1"/>
  <c r="D27596" i="1"/>
  <c r="D27597" i="1"/>
  <c r="D27598" i="1"/>
  <c r="D27599" i="1"/>
  <c r="D27600" i="1"/>
  <c r="D27601" i="1"/>
  <c r="D27602" i="1"/>
  <c r="D27603" i="1"/>
  <c r="D27604" i="1"/>
  <c r="D27605" i="1"/>
  <c r="D27606" i="1"/>
  <c r="D27607" i="1"/>
  <c r="D27608" i="1"/>
  <c r="D27609" i="1"/>
  <c r="D27610" i="1"/>
  <c r="D27611" i="1"/>
  <c r="D27612" i="1"/>
  <c r="D27613" i="1"/>
  <c r="D27614" i="1"/>
  <c r="D27615" i="1"/>
  <c r="D27616" i="1"/>
  <c r="D27617" i="1"/>
  <c r="D27618" i="1"/>
  <c r="D27619" i="1"/>
  <c r="D27620" i="1"/>
  <c r="D27621" i="1"/>
  <c r="D27622" i="1"/>
  <c r="D27623" i="1"/>
  <c r="D27624" i="1"/>
  <c r="D27625" i="1"/>
  <c r="D27626" i="1"/>
  <c r="D27627" i="1"/>
  <c r="D27628" i="1"/>
  <c r="D27629" i="1"/>
  <c r="D27630" i="1"/>
  <c r="D27631" i="1"/>
  <c r="D27632" i="1"/>
  <c r="D27633" i="1"/>
  <c r="D27634" i="1"/>
  <c r="D27635" i="1"/>
  <c r="D27636" i="1"/>
  <c r="D27637" i="1"/>
  <c r="D27638" i="1"/>
  <c r="D27639" i="1"/>
  <c r="D27640" i="1"/>
  <c r="D27641" i="1"/>
  <c r="D27642" i="1"/>
  <c r="D27643" i="1"/>
  <c r="D27644" i="1"/>
  <c r="D27645" i="1"/>
  <c r="D27646" i="1"/>
  <c r="D27647" i="1"/>
  <c r="D27648" i="1"/>
  <c r="D27649" i="1"/>
  <c r="D27650" i="1"/>
  <c r="D27651" i="1"/>
  <c r="D27652" i="1"/>
  <c r="D27653" i="1"/>
  <c r="D27654" i="1"/>
  <c r="D27655" i="1"/>
  <c r="D27656" i="1"/>
  <c r="D27657" i="1"/>
  <c r="D27658" i="1"/>
  <c r="D27659" i="1"/>
  <c r="D27660" i="1"/>
  <c r="D27661" i="1"/>
  <c r="D27662" i="1"/>
  <c r="D27663" i="1"/>
  <c r="D27664" i="1"/>
  <c r="D27665" i="1"/>
  <c r="D27666" i="1"/>
  <c r="D27667" i="1"/>
  <c r="D27668" i="1"/>
  <c r="D27669" i="1"/>
  <c r="D27670" i="1"/>
  <c r="D27671" i="1"/>
  <c r="D27672" i="1"/>
  <c r="D27673" i="1"/>
  <c r="D27674" i="1"/>
  <c r="D27675" i="1"/>
  <c r="D27676" i="1"/>
  <c r="D27677" i="1"/>
  <c r="D27678" i="1"/>
  <c r="D27679" i="1"/>
  <c r="D27680" i="1"/>
  <c r="D27681" i="1"/>
  <c r="D27682" i="1"/>
  <c r="D27683" i="1"/>
  <c r="D27684" i="1"/>
  <c r="D27685" i="1"/>
  <c r="D27686" i="1"/>
  <c r="D27687" i="1"/>
  <c r="D27688" i="1"/>
  <c r="D27689" i="1"/>
  <c r="D27690" i="1"/>
  <c r="D27691" i="1"/>
  <c r="D27692" i="1"/>
  <c r="D27693" i="1"/>
  <c r="D27694" i="1"/>
  <c r="D27695" i="1"/>
  <c r="D27696" i="1"/>
  <c r="D27697" i="1"/>
  <c r="D27698" i="1"/>
  <c r="D27699" i="1"/>
  <c r="D27700" i="1"/>
  <c r="D27701" i="1"/>
  <c r="D27702" i="1"/>
  <c r="D27703" i="1"/>
  <c r="D27704" i="1"/>
  <c r="D27705" i="1"/>
  <c r="D27706" i="1"/>
  <c r="D27707" i="1"/>
  <c r="D27708" i="1"/>
  <c r="D27709" i="1"/>
  <c r="D27710" i="1"/>
  <c r="D27711" i="1"/>
  <c r="D27712" i="1"/>
  <c r="D27713" i="1"/>
  <c r="D27714" i="1"/>
  <c r="D27715" i="1"/>
  <c r="D27716" i="1"/>
  <c r="D27717" i="1"/>
  <c r="D27718" i="1"/>
  <c r="D27719" i="1"/>
  <c r="D27720" i="1"/>
  <c r="D27721" i="1"/>
  <c r="D27722" i="1"/>
  <c r="D27723" i="1"/>
  <c r="D27724" i="1"/>
  <c r="D27725" i="1"/>
  <c r="D27726" i="1"/>
  <c r="D27727" i="1"/>
  <c r="D27728" i="1"/>
  <c r="D27729" i="1"/>
  <c r="D27730" i="1"/>
  <c r="D27731" i="1"/>
  <c r="D27732" i="1"/>
  <c r="D27733" i="1"/>
  <c r="D27734" i="1"/>
  <c r="D27735" i="1"/>
  <c r="D27736" i="1"/>
  <c r="D27737" i="1"/>
  <c r="D27738" i="1"/>
  <c r="D27739" i="1"/>
  <c r="D27740" i="1"/>
  <c r="D27741" i="1"/>
  <c r="D27742" i="1"/>
  <c r="D27743" i="1"/>
  <c r="D27744" i="1"/>
  <c r="D27745" i="1"/>
  <c r="D27746" i="1"/>
  <c r="D27747" i="1"/>
  <c r="D27748" i="1"/>
  <c r="D27749" i="1"/>
  <c r="D27750" i="1"/>
  <c r="D27751" i="1"/>
  <c r="D27752" i="1"/>
  <c r="D27753" i="1"/>
  <c r="D27754" i="1"/>
  <c r="D27755" i="1"/>
  <c r="D27756" i="1"/>
  <c r="D27757" i="1"/>
  <c r="D27758" i="1"/>
  <c r="D27759" i="1"/>
  <c r="D27760" i="1"/>
  <c r="D27761" i="1"/>
  <c r="D27762" i="1"/>
  <c r="D27763" i="1"/>
  <c r="D27764" i="1"/>
  <c r="D27765" i="1"/>
  <c r="D27766" i="1"/>
  <c r="D27767" i="1"/>
  <c r="D27768" i="1"/>
  <c r="D27769" i="1"/>
  <c r="D27770" i="1"/>
  <c r="D27771" i="1"/>
  <c r="D27772" i="1"/>
  <c r="D27773" i="1"/>
  <c r="D27774" i="1"/>
  <c r="D27775" i="1"/>
  <c r="D27776" i="1"/>
  <c r="D27777" i="1"/>
  <c r="D27778" i="1"/>
  <c r="D27779" i="1"/>
  <c r="D27780" i="1"/>
  <c r="D27781" i="1"/>
  <c r="D27782" i="1"/>
  <c r="D27783" i="1"/>
  <c r="D27784" i="1"/>
  <c r="D27785" i="1"/>
  <c r="D27786" i="1"/>
  <c r="D27787" i="1"/>
  <c r="D27788" i="1"/>
  <c r="D27789" i="1"/>
  <c r="D27790" i="1"/>
  <c r="D27791" i="1"/>
  <c r="D27792" i="1"/>
  <c r="D27793" i="1"/>
  <c r="D27794" i="1"/>
  <c r="D27795" i="1"/>
  <c r="D27796" i="1"/>
  <c r="D27797" i="1"/>
  <c r="D27798" i="1"/>
  <c r="D27799" i="1"/>
  <c r="D27800" i="1"/>
  <c r="D27801" i="1"/>
  <c r="D27802" i="1"/>
  <c r="D27803" i="1"/>
  <c r="D27804" i="1"/>
  <c r="D27805" i="1"/>
  <c r="D27806" i="1"/>
  <c r="D27807" i="1"/>
  <c r="D27808" i="1"/>
  <c r="D27809" i="1"/>
  <c r="D27810" i="1"/>
  <c r="D27811" i="1"/>
  <c r="D27812" i="1"/>
  <c r="D27813" i="1"/>
  <c r="D27814" i="1"/>
  <c r="D27815" i="1"/>
  <c r="D27816" i="1"/>
  <c r="D27817" i="1"/>
  <c r="D27818" i="1"/>
  <c r="D27819" i="1"/>
  <c r="D27820" i="1"/>
  <c r="D27821" i="1"/>
  <c r="D27822" i="1"/>
  <c r="D27823" i="1"/>
  <c r="D27824" i="1"/>
  <c r="D27825" i="1"/>
  <c r="D27826" i="1"/>
  <c r="D27827" i="1"/>
  <c r="D27828" i="1"/>
  <c r="D27829" i="1"/>
  <c r="D27830" i="1"/>
  <c r="D27831" i="1"/>
  <c r="D27832" i="1"/>
  <c r="D27833" i="1"/>
  <c r="D27834" i="1"/>
  <c r="D27835" i="1"/>
  <c r="D27836" i="1"/>
  <c r="D27837" i="1"/>
  <c r="D27838" i="1"/>
  <c r="D27839" i="1"/>
  <c r="D27840" i="1"/>
  <c r="D27841" i="1"/>
  <c r="D27842" i="1"/>
  <c r="D27843" i="1"/>
  <c r="D27844" i="1"/>
  <c r="D27845" i="1"/>
  <c r="D27846" i="1"/>
  <c r="D27847" i="1"/>
  <c r="D27848" i="1"/>
  <c r="D27849" i="1"/>
  <c r="D27850" i="1"/>
  <c r="D27851" i="1"/>
  <c r="D27852" i="1"/>
  <c r="D27853" i="1"/>
  <c r="D27854" i="1"/>
  <c r="D27855" i="1"/>
  <c r="D27856" i="1"/>
  <c r="D27857" i="1"/>
  <c r="D27858" i="1"/>
  <c r="D27859" i="1"/>
  <c r="D27860" i="1"/>
  <c r="D27861" i="1"/>
  <c r="D27862" i="1"/>
  <c r="D27863" i="1"/>
  <c r="D27864" i="1"/>
  <c r="D27865" i="1"/>
  <c r="D27866" i="1"/>
  <c r="D27867" i="1"/>
  <c r="D27868" i="1"/>
  <c r="D27869" i="1"/>
  <c r="D27870" i="1"/>
  <c r="D27871" i="1"/>
  <c r="D27872" i="1"/>
  <c r="D27873" i="1"/>
  <c r="D27874" i="1"/>
  <c r="D27875" i="1"/>
  <c r="D27876" i="1"/>
  <c r="D27877" i="1"/>
  <c r="D27878" i="1"/>
  <c r="D27879" i="1"/>
  <c r="D27880" i="1"/>
  <c r="D27881" i="1"/>
  <c r="D27882" i="1"/>
  <c r="D27883" i="1"/>
  <c r="D27884" i="1"/>
  <c r="D27885" i="1"/>
  <c r="D27886" i="1"/>
  <c r="D27887" i="1"/>
  <c r="D27888" i="1"/>
  <c r="D27889" i="1"/>
  <c r="D27890" i="1"/>
  <c r="D27891" i="1"/>
  <c r="D27892" i="1"/>
  <c r="D27893" i="1"/>
  <c r="D27894" i="1"/>
  <c r="D27895" i="1"/>
  <c r="D27896" i="1"/>
  <c r="D27897" i="1"/>
  <c r="D27898" i="1"/>
  <c r="D27899" i="1"/>
  <c r="D27900" i="1"/>
  <c r="D27901" i="1"/>
  <c r="D27902" i="1"/>
  <c r="D27903" i="1"/>
  <c r="D27904" i="1"/>
  <c r="D27905" i="1"/>
  <c r="D27906" i="1"/>
  <c r="D27907" i="1"/>
  <c r="D27908" i="1"/>
  <c r="D27909" i="1"/>
  <c r="D27910" i="1"/>
  <c r="D27911" i="1"/>
  <c r="D27912" i="1"/>
  <c r="D27913" i="1"/>
  <c r="D27914" i="1"/>
  <c r="D27915" i="1"/>
  <c r="D27916" i="1"/>
  <c r="D27917" i="1"/>
  <c r="D27918" i="1"/>
  <c r="D27919" i="1"/>
  <c r="D27920" i="1"/>
  <c r="D27921" i="1"/>
  <c r="D27922" i="1"/>
  <c r="D27923" i="1"/>
  <c r="D27924" i="1"/>
  <c r="D27925" i="1"/>
  <c r="D27926" i="1"/>
  <c r="D27927" i="1"/>
  <c r="D27928" i="1"/>
  <c r="D27929" i="1"/>
  <c r="D27930" i="1"/>
  <c r="D27931" i="1"/>
  <c r="D27932" i="1"/>
  <c r="D27933" i="1"/>
  <c r="D27934" i="1"/>
  <c r="D27935" i="1"/>
  <c r="D27936" i="1"/>
  <c r="D27937" i="1"/>
  <c r="D27938" i="1"/>
  <c r="D27939" i="1"/>
  <c r="D27940" i="1"/>
  <c r="D27941" i="1"/>
  <c r="D27942" i="1"/>
  <c r="D27943" i="1"/>
  <c r="D27944" i="1"/>
  <c r="D27945" i="1"/>
  <c r="D27946" i="1"/>
  <c r="D27947" i="1"/>
  <c r="D27948" i="1"/>
  <c r="D27949" i="1"/>
  <c r="D27950" i="1"/>
  <c r="D27951" i="1"/>
  <c r="D27952" i="1"/>
  <c r="D27953" i="1"/>
  <c r="D27954" i="1"/>
  <c r="D27955" i="1"/>
  <c r="D27956" i="1"/>
  <c r="D27957" i="1"/>
  <c r="D27958" i="1"/>
  <c r="D27959" i="1"/>
  <c r="D27960" i="1"/>
  <c r="D27961" i="1"/>
  <c r="D27962" i="1"/>
  <c r="D27963" i="1"/>
  <c r="D27964" i="1"/>
  <c r="D27965" i="1"/>
  <c r="D27966" i="1"/>
  <c r="D27967" i="1"/>
  <c r="D27968" i="1"/>
  <c r="D27969" i="1"/>
  <c r="D27970" i="1"/>
  <c r="D27971" i="1"/>
  <c r="D27972" i="1"/>
  <c r="D27973" i="1"/>
  <c r="D27974" i="1"/>
  <c r="D27975" i="1"/>
  <c r="D27976" i="1"/>
  <c r="D27977" i="1"/>
  <c r="D27978" i="1"/>
  <c r="D27979" i="1"/>
  <c r="D27980" i="1"/>
  <c r="D27981" i="1"/>
  <c r="D27982" i="1"/>
  <c r="D27983" i="1"/>
  <c r="D27984" i="1"/>
  <c r="D27985" i="1"/>
  <c r="D27986" i="1"/>
  <c r="D27987" i="1"/>
  <c r="D27988" i="1"/>
  <c r="D27989" i="1"/>
  <c r="D27990" i="1"/>
  <c r="D27991" i="1"/>
  <c r="D27992" i="1"/>
  <c r="D27993" i="1"/>
  <c r="D27994" i="1"/>
  <c r="D27995" i="1"/>
  <c r="D27996" i="1"/>
  <c r="D27997" i="1"/>
  <c r="D27998" i="1"/>
  <c r="D27999" i="1"/>
  <c r="D28000" i="1"/>
  <c r="D28001" i="1"/>
  <c r="D28002" i="1"/>
  <c r="D28003" i="1"/>
  <c r="D28004" i="1"/>
  <c r="D28005" i="1"/>
  <c r="D28006" i="1"/>
  <c r="D28007" i="1"/>
  <c r="D28008" i="1"/>
  <c r="D28009" i="1"/>
  <c r="D28010" i="1"/>
  <c r="D28011" i="1"/>
  <c r="D28012" i="1"/>
  <c r="D28013" i="1"/>
  <c r="D28014" i="1"/>
  <c r="D28015" i="1"/>
  <c r="D28016" i="1"/>
  <c r="D28017" i="1"/>
  <c r="D28018" i="1"/>
  <c r="D28019" i="1"/>
  <c r="D28020" i="1"/>
  <c r="D28021" i="1"/>
  <c r="D28022" i="1"/>
  <c r="D28023" i="1"/>
  <c r="D28024" i="1"/>
  <c r="D28025" i="1"/>
  <c r="D28026" i="1"/>
  <c r="D28027" i="1"/>
  <c r="D28028" i="1"/>
  <c r="D28029" i="1"/>
  <c r="D28030" i="1"/>
  <c r="D28031" i="1"/>
  <c r="D28032" i="1"/>
  <c r="D28033" i="1"/>
  <c r="D28034" i="1"/>
  <c r="D28035" i="1"/>
  <c r="D28036" i="1"/>
  <c r="D28037" i="1"/>
  <c r="D28038" i="1"/>
  <c r="D28039" i="1"/>
  <c r="D28040" i="1"/>
  <c r="D28041" i="1"/>
  <c r="D28042" i="1"/>
  <c r="D28043" i="1"/>
  <c r="D28044" i="1"/>
  <c r="D28045" i="1"/>
  <c r="D28046" i="1"/>
  <c r="D28047" i="1"/>
  <c r="D28048" i="1"/>
  <c r="D28049" i="1"/>
  <c r="D28050" i="1"/>
  <c r="D28051" i="1"/>
  <c r="D28052" i="1"/>
  <c r="D28053" i="1"/>
  <c r="D28054" i="1"/>
  <c r="D28055" i="1"/>
  <c r="D28056" i="1"/>
  <c r="D28057" i="1"/>
  <c r="D28058" i="1"/>
  <c r="D28059" i="1"/>
  <c r="D28060" i="1"/>
  <c r="D28061" i="1"/>
  <c r="D28062" i="1"/>
  <c r="D28063" i="1"/>
  <c r="D28064" i="1"/>
  <c r="D28065" i="1"/>
  <c r="D28066" i="1"/>
  <c r="D28067" i="1"/>
  <c r="D28068" i="1"/>
  <c r="D28069" i="1"/>
  <c r="D28070" i="1"/>
  <c r="D28071" i="1"/>
  <c r="D28072" i="1"/>
  <c r="D28073" i="1"/>
  <c r="D28074" i="1"/>
  <c r="D28075" i="1"/>
  <c r="D28076" i="1"/>
  <c r="D28077" i="1"/>
  <c r="D28078" i="1"/>
  <c r="D28079" i="1"/>
  <c r="D28080" i="1"/>
  <c r="D28081" i="1"/>
  <c r="D28082" i="1"/>
  <c r="D28083" i="1"/>
  <c r="D28084" i="1"/>
  <c r="D28085" i="1"/>
  <c r="D28086" i="1"/>
  <c r="D28087" i="1"/>
  <c r="D28088" i="1"/>
  <c r="D28089" i="1"/>
  <c r="D28090" i="1"/>
  <c r="D28091" i="1"/>
  <c r="D28092" i="1"/>
  <c r="D28093" i="1"/>
  <c r="D28094" i="1"/>
  <c r="D28095" i="1"/>
  <c r="D28096" i="1"/>
  <c r="D28097" i="1"/>
  <c r="D28098" i="1"/>
  <c r="D28099" i="1"/>
  <c r="D28100" i="1"/>
  <c r="D28101" i="1"/>
  <c r="D28102" i="1"/>
  <c r="D28103" i="1"/>
  <c r="D28104" i="1"/>
  <c r="D28105" i="1"/>
  <c r="D28106" i="1"/>
  <c r="D28107" i="1"/>
  <c r="D28108" i="1"/>
  <c r="D28109" i="1"/>
  <c r="D28110" i="1"/>
  <c r="D28111" i="1"/>
  <c r="D28112" i="1"/>
  <c r="D28113" i="1"/>
  <c r="D28114" i="1"/>
  <c r="D28115" i="1"/>
  <c r="D28116" i="1"/>
  <c r="D28117" i="1"/>
  <c r="D28118" i="1"/>
  <c r="D28119" i="1"/>
  <c r="D28120" i="1"/>
  <c r="D28121" i="1"/>
  <c r="D28122" i="1"/>
  <c r="D28123" i="1"/>
  <c r="D28124" i="1"/>
  <c r="D28125" i="1"/>
  <c r="D28126" i="1"/>
  <c r="D28127" i="1"/>
  <c r="D28128" i="1"/>
  <c r="D28129" i="1"/>
  <c r="D28130" i="1"/>
  <c r="D28131" i="1"/>
  <c r="D28132" i="1"/>
  <c r="D28133" i="1"/>
  <c r="D28134" i="1"/>
  <c r="D28135" i="1"/>
  <c r="D28136" i="1"/>
  <c r="D28137" i="1"/>
  <c r="D28138" i="1"/>
  <c r="D28139" i="1"/>
  <c r="D28140" i="1"/>
  <c r="D28141" i="1"/>
  <c r="D28142" i="1"/>
  <c r="D28143" i="1"/>
  <c r="D28144" i="1"/>
  <c r="D28145" i="1"/>
  <c r="D28146" i="1"/>
  <c r="D28147" i="1"/>
  <c r="D28148" i="1"/>
  <c r="D28149" i="1"/>
  <c r="D28150" i="1"/>
  <c r="D28151" i="1"/>
  <c r="D28152" i="1"/>
  <c r="D28153" i="1"/>
  <c r="D28154" i="1"/>
  <c r="D28155" i="1"/>
  <c r="D28156" i="1"/>
  <c r="D28157" i="1"/>
  <c r="D28158" i="1"/>
  <c r="D28159" i="1"/>
  <c r="D28160" i="1"/>
  <c r="D28161" i="1"/>
  <c r="D28162" i="1"/>
  <c r="D28163" i="1"/>
  <c r="D28164" i="1"/>
  <c r="D28165" i="1"/>
  <c r="D28166" i="1"/>
  <c r="D28167" i="1"/>
  <c r="D28168" i="1"/>
  <c r="D28169" i="1"/>
  <c r="D28170" i="1"/>
  <c r="D28171" i="1"/>
  <c r="D28172" i="1"/>
  <c r="D28173" i="1"/>
  <c r="D28174" i="1"/>
  <c r="D28175" i="1"/>
  <c r="D28176" i="1"/>
  <c r="D28177" i="1"/>
  <c r="D28178" i="1"/>
  <c r="D28179" i="1"/>
  <c r="D28180" i="1"/>
  <c r="D28181" i="1"/>
  <c r="D28182" i="1"/>
  <c r="D28183" i="1"/>
  <c r="D28184" i="1"/>
  <c r="D28185" i="1"/>
  <c r="D28186" i="1"/>
  <c r="D28187" i="1"/>
  <c r="D28188" i="1"/>
  <c r="D28189" i="1"/>
  <c r="D28190" i="1"/>
  <c r="D28191" i="1"/>
  <c r="D28192" i="1"/>
  <c r="D28193" i="1"/>
  <c r="D28194" i="1"/>
  <c r="D28195" i="1"/>
  <c r="D28196" i="1"/>
  <c r="D28197" i="1"/>
  <c r="D28198" i="1"/>
  <c r="D28199" i="1"/>
  <c r="D28200" i="1"/>
  <c r="D28201" i="1"/>
  <c r="D28202" i="1"/>
  <c r="D28203" i="1"/>
  <c r="D28204" i="1"/>
  <c r="D28205" i="1"/>
  <c r="D28206" i="1"/>
  <c r="D28207" i="1"/>
  <c r="D28208" i="1"/>
  <c r="D28209" i="1"/>
  <c r="D28210" i="1"/>
  <c r="D28211" i="1"/>
  <c r="D28212" i="1"/>
  <c r="D28213" i="1"/>
  <c r="D28214" i="1"/>
  <c r="D28215" i="1"/>
  <c r="D28216" i="1"/>
  <c r="D28217" i="1"/>
  <c r="D28218" i="1"/>
  <c r="D28219" i="1"/>
  <c r="D28220" i="1"/>
  <c r="D28221" i="1"/>
  <c r="D28222" i="1"/>
  <c r="D28223" i="1"/>
  <c r="D28224" i="1"/>
  <c r="D28225" i="1"/>
  <c r="D28226" i="1"/>
  <c r="D28227" i="1"/>
  <c r="D28228" i="1"/>
  <c r="D28229" i="1"/>
  <c r="D28230" i="1"/>
  <c r="D28231" i="1"/>
  <c r="D28232" i="1"/>
  <c r="D28233" i="1"/>
  <c r="D28234" i="1"/>
  <c r="D28235" i="1"/>
  <c r="D28236" i="1"/>
  <c r="D28237" i="1"/>
  <c r="D28238" i="1"/>
  <c r="D28239" i="1"/>
  <c r="D28240" i="1"/>
  <c r="D28241" i="1"/>
  <c r="D28242" i="1"/>
  <c r="D28243" i="1"/>
  <c r="D28244" i="1"/>
  <c r="D28245" i="1"/>
  <c r="D28246" i="1"/>
  <c r="D28247" i="1"/>
  <c r="D28248" i="1"/>
  <c r="D28249" i="1"/>
  <c r="D28250" i="1"/>
  <c r="D28251" i="1"/>
  <c r="D28252" i="1"/>
  <c r="D28253" i="1"/>
  <c r="D28254" i="1"/>
  <c r="D28255" i="1"/>
  <c r="D28256" i="1"/>
  <c r="D28257" i="1"/>
  <c r="D28258" i="1"/>
  <c r="D28259" i="1"/>
  <c r="D28260" i="1"/>
  <c r="D28261" i="1"/>
  <c r="D28262" i="1"/>
  <c r="D28263" i="1"/>
  <c r="D28264" i="1"/>
  <c r="D28265" i="1"/>
  <c r="D28266" i="1"/>
  <c r="D28267" i="1"/>
  <c r="D28268" i="1"/>
  <c r="D28269" i="1"/>
  <c r="D28270" i="1"/>
  <c r="D28271" i="1"/>
  <c r="D28272" i="1"/>
  <c r="D28273" i="1"/>
  <c r="D28274" i="1"/>
  <c r="D28275" i="1"/>
  <c r="D28276" i="1"/>
  <c r="D28277" i="1"/>
  <c r="D28278" i="1"/>
  <c r="D28279" i="1"/>
  <c r="D28280" i="1"/>
  <c r="D28281" i="1"/>
  <c r="D28282" i="1"/>
  <c r="D28283" i="1"/>
  <c r="D28284" i="1"/>
  <c r="D28285" i="1"/>
  <c r="D28286" i="1"/>
  <c r="D28287" i="1"/>
  <c r="D28288" i="1"/>
  <c r="D28289" i="1"/>
  <c r="D28290" i="1"/>
  <c r="D28291" i="1"/>
  <c r="D28292" i="1"/>
  <c r="D28293" i="1"/>
  <c r="D28294" i="1"/>
  <c r="D28295" i="1"/>
  <c r="D28296" i="1"/>
  <c r="D28297" i="1"/>
  <c r="D28298" i="1"/>
  <c r="D28299" i="1"/>
  <c r="D28300" i="1"/>
  <c r="D28301" i="1"/>
  <c r="D28302" i="1"/>
  <c r="D28303" i="1"/>
  <c r="D28304" i="1"/>
  <c r="D28305" i="1"/>
  <c r="D28306" i="1"/>
  <c r="D28307" i="1"/>
  <c r="D28308" i="1"/>
  <c r="D28309" i="1"/>
  <c r="D28310" i="1"/>
  <c r="D28311" i="1"/>
  <c r="D28312" i="1"/>
  <c r="D28313" i="1"/>
  <c r="D28314" i="1"/>
  <c r="D28315" i="1"/>
  <c r="D28316" i="1"/>
  <c r="D28317" i="1"/>
  <c r="D28318" i="1"/>
  <c r="D28319" i="1"/>
  <c r="D28320" i="1"/>
  <c r="D28321" i="1"/>
  <c r="D28322" i="1"/>
  <c r="D28323" i="1"/>
  <c r="D28324" i="1"/>
  <c r="D28325" i="1"/>
  <c r="D28326" i="1"/>
  <c r="D28327" i="1"/>
  <c r="D28328" i="1"/>
  <c r="D28329" i="1"/>
  <c r="D28330" i="1"/>
  <c r="D28331" i="1"/>
  <c r="D28332" i="1"/>
  <c r="D28333" i="1"/>
  <c r="D28334" i="1"/>
  <c r="D28335" i="1"/>
  <c r="D28336" i="1"/>
  <c r="D28337" i="1"/>
  <c r="D28338" i="1"/>
  <c r="D28339" i="1"/>
  <c r="D28340" i="1"/>
  <c r="D28341" i="1"/>
  <c r="D28342" i="1"/>
  <c r="D28343" i="1"/>
  <c r="D28344" i="1"/>
  <c r="D28345" i="1"/>
  <c r="D28346" i="1"/>
  <c r="D28347" i="1"/>
  <c r="D28348" i="1"/>
  <c r="D28349" i="1"/>
  <c r="D28350" i="1"/>
  <c r="D28351" i="1"/>
  <c r="D28352" i="1"/>
  <c r="D28353" i="1"/>
  <c r="D28354" i="1"/>
  <c r="D28355" i="1"/>
  <c r="D28356" i="1"/>
  <c r="D28357" i="1"/>
  <c r="D28358" i="1"/>
  <c r="D28359" i="1"/>
  <c r="D28360" i="1"/>
  <c r="D28361" i="1"/>
  <c r="D28362" i="1"/>
  <c r="D28363" i="1"/>
  <c r="D28364" i="1"/>
  <c r="D28365" i="1"/>
  <c r="D28366" i="1"/>
  <c r="D28367" i="1"/>
  <c r="D28368" i="1"/>
  <c r="D28369" i="1"/>
  <c r="D28370" i="1"/>
  <c r="D28371" i="1"/>
  <c r="D28372" i="1"/>
  <c r="D28373" i="1"/>
  <c r="D28374" i="1"/>
  <c r="D28375" i="1"/>
  <c r="D28376" i="1"/>
  <c r="D28377" i="1"/>
  <c r="D28378" i="1"/>
  <c r="D28379" i="1"/>
  <c r="D28380" i="1"/>
  <c r="D28381" i="1"/>
  <c r="D28382" i="1"/>
  <c r="D28383" i="1"/>
  <c r="D28384" i="1"/>
  <c r="D28385" i="1"/>
  <c r="D28386" i="1"/>
  <c r="D28387" i="1"/>
  <c r="D28388" i="1"/>
  <c r="D28389" i="1"/>
  <c r="D28390" i="1"/>
  <c r="D28391" i="1"/>
  <c r="D28392" i="1"/>
  <c r="D28393" i="1"/>
  <c r="D28394" i="1"/>
  <c r="D28395" i="1"/>
  <c r="D28396" i="1"/>
  <c r="D28397" i="1"/>
  <c r="D28398" i="1"/>
  <c r="D28399" i="1"/>
  <c r="D28400" i="1"/>
  <c r="D28401" i="1"/>
  <c r="D28402" i="1"/>
  <c r="D28403" i="1"/>
  <c r="D28404" i="1"/>
  <c r="D28405" i="1"/>
  <c r="D28406" i="1"/>
  <c r="D28407" i="1"/>
  <c r="D28408" i="1"/>
  <c r="D28409" i="1"/>
  <c r="D28410" i="1"/>
  <c r="D28411" i="1"/>
  <c r="D28412" i="1"/>
  <c r="D28413" i="1"/>
  <c r="D28414" i="1"/>
  <c r="D28415" i="1"/>
  <c r="D28416" i="1"/>
  <c r="D28417" i="1"/>
  <c r="D28418" i="1"/>
  <c r="D28419" i="1"/>
  <c r="D28420" i="1"/>
  <c r="D28421" i="1"/>
  <c r="D28422" i="1"/>
  <c r="D28423" i="1"/>
  <c r="D28424" i="1"/>
  <c r="D28425" i="1"/>
  <c r="D28426" i="1"/>
  <c r="D28427" i="1"/>
  <c r="D28428" i="1"/>
  <c r="D28429" i="1"/>
  <c r="D28430" i="1"/>
  <c r="D28431" i="1"/>
  <c r="D28432" i="1"/>
  <c r="D28433" i="1"/>
  <c r="D28434" i="1"/>
  <c r="D28435" i="1"/>
  <c r="D28436" i="1"/>
  <c r="D28437" i="1"/>
  <c r="D28438" i="1"/>
  <c r="D28439" i="1"/>
  <c r="D28440" i="1"/>
  <c r="D28441" i="1"/>
  <c r="D28442" i="1"/>
  <c r="D28443" i="1"/>
  <c r="D28444" i="1"/>
  <c r="D28445" i="1"/>
  <c r="D28446" i="1"/>
  <c r="D28447" i="1"/>
  <c r="D28448" i="1"/>
  <c r="D28449" i="1"/>
  <c r="D28450" i="1"/>
  <c r="D28451" i="1"/>
  <c r="D28452" i="1"/>
  <c r="D28453" i="1"/>
  <c r="D28454" i="1"/>
  <c r="D28455" i="1"/>
  <c r="D28456" i="1"/>
  <c r="D28457" i="1"/>
  <c r="D28458" i="1"/>
  <c r="D28459" i="1"/>
  <c r="D28460" i="1"/>
  <c r="D28461" i="1"/>
  <c r="D28462" i="1"/>
  <c r="D28463" i="1"/>
  <c r="D28464" i="1"/>
  <c r="D28465" i="1"/>
  <c r="D28466" i="1"/>
  <c r="D28467" i="1"/>
  <c r="D28468" i="1"/>
  <c r="D28469" i="1"/>
  <c r="D28470" i="1"/>
  <c r="D28471" i="1"/>
  <c r="D28472" i="1"/>
  <c r="D28473" i="1"/>
  <c r="D28474" i="1"/>
  <c r="D28475" i="1"/>
  <c r="D28476" i="1"/>
  <c r="D28477" i="1"/>
  <c r="D28478" i="1"/>
  <c r="D28479" i="1"/>
  <c r="D28480" i="1"/>
  <c r="D28481" i="1"/>
  <c r="D28482" i="1"/>
  <c r="D28483" i="1"/>
  <c r="D28484" i="1"/>
  <c r="D28485" i="1"/>
  <c r="D28486" i="1"/>
  <c r="D28487" i="1"/>
  <c r="D28488" i="1"/>
  <c r="D28489" i="1"/>
  <c r="D28490" i="1"/>
  <c r="D28491" i="1"/>
  <c r="D28492" i="1"/>
  <c r="D28493" i="1"/>
  <c r="D28494" i="1"/>
  <c r="D28495" i="1"/>
  <c r="D28496" i="1"/>
  <c r="D28497" i="1"/>
  <c r="D28498" i="1"/>
  <c r="D28499" i="1"/>
  <c r="D28500" i="1"/>
  <c r="D28501" i="1"/>
  <c r="D28502" i="1"/>
  <c r="D28503" i="1"/>
  <c r="D28504" i="1"/>
  <c r="D28505" i="1"/>
  <c r="D28506" i="1"/>
  <c r="D28507" i="1"/>
  <c r="D28508" i="1"/>
  <c r="D28509" i="1"/>
  <c r="D28510" i="1"/>
  <c r="D28511" i="1"/>
  <c r="D28512" i="1"/>
  <c r="D28513" i="1"/>
  <c r="D28514" i="1"/>
  <c r="D28515" i="1"/>
  <c r="D28516" i="1"/>
  <c r="D28517" i="1"/>
  <c r="D28518" i="1"/>
  <c r="D28519" i="1"/>
  <c r="D28520" i="1"/>
  <c r="D28521" i="1"/>
  <c r="D28522" i="1"/>
  <c r="D28523" i="1"/>
  <c r="D28524" i="1"/>
  <c r="D28525" i="1"/>
  <c r="D28526" i="1"/>
  <c r="D28527" i="1"/>
  <c r="D28528" i="1"/>
  <c r="D28529" i="1"/>
  <c r="D28530" i="1"/>
  <c r="D28531" i="1"/>
  <c r="D28532" i="1"/>
  <c r="D28533" i="1"/>
  <c r="D28534" i="1"/>
  <c r="D28535" i="1"/>
  <c r="D28536" i="1"/>
  <c r="D28537" i="1"/>
  <c r="D28538" i="1"/>
  <c r="D28539" i="1"/>
  <c r="D28540" i="1"/>
  <c r="D28541" i="1"/>
  <c r="D28542" i="1"/>
  <c r="D28543" i="1"/>
  <c r="D28544" i="1"/>
  <c r="D28545" i="1"/>
  <c r="D28546" i="1"/>
  <c r="D28547" i="1"/>
  <c r="D28548" i="1"/>
  <c r="D28549" i="1"/>
  <c r="D28550" i="1"/>
  <c r="D28551" i="1"/>
  <c r="D28552" i="1"/>
  <c r="D28553" i="1"/>
  <c r="D28554" i="1"/>
  <c r="D28555" i="1"/>
  <c r="D28556" i="1"/>
  <c r="D28557" i="1"/>
  <c r="D28558" i="1"/>
  <c r="D28559" i="1"/>
  <c r="D28560" i="1"/>
  <c r="D28561" i="1"/>
  <c r="D28562" i="1"/>
  <c r="D28563" i="1"/>
  <c r="D28564" i="1"/>
  <c r="D28565" i="1"/>
  <c r="D28566" i="1"/>
  <c r="D28567" i="1"/>
  <c r="D28568" i="1"/>
  <c r="D28569" i="1"/>
  <c r="D28570" i="1"/>
  <c r="D28571" i="1"/>
  <c r="D28572" i="1"/>
  <c r="D28573" i="1"/>
  <c r="D28574" i="1"/>
  <c r="D28575" i="1"/>
  <c r="D28576" i="1"/>
  <c r="D28577" i="1"/>
  <c r="D28578" i="1"/>
  <c r="D28579" i="1"/>
  <c r="D28580" i="1"/>
  <c r="D28581" i="1"/>
  <c r="D28582" i="1"/>
  <c r="D28583" i="1"/>
  <c r="D28584" i="1"/>
  <c r="D28585" i="1"/>
  <c r="D28586" i="1"/>
  <c r="D28587" i="1"/>
  <c r="D28588" i="1"/>
  <c r="D28589" i="1"/>
  <c r="D28590" i="1"/>
  <c r="D28591" i="1"/>
  <c r="D28592" i="1"/>
  <c r="D28593" i="1"/>
  <c r="D28594" i="1"/>
  <c r="D28595" i="1"/>
  <c r="D28596" i="1"/>
  <c r="D28597" i="1"/>
  <c r="D28598" i="1"/>
  <c r="D28599" i="1"/>
  <c r="D28600" i="1"/>
  <c r="D28601" i="1"/>
  <c r="D28602" i="1"/>
  <c r="D28603" i="1"/>
  <c r="D28604" i="1"/>
  <c r="D28605" i="1"/>
  <c r="D28606" i="1"/>
  <c r="D28607" i="1"/>
  <c r="D28608" i="1"/>
  <c r="D28609" i="1"/>
  <c r="D28610" i="1"/>
  <c r="D28611" i="1"/>
  <c r="D28612" i="1"/>
  <c r="D28613" i="1"/>
  <c r="D28614" i="1"/>
  <c r="D28615" i="1"/>
  <c r="D28616" i="1"/>
  <c r="D28617" i="1"/>
  <c r="D28618" i="1"/>
  <c r="D28619" i="1"/>
  <c r="D28620" i="1"/>
  <c r="D28621" i="1"/>
  <c r="D28622" i="1"/>
  <c r="D28623" i="1"/>
  <c r="D28624" i="1"/>
  <c r="D28625" i="1"/>
  <c r="D28626" i="1"/>
  <c r="D28627" i="1"/>
  <c r="D28628" i="1"/>
  <c r="D28629" i="1"/>
  <c r="D28630" i="1"/>
  <c r="D28631" i="1"/>
  <c r="D28632" i="1"/>
  <c r="D28633" i="1"/>
  <c r="D28634" i="1"/>
  <c r="D28635" i="1"/>
  <c r="D28636" i="1"/>
  <c r="D28637" i="1"/>
  <c r="D28638" i="1"/>
  <c r="D28639" i="1"/>
  <c r="D28640" i="1"/>
  <c r="D28641" i="1"/>
  <c r="D28642" i="1"/>
  <c r="D28643" i="1"/>
  <c r="D28644" i="1"/>
  <c r="D28645" i="1"/>
  <c r="D28646" i="1"/>
  <c r="D28647" i="1"/>
  <c r="D28648" i="1"/>
  <c r="D28649" i="1"/>
  <c r="D28650" i="1"/>
  <c r="D28651" i="1"/>
  <c r="D28652" i="1"/>
  <c r="D28653" i="1"/>
  <c r="D28654" i="1"/>
  <c r="D28655" i="1"/>
  <c r="D28656" i="1"/>
  <c r="D28657" i="1"/>
  <c r="D28658" i="1"/>
  <c r="D28659" i="1"/>
  <c r="D28660" i="1"/>
  <c r="D28661" i="1"/>
  <c r="D28662" i="1"/>
  <c r="D28663" i="1"/>
  <c r="D28664" i="1"/>
  <c r="D28665" i="1"/>
  <c r="D28666" i="1"/>
  <c r="D28667" i="1"/>
  <c r="D28668" i="1"/>
  <c r="D28669" i="1"/>
  <c r="D28670" i="1"/>
  <c r="D28671" i="1"/>
  <c r="D28672" i="1"/>
  <c r="D28673" i="1"/>
  <c r="D28674" i="1"/>
  <c r="D28675" i="1"/>
  <c r="D28676" i="1"/>
  <c r="D28677" i="1"/>
  <c r="D28678" i="1"/>
  <c r="D28679" i="1"/>
  <c r="D28680" i="1"/>
  <c r="D28681" i="1"/>
  <c r="D28682" i="1"/>
  <c r="D28683" i="1"/>
  <c r="D28684" i="1"/>
  <c r="D28685" i="1"/>
  <c r="D28686" i="1"/>
  <c r="D28687" i="1"/>
  <c r="D28688" i="1"/>
  <c r="D28689" i="1"/>
  <c r="D28690" i="1"/>
  <c r="D28691" i="1"/>
  <c r="D28692" i="1"/>
  <c r="D28693" i="1"/>
  <c r="D28694" i="1"/>
  <c r="D28695" i="1"/>
  <c r="D28696" i="1"/>
  <c r="D28697" i="1"/>
  <c r="D28698" i="1"/>
  <c r="D28699" i="1"/>
  <c r="D28700" i="1"/>
  <c r="D28701" i="1"/>
  <c r="D28702" i="1"/>
  <c r="D28703" i="1"/>
  <c r="D28704" i="1"/>
  <c r="D28705" i="1"/>
  <c r="D28706" i="1"/>
  <c r="D28707" i="1"/>
  <c r="D28708" i="1"/>
  <c r="D28709" i="1"/>
  <c r="D28710" i="1"/>
  <c r="D28711" i="1"/>
  <c r="D28712" i="1"/>
  <c r="D28713" i="1"/>
  <c r="D28714" i="1"/>
  <c r="D28715" i="1"/>
  <c r="D28716" i="1"/>
  <c r="D28717" i="1"/>
  <c r="D28718" i="1"/>
  <c r="D28719" i="1"/>
  <c r="D28720" i="1"/>
  <c r="D28721" i="1"/>
  <c r="D28722" i="1"/>
  <c r="D28723" i="1"/>
  <c r="D28724" i="1"/>
  <c r="D28725" i="1"/>
  <c r="D28726" i="1"/>
  <c r="D28727" i="1"/>
  <c r="D28728" i="1"/>
  <c r="D28729" i="1"/>
  <c r="D28730" i="1"/>
  <c r="D28731" i="1"/>
  <c r="D28732" i="1"/>
  <c r="D28733" i="1"/>
  <c r="D28734" i="1"/>
  <c r="D28735" i="1"/>
  <c r="D28736" i="1"/>
  <c r="D28737" i="1"/>
  <c r="D28738" i="1"/>
  <c r="D28739" i="1"/>
  <c r="D28740" i="1"/>
  <c r="D28741" i="1"/>
  <c r="D28742" i="1"/>
  <c r="D28743" i="1"/>
  <c r="D28744" i="1"/>
  <c r="D28745" i="1"/>
  <c r="D28746" i="1"/>
  <c r="D28747" i="1"/>
  <c r="D28748" i="1"/>
  <c r="D28749" i="1"/>
  <c r="D28750" i="1"/>
  <c r="D28751" i="1"/>
  <c r="D28752" i="1"/>
  <c r="D28753" i="1"/>
  <c r="D28754" i="1"/>
  <c r="D28755" i="1"/>
  <c r="D28756" i="1"/>
  <c r="D28757" i="1"/>
  <c r="D28758" i="1"/>
  <c r="D28759" i="1"/>
  <c r="D28760" i="1"/>
  <c r="D28761" i="1"/>
  <c r="D28762" i="1"/>
  <c r="D28763" i="1"/>
  <c r="D28764" i="1"/>
  <c r="D28765" i="1"/>
  <c r="D28766" i="1"/>
  <c r="D28767" i="1"/>
  <c r="D28768" i="1"/>
  <c r="D28769" i="1"/>
  <c r="D28770" i="1"/>
  <c r="D28771" i="1"/>
  <c r="D28772" i="1"/>
  <c r="D28773" i="1"/>
  <c r="D28774" i="1"/>
  <c r="D28775" i="1"/>
  <c r="D28776" i="1"/>
  <c r="D28777" i="1"/>
  <c r="D28778" i="1"/>
  <c r="D28779" i="1"/>
  <c r="D28780" i="1"/>
  <c r="D28781" i="1"/>
  <c r="D28782" i="1"/>
  <c r="D28783" i="1"/>
  <c r="D28784" i="1"/>
  <c r="D28785" i="1"/>
  <c r="D28786" i="1"/>
  <c r="D28787" i="1"/>
  <c r="D28788" i="1"/>
  <c r="D28789" i="1"/>
  <c r="D28790" i="1"/>
  <c r="D28791" i="1"/>
  <c r="D28792" i="1"/>
  <c r="D28793" i="1"/>
  <c r="D28794" i="1"/>
  <c r="D28795" i="1"/>
  <c r="D28796" i="1"/>
  <c r="D28797" i="1"/>
  <c r="D28798" i="1"/>
  <c r="D28799" i="1"/>
  <c r="D28800" i="1"/>
  <c r="D28801" i="1"/>
  <c r="D28802" i="1"/>
  <c r="D28803" i="1"/>
  <c r="D28804" i="1"/>
  <c r="D28805" i="1"/>
  <c r="D28806" i="1"/>
  <c r="D28807" i="1"/>
  <c r="D28808" i="1"/>
  <c r="D28809" i="1"/>
  <c r="D28810" i="1"/>
  <c r="D28811" i="1"/>
  <c r="D28812" i="1"/>
  <c r="D28813" i="1"/>
  <c r="D28814" i="1"/>
  <c r="D28815" i="1"/>
  <c r="D28816" i="1"/>
  <c r="D28817" i="1"/>
  <c r="D28818" i="1"/>
  <c r="D28819" i="1"/>
  <c r="D28820" i="1"/>
  <c r="D28821" i="1"/>
  <c r="D28822" i="1"/>
  <c r="D28823" i="1"/>
  <c r="D28824" i="1"/>
  <c r="D28825" i="1"/>
  <c r="D28826" i="1"/>
  <c r="D28827" i="1"/>
  <c r="D28828" i="1"/>
  <c r="D28829" i="1"/>
  <c r="D28830" i="1"/>
  <c r="D28831" i="1"/>
  <c r="D28832" i="1"/>
  <c r="D28833" i="1"/>
  <c r="D28834" i="1"/>
  <c r="D28835" i="1"/>
  <c r="D28836" i="1"/>
  <c r="D28837" i="1"/>
  <c r="D28838" i="1"/>
  <c r="D28839" i="1"/>
  <c r="D28840" i="1"/>
  <c r="D28841" i="1"/>
  <c r="D28842" i="1"/>
  <c r="D28843" i="1"/>
  <c r="D28844" i="1"/>
  <c r="D28845" i="1"/>
  <c r="D28846" i="1"/>
  <c r="D28847" i="1"/>
  <c r="D28848" i="1"/>
  <c r="D28849" i="1"/>
  <c r="D28850" i="1"/>
  <c r="D28851" i="1"/>
  <c r="D28852" i="1"/>
  <c r="D28853" i="1"/>
  <c r="D28854" i="1"/>
  <c r="D28855" i="1"/>
  <c r="D28856" i="1"/>
  <c r="D28857" i="1"/>
  <c r="D28858" i="1"/>
  <c r="D28859" i="1"/>
  <c r="D28860" i="1"/>
  <c r="D28861" i="1"/>
  <c r="D28862" i="1"/>
  <c r="D28863" i="1"/>
  <c r="D28864" i="1"/>
  <c r="D28865" i="1"/>
  <c r="D28866" i="1"/>
  <c r="D28867" i="1"/>
  <c r="D28868" i="1"/>
  <c r="D28869" i="1"/>
  <c r="D28870" i="1"/>
  <c r="D28871" i="1"/>
  <c r="D28872" i="1"/>
  <c r="D28873" i="1"/>
  <c r="D28874" i="1"/>
  <c r="D28875" i="1"/>
  <c r="D28876" i="1"/>
  <c r="D28877" i="1"/>
  <c r="D28878" i="1"/>
  <c r="D28879" i="1"/>
  <c r="D28880" i="1"/>
  <c r="D28881" i="1"/>
  <c r="D28882" i="1"/>
  <c r="D28883" i="1"/>
  <c r="D28884" i="1"/>
  <c r="D28885" i="1"/>
  <c r="D28886" i="1"/>
  <c r="D28887" i="1"/>
  <c r="D28888" i="1"/>
  <c r="D28889" i="1"/>
  <c r="D28890" i="1"/>
  <c r="D28891" i="1"/>
  <c r="D28892" i="1"/>
  <c r="D28893" i="1"/>
  <c r="D28894" i="1"/>
  <c r="D28895" i="1"/>
  <c r="D28896" i="1"/>
  <c r="D28897" i="1"/>
  <c r="D28898" i="1"/>
  <c r="D28899" i="1"/>
  <c r="D28900" i="1"/>
  <c r="D28901" i="1"/>
  <c r="D28902" i="1"/>
  <c r="D28903" i="1"/>
  <c r="D28904" i="1"/>
  <c r="D28905" i="1"/>
  <c r="D28906" i="1"/>
  <c r="D28907" i="1"/>
  <c r="D28908" i="1"/>
  <c r="D28909" i="1"/>
  <c r="D28910" i="1"/>
  <c r="D28911" i="1"/>
  <c r="D28912" i="1"/>
  <c r="D28913" i="1"/>
  <c r="D28914" i="1"/>
  <c r="D28915" i="1"/>
  <c r="D28916" i="1"/>
  <c r="D28917" i="1"/>
  <c r="D28918" i="1"/>
  <c r="D28919" i="1"/>
  <c r="D28920" i="1"/>
  <c r="D28921" i="1"/>
  <c r="D28922" i="1"/>
  <c r="D28923" i="1"/>
  <c r="D28924" i="1"/>
  <c r="D28925" i="1"/>
  <c r="D28926" i="1"/>
  <c r="D28927" i="1"/>
  <c r="D28928" i="1"/>
  <c r="D28929" i="1"/>
  <c r="D28930" i="1"/>
  <c r="D28931" i="1"/>
  <c r="D28932" i="1"/>
  <c r="D28933" i="1"/>
  <c r="D28934" i="1"/>
  <c r="D28935" i="1"/>
  <c r="D28936" i="1"/>
  <c r="D28937" i="1"/>
  <c r="D28938" i="1"/>
  <c r="D28939" i="1"/>
  <c r="D28940" i="1"/>
  <c r="D28941" i="1"/>
  <c r="D28942" i="1"/>
  <c r="D28943" i="1"/>
  <c r="D28944" i="1"/>
  <c r="D28945" i="1"/>
  <c r="D28946" i="1"/>
  <c r="D28947" i="1"/>
  <c r="D28948" i="1"/>
  <c r="D28949" i="1"/>
  <c r="D28950" i="1"/>
  <c r="D28951" i="1"/>
  <c r="D28952" i="1"/>
  <c r="D28953" i="1"/>
  <c r="D28954" i="1"/>
  <c r="D28955" i="1"/>
  <c r="D28956" i="1"/>
  <c r="D28957" i="1"/>
  <c r="D28958" i="1"/>
  <c r="D28959" i="1"/>
  <c r="D28960" i="1"/>
  <c r="D28961" i="1"/>
  <c r="D28962" i="1"/>
  <c r="D28963" i="1"/>
  <c r="D28964" i="1"/>
  <c r="D28965" i="1"/>
  <c r="D28966" i="1"/>
  <c r="D28967" i="1"/>
  <c r="D28968" i="1"/>
  <c r="D28969" i="1"/>
  <c r="D28970" i="1"/>
  <c r="D28971" i="1"/>
  <c r="D28972" i="1"/>
  <c r="D28973" i="1"/>
  <c r="D28974" i="1"/>
  <c r="D28975" i="1"/>
  <c r="D28976" i="1"/>
  <c r="D28977" i="1"/>
  <c r="D28978" i="1"/>
  <c r="D28979" i="1"/>
  <c r="D28980" i="1"/>
  <c r="D28981" i="1"/>
  <c r="D28982" i="1"/>
  <c r="D28983" i="1"/>
  <c r="D28984" i="1"/>
  <c r="D28985" i="1"/>
  <c r="D28986" i="1"/>
  <c r="D28987" i="1"/>
  <c r="D28988" i="1"/>
  <c r="D28989" i="1"/>
  <c r="D28990" i="1"/>
  <c r="D28991" i="1"/>
  <c r="D28992" i="1"/>
  <c r="D28993" i="1"/>
  <c r="D28994" i="1"/>
  <c r="D28995" i="1"/>
  <c r="D28996" i="1"/>
  <c r="D28997" i="1"/>
  <c r="D28998" i="1"/>
  <c r="D28999" i="1"/>
  <c r="D29000" i="1"/>
  <c r="D29001" i="1"/>
  <c r="D29002" i="1"/>
  <c r="D29003" i="1"/>
  <c r="D29004" i="1"/>
  <c r="D29005" i="1"/>
  <c r="D29006" i="1"/>
  <c r="D29007" i="1"/>
  <c r="D29008" i="1"/>
  <c r="D29009" i="1"/>
  <c r="D29010" i="1"/>
  <c r="D29011" i="1"/>
  <c r="D29012" i="1"/>
  <c r="D29013" i="1"/>
  <c r="D29014" i="1"/>
  <c r="D29015" i="1"/>
  <c r="D29016" i="1"/>
  <c r="D29017" i="1"/>
  <c r="D29018" i="1"/>
  <c r="D29019" i="1"/>
  <c r="D29020" i="1"/>
  <c r="D29021" i="1"/>
  <c r="D29022" i="1"/>
  <c r="D29023" i="1"/>
  <c r="D29024" i="1"/>
  <c r="D29025" i="1"/>
  <c r="D29026" i="1"/>
  <c r="D29027" i="1"/>
  <c r="D29028" i="1"/>
  <c r="D29029" i="1"/>
  <c r="D29030" i="1"/>
  <c r="D29031" i="1"/>
  <c r="D29032" i="1"/>
  <c r="D29033" i="1"/>
  <c r="D29034" i="1"/>
  <c r="D29035" i="1"/>
  <c r="D29036" i="1"/>
  <c r="D29037" i="1"/>
  <c r="D29038" i="1"/>
  <c r="D29039" i="1"/>
  <c r="D29040" i="1"/>
  <c r="D29041" i="1"/>
  <c r="D29042" i="1"/>
  <c r="D29043" i="1"/>
  <c r="D29044" i="1"/>
  <c r="D29045" i="1"/>
  <c r="D29046" i="1"/>
  <c r="D29047" i="1"/>
  <c r="D29048" i="1"/>
  <c r="D29049" i="1"/>
  <c r="D29050" i="1"/>
  <c r="D29051" i="1"/>
  <c r="D29052" i="1"/>
  <c r="D29053" i="1"/>
  <c r="D29054" i="1"/>
  <c r="D29055" i="1"/>
  <c r="D29056" i="1"/>
  <c r="D29057" i="1"/>
  <c r="D29058" i="1"/>
  <c r="D29059" i="1"/>
  <c r="D29060" i="1"/>
  <c r="D29061" i="1"/>
  <c r="D29062" i="1"/>
  <c r="D29063" i="1"/>
  <c r="D29064" i="1"/>
  <c r="D29065" i="1"/>
  <c r="D29066" i="1"/>
  <c r="D29067" i="1"/>
  <c r="D29068" i="1"/>
  <c r="D29069" i="1"/>
  <c r="D29070" i="1"/>
  <c r="D29071" i="1"/>
  <c r="D29072" i="1"/>
  <c r="D29073" i="1"/>
  <c r="D29074" i="1"/>
  <c r="D29075" i="1"/>
  <c r="D29076" i="1"/>
  <c r="D29077" i="1"/>
  <c r="D29078" i="1"/>
  <c r="D29079" i="1"/>
  <c r="D29080" i="1"/>
  <c r="D29081" i="1"/>
  <c r="D29082" i="1"/>
  <c r="D29083" i="1"/>
  <c r="D29084" i="1"/>
  <c r="D29085" i="1"/>
  <c r="D29086" i="1"/>
  <c r="D29087" i="1"/>
  <c r="D29088" i="1"/>
  <c r="D29089" i="1"/>
  <c r="D29090" i="1"/>
  <c r="D29091" i="1"/>
  <c r="D29092" i="1"/>
  <c r="D29093" i="1"/>
  <c r="D29094" i="1"/>
  <c r="D29095" i="1"/>
  <c r="D29096" i="1"/>
  <c r="D29097" i="1"/>
  <c r="D29098" i="1"/>
  <c r="D29099" i="1"/>
  <c r="D29100" i="1"/>
  <c r="D29101" i="1"/>
  <c r="D29102" i="1"/>
  <c r="D29103" i="1"/>
  <c r="D29104" i="1"/>
  <c r="D29105" i="1"/>
  <c r="D29106" i="1"/>
  <c r="D29107" i="1"/>
  <c r="D29108" i="1"/>
  <c r="D29109" i="1"/>
  <c r="D29110" i="1"/>
  <c r="D29111" i="1"/>
  <c r="D29112" i="1"/>
  <c r="D29113" i="1"/>
  <c r="D29114" i="1"/>
  <c r="D29115" i="1"/>
  <c r="D29116" i="1"/>
  <c r="D29117" i="1"/>
  <c r="D29118" i="1"/>
  <c r="D29119" i="1"/>
  <c r="D29120" i="1"/>
  <c r="D29121" i="1"/>
  <c r="D29122" i="1"/>
  <c r="D29123" i="1"/>
  <c r="D29124" i="1"/>
  <c r="D29125" i="1"/>
  <c r="D29126" i="1"/>
  <c r="D29127" i="1"/>
  <c r="D29128" i="1"/>
  <c r="D29129" i="1"/>
  <c r="D29130" i="1"/>
  <c r="D29131" i="1"/>
  <c r="D29132" i="1"/>
  <c r="D29133" i="1"/>
  <c r="D29134" i="1"/>
  <c r="D29135" i="1"/>
  <c r="D29136" i="1"/>
  <c r="D29137" i="1"/>
  <c r="D29138" i="1"/>
  <c r="D29139" i="1"/>
  <c r="D29140" i="1"/>
  <c r="D29141" i="1"/>
  <c r="D29142" i="1"/>
  <c r="D29143" i="1"/>
  <c r="D29144" i="1"/>
  <c r="D29145" i="1"/>
  <c r="D29146" i="1"/>
  <c r="D29147" i="1"/>
  <c r="D29148" i="1"/>
  <c r="D29149" i="1"/>
  <c r="D29150" i="1"/>
  <c r="D29151" i="1"/>
  <c r="D29152" i="1"/>
  <c r="D29153" i="1"/>
  <c r="D29154" i="1"/>
  <c r="D29155" i="1"/>
  <c r="D29156" i="1"/>
  <c r="D29157" i="1"/>
  <c r="D29158" i="1"/>
  <c r="D29159" i="1"/>
  <c r="D29160" i="1"/>
  <c r="D29161" i="1"/>
  <c r="D29162" i="1"/>
  <c r="D29163" i="1"/>
  <c r="D29164" i="1"/>
  <c r="D29165" i="1"/>
  <c r="D29166" i="1"/>
  <c r="D29167" i="1"/>
  <c r="D29168" i="1"/>
  <c r="D29169" i="1"/>
  <c r="D29170" i="1"/>
  <c r="D29171" i="1"/>
  <c r="D29172" i="1"/>
  <c r="D29173" i="1"/>
  <c r="D29174" i="1"/>
  <c r="D29175" i="1"/>
  <c r="D29176" i="1"/>
  <c r="D29177" i="1"/>
  <c r="D29178" i="1"/>
  <c r="D29179" i="1"/>
  <c r="D29180" i="1"/>
  <c r="D29181" i="1"/>
  <c r="D29182" i="1"/>
  <c r="D29183" i="1"/>
  <c r="D29184" i="1"/>
  <c r="D29185" i="1"/>
  <c r="D29186" i="1"/>
  <c r="D29187" i="1"/>
  <c r="D29188" i="1"/>
  <c r="D29189" i="1"/>
  <c r="D29190" i="1"/>
  <c r="D29191" i="1"/>
  <c r="D29192" i="1"/>
  <c r="D29193" i="1"/>
  <c r="D29194" i="1"/>
  <c r="D29195" i="1"/>
  <c r="D29196" i="1"/>
  <c r="D29197" i="1"/>
  <c r="D29198" i="1"/>
  <c r="D29199" i="1"/>
  <c r="D29200" i="1"/>
  <c r="D29201" i="1"/>
  <c r="D29202" i="1"/>
  <c r="D29203" i="1"/>
  <c r="D29204" i="1"/>
  <c r="D29205" i="1"/>
  <c r="D29206" i="1"/>
  <c r="D29207" i="1"/>
  <c r="D29208" i="1"/>
  <c r="D29209" i="1"/>
  <c r="D29210" i="1"/>
  <c r="D29211" i="1"/>
  <c r="D29212" i="1"/>
  <c r="D29213" i="1"/>
  <c r="D29214" i="1"/>
  <c r="D29215" i="1"/>
  <c r="D29216" i="1"/>
  <c r="D29217" i="1"/>
  <c r="D29218" i="1"/>
  <c r="D29219" i="1"/>
  <c r="D29220" i="1"/>
  <c r="D29221" i="1"/>
  <c r="D29222" i="1"/>
  <c r="D29223" i="1"/>
  <c r="D29224" i="1"/>
  <c r="D29225" i="1"/>
  <c r="D29226" i="1"/>
  <c r="D29227" i="1"/>
  <c r="D29228" i="1"/>
  <c r="D29229" i="1"/>
  <c r="D29230" i="1"/>
  <c r="D29231" i="1"/>
  <c r="D29232" i="1"/>
  <c r="D29233" i="1"/>
  <c r="D29234" i="1"/>
  <c r="D29235" i="1"/>
  <c r="D29236" i="1"/>
  <c r="D29237" i="1"/>
  <c r="D29238" i="1"/>
  <c r="D29239" i="1"/>
  <c r="D29240" i="1"/>
  <c r="D29241" i="1"/>
  <c r="D29242" i="1"/>
  <c r="D29243" i="1"/>
  <c r="D29244" i="1"/>
  <c r="D29245" i="1"/>
  <c r="D29246" i="1"/>
  <c r="D29247" i="1"/>
  <c r="D29248" i="1"/>
  <c r="D29249" i="1"/>
  <c r="D29250" i="1"/>
  <c r="D29251" i="1"/>
  <c r="D29252" i="1"/>
  <c r="D29253" i="1"/>
  <c r="D29254" i="1"/>
  <c r="D29255" i="1"/>
  <c r="D29256" i="1"/>
  <c r="D29257" i="1"/>
  <c r="D29258" i="1"/>
  <c r="D29259" i="1"/>
  <c r="D29260" i="1"/>
  <c r="D29261" i="1"/>
  <c r="D29262" i="1"/>
  <c r="D29263" i="1"/>
  <c r="D29264" i="1"/>
  <c r="D29265" i="1"/>
  <c r="D29266" i="1"/>
  <c r="D29267" i="1"/>
  <c r="D29268" i="1"/>
  <c r="D29269" i="1"/>
  <c r="D29270" i="1"/>
  <c r="D29271" i="1"/>
  <c r="D29272" i="1"/>
  <c r="D29273" i="1"/>
  <c r="D29274" i="1"/>
  <c r="D29275" i="1"/>
  <c r="D29276" i="1"/>
  <c r="D29277" i="1"/>
  <c r="D29278" i="1"/>
  <c r="D29279" i="1"/>
  <c r="D29280" i="1"/>
  <c r="D29281" i="1"/>
  <c r="D29282" i="1"/>
  <c r="D29283" i="1"/>
  <c r="D29284" i="1"/>
  <c r="D29285" i="1"/>
  <c r="D29286" i="1"/>
  <c r="D29287" i="1"/>
  <c r="D29288" i="1"/>
  <c r="D29289" i="1"/>
  <c r="D29290" i="1"/>
  <c r="D29291" i="1"/>
  <c r="D29292" i="1"/>
  <c r="D29293" i="1"/>
  <c r="D29294" i="1"/>
  <c r="D29295" i="1"/>
  <c r="D29296" i="1"/>
  <c r="D29297" i="1"/>
  <c r="D29298" i="1"/>
  <c r="D29299" i="1"/>
  <c r="D29300" i="1"/>
  <c r="D29301" i="1"/>
  <c r="D29302" i="1"/>
  <c r="D29303" i="1"/>
  <c r="D29304" i="1"/>
  <c r="D29305" i="1"/>
  <c r="D29306" i="1"/>
  <c r="D29307" i="1"/>
  <c r="D29308" i="1"/>
  <c r="D29309" i="1"/>
  <c r="D29310" i="1"/>
  <c r="D29311" i="1"/>
  <c r="D29312" i="1"/>
  <c r="D29313" i="1"/>
  <c r="D29314" i="1"/>
  <c r="D29315" i="1"/>
  <c r="D29316" i="1"/>
  <c r="D29317" i="1"/>
  <c r="D29318" i="1"/>
  <c r="D29319" i="1"/>
  <c r="D29320" i="1"/>
  <c r="D29321" i="1"/>
  <c r="D29322" i="1"/>
  <c r="D29323" i="1"/>
  <c r="D29324" i="1"/>
  <c r="D29325" i="1"/>
  <c r="D29326" i="1"/>
  <c r="D29327" i="1"/>
  <c r="D29328" i="1"/>
  <c r="D29329" i="1"/>
  <c r="D29330" i="1"/>
  <c r="D29331" i="1"/>
  <c r="D29332" i="1"/>
  <c r="D29333" i="1"/>
  <c r="D29334" i="1"/>
  <c r="D29335" i="1"/>
  <c r="D29336" i="1"/>
  <c r="D29337" i="1"/>
  <c r="D29338" i="1"/>
  <c r="D29339" i="1"/>
  <c r="D29340" i="1"/>
  <c r="D29341" i="1"/>
  <c r="D29342" i="1"/>
  <c r="D29343" i="1"/>
  <c r="D29344" i="1"/>
  <c r="D29345" i="1"/>
  <c r="D29346" i="1"/>
  <c r="D29347" i="1"/>
  <c r="D29348" i="1"/>
  <c r="D29349" i="1"/>
  <c r="D29350" i="1"/>
  <c r="D29351" i="1"/>
  <c r="D29352" i="1"/>
  <c r="D29353" i="1"/>
  <c r="D29354" i="1"/>
  <c r="D29355" i="1"/>
  <c r="D29356" i="1"/>
  <c r="D29357" i="1"/>
  <c r="D29358" i="1"/>
  <c r="D29359" i="1"/>
  <c r="D29360" i="1"/>
  <c r="D29361" i="1"/>
  <c r="D29362" i="1"/>
  <c r="D29363" i="1"/>
  <c r="D29364" i="1"/>
  <c r="D29365" i="1"/>
  <c r="D29366" i="1"/>
  <c r="D29367" i="1"/>
  <c r="D29368" i="1"/>
  <c r="D29369" i="1"/>
  <c r="D29370" i="1"/>
  <c r="D29371" i="1"/>
  <c r="D29372" i="1"/>
  <c r="D29373" i="1"/>
  <c r="D29374" i="1"/>
  <c r="D29375" i="1"/>
  <c r="D29376" i="1"/>
  <c r="D29377" i="1"/>
  <c r="D29378" i="1"/>
  <c r="D29379" i="1"/>
  <c r="D29380" i="1"/>
  <c r="D29381" i="1"/>
  <c r="D29382" i="1"/>
  <c r="D29383" i="1"/>
  <c r="D29384" i="1"/>
  <c r="D29385" i="1"/>
  <c r="D29386" i="1"/>
  <c r="D29387" i="1"/>
  <c r="D29388" i="1"/>
  <c r="D29389" i="1"/>
  <c r="D29390" i="1"/>
  <c r="D29391" i="1"/>
  <c r="D29392" i="1"/>
  <c r="D29393" i="1"/>
  <c r="D29394" i="1"/>
  <c r="D29395" i="1"/>
  <c r="D29396" i="1"/>
  <c r="D29397" i="1"/>
  <c r="D29398" i="1"/>
  <c r="D29399" i="1"/>
  <c r="D29400" i="1"/>
  <c r="D29401" i="1"/>
  <c r="D29402" i="1"/>
  <c r="D29403" i="1"/>
  <c r="D29404" i="1"/>
  <c r="D29405" i="1"/>
  <c r="D29406" i="1"/>
  <c r="D29407" i="1"/>
  <c r="D29408" i="1"/>
  <c r="D29409" i="1"/>
  <c r="D29410" i="1"/>
  <c r="D29411" i="1"/>
  <c r="D29412" i="1"/>
  <c r="D29413" i="1"/>
  <c r="D29414" i="1"/>
  <c r="D29415" i="1"/>
  <c r="D29416" i="1"/>
  <c r="D29417" i="1"/>
  <c r="D29418" i="1"/>
  <c r="D29419" i="1"/>
  <c r="D29420" i="1"/>
  <c r="D29421" i="1"/>
  <c r="D29422" i="1"/>
  <c r="D29423" i="1"/>
  <c r="D29424" i="1"/>
  <c r="D29425" i="1"/>
  <c r="D29426" i="1"/>
  <c r="D29427" i="1"/>
  <c r="D29428" i="1"/>
  <c r="D29429" i="1"/>
  <c r="D29430" i="1"/>
  <c r="D29431" i="1"/>
  <c r="D29432" i="1"/>
  <c r="D29433" i="1"/>
  <c r="D29434" i="1"/>
  <c r="D29435" i="1"/>
  <c r="D29436" i="1"/>
  <c r="D29437" i="1"/>
  <c r="D29438" i="1"/>
  <c r="D29439" i="1"/>
  <c r="D29440" i="1"/>
  <c r="D29441" i="1"/>
  <c r="D29442" i="1"/>
  <c r="D29443" i="1"/>
  <c r="D29444" i="1"/>
  <c r="D29445" i="1"/>
  <c r="D29446" i="1"/>
  <c r="D29447" i="1"/>
  <c r="D29448" i="1"/>
  <c r="D29449" i="1"/>
  <c r="D29450" i="1"/>
  <c r="D29451" i="1"/>
  <c r="D29452" i="1"/>
  <c r="D29453" i="1"/>
  <c r="D29454" i="1"/>
  <c r="D29455" i="1"/>
  <c r="D29456" i="1"/>
  <c r="D29457" i="1"/>
  <c r="D29458" i="1"/>
  <c r="D29459" i="1"/>
  <c r="D29460" i="1"/>
  <c r="D29461" i="1"/>
  <c r="D29462" i="1"/>
  <c r="D29463" i="1"/>
  <c r="D29464" i="1"/>
  <c r="D29465" i="1"/>
  <c r="D29466" i="1"/>
  <c r="D29467" i="1"/>
  <c r="D29468" i="1"/>
  <c r="D29469" i="1"/>
  <c r="D29470" i="1"/>
  <c r="D29471" i="1"/>
  <c r="D29472" i="1"/>
  <c r="D29473" i="1"/>
  <c r="D29474" i="1"/>
  <c r="D29475" i="1"/>
  <c r="D29476" i="1"/>
  <c r="D29477" i="1"/>
  <c r="D29478" i="1"/>
  <c r="D29479" i="1"/>
  <c r="D29480" i="1"/>
  <c r="D29481" i="1"/>
  <c r="D29482" i="1"/>
  <c r="D29483" i="1"/>
  <c r="D29484" i="1"/>
  <c r="D29485" i="1"/>
  <c r="D29486" i="1"/>
  <c r="D29487" i="1"/>
  <c r="D29488" i="1"/>
  <c r="D29489" i="1"/>
  <c r="D29490" i="1"/>
  <c r="D29491" i="1"/>
  <c r="D29492" i="1"/>
  <c r="D29493" i="1"/>
  <c r="D29494" i="1"/>
  <c r="D29495" i="1"/>
  <c r="D29496" i="1"/>
  <c r="D29497" i="1"/>
  <c r="D29498" i="1"/>
  <c r="D29499" i="1"/>
  <c r="D29500" i="1"/>
  <c r="D29501" i="1"/>
  <c r="D29502" i="1"/>
  <c r="D29503" i="1"/>
  <c r="D29504" i="1"/>
  <c r="D29505" i="1"/>
  <c r="D29506" i="1"/>
  <c r="D29507" i="1"/>
  <c r="D29508" i="1"/>
  <c r="D29509" i="1"/>
  <c r="D29510" i="1"/>
  <c r="D29511" i="1"/>
  <c r="D29512" i="1"/>
  <c r="D29513" i="1"/>
  <c r="D29514" i="1"/>
  <c r="D29515" i="1"/>
  <c r="D29516" i="1"/>
  <c r="D29517" i="1"/>
  <c r="D29518" i="1"/>
  <c r="D29519" i="1"/>
  <c r="D29520" i="1"/>
  <c r="D29521" i="1"/>
  <c r="D29522" i="1"/>
  <c r="D29523" i="1"/>
  <c r="D29524" i="1"/>
  <c r="D29525" i="1"/>
  <c r="D29526" i="1"/>
  <c r="D29527" i="1"/>
  <c r="D29528" i="1"/>
  <c r="D29529" i="1"/>
  <c r="D29530" i="1"/>
  <c r="D29531" i="1"/>
  <c r="D29532" i="1"/>
  <c r="D29533" i="1"/>
  <c r="D29534" i="1"/>
  <c r="D29535" i="1"/>
  <c r="D29536" i="1"/>
  <c r="D29537" i="1"/>
  <c r="D29538" i="1"/>
  <c r="D29539" i="1"/>
  <c r="D29540" i="1"/>
  <c r="D29541" i="1"/>
  <c r="D29542" i="1"/>
  <c r="D29543" i="1"/>
  <c r="D29544" i="1"/>
  <c r="D29545" i="1"/>
  <c r="D29546" i="1"/>
  <c r="D29547" i="1"/>
  <c r="D29548" i="1"/>
  <c r="D29549" i="1"/>
  <c r="D29550" i="1"/>
  <c r="D29551" i="1"/>
  <c r="D29552" i="1"/>
  <c r="D29553" i="1"/>
  <c r="D29554" i="1"/>
  <c r="D29555" i="1"/>
  <c r="D29556" i="1"/>
  <c r="D29557" i="1"/>
  <c r="D29558" i="1"/>
  <c r="D29559" i="1"/>
  <c r="D29560" i="1"/>
  <c r="D29561" i="1"/>
  <c r="D29562" i="1"/>
  <c r="D29563" i="1"/>
  <c r="D29564" i="1"/>
  <c r="D29565" i="1"/>
  <c r="D29566" i="1"/>
  <c r="D29567" i="1"/>
  <c r="D29568" i="1"/>
  <c r="D29569" i="1"/>
  <c r="D29570" i="1"/>
  <c r="D29571" i="1"/>
  <c r="D29572" i="1"/>
  <c r="D29573" i="1"/>
  <c r="D29574" i="1"/>
  <c r="D29575" i="1"/>
  <c r="D29576" i="1"/>
  <c r="D29577" i="1"/>
  <c r="D29578" i="1"/>
  <c r="D29579" i="1"/>
  <c r="D29580" i="1"/>
  <c r="D29581" i="1"/>
  <c r="D29582" i="1"/>
  <c r="D29583" i="1"/>
  <c r="D29584" i="1"/>
  <c r="D29585" i="1"/>
  <c r="D29586" i="1"/>
  <c r="D29587" i="1"/>
  <c r="D29588" i="1"/>
  <c r="D29589" i="1"/>
  <c r="D29590" i="1"/>
  <c r="D29591" i="1"/>
  <c r="D29592" i="1"/>
  <c r="D29593" i="1"/>
  <c r="D29594" i="1"/>
  <c r="D29595" i="1"/>
  <c r="D29596" i="1"/>
  <c r="D29597" i="1"/>
  <c r="D29598" i="1"/>
  <c r="D29599" i="1"/>
  <c r="D29600" i="1"/>
  <c r="D29601" i="1"/>
  <c r="D29602" i="1"/>
  <c r="D29603" i="1"/>
  <c r="D29604" i="1"/>
  <c r="D29605" i="1"/>
  <c r="D29606" i="1"/>
  <c r="D29607" i="1"/>
  <c r="D29608" i="1"/>
  <c r="D29609" i="1"/>
  <c r="D29610" i="1"/>
  <c r="D29611" i="1"/>
  <c r="D29612" i="1"/>
  <c r="D29613" i="1"/>
  <c r="D29614" i="1"/>
  <c r="D29615" i="1"/>
  <c r="D29616" i="1"/>
  <c r="D29617" i="1"/>
  <c r="D29618" i="1"/>
  <c r="D29619" i="1"/>
  <c r="D29620" i="1"/>
  <c r="D29621" i="1"/>
  <c r="D29622" i="1"/>
  <c r="D29623" i="1"/>
  <c r="D29624" i="1"/>
  <c r="D29625" i="1"/>
  <c r="D29626" i="1"/>
  <c r="D29627" i="1"/>
  <c r="D29628" i="1"/>
  <c r="D29629" i="1"/>
  <c r="D29630" i="1"/>
  <c r="D29631" i="1"/>
  <c r="D29632" i="1"/>
  <c r="D29633" i="1"/>
  <c r="D29634" i="1"/>
  <c r="D29635" i="1"/>
  <c r="D29636" i="1"/>
  <c r="D29637" i="1"/>
  <c r="D29638" i="1"/>
  <c r="D29639" i="1"/>
  <c r="D29640" i="1"/>
  <c r="D29641" i="1"/>
  <c r="D29642" i="1"/>
  <c r="D29643" i="1"/>
  <c r="D29644" i="1"/>
  <c r="D29645" i="1"/>
  <c r="D29646" i="1"/>
  <c r="D29647" i="1"/>
  <c r="D29648" i="1"/>
  <c r="D29649" i="1"/>
  <c r="D29650" i="1"/>
  <c r="D29651" i="1"/>
  <c r="D29652" i="1"/>
  <c r="D29653" i="1"/>
  <c r="D29654" i="1"/>
  <c r="D29655" i="1"/>
  <c r="D29656" i="1"/>
  <c r="D29657" i="1"/>
  <c r="D29658" i="1"/>
  <c r="D29659" i="1"/>
  <c r="D29660" i="1"/>
  <c r="D29661" i="1"/>
  <c r="D29662" i="1"/>
  <c r="D29663" i="1"/>
  <c r="D29664" i="1"/>
  <c r="D29665" i="1"/>
  <c r="D29666" i="1"/>
  <c r="D29667" i="1"/>
  <c r="D29668" i="1"/>
  <c r="D29669" i="1"/>
  <c r="D29670" i="1"/>
  <c r="D29671" i="1"/>
  <c r="D29672" i="1"/>
  <c r="D29673" i="1"/>
  <c r="D29674" i="1"/>
  <c r="D29675" i="1"/>
  <c r="D29676" i="1"/>
  <c r="D29677" i="1"/>
  <c r="D29678" i="1"/>
  <c r="D29679" i="1"/>
  <c r="D29680" i="1"/>
  <c r="D29681" i="1"/>
  <c r="D29682" i="1"/>
  <c r="D29683" i="1"/>
  <c r="D29684" i="1"/>
  <c r="D29685" i="1"/>
  <c r="D29686" i="1"/>
  <c r="D29687" i="1"/>
  <c r="D29688" i="1"/>
  <c r="D29689" i="1"/>
  <c r="D29690" i="1"/>
  <c r="D29691" i="1"/>
  <c r="D29692" i="1"/>
  <c r="D29693" i="1"/>
  <c r="D29694" i="1"/>
  <c r="D29695" i="1"/>
  <c r="D29696" i="1"/>
  <c r="D29697" i="1"/>
  <c r="D29698" i="1"/>
  <c r="D29699" i="1"/>
  <c r="D29700" i="1"/>
  <c r="D29701" i="1"/>
  <c r="D29702" i="1"/>
  <c r="D29703" i="1"/>
  <c r="D29704" i="1"/>
  <c r="D29705" i="1"/>
  <c r="D29706" i="1"/>
  <c r="D29707" i="1"/>
  <c r="D29708" i="1"/>
  <c r="D29709" i="1"/>
  <c r="D29710" i="1"/>
  <c r="D29711" i="1"/>
  <c r="D29712" i="1"/>
  <c r="D29713" i="1"/>
  <c r="D29714" i="1"/>
  <c r="D29715" i="1"/>
  <c r="D29716" i="1"/>
  <c r="D29717" i="1"/>
  <c r="D29718" i="1"/>
  <c r="D29719" i="1"/>
  <c r="D29720" i="1"/>
  <c r="D29721" i="1"/>
  <c r="D29722" i="1"/>
  <c r="D29723" i="1"/>
  <c r="D29724" i="1"/>
  <c r="D29725" i="1"/>
  <c r="D29726" i="1"/>
  <c r="D29727" i="1"/>
  <c r="D29728" i="1"/>
  <c r="D29729" i="1"/>
  <c r="D29730" i="1"/>
  <c r="D29731" i="1"/>
  <c r="D29732" i="1"/>
  <c r="D29733" i="1"/>
  <c r="D29734" i="1"/>
  <c r="D29735" i="1"/>
  <c r="D29736" i="1"/>
  <c r="D29737" i="1"/>
  <c r="D29738" i="1"/>
  <c r="D29739" i="1"/>
  <c r="D29740" i="1"/>
  <c r="D29741" i="1"/>
  <c r="D29742" i="1"/>
  <c r="D29743" i="1"/>
  <c r="D29744" i="1"/>
  <c r="D29745" i="1"/>
  <c r="D29746" i="1"/>
  <c r="D29747" i="1"/>
  <c r="D29748" i="1"/>
  <c r="D29749" i="1"/>
  <c r="D29750" i="1"/>
  <c r="D29751" i="1"/>
  <c r="D29752" i="1"/>
  <c r="D29753" i="1"/>
  <c r="D29754" i="1"/>
  <c r="D29755" i="1"/>
  <c r="D29756" i="1"/>
  <c r="D29757" i="1"/>
  <c r="D29758" i="1"/>
  <c r="D29759" i="1"/>
  <c r="D29760" i="1"/>
  <c r="D29761" i="1"/>
  <c r="D29762" i="1"/>
  <c r="D29763" i="1"/>
  <c r="D29764" i="1"/>
  <c r="D29765" i="1"/>
  <c r="D29766" i="1"/>
  <c r="D29767" i="1"/>
  <c r="D29768" i="1"/>
  <c r="D29769" i="1"/>
  <c r="D29770" i="1"/>
  <c r="D29771" i="1"/>
  <c r="D29772" i="1"/>
  <c r="D29773" i="1"/>
  <c r="D29774" i="1"/>
  <c r="D29775" i="1"/>
  <c r="D29776" i="1"/>
  <c r="D29777" i="1"/>
  <c r="D29778" i="1"/>
  <c r="D29779" i="1"/>
  <c r="D29780" i="1"/>
  <c r="D29781" i="1"/>
  <c r="D29782" i="1"/>
  <c r="D29783" i="1"/>
  <c r="D29784" i="1"/>
  <c r="D29785" i="1"/>
  <c r="D29786" i="1"/>
  <c r="D29787" i="1"/>
  <c r="D29788" i="1"/>
  <c r="D29789" i="1"/>
  <c r="D29790" i="1"/>
  <c r="D29791" i="1"/>
  <c r="D29792" i="1"/>
  <c r="D29793" i="1"/>
  <c r="D29794" i="1"/>
  <c r="D29795" i="1"/>
  <c r="D29796" i="1"/>
  <c r="D29797" i="1"/>
  <c r="D29798" i="1"/>
  <c r="D29799" i="1"/>
  <c r="D29800" i="1"/>
  <c r="D29801" i="1"/>
  <c r="D29802" i="1"/>
  <c r="D29803" i="1"/>
  <c r="D29804" i="1"/>
  <c r="D29805" i="1"/>
  <c r="D29806" i="1"/>
  <c r="D29807" i="1"/>
  <c r="D29808" i="1"/>
  <c r="D29809" i="1"/>
  <c r="D29810" i="1"/>
  <c r="D29811" i="1"/>
  <c r="D29812" i="1"/>
  <c r="D29813" i="1"/>
  <c r="D29814" i="1"/>
  <c r="D29815" i="1"/>
  <c r="D29816" i="1"/>
  <c r="D29817" i="1"/>
  <c r="D29818" i="1"/>
  <c r="D29819" i="1"/>
  <c r="D29820" i="1"/>
  <c r="D29821" i="1"/>
  <c r="D29822" i="1"/>
  <c r="D29823" i="1"/>
  <c r="D29824" i="1"/>
  <c r="D29825" i="1"/>
  <c r="D29826" i="1"/>
  <c r="D29827" i="1"/>
  <c r="D29828" i="1"/>
  <c r="D29829" i="1"/>
  <c r="D29830" i="1"/>
  <c r="D29831" i="1"/>
  <c r="D29832" i="1"/>
  <c r="D29833" i="1"/>
  <c r="D29834" i="1"/>
  <c r="D29835" i="1"/>
  <c r="D29836" i="1"/>
  <c r="D29837" i="1"/>
  <c r="D29838" i="1"/>
  <c r="D29839" i="1"/>
  <c r="D29840" i="1"/>
  <c r="D29841" i="1"/>
  <c r="D29842" i="1"/>
  <c r="D29843" i="1"/>
  <c r="D29844" i="1"/>
  <c r="D29845" i="1"/>
  <c r="D29846" i="1"/>
  <c r="D29847" i="1"/>
  <c r="D29848" i="1"/>
  <c r="D29849" i="1"/>
  <c r="D29850" i="1"/>
  <c r="D29851" i="1"/>
  <c r="D29852" i="1"/>
  <c r="D29853" i="1"/>
  <c r="D29854" i="1"/>
  <c r="D29855" i="1"/>
  <c r="D29856" i="1"/>
  <c r="D29857" i="1"/>
  <c r="D29858" i="1"/>
  <c r="D29859" i="1"/>
  <c r="D29860" i="1"/>
  <c r="D29861" i="1"/>
  <c r="D29862" i="1"/>
  <c r="D29863" i="1"/>
  <c r="D29864" i="1"/>
  <c r="D29865" i="1"/>
  <c r="D29866" i="1"/>
  <c r="D29867" i="1"/>
  <c r="D29868" i="1"/>
  <c r="D29869" i="1"/>
  <c r="D29870" i="1"/>
  <c r="D29871" i="1"/>
  <c r="D29872" i="1"/>
  <c r="D29873" i="1"/>
  <c r="D29874" i="1"/>
  <c r="D29875" i="1"/>
  <c r="D29876" i="1"/>
  <c r="D29877" i="1"/>
  <c r="D29878" i="1"/>
  <c r="D29879" i="1"/>
  <c r="D29880" i="1"/>
  <c r="D29881" i="1"/>
  <c r="D29882" i="1"/>
  <c r="D29883" i="1"/>
  <c r="D29884" i="1"/>
  <c r="D29885" i="1"/>
  <c r="D29886" i="1"/>
  <c r="D29887" i="1"/>
  <c r="D29888" i="1"/>
  <c r="D29889" i="1"/>
  <c r="D29890" i="1"/>
  <c r="D29891" i="1"/>
  <c r="D29892" i="1"/>
  <c r="D29893" i="1"/>
  <c r="D29894" i="1"/>
  <c r="D29895" i="1"/>
  <c r="D29896" i="1"/>
  <c r="D29897" i="1"/>
  <c r="D29898" i="1"/>
  <c r="D29899" i="1"/>
  <c r="D29900" i="1"/>
  <c r="D29901" i="1"/>
  <c r="D29902" i="1"/>
  <c r="D29903" i="1"/>
  <c r="D29904" i="1"/>
  <c r="D29905" i="1"/>
  <c r="D29906" i="1"/>
  <c r="D29907" i="1"/>
  <c r="D29908" i="1"/>
  <c r="D29909" i="1"/>
  <c r="D29910" i="1"/>
  <c r="D29911" i="1"/>
  <c r="D29912" i="1"/>
  <c r="D29913" i="1"/>
  <c r="D29914" i="1"/>
  <c r="D29915" i="1"/>
  <c r="D29916" i="1"/>
  <c r="D29917" i="1"/>
  <c r="D29918" i="1"/>
  <c r="D29919" i="1"/>
  <c r="D29920" i="1"/>
  <c r="D29921" i="1"/>
  <c r="D29922" i="1"/>
  <c r="D29923" i="1"/>
  <c r="D29924" i="1"/>
  <c r="D29925" i="1"/>
  <c r="D29926" i="1"/>
  <c r="D29927" i="1"/>
  <c r="D29928" i="1"/>
  <c r="D29929" i="1"/>
  <c r="D29930" i="1"/>
  <c r="D29931" i="1"/>
  <c r="D29932" i="1"/>
  <c r="D29933" i="1"/>
  <c r="D29934" i="1"/>
  <c r="D29935" i="1"/>
  <c r="D29936" i="1"/>
  <c r="D29937" i="1"/>
  <c r="D29938" i="1"/>
  <c r="D29939" i="1"/>
  <c r="D29940" i="1"/>
  <c r="D29941" i="1"/>
  <c r="D29942" i="1"/>
  <c r="D29943" i="1"/>
  <c r="D29944" i="1"/>
  <c r="D29945" i="1"/>
  <c r="D29946" i="1"/>
  <c r="D29947" i="1"/>
  <c r="D29948" i="1"/>
  <c r="D29949" i="1"/>
  <c r="D29950" i="1"/>
  <c r="D29951" i="1"/>
  <c r="D29952" i="1"/>
  <c r="D29953" i="1"/>
  <c r="D29954" i="1"/>
  <c r="D29955" i="1"/>
  <c r="D29956" i="1"/>
  <c r="D29957" i="1"/>
  <c r="D29958" i="1"/>
  <c r="D29959" i="1"/>
  <c r="D29960" i="1"/>
  <c r="D29961" i="1"/>
  <c r="D29962" i="1"/>
  <c r="D29963" i="1"/>
  <c r="D29964" i="1"/>
  <c r="D29965" i="1"/>
  <c r="D29966" i="1"/>
  <c r="D29967" i="1"/>
  <c r="D29968" i="1"/>
  <c r="D29969" i="1"/>
  <c r="D29970" i="1"/>
  <c r="D29971" i="1"/>
  <c r="D29972" i="1"/>
  <c r="D29973" i="1"/>
  <c r="D29974" i="1"/>
  <c r="D29975" i="1"/>
  <c r="D29976" i="1"/>
  <c r="D29977" i="1"/>
  <c r="D29978" i="1"/>
  <c r="D29979" i="1"/>
  <c r="D29980" i="1"/>
  <c r="D29981" i="1"/>
  <c r="D29982" i="1"/>
  <c r="D29983" i="1"/>
  <c r="D29984" i="1"/>
  <c r="D29985" i="1"/>
  <c r="D29986" i="1"/>
  <c r="D29987" i="1"/>
  <c r="D29988" i="1"/>
  <c r="D29989" i="1"/>
  <c r="D29990" i="1"/>
  <c r="D29991" i="1"/>
  <c r="D29992" i="1"/>
  <c r="D29993" i="1"/>
  <c r="D29994" i="1"/>
  <c r="D29995" i="1"/>
  <c r="D29996" i="1"/>
  <c r="D29997" i="1"/>
  <c r="D29998" i="1"/>
  <c r="D29999" i="1"/>
  <c r="D30000" i="1"/>
  <c r="D30001" i="1"/>
  <c r="D30002" i="1"/>
  <c r="D30003" i="1"/>
  <c r="D30004" i="1"/>
  <c r="D30005" i="1"/>
  <c r="D30006" i="1"/>
  <c r="D30007" i="1"/>
  <c r="D30008" i="1"/>
  <c r="D30009" i="1"/>
  <c r="D30010" i="1"/>
  <c r="D30011" i="1"/>
  <c r="D30012" i="1"/>
  <c r="D30013" i="1"/>
  <c r="D30014" i="1"/>
  <c r="D30015" i="1"/>
  <c r="D30016" i="1"/>
  <c r="D30017" i="1"/>
  <c r="D30018" i="1"/>
  <c r="D30019" i="1"/>
  <c r="D30020" i="1"/>
  <c r="D30021" i="1"/>
  <c r="D30022" i="1"/>
  <c r="D30023" i="1"/>
  <c r="D30024" i="1"/>
  <c r="D30025" i="1"/>
  <c r="D30026" i="1"/>
  <c r="D30027" i="1"/>
  <c r="D30028" i="1"/>
  <c r="D30029" i="1"/>
  <c r="D30030" i="1"/>
  <c r="D30031" i="1"/>
  <c r="D30032" i="1"/>
  <c r="D30033" i="1"/>
  <c r="D30034" i="1"/>
  <c r="D30035" i="1"/>
  <c r="D30036" i="1"/>
  <c r="D30037" i="1"/>
  <c r="D30038" i="1"/>
  <c r="D30039" i="1"/>
  <c r="D30040" i="1"/>
  <c r="D30041" i="1"/>
  <c r="D30042" i="1"/>
  <c r="D30043" i="1"/>
  <c r="D30044" i="1"/>
  <c r="D30045" i="1"/>
  <c r="D30046" i="1"/>
  <c r="D30047" i="1"/>
  <c r="D30048" i="1"/>
  <c r="D30049" i="1"/>
  <c r="D30050" i="1"/>
  <c r="D30051" i="1"/>
  <c r="D30052" i="1"/>
  <c r="D30053" i="1"/>
  <c r="D30054" i="1"/>
  <c r="D30055" i="1"/>
  <c r="D30056" i="1"/>
  <c r="D30057" i="1"/>
  <c r="D30058" i="1"/>
  <c r="D30059" i="1"/>
  <c r="D30060" i="1"/>
  <c r="D30061" i="1"/>
  <c r="D30062" i="1"/>
  <c r="D30063" i="1"/>
  <c r="D30064" i="1"/>
  <c r="D30065" i="1"/>
  <c r="D30066" i="1"/>
  <c r="D30067" i="1"/>
  <c r="D30068" i="1"/>
  <c r="D30069" i="1"/>
  <c r="D30070" i="1"/>
  <c r="D30071" i="1"/>
  <c r="D30072" i="1"/>
  <c r="D30073" i="1"/>
  <c r="D30074" i="1"/>
  <c r="D30075" i="1"/>
  <c r="D30076" i="1"/>
  <c r="D30077" i="1"/>
  <c r="D30078" i="1"/>
  <c r="D30079" i="1"/>
  <c r="D30080" i="1"/>
  <c r="D30081" i="1"/>
  <c r="D30082" i="1"/>
  <c r="D30083" i="1"/>
  <c r="D30084" i="1"/>
  <c r="D30085" i="1"/>
  <c r="D30086" i="1"/>
  <c r="D30087" i="1"/>
  <c r="D30088" i="1"/>
  <c r="D30089" i="1"/>
  <c r="D30090" i="1"/>
  <c r="D30091" i="1"/>
  <c r="D30092" i="1"/>
  <c r="D30093" i="1"/>
  <c r="D30094" i="1"/>
  <c r="D30095" i="1"/>
  <c r="D30096" i="1"/>
  <c r="D30097" i="1"/>
  <c r="D30098" i="1"/>
  <c r="D30099" i="1"/>
  <c r="D30100" i="1"/>
  <c r="D30101" i="1"/>
  <c r="D30102" i="1"/>
  <c r="D30103" i="1"/>
  <c r="D30104" i="1"/>
  <c r="D30105" i="1"/>
  <c r="D30106" i="1"/>
  <c r="D30107" i="1"/>
  <c r="D30108" i="1"/>
  <c r="D30109" i="1"/>
  <c r="D30110" i="1"/>
  <c r="D30111" i="1"/>
  <c r="D30112" i="1"/>
  <c r="D30113" i="1"/>
  <c r="D30114" i="1"/>
  <c r="D30115" i="1"/>
  <c r="D30116" i="1"/>
  <c r="D30117" i="1"/>
  <c r="D30118" i="1"/>
  <c r="D30119" i="1"/>
  <c r="D30120" i="1"/>
  <c r="D30121" i="1"/>
  <c r="D30122" i="1"/>
  <c r="D30123" i="1"/>
  <c r="D30124" i="1"/>
  <c r="D30125" i="1"/>
  <c r="D30126" i="1"/>
  <c r="D30127" i="1"/>
  <c r="D30128" i="1"/>
  <c r="D30129" i="1"/>
  <c r="D30130" i="1"/>
  <c r="D30131" i="1"/>
  <c r="D30132" i="1"/>
  <c r="D30133" i="1"/>
  <c r="D30134" i="1"/>
  <c r="D30135" i="1"/>
  <c r="D30136" i="1"/>
  <c r="D30137" i="1"/>
  <c r="D30138" i="1"/>
  <c r="D30139" i="1"/>
  <c r="D30140" i="1"/>
  <c r="D30141" i="1"/>
  <c r="D30142" i="1"/>
  <c r="D30143" i="1"/>
  <c r="D30144" i="1"/>
  <c r="D30145" i="1"/>
  <c r="D30146" i="1"/>
  <c r="D30147" i="1"/>
  <c r="D30148" i="1"/>
  <c r="D30149" i="1"/>
  <c r="D30150" i="1"/>
  <c r="D30151" i="1"/>
  <c r="D30152" i="1"/>
  <c r="D30153" i="1"/>
  <c r="D30154" i="1"/>
  <c r="D30155" i="1"/>
  <c r="D30156" i="1"/>
  <c r="D30157" i="1"/>
  <c r="D30158" i="1"/>
  <c r="D30159" i="1"/>
  <c r="D30160" i="1"/>
  <c r="D30161" i="1"/>
  <c r="D30162" i="1"/>
  <c r="D30163" i="1"/>
  <c r="D30164" i="1"/>
  <c r="D30165" i="1"/>
  <c r="D30166" i="1"/>
  <c r="D30167" i="1"/>
  <c r="D30168" i="1"/>
  <c r="D30169" i="1"/>
  <c r="D30170" i="1"/>
  <c r="D30171" i="1"/>
  <c r="D30172" i="1"/>
  <c r="D30173" i="1"/>
  <c r="D30174" i="1"/>
  <c r="D30175" i="1"/>
  <c r="D30176" i="1"/>
  <c r="D30177" i="1"/>
  <c r="D30178" i="1"/>
  <c r="D30179" i="1"/>
  <c r="D30180" i="1"/>
  <c r="D30181" i="1"/>
  <c r="D30182" i="1"/>
  <c r="D30183" i="1"/>
  <c r="D30184" i="1"/>
  <c r="D30185" i="1"/>
  <c r="D30186" i="1"/>
  <c r="D30187" i="1"/>
  <c r="D30188" i="1"/>
  <c r="D30189" i="1"/>
  <c r="D30190" i="1"/>
  <c r="D30191" i="1"/>
  <c r="D30192" i="1"/>
  <c r="D30193" i="1"/>
  <c r="D30194" i="1"/>
  <c r="D30195" i="1"/>
  <c r="D30196" i="1"/>
  <c r="D30197" i="1"/>
  <c r="D30198" i="1"/>
  <c r="D30199" i="1"/>
  <c r="D30200" i="1"/>
  <c r="D30201" i="1"/>
  <c r="D30202" i="1"/>
  <c r="D30203" i="1"/>
  <c r="D30204" i="1"/>
  <c r="D30205" i="1"/>
  <c r="D30206" i="1"/>
  <c r="D30207" i="1"/>
  <c r="D30208" i="1"/>
  <c r="D30209" i="1"/>
  <c r="D30210" i="1"/>
  <c r="D30211" i="1"/>
  <c r="D30212" i="1"/>
  <c r="D30213" i="1"/>
  <c r="D30214" i="1"/>
  <c r="D30215" i="1"/>
  <c r="D30216" i="1"/>
  <c r="D30217" i="1"/>
  <c r="D30218" i="1"/>
  <c r="D30219" i="1"/>
  <c r="D30220" i="1"/>
  <c r="D30221" i="1"/>
  <c r="D30222" i="1"/>
  <c r="D30223" i="1"/>
  <c r="D30224" i="1"/>
  <c r="D30225" i="1"/>
  <c r="D30226" i="1"/>
  <c r="D30227" i="1"/>
  <c r="D30228" i="1"/>
  <c r="D30229" i="1"/>
  <c r="D30230" i="1"/>
  <c r="D30231" i="1"/>
  <c r="D30232" i="1"/>
  <c r="D30233" i="1"/>
  <c r="D30234" i="1"/>
  <c r="D30235" i="1"/>
  <c r="D30236" i="1"/>
  <c r="D30237" i="1"/>
  <c r="D30238" i="1"/>
  <c r="D30239" i="1"/>
  <c r="D30240" i="1"/>
  <c r="D30241" i="1"/>
  <c r="D30242" i="1"/>
  <c r="D30243" i="1"/>
  <c r="D30244" i="1"/>
  <c r="D30245" i="1"/>
  <c r="D30246" i="1"/>
  <c r="D30247" i="1"/>
  <c r="D30248" i="1"/>
  <c r="D30249" i="1"/>
  <c r="D30250" i="1"/>
  <c r="D30251" i="1"/>
  <c r="D30252" i="1"/>
  <c r="D30253" i="1"/>
  <c r="D30254" i="1"/>
  <c r="D30255" i="1"/>
  <c r="D30256" i="1"/>
  <c r="D30257" i="1"/>
  <c r="D30258" i="1"/>
  <c r="D30259" i="1"/>
  <c r="D30260" i="1"/>
  <c r="D30261" i="1"/>
  <c r="D30262" i="1"/>
  <c r="D30263" i="1"/>
  <c r="D30264" i="1"/>
  <c r="D30265" i="1"/>
  <c r="D30266" i="1"/>
  <c r="D30267" i="1"/>
  <c r="D30268" i="1"/>
  <c r="D30269" i="1"/>
  <c r="D30270" i="1"/>
  <c r="D30271" i="1"/>
  <c r="D30272" i="1"/>
  <c r="D30273" i="1"/>
  <c r="D30274" i="1"/>
  <c r="D30275" i="1"/>
  <c r="D30276" i="1"/>
  <c r="D30277" i="1"/>
  <c r="D30278" i="1"/>
  <c r="D30279" i="1"/>
  <c r="D30280" i="1"/>
  <c r="D30281" i="1"/>
  <c r="D30282" i="1"/>
  <c r="D30283" i="1"/>
  <c r="D30284" i="1"/>
  <c r="D30285" i="1"/>
  <c r="D30286" i="1"/>
  <c r="D30287" i="1"/>
  <c r="D30288" i="1"/>
  <c r="D30289" i="1"/>
  <c r="D30290" i="1"/>
  <c r="D30291" i="1"/>
  <c r="D30292" i="1"/>
  <c r="D30293" i="1"/>
  <c r="D30294" i="1"/>
  <c r="D30295" i="1"/>
  <c r="D30296" i="1"/>
  <c r="D30297" i="1"/>
  <c r="D30298" i="1"/>
  <c r="D30299" i="1"/>
  <c r="D30300" i="1"/>
  <c r="D30301" i="1"/>
  <c r="D30302" i="1"/>
  <c r="D30303" i="1"/>
  <c r="D30304" i="1"/>
  <c r="D30305" i="1"/>
  <c r="D30306" i="1"/>
  <c r="D30307" i="1"/>
  <c r="D30308" i="1"/>
  <c r="D30309" i="1"/>
  <c r="D30310" i="1"/>
  <c r="D30311" i="1"/>
  <c r="D30312" i="1"/>
  <c r="D30313" i="1"/>
  <c r="D30314" i="1"/>
  <c r="D30315" i="1"/>
  <c r="D30316" i="1"/>
  <c r="D30317" i="1"/>
  <c r="D30318" i="1"/>
  <c r="D30319" i="1"/>
  <c r="D30320" i="1"/>
  <c r="D30321" i="1"/>
  <c r="D30322" i="1"/>
  <c r="D30323" i="1"/>
  <c r="D30324" i="1"/>
  <c r="D30325" i="1"/>
  <c r="D30326" i="1"/>
  <c r="D30327" i="1"/>
  <c r="D30328" i="1"/>
  <c r="D30329" i="1"/>
  <c r="D30330" i="1"/>
  <c r="D30331" i="1"/>
  <c r="D30332" i="1"/>
  <c r="D30333" i="1"/>
  <c r="D30334" i="1"/>
  <c r="D30335" i="1"/>
  <c r="D30336" i="1"/>
  <c r="D30337" i="1"/>
  <c r="D30338" i="1"/>
  <c r="D30339" i="1"/>
  <c r="D30340" i="1"/>
  <c r="D30341" i="1"/>
  <c r="D30342" i="1"/>
  <c r="D30343" i="1"/>
  <c r="D30344" i="1"/>
  <c r="D30345" i="1"/>
  <c r="D30346" i="1"/>
  <c r="D30347" i="1"/>
  <c r="D30348" i="1"/>
  <c r="D30349" i="1"/>
  <c r="D30350" i="1"/>
  <c r="D30351" i="1"/>
  <c r="D30352" i="1"/>
  <c r="D30353" i="1"/>
  <c r="D30354" i="1"/>
  <c r="D30355" i="1"/>
  <c r="D30356" i="1"/>
  <c r="D30357" i="1"/>
  <c r="D30358" i="1"/>
  <c r="D30359" i="1"/>
  <c r="D30360" i="1"/>
  <c r="D30361" i="1"/>
  <c r="D30362" i="1"/>
  <c r="D30363" i="1"/>
  <c r="D30364" i="1"/>
  <c r="D30365" i="1"/>
  <c r="D30366" i="1"/>
  <c r="D30367" i="1"/>
  <c r="D30368" i="1"/>
  <c r="D30369" i="1"/>
  <c r="D30370" i="1"/>
  <c r="D30371" i="1"/>
  <c r="D30372" i="1"/>
  <c r="D30373" i="1"/>
  <c r="D30374" i="1"/>
  <c r="D30375" i="1"/>
  <c r="D30376" i="1"/>
  <c r="D30377" i="1"/>
  <c r="D30378" i="1"/>
  <c r="D30379" i="1"/>
  <c r="D30380" i="1"/>
  <c r="D30381" i="1"/>
  <c r="D30382" i="1"/>
  <c r="D30383" i="1"/>
  <c r="D30384" i="1"/>
  <c r="D30385" i="1"/>
  <c r="D30386" i="1"/>
  <c r="D30387" i="1"/>
  <c r="D30388" i="1"/>
  <c r="D30389" i="1"/>
  <c r="D30390" i="1"/>
  <c r="D30391" i="1"/>
  <c r="D30392" i="1"/>
  <c r="D30393" i="1"/>
  <c r="D30394" i="1"/>
  <c r="D30395" i="1"/>
  <c r="D30396" i="1"/>
  <c r="D30397" i="1"/>
  <c r="D30398" i="1"/>
  <c r="D30399" i="1"/>
  <c r="D30400" i="1"/>
  <c r="D30401" i="1"/>
  <c r="D30402" i="1"/>
  <c r="D30403" i="1"/>
  <c r="D30404" i="1"/>
  <c r="D30405" i="1"/>
  <c r="D30406" i="1"/>
  <c r="D30407" i="1"/>
  <c r="D30408" i="1"/>
  <c r="D30409" i="1"/>
  <c r="D30410" i="1"/>
  <c r="D30411" i="1"/>
  <c r="D30412" i="1"/>
  <c r="D30413" i="1"/>
  <c r="D30414" i="1"/>
  <c r="D30415" i="1"/>
  <c r="D30416" i="1"/>
  <c r="D30417" i="1"/>
  <c r="D30418" i="1"/>
  <c r="D30419" i="1"/>
  <c r="D30420" i="1"/>
  <c r="D30421" i="1"/>
  <c r="D30422" i="1"/>
  <c r="D30423" i="1"/>
  <c r="D30424" i="1"/>
  <c r="D30425" i="1"/>
  <c r="D30426" i="1"/>
  <c r="D30427" i="1"/>
  <c r="D30428" i="1"/>
  <c r="D30429" i="1"/>
  <c r="D30430" i="1"/>
  <c r="D30431" i="1"/>
  <c r="D30432" i="1"/>
  <c r="D30433" i="1"/>
  <c r="D30434" i="1"/>
  <c r="D30435" i="1"/>
  <c r="D30436" i="1"/>
  <c r="D30437" i="1"/>
  <c r="D30438" i="1"/>
  <c r="D30439" i="1"/>
  <c r="D30440" i="1"/>
  <c r="D30441" i="1"/>
  <c r="D30442" i="1"/>
  <c r="D30443" i="1"/>
  <c r="D30444" i="1"/>
  <c r="D30445" i="1"/>
  <c r="D30446" i="1"/>
  <c r="D30447" i="1"/>
  <c r="D30448" i="1"/>
  <c r="D30449" i="1"/>
  <c r="D30450" i="1"/>
  <c r="D30451" i="1"/>
  <c r="D30452" i="1"/>
  <c r="D30453" i="1"/>
  <c r="D30454" i="1"/>
  <c r="D30455" i="1"/>
  <c r="D30456" i="1"/>
  <c r="D30457" i="1"/>
  <c r="D30458" i="1"/>
  <c r="D30459" i="1"/>
  <c r="D30460" i="1"/>
  <c r="D30461" i="1"/>
  <c r="D30462" i="1"/>
  <c r="D30463" i="1"/>
  <c r="D30464" i="1"/>
  <c r="D30465" i="1"/>
  <c r="D30466" i="1"/>
  <c r="D30467" i="1"/>
  <c r="D30468" i="1"/>
  <c r="D30469" i="1"/>
  <c r="D30470" i="1"/>
  <c r="D30471" i="1"/>
  <c r="D30472" i="1"/>
  <c r="D30473" i="1"/>
  <c r="D30474" i="1"/>
  <c r="D30475" i="1"/>
  <c r="D30476" i="1"/>
  <c r="D30477" i="1"/>
  <c r="D30478" i="1"/>
  <c r="D30479" i="1"/>
  <c r="D30480" i="1"/>
  <c r="D30481" i="1"/>
  <c r="D30482" i="1"/>
  <c r="D30483" i="1"/>
  <c r="D30484" i="1"/>
  <c r="D30485" i="1"/>
  <c r="D30486" i="1"/>
  <c r="D30487" i="1"/>
  <c r="D30488" i="1"/>
  <c r="D30489" i="1"/>
  <c r="D30490" i="1"/>
  <c r="D30491" i="1"/>
  <c r="D30492" i="1"/>
  <c r="D30493" i="1"/>
  <c r="D30494" i="1"/>
  <c r="D30495" i="1"/>
  <c r="D30496" i="1"/>
  <c r="D30497" i="1"/>
  <c r="D30498" i="1"/>
  <c r="D30499" i="1"/>
  <c r="D30500" i="1"/>
  <c r="D30501" i="1"/>
  <c r="D30502" i="1"/>
  <c r="D30503" i="1"/>
  <c r="D30504" i="1"/>
  <c r="D30505" i="1"/>
  <c r="D30506" i="1"/>
  <c r="D30507" i="1"/>
  <c r="D30508" i="1"/>
  <c r="D30509" i="1"/>
  <c r="D30510" i="1"/>
  <c r="D30511" i="1"/>
  <c r="D30512" i="1"/>
  <c r="D30513" i="1"/>
  <c r="D30514" i="1"/>
  <c r="D30515" i="1"/>
  <c r="D30516" i="1"/>
  <c r="D30517" i="1"/>
  <c r="D30518" i="1"/>
  <c r="D30519" i="1"/>
  <c r="D30520" i="1"/>
  <c r="D30521" i="1"/>
  <c r="D30522" i="1"/>
  <c r="D30523" i="1"/>
  <c r="D30524" i="1"/>
  <c r="D30525" i="1"/>
  <c r="D30526" i="1"/>
  <c r="D30527" i="1"/>
  <c r="D30528" i="1"/>
  <c r="D30529" i="1"/>
  <c r="D30530" i="1"/>
  <c r="D30531" i="1"/>
  <c r="D30532" i="1"/>
  <c r="D30533" i="1"/>
  <c r="D30534" i="1"/>
  <c r="D30535" i="1"/>
  <c r="D30536" i="1"/>
  <c r="D30537" i="1"/>
  <c r="D30538" i="1"/>
  <c r="D30539" i="1"/>
  <c r="D30540" i="1"/>
  <c r="D30541" i="1"/>
  <c r="D30542" i="1"/>
  <c r="D30543" i="1"/>
  <c r="D30544" i="1"/>
  <c r="D30545" i="1"/>
  <c r="D30546" i="1"/>
  <c r="D30547" i="1"/>
  <c r="D30548" i="1"/>
  <c r="D30549" i="1"/>
  <c r="D30550" i="1"/>
  <c r="D30551" i="1"/>
  <c r="D30552" i="1"/>
  <c r="D30553" i="1"/>
  <c r="D30554" i="1"/>
  <c r="D30555" i="1"/>
  <c r="D30556" i="1"/>
  <c r="D30557" i="1"/>
  <c r="D30558" i="1"/>
  <c r="D30559" i="1"/>
  <c r="D30560" i="1"/>
  <c r="D30561" i="1"/>
  <c r="D30562" i="1"/>
  <c r="D30563" i="1"/>
  <c r="D30564" i="1"/>
  <c r="D30565" i="1"/>
  <c r="D30566" i="1"/>
  <c r="D30567" i="1"/>
  <c r="D30568" i="1"/>
  <c r="D30569" i="1"/>
  <c r="D30570" i="1"/>
  <c r="D30571" i="1"/>
  <c r="D30572" i="1"/>
  <c r="D30573" i="1"/>
  <c r="D30574" i="1"/>
  <c r="D30575" i="1"/>
  <c r="D30576" i="1"/>
  <c r="D30577" i="1"/>
  <c r="D30578" i="1"/>
  <c r="D30579" i="1"/>
  <c r="D30580" i="1"/>
  <c r="D30581" i="1"/>
  <c r="D30582" i="1"/>
  <c r="D30583" i="1"/>
  <c r="D30584" i="1"/>
  <c r="D30585" i="1"/>
  <c r="D30586" i="1"/>
  <c r="D30587" i="1"/>
  <c r="D30588" i="1"/>
  <c r="D30589" i="1"/>
  <c r="D30590" i="1"/>
  <c r="D30591" i="1"/>
  <c r="D30592" i="1"/>
  <c r="D30593" i="1"/>
  <c r="D30594" i="1"/>
  <c r="D30595" i="1"/>
  <c r="D30596" i="1"/>
  <c r="D30597" i="1"/>
  <c r="D30598" i="1"/>
  <c r="D30599" i="1"/>
  <c r="D30600" i="1"/>
  <c r="D30601" i="1"/>
  <c r="D30602" i="1"/>
  <c r="D30603" i="1"/>
  <c r="D30604" i="1"/>
  <c r="D30605" i="1"/>
  <c r="D30606" i="1"/>
  <c r="D30607" i="1"/>
  <c r="D30608" i="1"/>
  <c r="D30609" i="1"/>
  <c r="D30610" i="1"/>
  <c r="D30611" i="1"/>
  <c r="D30612" i="1"/>
  <c r="D30613" i="1"/>
  <c r="D30614" i="1"/>
  <c r="D30615" i="1"/>
  <c r="D30616" i="1"/>
  <c r="D30617" i="1"/>
  <c r="D30618" i="1"/>
  <c r="D30619" i="1"/>
  <c r="D30620" i="1"/>
  <c r="D30621" i="1"/>
  <c r="D30622" i="1"/>
  <c r="D30623" i="1"/>
  <c r="D30624" i="1"/>
  <c r="D30625" i="1"/>
  <c r="D30626" i="1"/>
  <c r="D30627" i="1"/>
  <c r="D30628" i="1"/>
  <c r="D30629" i="1"/>
  <c r="D30630" i="1"/>
  <c r="D30631" i="1"/>
  <c r="D30632" i="1"/>
  <c r="D30633" i="1"/>
  <c r="D30634" i="1"/>
  <c r="D30635" i="1"/>
  <c r="D30636" i="1"/>
  <c r="D30637" i="1"/>
  <c r="D30638" i="1"/>
  <c r="D30639" i="1"/>
  <c r="D30640" i="1"/>
  <c r="D30641" i="1"/>
  <c r="D30642" i="1"/>
  <c r="D30643" i="1"/>
  <c r="D30644" i="1"/>
  <c r="D30645" i="1"/>
  <c r="D30646" i="1"/>
  <c r="D30647" i="1"/>
  <c r="D30648" i="1"/>
  <c r="D30649" i="1"/>
  <c r="D30650" i="1"/>
  <c r="D30651" i="1"/>
  <c r="D30652" i="1"/>
  <c r="D30653" i="1"/>
  <c r="D30654" i="1"/>
  <c r="D30655" i="1"/>
  <c r="D30656" i="1"/>
  <c r="D30657" i="1"/>
  <c r="D30658" i="1"/>
  <c r="D30659" i="1"/>
  <c r="D30660" i="1"/>
  <c r="D30661" i="1"/>
  <c r="D30662" i="1"/>
  <c r="D30663" i="1"/>
  <c r="D30664" i="1"/>
  <c r="D30665" i="1"/>
  <c r="D30666" i="1"/>
  <c r="D30667" i="1"/>
  <c r="D30668" i="1"/>
  <c r="D30669" i="1"/>
  <c r="D30670" i="1"/>
  <c r="D30671" i="1"/>
  <c r="D30672" i="1"/>
  <c r="D30673" i="1"/>
  <c r="D30674" i="1"/>
  <c r="D30675" i="1"/>
  <c r="D30676" i="1"/>
  <c r="D30677" i="1"/>
  <c r="D30678" i="1"/>
  <c r="D30679" i="1"/>
  <c r="D30680" i="1"/>
  <c r="D30681" i="1"/>
  <c r="D30682" i="1"/>
  <c r="D30683" i="1"/>
  <c r="D30684" i="1"/>
  <c r="D30685" i="1"/>
  <c r="D30686" i="1"/>
  <c r="D30687" i="1"/>
  <c r="D30688" i="1"/>
  <c r="D30689" i="1"/>
  <c r="D30690" i="1"/>
  <c r="D30691" i="1"/>
  <c r="D30692" i="1"/>
  <c r="D30693" i="1"/>
  <c r="D30694" i="1"/>
  <c r="D30695" i="1"/>
  <c r="D30696" i="1"/>
  <c r="D30697" i="1"/>
  <c r="D30698" i="1"/>
  <c r="D30699" i="1"/>
  <c r="D30700" i="1"/>
  <c r="D30701" i="1"/>
  <c r="D30702" i="1"/>
  <c r="D30703" i="1"/>
  <c r="D30704" i="1"/>
  <c r="D30705" i="1"/>
  <c r="D30706" i="1"/>
  <c r="D30707" i="1"/>
  <c r="D30708" i="1"/>
  <c r="D30709" i="1"/>
  <c r="D30710" i="1"/>
  <c r="D30711" i="1"/>
  <c r="D30712" i="1"/>
  <c r="D30713" i="1"/>
  <c r="D30714" i="1"/>
  <c r="D30715" i="1"/>
  <c r="D30716" i="1"/>
  <c r="D30717" i="1"/>
  <c r="D30718" i="1"/>
  <c r="D30719" i="1"/>
  <c r="D30720" i="1"/>
  <c r="D30721" i="1"/>
  <c r="D30722" i="1"/>
  <c r="D30723" i="1"/>
  <c r="D30724" i="1"/>
  <c r="D30725" i="1"/>
  <c r="D30726" i="1"/>
  <c r="D30727" i="1"/>
  <c r="D30728" i="1"/>
  <c r="D30729" i="1"/>
  <c r="D30730" i="1"/>
  <c r="D30731" i="1"/>
  <c r="D30732" i="1"/>
  <c r="D30733" i="1"/>
  <c r="D30734" i="1"/>
  <c r="D30735" i="1"/>
  <c r="D30736" i="1"/>
  <c r="D30737" i="1"/>
  <c r="D30738" i="1"/>
  <c r="D30739" i="1"/>
  <c r="D30740" i="1"/>
  <c r="D30741" i="1"/>
  <c r="D30742" i="1"/>
  <c r="D30743" i="1"/>
  <c r="D30744" i="1"/>
  <c r="D30745" i="1"/>
  <c r="D30746" i="1"/>
  <c r="D30747" i="1"/>
  <c r="D30748" i="1"/>
  <c r="D30749" i="1"/>
  <c r="D30750" i="1"/>
  <c r="D30751" i="1"/>
  <c r="D30752" i="1"/>
  <c r="D30753" i="1"/>
  <c r="D30754" i="1"/>
  <c r="D30755" i="1"/>
  <c r="D30756" i="1"/>
  <c r="D30757" i="1"/>
  <c r="D30758" i="1"/>
  <c r="D30759" i="1"/>
  <c r="D30760" i="1"/>
  <c r="D30761" i="1"/>
  <c r="D30762" i="1"/>
  <c r="D30763" i="1"/>
  <c r="D30764" i="1"/>
  <c r="A30765" i="1"/>
  <c r="D30765" i="1"/>
  <c r="A30766" i="1"/>
  <c r="D30766" i="1"/>
  <c r="A30767" i="1"/>
  <c r="D30767" i="1"/>
  <c r="A30768" i="1"/>
  <c r="D30768" i="1"/>
  <c r="A30769" i="1"/>
  <c r="D30769" i="1"/>
  <c r="A30770" i="1"/>
  <c r="D30770" i="1"/>
  <c r="A30771" i="1"/>
  <c r="D30771" i="1"/>
  <c r="A30772" i="1"/>
  <c r="D30772" i="1"/>
  <c r="A30773" i="1"/>
  <c r="D30773" i="1"/>
  <c r="A30774" i="1"/>
  <c r="D30774" i="1"/>
  <c r="A30775" i="1"/>
  <c r="D30775" i="1"/>
  <c r="A30776" i="1"/>
  <c r="D30776" i="1"/>
  <c r="A30777" i="1"/>
  <c r="D30777" i="1"/>
  <c r="A30778" i="1"/>
  <c r="D30778" i="1"/>
  <c r="A30779" i="1"/>
  <c r="D30779" i="1"/>
  <c r="A30780" i="1"/>
  <c r="D30780" i="1"/>
  <c r="A30781" i="1"/>
  <c r="D30781" i="1"/>
  <c r="A30782" i="1"/>
  <c r="D30782" i="1"/>
  <c r="A30783" i="1"/>
  <c r="D30783" i="1"/>
  <c r="A30784" i="1"/>
  <c r="D30784" i="1"/>
  <c r="A30785" i="1"/>
  <c r="D30785" i="1"/>
  <c r="A30786" i="1"/>
  <c r="D30786" i="1"/>
  <c r="A30787" i="1"/>
  <c r="D30787" i="1"/>
  <c r="A30788" i="1"/>
  <c r="D30788" i="1"/>
  <c r="A30789" i="1"/>
  <c r="D30789" i="1"/>
  <c r="A30790" i="1"/>
  <c r="D30790" i="1"/>
  <c r="A30791" i="1"/>
  <c r="D30791" i="1"/>
  <c r="A30792" i="1"/>
  <c r="D30792" i="1"/>
  <c r="A30793" i="1"/>
  <c r="D30793" i="1"/>
  <c r="A30794" i="1"/>
  <c r="D30794" i="1"/>
  <c r="A30795" i="1"/>
  <c r="D30795" i="1"/>
  <c r="A30796" i="1"/>
  <c r="D30796" i="1"/>
  <c r="A30797" i="1"/>
  <c r="D30797" i="1"/>
  <c r="A30798" i="1"/>
  <c r="D30798" i="1"/>
  <c r="A30799" i="1"/>
  <c r="D30799" i="1"/>
  <c r="A30800" i="1"/>
  <c r="D30800" i="1"/>
  <c r="A30801" i="1"/>
  <c r="D30801" i="1"/>
  <c r="A30802" i="1"/>
  <c r="D30802" i="1"/>
  <c r="A30803" i="1"/>
  <c r="D30803" i="1"/>
  <c r="A30804" i="1"/>
  <c r="D30804" i="1"/>
  <c r="A30805" i="1"/>
  <c r="D30805" i="1"/>
  <c r="A30806" i="1"/>
  <c r="D30806" i="1"/>
  <c r="A30807" i="1"/>
  <c r="D30807" i="1"/>
  <c r="A30808" i="1"/>
  <c r="D30808" i="1"/>
  <c r="A30809" i="1"/>
  <c r="D30809" i="1"/>
  <c r="A30810" i="1"/>
  <c r="D30810" i="1"/>
  <c r="A30811" i="1"/>
  <c r="D30811" i="1"/>
  <c r="A30812" i="1"/>
  <c r="D30812" i="1"/>
  <c r="A30813" i="1"/>
  <c r="D30813" i="1"/>
  <c r="A30814" i="1"/>
  <c r="D30814" i="1"/>
  <c r="A30815" i="1"/>
  <c r="D30815" i="1"/>
  <c r="A30816" i="1"/>
  <c r="D30816" i="1"/>
  <c r="A30817" i="1"/>
  <c r="D30817" i="1"/>
  <c r="A30818" i="1"/>
  <c r="D30818" i="1"/>
  <c r="A30819" i="1"/>
  <c r="D30819" i="1"/>
  <c r="A30820" i="1"/>
  <c r="D30820" i="1"/>
  <c r="A30821" i="1"/>
  <c r="D30821" i="1"/>
  <c r="A30822" i="1"/>
  <c r="D30822" i="1"/>
  <c r="A30823" i="1"/>
  <c r="D30823" i="1"/>
  <c r="A30824" i="1"/>
  <c r="D30824" i="1"/>
  <c r="A30825" i="1"/>
  <c r="D30825" i="1"/>
  <c r="A30826" i="1"/>
  <c r="D30826" i="1"/>
  <c r="A30827" i="1"/>
  <c r="D30827" i="1"/>
  <c r="A30828" i="1"/>
  <c r="D30828" i="1"/>
  <c r="A30829" i="1"/>
  <c r="D30829" i="1"/>
  <c r="A30830" i="1"/>
  <c r="D30830" i="1"/>
  <c r="A30831" i="1"/>
  <c r="D30831" i="1"/>
  <c r="A30832" i="1"/>
  <c r="D30832" i="1"/>
  <c r="A30833" i="1"/>
  <c r="D30833" i="1"/>
  <c r="A30834" i="1"/>
  <c r="D30834" i="1"/>
  <c r="A30835" i="1"/>
  <c r="D30835" i="1"/>
  <c r="A30836" i="1"/>
  <c r="D30836" i="1"/>
  <c r="A30837" i="1"/>
  <c r="D30837" i="1"/>
  <c r="A30838" i="1"/>
  <c r="D30838" i="1"/>
  <c r="A30839" i="1"/>
  <c r="D30839" i="1"/>
  <c r="A30840" i="1"/>
  <c r="D30840" i="1"/>
  <c r="A30841" i="1"/>
  <c r="D30841" i="1"/>
  <c r="A30842" i="1"/>
  <c r="D30842" i="1"/>
  <c r="A30843" i="1"/>
  <c r="D30843" i="1"/>
  <c r="A30844" i="1"/>
  <c r="D30844" i="1"/>
  <c r="A30845" i="1"/>
  <c r="D30845" i="1"/>
  <c r="A30846" i="1"/>
  <c r="D30846" i="1"/>
  <c r="A30847" i="1"/>
  <c r="D30847" i="1"/>
  <c r="A30848" i="1"/>
  <c r="D30848" i="1"/>
  <c r="A30849" i="1"/>
  <c r="D30849" i="1"/>
  <c r="A30850" i="1"/>
  <c r="D30850" i="1"/>
  <c r="A30851" i="1"/>
  <c r="D30851" i="1"/>
  <c r="A30852" i="1"/>
  <c r="D30852" i="1"/>
  <c r="A30853" i="1"/>
  <c r="D30853" i="1"/>
  <c r="A30854" i="1"/>
  <c r="D30854" i="1"/>
  <c r="A30855" i="1"/>
  <c r="D30855" i="1"/>
  <c r="A30856" i="1"/>
  <c r="D30856" i="1"/>
  <c r="A30857" i="1"/>
  <c r="D30857" i="1"/>
  <c r="A30858" i="1"/>
  <c r="D30858" i="1"/>
  <c r="A30859" i="1"/>
  <c r="D30859" i="1"/>
  <c r="A30860" i="1"/>
  <c r="D30860" i="1"/>
  <c r="A30861" i="1"/>
  <c r="D30861" i="1"/>
  <c r="A30862" i="1"/>
  <c r="D30862" i="1"/>
  <c r="A30863" i="1"/>
  <c r="D30863" i="1"/>
  <c r="A30864" i="1"/>
  <c r="D30864" i="1"/>
  <c r="A30865" i="1"/>
  <c r="D30865" i="1"/>
  <c r="A30866" i="1"/>
  <c r="D30866" i="1"/>
  <c r="A30867" i="1"/>
  <c r="D30867" i="1"/>
  <c r="A30868" i="1"/>
  <c r="D30868" i="1"/>
  <c r="A30869" i="1"/>
  <c r="D30869" i="1"/>
  <c r="A30870" i="1"/>
  <c r="D30870" i="1"/>
  <c r="A30871" i="1"/>
  <c r="D30871" i="1"/>
  <c r="A30872" i="1"/>
  <c r="D30872" i="1"/>
  <c r="A30873" i="1"/>
  <c r="D30873" i="1"/>
  <c r="A30874" i="1"/>
  <c r="D30874" i="1"/>
  <c r="A30875" i="1"/>
  <c r="D30875" i="1"/>
  <c r="A30876" i="1"/>
  <c r="D30876" i="1"/>
  <c r="A30877" i="1"/>
  <c r="D30877" i="1"/>
  <c r="A30878" i="1"/>
  <c r="D30878" i="1"/>
  <c r="A30879" i="1"/>
  <c r="D30879" i="1"/>
  <c r="A30880" i="1"/>
  <c r="D30880" i="1"/>
  <c r="A30881" i="1"/>
  <c r="D30881" i="1"/>
  <c r="A30882" i="1"/>
  <c r="D30882" i="1"/>
  <c r="A30883" i="1"/>
  <c r="D30883" i="1"/>
  <c r="A30884" i="1"/>
  <c r="D30884" i="1"/>
  <c r="A30885" i="1"/>
  <c r="D30885" i="1"/>
  <c r="A30886" i="1"/>
  <c r="D30886" i="1"/>
  <c r="A30887" i="1"/>
  <c r="D30887" i="1"/>
  <c r="A30888" i="1"/>
  <c r="D30888" i="1"/>
  <c r="A30889" i="1"/>
  <c r="D30889" i="1"/>
  <c r="A30890" i="1"/>
  <c r="D30890" i="1"/>
  <c r="A30891" i="1"/>
  <c r="D30891" i="1"/>
  <c r="A30892" i="1"/>
  <c r="D30892" i="1"/>
  <c r="A30893" i="1"/>
  <c r="D30893" i="1"/>
  <c r="A30894" i="1"/>
  <c r="D30894" i="1"/>
  <c r="A30895" i="1"/>
  <c r="D30895" i="1"/>
  <c r="A30896" i="1"/>
  <c r="D30896" i="1"/>
  <c r="A30897" i="1"/>
  <c r="D30897" i="1"/>
  <c r="A30898" i="1"/>
  <c r="D30898" i="1"/>
  <c r="A30899" i="1"/>
  <c r="D30899" i="1"/>
  <c r="A30900" i="1"/>
  <c r="D30900" i="1"/>
  <c r="A30901" i="1"/>
  <c r="D30901" i="1"/>
  <c r="A30902" i="1"/>
  <c r="D30902" i="1"/>
  <c r="A30903" i="1"/>
  <c r="D30903" i="1"/>
  <c r="A30904" i="1"/>
  <c r="D30904" i="1"/>
  <c r="A30905" i="1"/>
  <c r="D30905" i="1"/>
  <c r="A30906" i="1"/>
  <c r="D30906" i="1"/>
  <c r="A30907" i="1"/>
  <c r="D30907" i="1"/>
  <c r="A30908" i="1"/>
  <c r="D30908" i="1"/>
  <c r="A30909" i="1"/>
  <c r="D30909" i="1"/>
  <c r="A30910" i="1"/>
  <c r="D30910" i="1"/>
  <c r="A30911" i="1"/>
  <c r="D30911" i="1"/>
  <c r="A30912" i="1"/>
  <c r="D30912" i="1"/>
  <c r="A30913" i="1"/>
  <c r="D30913" i="1"/>
  <c r="A30914" i="1"/>
  <c r="D30914" i="1"/>
  <c r="A30915" i="1"/>
  <c r="D30915" i="1"/>
  <c r="A30916" i="1"/>
  <c r="D30916" i="1"/>
  <c r="A30917" i="1"/>
  <c r="D30917" i="1"/>
  <c r="A30918" i="1"/>
  <c r="D30918" i="1"/>
  <c r="A30919" i="1"/>
  <c r="D30919" i="1"/>
  <c r="A30920" i="1"/>
  <c r="D30920" i="1"/>
  <c r="A30921" i="1"/>
  <c r="D30921" i="1"/>
  <c r="A30922" i="1"/>
  <c r="D30922" i="1"/>
  <c r="A30923" i="1"/>
  <c r="D30923" i="1"/>
  <c r="A30924" i="1"/>
  <c r="D30924" i="1"/>
  <c r="A30925" i="1"/>
  <c r="D30925" i="1"/>
  <c r="A30926" i="1"/>
  <c r="D30926" i="1"/>
  <c r="A30927" i="1"/>
  <c r="D30927" i="1"/>
  <c r="A30928" i="1"/>
  <c r="D30928" i="1"/>
  <c r="A30929" i="1"/>
  <c r="D30929" i="1"/>
  <c r="A30930" i="1"/>
  <c r="D30930" i="1"/>
  <c r="A30931" i="1"/>
  <c r="D30931" i="1"/>
  <c r="A30932" i="1"/>
  <c r="D30932" i="1"/>
  <c r="A30933" i="1"/>
  <c r="D30933" i="1"/>
  <c r="A30934" i="1"/>
  <c r="D30934" i="1"/>
  <c r="A30935" i="1"/>
  <c r="D30935" i="1"/>
  <c r="A30936" i="1"/>
  <c r="D30936" i="1"/>
  <c r="A30937" i="1"/>
  <c r="D30937" i="1"/>
  <c r="A30938" i="1"/>
  <c r="D30938" i="1"/>
  <c r="A30939" i="1"/>
  <c r="D30939" i="1"/>
  <c r="A30940" i="1"/>
  <c r="D30940" i="1"/>
  <c r="A30941" i="1"/>
  <c r="D30941" i="1"/>
  <c r="A30942" i="1"/>
  <c r="D30942" i="1"/>
  <c r="A30943" i="1"/>
  <c r="D30943" i="1"/>
  <c r="A30944" i="1"/>
  <c r="D30944" i="1"/>
  <c r="A30945" i="1"/>
  <c r="D30945" i="1"/>
  <c r="A30946" i="1"/>
  <c r="D30946" i="1"/>
  <c r="A30947" i="1"/>
  <c r="D30947" i="1"/>
  <c r="A30948" i="1"/>
  <c r="D30948" i="1"/>
  <c r="A30949" i="1"/>
  <c r="D30949" i="1"/>
  <c r="A30950" i="1"/>
  <c r="D30950" i="1"/>
  <c r="A30951" i="1"/>
  <c r="D30951" i="1"/>
  <c r="A30952" i="1"/>
  <c r="D30952" i="1"/>
  <c r="A30953" i="1"/>
  <c r="D30953" i="1"/>
  <c r="A30954" i="1"/>
  <c r="D30954" i="1"/>
  <c r="A30955" i="1"/>
  <c r="D30955" i="1"/>
  <c r="A30956" i="1"/>
  <c r="D30956" i="1"/>
  <c r="A30957" i="1"/>
  <c r="D30957" i="1"/>
  <c r="A30958" i="1"/>
  <c r="D30958" i="1"/>
  <c r="A30959" i="1"/>
  <c r="D30959" i="1"/>
  <c r="A30960" i="1"/>
  <c r="D30960" i="1"/>
  <c r="A30961" i="1"/>
  <c r="D30961" i="1"/>
  <c r="A30962" i="1"/>
  <c r="D30962" i="1"/>
  <c r="A30963" i="1"/>
  <c r="D30963" i="1"/>
  <c r="A30964" i="1"/>
  <c r="D30964" i="1"/>
  <c r="A30965" i="1"/>
  <c r="D30965" i="1"/>
  <c r="A30966" i="1"/>
  <c r="D30966" i="1"/>
  <c r="A30967" i="1"/>
  <c r="D30967" i="1"/>
  <c r="A30968" i="1"/>
  <c r="D30968" i="1"/>
  <c r="A30969" i="1"/>
  <c r="D30969" i="1"/>
  <c r="A30970" i="1"/>
  <c r="D30970" i="1"/>
  <c r="A30971" i="1"/>
  <c r="D30971" i="1"/>
  <c r="A30972" i="1"/>
  <c r="D30972" i="1"/>
  <c r="A30973" i="1"/>
  <c r="D30973" i="1"/>
  <c r="A30974" i="1"/>
  <c r="D30974" i="1"/>
  <c r="A30975" i="1"/>
  <c r="D30975" i="1"/>
  <c r="A30976" i="1"/>
  <c r="D30976" i="1"/>
  <c r="A30977" i="1"/>
  <c r="D30977" i="1"/>
  <c r="A30978" i="1"/>
  <c r="D30978" i="1"/>
  <c r="A30979" i="1"/>
  <c r="D30979" i="1"/>
  <c r="A30980" i="1"/>
  <c r="D30980" i="1"/>
  <c r="A30981" i="1"/>
  <c r="D30981" i="1"/>
  <c r="A30982" i="1"/>
  <c r="D30982" i="1"/>
  <c r="A30983" i="1"/>
  <c r="D30983" i="1"/>
  <c r="A30984" i="1"/>
  <c r="D30984" i="1"/>
  <c r="A30985" i="1"/>
  <c r="D30985" i="1"/>
  <c r="A30986" i="1"/>
  <c r="D30986" i="1"/>
  <c r="A30987" i="1"/>
  <c r="D30987" i="1"/>
  <c r="A30988" i="1"/>
  <c r="D30988" i="1"/>
  <c r="A30989" i="1"/>
  <c r="D30989" i="1"/>
  <c r="A30990" i="1"/>
  <c r="D30990" i="1"/>
  <c r="A30991" i="1"/>
  <c r="D30991" i="1"/>
  <c r="A30992" i="1"/>
  <c r="D30992" i="1"/>
  <c r="A30993" i="1"/>
  <c r="D30993" i="1"/>
  <c r="A30994" i="1"/>
  <c r="D30994" i="1"/>
  <c r="A30995" i="1"/>
  <c r="D30995" i="1"/>
  <c r="A30996" i="1"/>
  <c r="D30996" i="1"/>
  <c r="A30997" i="1"/>
  <c r="D30997" i="1"/>
  <c r="A30998" i="1"/>
  <c r="D30998" i="1"/>
  <c r="A30999" i="1"/>
  <c r="D30999" i="1"/>
  <c r="A31000" i="1"/>
  <c r="D31000" i="1"/>
  <c r="A31001" i="1"/>
  <c r="D31001" i="1"/>
  <c r="A31002" i="1"/>
  <c r="D31002" i="1"/>
  <c r="A31003" i="1"/>
  <c r="D31003" i="1"/>
  <c r="A31004" i="1"/>
  <c r="D31004" i="1"/>
  <c r="A31005" i="1"/>
  <c r="D31005" i="1"/>
  <c r="A31006" i="1"/>
  <c r="D31006" i="1"/>
  <c r="A31007" i="1"/>
  <c r="D31007" i="1"/>
  <c r="A31008" i="1"/>
  <c r="D31008" i="1"/>
  <c r="A31009" i="1"/>
  <c r="D31009" i="1"/>
  <c r="A31010" i="1"/>
  <c r="D31010" i="1"/>
  <c r="A31011" i="1"/>
  <c r="D31011" i="1"/>
  <c r="A31012" i="1"/>
  <c r="D31012" i="1"/>
  <c r="A31013" i="1"/>
  <c r="D31013" i="1"/>
  <c r="A31014" i="1"/>
  <c r="D31014" i="1"/>
  <c r="A31015" i="1"/>
  <c r="D31015" i="1"/>
  <c r="A31016" i="1"/>
  <c r="D31016" i="1"/>
  <c r="A31017" i="1"/>
  <c r="D31017" i="1"/>
  <c r="A31018" i="1"/>
  <c r="D31018" i="1"/>
  <c r="A31019" i="1"/>
  <c r="D31019" i="1"/>
  <c r="A31020" i="1"/>
  <c r="D31020" i="1"/>
  <c r="A31021" i="1"/>
  <c r="D31021" i="1"/>
  <c r="A31022" i="1"/>
  <c r="D31022" i="1"/>
  <c r="A31023" i="1"/>
  <c r="D31023" i="1"/>
  <c r="A31024" i="1"/>
  <c r="D31024" i="1"/>
  <c r="A31025" i="1"/>
  <c r="D31025" i="1"/>
  <c r="D31026" i="1"/>
  <c r="D31027" i="1"/>
  <c r="D31028" i="1"/>
  <c r="D31029" i="1"/>
  <c r="D31030" i="1"/>
  <c r="D31031" i="1"/>
  <c r="D31032" i="1"/>
  <c r="D31033" i="1"/>
  <c r="D31034" i="1"/>
  <c r="D31035" i="1"/>
  <c r="D31036" i="1"/>
  <c r="D31037" i="1"/>
  <c r="D31038" i="1"/>
  <c r="D31039" i="1"/>
  <c r="D31040" i="1"/>
  <c r="D31041" i="1"/>
  <c r="D31042" i="1"/>
  <c r="D31043" i="1"/>
  <c r="D31044" i="1"/>
  <c r="D31045" i="1"/>
  <c r="D31046" i="1"/>
  <c r="D31047" i="1"/>
  <c r="D31048" i="1"/>
  <c r="D31049" i="1"/>
  <c r="D31050" i="1"/>
  <c r="D31051" i="1"/>
  <c r="D31052" i="1"/>
  <c r="D31053" i="1"/>
  <c r="D31054" i="1"/>
  <c r="D31055" i="1"/>
  <c r="D31056" i="1"/>
  <c r="D31057" i="1"/>
  <c r="D31058" i="1"/>
  <c r="D31059" i="1"/>
  <c r="D31060" i="1"/>
  <c r="D31061" i="1"/>
  <c r="D31062" i="1"/>
  <c r="D31063" i="1"/>
  <c r="D31064" i="1"/>
  <c r="D31065" i="1"/>
  <c r="D31066" i="1"/>
  <c r="D31067" i="1"/>
  <c r="D31068" i="1"/>
  <c r="D31069" i="1"/>
  <c r="D31070" i="1"/>
  <c r="D31071" i="1"/>
  <c r="D31072" i="1"/>
  <c r="D31073" i="1"/>
  <c r="D31074" i="1"/>
  <c r="D31075" i="1"/>
  <c r="D31076" i="1"/>
  <c r="D31077" i="1"/>
  <c r="D31078" i="1"/>
  <c r="D31079" i="1"/>
  <c r="D31080" i="1"/>
  <c r="D31081" i="1"/>
  <c r="D31082" i="1"/>
  <c r="D31083" i="1"/>
  <c r="D31084" i="1"/>
  <c r="D31085" i="1"/>
  <c r="D31086" i="1"/>
  <c r="D31087" i="1"/>
  <c r="D31088" i="1"/>
  <c r="D31089" i="1"/>
  <c r="D31090" i="1"/>
  <c r="D31091" i="1"/>
  <c r="D31092" i="1"/>
  <c r="D31093" i="1"/>
  <c r="D31094" i="1"/>
  <c r="D31095" i="1"/>
  <c r="D31096" i="1"/>
  <c r="D31097" i="1"/>
  <c r="D31098" i="1"/>
  <c r="D31099" i="1"/>
  <c r="D31100" i="1"/>
  <c r="D31101" i="1"/>
  <c r="D31102" i="1"/>
  <c r="D31103" i="1"/>
  <c r="D31104" i="1"/>
  <c r="D31105" i="1"/>
  <c r="D31106" i="1"/>
  <c r="D31107" i="1"/>
  <c r="D31108" i="1"/>
  <c r="D31109" i="1"/>
  <c r="D31110" i="1"/>
  <c r="D31111" i="1"/>
  <c r="D31112" i="1"/>
  <c r="D31113" i="1"/>
  <c r="D31114" i="1"/>
  <c r="D31115" i="1"/>
  <c r="D31116" i="1"/>
  <c r="D31117" i="1"/>
  <c r="D31118" i="1"/>
  <c r="D31119" i="1"/>
  <c r="D31120" i="1"/>
  <c r="D31121" i="1"/>
  <c r="D31122" i="1"/>
  <c r="D31123" i="1"/>
  <c r="D31124" i="1"/>
  <c r="D31125" i="1"/>
  <c r="D31126" i="1"/>
  <c r="D31127" i="1"/>
  <c r="D31128" i="1"/>
  <c r="D31129" i="1"/>
  <c r="D31130" i="1"/>
  <c r="D31131" i="1"/>
  <c r="D31132" i="1"/>
  <c r="D31133" i="1"/>
  <c r="D31134" i="1"/>
  <c r="D31135" i="1"/>
  <c r="D31136" i="1"/>
  <c r="D31137" i="1"/>
  <c r="D31138" i="1"/>
  <c r="D31139" i="1"/>
  <c r="D31140" i="1"/>
  <c r="D31141" i="1"/>
  <c r="D31142" i="1"/>
  <c r="D31143" i="1"/>
  <c r="D31144" i="1"/>
  <c r="D31145" i="1"/>
  <c r="D31146" i="1"/>
  <c r="D31147" i="1"/>
  <c r="D31148" i="1"/>
  <c r="D31149" i="1"/>
  <c r="D31150" i="1"/>
  <c r="D31151" i="1"/>
  <c r="D31152" i="1"/>
  <c r="D31153" i="1"/>
  <c r="D31154" i="1"/>
  <c r="D31155" i="1"/>
  <c r="D31156" i="1"/>
  <c r="D31157" i="1"/>
  <c r="D31158" i="1"/>
  <c r="D31159" i="1"/>
  <c r="D31160" i="1"/>
  <c r="D31161" i="1"/>
  <c r="D31162" i="1"/>
  <c r="D31163" i="1"/>
  <c r="D31164" i="1"/>
  <c r="D31165" i="1"/>
  <c r="D31166" i="1"/>
  <c r="D31167" i="1"/>
  <c r="D31168" i="1"/>
  <c r="D31169" i="1"/>
  <c r="D31170" i="1"/>
  <c r="D31171" i="1"/>
  <c r="D31172" i="1"/>
  <c r="D31173" i="1"/>
  <c r="D31174" i="1"/>
  <c r="D31175" i="1"/>
  <c r="D31176" i="1"/>
  <c r="D31177" i="1"/>
  <c r="D31178" i="1"/>
  <c r="D31179" i="1"/>
  <c r="D31180" i="1"/>
  <c r="D31181" i="1"/>
  <c r="D31182" i="1"/>
  <c r="D31183" i="1"/>
  <c r="D31184" i="1"/>
  <c r="D31185" i="1"/>
  <c r="D31186" i="1"/>
  <c r="D31187" i="1"/>
  <c r="D31188" i="1"/>
  <c r="D31189" i="1"/>
  <c r="D31190" i="1"/>
  <c r="D31191" i="1"/>
  <c r="D31192" i="1"/>
  <c r="D31193" i="1"/>
  <c r="D31194" i="1"/>
  <c r="D31195" i="1"/>
  <c r="D31196" i="1"/>
  <c r="D31197" i="1"/>
  <c r="D31198" i="1"/>
  <c r="D31199" i="1"/>
  <c r="D31200" i="1"/>
  <c r="D31201" i="1"/>
  <c r="D31202" i="1"/>
  <c r="D31203" i="1"/>
  <c r="D31204" i="1"/>
  <c r="D31205" i="1"/>
  <c r="D31206" i="1"/>
  <c r="D31207" i="1"/>
  <c r="D31208" i="1"/>
  <c r="D31209" i="1"/>
  <c r="D31210" i="1"/>
  <c r="D31211" i="1"/>
  <c r="D31212" i="1"/>
  <c r="D31213" i="1"/>
  <c r="D31214" i="1"/>
  <c r="D31215" i="1"/>
  <c r="D31216" i="1"/>
  <c r="D31217" i="1"/>
  <c r="D31218" i="1"/>
  <c r="D31219" i="1"/>
  <c r="D31220" i="1"/>
  <c r="D31221" i="1"/>
  <c r="D31222" i="1"/>
  <c r="D31223" i="1"/>
  <c r="D31224" i="1"/>
  <c r="D31225" i="1"/>
  <c r="D31226" i="1"/>
  <c r="D31227" i="1"/>
  <c r="D31228" i="1"/>
  <c r="D31229" i="1"/>
  <c r="D31230" i="1"/>
  <c r="D31231" i="1"/>
  <c r="D31232" i="1"/>
  <c r="D31233" i="1"/>
  <c r="D31234" i="1"/>
  <c r="D31235" i="1"/>
  <c r="D31236" i="1"/>
  <c r="D31237" i="1"/>
  <c r="D31238" i="1"/>
  <c r="D31239" i="1"/>
  <c r="D31240" i="1"/>
  <c r="D31241" i="1"/>
  <c r="D31242" i="1"/>
  <c r="D31243" i="1"/>
  <c r="D31244" i="1"/>
  <c r="D31245" i="1"/>
  <c r="D31246" i="1"/>
  <c r="D31247" i="1"/>
  <c r="D31248" i="1"/>
  <c r="D31249" i="1"/>
  <c r="D31250" i="1"/>
  <c r="D31251" i="1"/>
  <c r="D31252" i="1"/>
  <c r="D31253" i="1"/>
  <c r="D31254" i="1"/>
  <c r="D31255" i="1"/>
  <c r="D31256" i="1"/>
  <c r="D31257" i="1"/>
  <c r="D31258" i="1"/>
  <c r="D31259" i="1"/>
  <c r="D31260" i="1"/>
  <c r="D31261" i="1"/>
  <c r="D31262" i="1"/>
  <c r="D31263" i="1"/>
  <c r="D31264" i="1"/>
  <c r="D31265" i="1"/>
  <c r="D31266" i="1"/>
  <c r="D31267" i="1"/>
  <c r="D31268" i="1"/>
  <c r="D31269" i="1"/>
  <c r="D31270" i="1"/>
  <c r="D31271" i="1"/>
  <c r="D31272" i="1"/>
  <c r="D31273" i="1"/>
  <c r="D31274" i="1"/>
  <c r="D31275" i="1"/>
  <c r="D31276" i="1"/>
  <c r="D31277" i="1"/>
  <c r="D31278" i="1"/>
  <c r="D31279" i="1"/>
  <c r="D31280" i="1"/>
  <c r="D31281" i="1"/>
  <c r="D31282" i="1"/>
  <c r="D31283" i="1"/>
  <c r="D31284" i="1"/>
  <c r="D31285" i="1"/>
  <c r="D31286" i="1"/>
  <c r="D31287" i="1"/>
  <c r="D31288" i="1"/>
  <c r="D31289" i="1"/>
  <c r="D31290" i="1"/>
  <c r="D31291" i="1"/>
  <c r="D31292" i="1"/>
  <c r="D31293" i="1"/>
  <c r="D31294" i="1"/>
  <c r="D31295" i="1"/>
  <c r="D31296" i="1"/>
  <c r="D31297" i="1"/>
  <c r="D31298" i="1"/>
  <c r="D31299" i="1"/>
  <c r="D31300" i="1"/>
  <c r="D31301" i="1"/>
  <c r="D31302" i="1"/>
  <c r="D31303" i="1"/>
  <c r="D31304" i="1"/>
  <c r="D31305" i="1"/>
  <c r="D31306" i="1"/>
  <c r="D31307" i="1"/>
  <c r="D31308" i="1"/>
  <c r="D31309" i="1"/>
  <c r="D31310" i="1"/>
  <c r="D31311" i="1"/>
  <c r="D31312" i="1"/>
  <c r="D31313" i="1"/>
  <c r="D31314" i="1"/>
  <c r="D31315" i="1"/>
  <c r="D31316" i="1"/>
  <c r="D31317" i="1"/>
  <c r="D31318" i="1"/>
  <c r="D31319" i="1"/>
  <c r="D31320" i="1"/>
  <c r="D31321" i="1"/>
  <c r="D31322" i="1"/>
  <c r="D31323" i="1"/>
  <c r="D31324" i="1"/>
  <c r="D31325" i="1"/>
  <c r="D31326" i="1"/>
  <c r="D31327" i="1"/>
  <c r="D31328" i="1"/>
  <c r="D31329" i="1"/>
  <c r="D31330" i="1"/>
  <c r="D31331" i="1"/>
  <c r="D31332" i="1"/>
  <c r="D31333" i="1"/>
  <c r="D31334" i="1"/>
  <c r="D31335" i="1"/>
  <c r="D31336" i="1"/>
  <c r="D31337" i="1"/>
  <c r="D31338" i="1"/>
  <c r="D31339" i="1"/>
  <c r="D31340" i="1"/>
  <c r="D31341" i="1"/>
  <c r="D31342" i="1"/>
  <c r="D31343" i="1"/>
  <c r="D31344" i="1"/>
  <c r="D31345" i="1"/>
  <c r="D31346" i="1"/>
  <c r="D31347" i="1"/>
  <c r="D31348" i="1"/>
  <c r="D31349" i="1"/>
  <c r="D31350" i="1"/>
  <c r="D31351" i="1"/>
  <c r="D31352" i="1"/>
  <c r="D31353" i="1"/>
  <c r="D31354" i="1"/>
  <c r="D31355" i="1"/>
  <c r="D31356" i="1"/>
  <c r="D31357" i="1"/>
  <c r="D31358" i="1"/>
  <c r="D31359" i="1"/>
  <c r="D31360" i="1"/>
  <c r="D31361" i="1"/>
  <c r="D31362" i="1"/>
  <c r="D31363" i="1"/>
  <c r="D31364" i="1"/>
  <c r="D31365" i="1"/>
  <c r="D31366" i="1"/>
  <c r="D31367" i="1"/>
  <c r="D31368" i="1"/>
  <c r="D31369" i="1"/>
  <c r="D31370" i="1"/>
  <c r="D31371" i="1"/>
  <c r="D31372" i="1"/>
  <c r="D31373" i="1"/>
  <c r="D31374" i="1"/>
  <c r="D31375" i="1"/>
  <c r="D31376" i="1"/>
  <c r="D31377" i="1"/>
  <c r="D31378" i="1"/>
  <c r="D31379" i="1"/>
  <c r="D31380" i="1"/>
  <c r="D31381" i="1"/>
  <c r="D31382" i="1"/>
  <c r="D31383" i="1"/>
  <c r="D31384" i="1"/>
  <c r="D31385" i="1"/>
  <c r="D31386" i="1"/>
  <c r="D31387" i="1"/>
  <c r="D31388" i="1"/>
  <c r="D31389" i="1"/>
  <c r="D31390" i="1"/>
  <c r="D31391" i="1"/>
  <c r="D31392" i="1"/>
  <c r="D31393" i="1"/>
  <c r="D31394" i="1"/>
  <c r="D31395" i="1"/>
  <c r="D31396" i="1"/>
  <c r="D31397" i="1"/>
  <c r="D31398" i="1"/>
  <c r="D31399" i="1"/>
  <c r="D31400" i="1"/>
  <c r="D31401" i="1"/>
  <c r="D31402" i="1"/>
  <c r="D31403" i="1"/>
  <c r="D31404" i="1"/>
  <c r="D31405" i="1"/>
  <c r="D31406" i="1"/>
  <c r="D31407" i="1"/>
  <c r="D31408" i="1"/>
  <c r="D31409" i="1"/>
  <c r="D31410" i="1"/>
  <c r="D31411" i="1"/>
  <c r="D31412" i="1"/>
  <c r="D31413" i="1"/>
  <c r="D31414" i="1"/>
  <c r="D31415" i="1"/>
  <c r="D31416" i="1"/>
  <c r="D31417" i="1"/>
  <c r="D31418" i="1"/>
  <c r="D31419" i="1"/>
  <c r="D31420" i="1"/>
  <c r="D31421" i="1"/>
  <c r="D31422" i="1"/>
  <c r="D31423" i="1"/>
  <c r="D31424" i="1"/>
  <c r="D31425" i="1"/>
  <c r="D31426" i="1"/>
  <c r="D31427" i="1"/>
  <c r="D31428" i="1"/>
  <c r="D31429" i="1"/>
  <c r="D31430" i="1"/>
  <c r="D31431" i="1"/>
  <c r="D31432" i="1"/>
  <c r="D31433" i="1"/>
  <c r="D31434" i="1"/>
  <c r="D31435" i="1"/>
  <c r="D31436" i="1"/>
  <c r="D31437" i="1"/>
  <c r="D31438" i="1"/>
  <c r="D31439" i="1"/>
  <c r="D31440" i="1"/>
  <c r="D31441" i="1"/>
  <c r="D31442" i="1"/>
  <c r="D31443" i="1"/>
  <c r="D31444" i="1"/>
  <c r="D31445" i="1"/>
  <c r="D31446" i="1"/>
  <c r="D31447" i="1"/>
  <c r="D31448" i="1"/>
  <c r="D31449" i="1"/>
  <c r="D31450" i="1"/>
  <c r="D31451" i="1"/>
  <c r="D31452" i="1"/>
  <c r="D31453" i="1"/>
  <c r="D31454" i="1"/>
  <c r="D31455" i="1"/>
  <c r="D31456" i="1"/>
  <c r="D31457" i="1"/>
  <c r="D31458" i="1"/>
  <c r="D31459" i="1"/>
  <c r="D31460" i="1"/>
  <c r="D31461" i="1"/>
  <c r="D31462" i="1"/>
  <c r="D31463" i="1"/>
  <c r="D31464" i="1"/>
  <c r="D31465" i="1"/>
  <c r="D31466" i="1"/>
  <c r="D31467" i="1"/>
  <c r="D31468" i="1"/>
  <c r="D31469" i="1"/>
  <c r="D31470" i="1"/>
  <c r="D31471" i="1"/>
  <c r="D31472" i="1"/>
  <c r="D31473" i="1"/>
  <c r="D31474" i="1"/>
  <c r="D31475" i="1"/>
  <c r="D31476" i="1"/>
  <c r="D31477" i="1"/>
  <c r="D31478" i="1"/>
  <c r="D31479" i="1"/>
  <c r="D31480" i="1"/>
  <c r="D31481" i="1"/>
  <c r="D31482" i="1"/>
  <c r="D31483" i="1"/>
  <c r="D31484" i="1"/>
  <c r="D31485" i="1"/>
  <c r="D31486" i="1"/>
  <c r="D31487" i="1"/>
  <c r="D31488" i="1"/>
  <c r="D31489" i="1"/>
  <c r="D31490" i="1"/>
  <c r="D31491" i="1"/>
  <c r="D31492" i="1"/>
  <c r="D31493" i="1"/>
  <c r="D31494" i="1"/>
  <c r="D31495" i="1"/>
  <c r="D31496" i="1"/>
  <c r="D31497" i="1"/>
  <c r="D31498" i="1"/>
  <c r="D31499" i="1"/>
  <c r="D31500" i="1"/>
  <c r="D31501" i="1"/>
  <c r="D31502" i="1"/>
  <c r="D31503" i="1"/>
  <c r="D31504" i="1"/>
  <c r="D31505" i="1"/>
  <c r="D31506" i="1"/>
  <c r="D31507" i="1"/>
  <c r="D31508" i="1"/>
  <c r="D31509" i="1"/>
  <c r="D31510" i="1"/>
  <c r="D31511" i="1"/>
  <c r="D31512" i="1"/>
  <c r="D31513" i="1"/>
  <c r="D31514" i="1"/>
  <c r="D31515" i="1"/>
  <c r="D31516" i="1"/>
  <c r="D31517" i="1"/>
  <c r="D31518" i="1"/>
  <c r="D31519" i="1"/>
  <c r="D31520" i="1"/>
  <c r="D31521" i="1"/>
  <c r="D31522" i="1"/>
  <c r="D31523" i="1"/>
  <c r="D31524" i="1"/>
  <c r="D31525" i="1"/>
  <c r="D31526" i="1"/>
  <c r="D31527" i="1"/>
  <c r="D31528" i="1"/>
  <c r="D31529" i="1"/>
  <c r="D31530" i="1"/>
  <c r="D31531" i="1"/>
  <c r="D31532" i="1"/>
  <c r="D31533" i="1"/>
  <c r="D31534" i="1"/>
  <c r="D31535" i="1"/>
  <c r="D31536" i="1"/>
  <c r="D31537" i="1"/>
  <c r="D31538" i="1"/>
  <c r="D31539" i="1"/>
  <c r="D31540" i="1"/>
  <c r="D31541" i="1"/>
  <c r="D31542" i="1"/>
  <c r="D31543" i="1"/>
  <c r="D31544" i="1"/>
  <c r="D31545" i="1"/>
  <c r="D31546" i="1"/>
  <c r="D31547" i="1"/>
  <c r="D31548" i="1"/>
  <c r="D31549" i="1"/>
  <c r="D31550" i="1"/>
  <c r="D31551" i="1"/>
  <c r="D31552" i="1"/>
  <c r="D31553" i="1"/>
  <c r="D31554" i="1"/>
  <c r="D31555" i="1"/>
  <c r="D31556" i="1"/>
  <c r="D31557" i="1"/>
  <c r="D31558" i="1"/>
  <c r="D31559" i="1"/>
  <c r="D31560" i="1"/>
  <c r="D31561" i="1"/>
  <c r="D31562" i="1"/>
  <c r="D31563" i="1"/>
  <c r="D31564" i="1"/>
  <c r="D31565" i="1"/>
  <c r="D31566" i="1"/>
  <c r="D31567" i="1"/>
  <c r="D31568" i="1"/>
  <c r="D31569" i="1"/>
  <c r="D31570" i="1"/>
  <c r="D31571" i="1"/>
  <c r="D31572" i="1"/>
  <c r="D31573" i="1"/>
  <c r="D31574" i="1"/>
  <c r="D31575" i="1"/>
  <c r="D31576" i="1"/>
  <c r="D31577" i="1"/>
  <c r="D31578" i="1"/>
  <c r="D31579" i="1"/>
  <c r="D31580" i="1"/>
  <c r="D31581" i="1"/>
  <c r="D31582" i="1"/>
  <c r="D31583" i="1"/>
  <c r="D31584" i="1"/>
  <c r="D31585" i="1"/>
  <c r="D31586" i="1"/>
  <c r="D31587" i="1"/>
  <c r="D31588" i="1"/>
  <c r="D31589" i="1"/>
  <c r="D31590" i="1"/>
  <c r="D31591" i="1"/>
  <c r="D31592" i="1"/>
  <c r="D31593" i="1"/>
  <c r="D31594" i="1"/>
  <c r="D31595" i="1"/>
  <c r="D31596" i="1"/>
  <c r="D31597" i="1"/>
  <c r="D31598" i="1"/>
  <c r="D31599" i="1"/>
  <c r="D31600" i="1"/>
  <c r="D31601" i="1"/>
  <c r="D31602" i="1"/>
  <c r="D31603" i="1"/>
  <c r="D31604" i="1"/>
  <c r="D31605" i="1"/>
  <c r="D31606" i="1"/>
  <c r="D31607" i="1"/>
  <c r="D31608" i="1"/>
  <c r="D31609" i="1"/>
  <c r="D31610" i="1"/>
  <c r="D31611" i="1"/>
  <c r="D31612" i="1"/>
  <c r="D31613" i="1"/>
  <c r="D31614" i="1"/>
  <c r="D31615" i="1"/>
  <c r="D31616" i="1"/>
  <c r="D31617" i="1"/>
  <c r="D31618" i="1"/>
  <c r="D31619" i="1"/>
  <c r="D31620" i="1"/>
  <c r="D31621" i="1"/>
  <c r="D31622" i="1"/>
  <c r="D31623" i="1"/>
  <c r="D31624" i="1"/>
  <c r="D31625" i="1"/>
  <c r="D31626" i="1"/>
  <c r="D31627" i="1"/>
  <c r="D31628" i="1"/>
  <c r="D31629" i="1"/>
  <c r="D31630" i="1"/>
  <c r="D31631" i="1"/>
  <c r="D31632" i="1"/>
  <c r="D31633" i="1"/>
  <c r="D31634" i="1"/>
  <c r="D31635" i="1"/>
  <c r="D31636" i="1"/>
  <c r="D31637" i="1"/>
  <c r="D31638" i="1"/>
  <c r="D31639" i="1"/>
  <c r="D31640" i="1"/>
  <c r="D31641" i="1"/>
  <c r="D31642" i="1"/>
  <c r="D31643" i="1"/>
  <c r="D31644" i="1"/>
  <c r="D31645" i="1"/>
  <c r="D31646" i="1"/>
  <c r="D31647" i="1"/>
  <c r="D31648" i="1"/>
  <c r="D31649" i="1"/>
  <c r="D31650" i="1"/>
  <c r="D31651" i="1"/>
  <c r="D31652" i="1"/>
  <c r="D31653" i="1"/>
  <c r="D31654" i="1"/>
  <c r="D31655" i="1"/>
  <c r="D31656" i="1"/>
  <c r="D31657" i="1"/>
  <c r="D31658" i="1"/>
  <c r="D31659" i="1"/>
  <c r="D31660" i="1"/>
  <c r="D31661" i="1"/>
  <c r="D31662" i="1"/>
  <c r="D31663" i="1"/>
  <c r="D31664" i="1"/>
  <c r="D31665" i="1"/>
  <c r="D31666" i="1"/>
  <c r="D31667" i="1"/>
  <c r="D31668" i="1"/>
  <c r="D31669" i="1"/>
  <c r="D31670" i="1"/>
  <c r="D31671" i="1"/>
  <c r="D31672" i="1"/>
  <c r="D31673" i="1"/>
  <c r="D31674" i="1"/>
  <c r="D31675" i="1"/>
  <c r="D31676" i="1"/>
  <c r="D31677" i="1"/>
  <c r="D31678" i="1"/>
  <c r="D31679" i="1"/>
  <c r="D31680" i="1"/>
  <c r="D31681" i="1"/>
  <c r="D31682" i="1"/>
  <c r="D31683" i="1"/>
  <c r="D31684" i="1"/>
  <c r="D31685" i="1"/>
  <c r="D31686" i="1"/>
  <c r="D31687" i="1"/>
  <c r="D31688" i="1"/>
  <c r="D31689" i="1"/>
  <c r="D31690" i="1"/>
  <c r="D31691" i="1"/>
  <c r="D31692" i="1"/>
  <c r="D31693" i="1"/>
  <c r="D31694" i="1"/>
  <c r="D31695" i="1"/>
  <c r="D31696" i="1"/>
  <c r="D31697" i="1"/>
  <c r="D31698" i="1"/>
  <c r="D31699" i="1"/>
  <c r="D31700" i="1"/>
  <c r="D31701" i="1"/>
  <c r="D31702" i="1"/>
  <c r="D31703" i="1"/>
  <c r="D31704" i="1"/>
  <c r="D31705" i="1"/>
  <c r="D31706" i="1"/>
  <c r="D31707" i="1"/>
  <c r="D31708" i="1"/>
  <c r="D31709" i="1"/>
  <c r="D31710" i="1"/>
  <c r="D31711" i="1"/>
  <c r="D31712" i="1"/>
  <c r="D31713" i="1"/>
  <c r="D31714" i="1"/>
  <c r="D31715" i="1"/>
  <c r="D31716" i="1"/>
  <c r="D31717" i="1"/>
  <c r="D31718" i="1"/>
  <c r="D31719" i="1"/>
  <c r="D31720" i="1"/>
  <c r="D31721" i="1"/>
  <c r="D31722" i="1"/>
  <c r="D31723" i="1"/>
  <c r="D31724" i="1"/>
  <c r="D31725" i="1"/>
  <c r="D31726" i="1"/>
  <c r="D31727" i="1"/>
  <c r="D31728" i="1"/>
  <c r="D31729" i="1"/>
  <c r="D31730" i="1"/>
  <c r="D31731" i="1"/>
  <c r="D31732" i="1"/>
  <c r="D31733" i="1"/>
  <c r="D31734" i="1"/>
  <c r="D31735" i="1"/>
  <c r="D31736" i="1"/>
  <c r="D31737" i="1"/>
  <c r="D31738" i="1"/>
  <c r="D31739" i="1"/>
  <c r="D31740" i="1"/>
  <c r="D31741" i="1"/>
  <c r="D31742" i="1"/>
  <c r="D31743" i="1"/>
  <c r="D31744" i="1"/>
  <c r="D31745" i="1"/>
  <c r="D31746" i="1"/>
  <c r="D31747" i="1"/>
  <c r="D31748" i="1"/>
  <c r="D31749" i="1"/>
  <c r="D31750" i="1"/>
  <c r="D31751" i="1"/>
  <c r="D31752" i="1"/>
  <c r="D31753" i="1"/>
  <c r="D31754" i="1"/>
  <c r="D31755" i="1"/>
  <c r="D31756" i="1"/>
  <c r="D31757" i="1"/>
  <c r="D31758" i="1"/>
  <c r="D31759" i="1"/>
  <c r="D31760" i="1"/>
  <c r="D31761" i="1"/>
  <c r="D31762" i="1"/>
  <c r="D31763" i="1"/>
  <c r="D31764" i="1"/>
  <c r="D31765" i="1"/>
  <c r="D31766" i="1"/>
  <c r="D31767" i="1"/>
  <c r="D31768" i="1"/>
  <c r="D31769" i="1"/>
  <c r="D31770" i="1"/>
  <c r="D31771" i="1"/>
  <c r="D31772" i="1"/>
  <c r="D31773" i="1"/>
  <c r="D31774" i="1"/>
  <c r="D31775" i="1"/>
  <c r="D31776" i="1"/>
  <c r="D31777" i="1"/>
  <c r="D31778" i="1"/>
  <c r="D31779" i="1"/>
  <c r="D31780" i="1"/>
  <c r="D31781" i="1"/>
  <c r="D31782" i="1"/>
  <c r="D31783" i="1"/>
  <c r="D31784" i="1"/>
  <c r="D31785" i="1"/>
  <c r="D31786" i="1"/>
  <c r="D31787" i="1"/>
  <c r="D31788" i="1"/>
  <c r="D31789" i="1"/>
  <c r="D31790" i="1"/>
  <c r="D31791" i="1"/>
  <c r="D31792" i="1"/>
  <c r="D31793" i="1"/>
  <c r="D31794" i="1"/>
  <c r="D31795" i="1"/>
  <c r="D31796" i="1"/>
  <c r="D31797" i="1"/>
  <c r="D31798" i="1"/>
  <c r="D31799" i="1"/>
  <c r="D31800" i="1"/>
  <c r="D31801" i="1"/>
  <c r="D31802" i="1"/>
  <c r="D31803" i="1"/>
  <c r="D31804" i="1"/>
  <c r="D31805" i="1"/>
  <c r="D31806" i="1"/>
  <c r="D31807" i="1"/>
  <c r="D31808" i="1"/>
  <c r="D31809" i="1"/>
  <c r="D31810" i="1"/>
  <c r="D31811" i="1"/>
  <c r="D31812" i="1"/>
  <c r="D31813" i="1"/>
  <c r="D31814" i="1"/>
  <c r="D31815" i="1"/>
  <c r="D31816" i="1"/>
  <c r="D31817" i="1"/>
  <c r="D31818" i="1"/>
  <c r="D31819" i="1"/>
  <c r="D31820" i="1"/>
  <c r="D31821" i="1"/>
  <c r="D31822" i="1"/>
  <c r="D31823" i="1"/>
  <c r="D31824" i="1"/>
  <c r="D31825" i="1"/>
  <c r="D31826" i="1"/>
  <c r="D31827" i="1"/>
  <c r="D31828" i="1"/>
  <c r="D31829" i="1"/>
  <c r="D31830" i="1"/>
  <c r="D31831" i="1"/>
  <c r="D31832" i="1"/>
  <c r="D31833" i="1"/>
  <c r="D31834" i="1"/>
  <c r="D31835" i="1"/>
  <c r="D31836" i="1"/>
  <c r="D31837" i="1"/>
  <c r="D31838" i="1"/>
  <c r="D31839" i="1"/>
  <c r="D31840" i="1"/>
  <c r="D31841" i="1"/>
  <c r="D31842" i="1"/>
  <c r="D31843" i="1"/>
  <c r="D31844" i="1"/>
  <c r="D31845" i="1"/>
  <c r="D31846" i="1"/>
  <c r="D31847" i="1"/>
  <c r="D31848" i="1"/>
  <c r="D31849" i="1"/>
  <c r="D31850" i="1"/>
  <c r="D31851" i="1"/>
  <c r="D31852" i="1"/>
  <c r="D31853" i="1"/>
  <c r="D31854" i="1"/>
  <c r="D31855" i="1"/>
  <c r="D31856" i="1"/>
  <c r="D31857" i="1"/>
  <c r="D31858" i="1"/>
  <c r="D31859" i="1"/>
  <c r="D31860" i="1"/>
  <c r="D31861" i="1"/>
  <c r="D31862" i="1"/>
  <c r="D31863" i="1"/>
  <c r="D31864" i="1"/>
  <c r="D31865" i="1"/>
  <c r="D31866" i="1"/>
  <c r="D31867" i="1"/>
  <c r="D31868" i="1"/>
  <c r="D31869" i="1"/>
  <c r="D31870" i="1"/>
  <c r="D31871" i="1"/>
  <c r="D31872" i="1"/>
  <c r="D31873" i="1"/>
  <c r="D31874" i="1"/>
  <c r="D31875" i="1"/>
  <c r="D31876" i="1"/>
  <c r="D31877" i="1"/>
  <c r="D31878" i="1"/>
  <c r="D31879" i="1"/>
  <c r="D31880" i="1"/>
  <c r="D31881" i="1"/>
  <c r="D31882" i="1"/>
  <c r="D31883" i="1"/>
  <c r="D31884" i="1"/>
  <c r="D31885" i="1"/>
  <c r="D31886" i="1"/>
  <c r="D31887" i="1"/>
  <c r="D31888" i="1"/>
  <c r="D31889" i="1"/>
  <c r="D31890" i="1"/>
  <c r="D31891" i="1"/>
  <c r="D31892" i="1"/>
  <c r="D31893" i="1"/>
  <c r="D31894" i="1"/>
  <c r="D31895" i="1"/>
  <c r="D31896" i="1"/>
  <c r="D31897" i="1"/>
  <c r="D31898" i="1"/>
  <c r="D31899" i="1"/>
  <c r="D31900" i="1"/>
  <c r="D31901" i="1"/>
  <c r="D31902" i="1"/>
  <c r="D31903" i="1"/>
  <c r="D31904" i="1"/>
  <c r="D31905" i="1"/>
  <c r="D31906" i="1"/>
  <c r="D31907" i="1"/>
  <c r="D31908" i="1"/>
  <c r="D31909" i="1"/>
  <c r="D31910" i="1"/>
  <c r="D31911" i="1"/>
  <c r="D31912" i="1"/>
  <c r="D31913" i="1"/>
  <c r="D31914" i="1"/>
  <c r="D31915" i="1"/>
  <c r="D31916" i="1"/>
  <c r="D31917" i="1"/>
  <c r="D31918" i="1"/>
  <c r="D31919" i="1"/>
  <c r="D31920" i="1"/>
  <c r="D31921" i="1"/>
  <c r="D31922" i="1"/>
  <c r="D31923" i="1"/>
  <c r="D31924" i="1"/>
  <c r="D31925" i="1"/>
  <c r="D31926" i="1"/>
  <c r="D31927" i="1"/>
  <c r="D31928" i="1"/>
  <c r="D31929" i="1"/>
  <c r="D31930" i="1"/>
  <c r="D31931" i="1"/>
  <c r="D31932" i="1"/>
  <c r="D31933" i="1"/>
  <c r="D31934" i="1"/>
  <c r="D31935" i="1"/>
  <c r="D31936" i="1"/>
  <c r="D31937" i="1"/>
  <c r="D31938" i="1"/>
  <c r="D31939" i="1"/>
  <c r="D31940" i="1"/>
  <c r="D31941" i="1"/>
  <c r="D31942" i="1"/>
  <c r="D31943" i="1"/>
  <c r="D31944" i="1"/>
  <c r="D31945" i="1"/>
  <c r="D31946" i="1"/>
  <c r="D31947" i="1"/>
  <c r="D31948" i="1"/>
  <c r="D31949" i="1"/>
  <c r="D31950" i="1"/>
  <c r="D31951" i="1"/>
  <c r="D31952" i="1"/>
  <c r="D31953" i="1"/>
  <c r="D31954" i="1"/>
  <c r="D31955" i="1"/>
  <c r="D31956" i="1"/>
  <c r="D31957" i="1"/>
  <c r="D31958" i="1"/>
  <c r="D31959" i="1"/>
  <c r="D31960" i="1"/>
  <c r="D31961" i="1"/>
  <c r="D31962" i="1"/>
  <c r="D31963" i="1"/>
  <c r="D31964" i="1"/>
  <c r="D31965" i="1"/>
  <c r="D31966" i="1"/>
  <c r="D31967" i="1"/>
  <c r="D31968" i="1"/>
  <c r="D31969" i="1"/>
  <c r="D31970" i="1"/>
  <c r="D31971" i="1"/>
  <c r="D31972" i="1"/>
  <c r="D31973" i="1"/>
  <c r="D31974" i="1"/>
  <c r="D31975" i="1"/>
  <c r="D31976" i="1"/>
  <c r="D31977" i="1"/>
  <c r="D31978" i="1"/>
  <c r="D31979" i="1"/>
  <c r="D31980" i="1"/>
  <c r="D31981" i="1"/>
  <c r="D31982" i="1"/>
  <c r="D31983" i="1"/>
  <c r="D31984" i="1"/>
  <c r="D31985" i="1"/>
  <c r="D31986" i="1"/>
  <c r="D31987" i="1"/>
  <c r="D31988" i="1"/>
  <c r="D31989" i="1"/>
  <c r="D31990" i="1"/>
  <c r="D31991" i="1"/>
  <c r="D31992" i="1"/>
  <c r="D31993" i="1"/>
  <c r="D31994" i="1"/>
  <c r="D31995" i="1"/>
  <c r="D31996" i="1"/>
  <c r="D31997" i="1"/>
  <c r="D31998" i="1"/>
  <c r="D31999" i="1"/>
  <c r="D32000" i="1"/>
  <c r="D32001" i="1"/>
  <c r="D32002" i="1"/>
  <c r="D32003" i="1"/>
  <c r="D32004" i="1"/>
  <c r="D32005" i="1"/>
  <c r="D32006" i="1"/>
  <c r="D32007" i="1"/>
  <c r="D32008" i="1"/>
  <c r="D32009" i="1"/>
  <c r="D32010" i="1"/>
  <c r="D32011" i="1"/>
  <c r="D32012" i="1"/>
  <c r="D32013" i="1"/>
  <c r="D32014" i="1"/>
  <c r="D32015" i="1"/>
  <c r="D32016" i="1"/>
  <c r="D32017" i="1"/>
  <c r="D32018" i="1"/>
  <c r="D32019" i="1"/>
  <c r="D32020" i="1"/>
  <c r="D32021" i="1"/>
  <c r="D32022" i="1"/>
  <c r="D32023" i="1"/>
  <c r="D32024" i="1"/>
  <c r="D32025" i="1"/>
  <c r="D32026" i="1"/>
  <c r="D32027" i="1"/>
  <c r="D32028" i="1"/>
  <c r="D32029" i="1"/>
  <c r="D32030" i="1"/>
  <c r="D32031" i="1"/>
  <c r="D32032" i="1"/>
  <c r="D32033" i="1"/>
  <c r="D32034" i="1"/>
  <c r="D32035" i="1"/>
  <c r="D32036" i="1"/>
  <c r="D32037" i="1"/>
  <c r="D32038" i="1"/>
  <c r="D32039" i="1"/>
  <c r="D32040" i="1"/>
  <c r="D32041" i="1"/>
  <c r="D32042" i="1"/>
  <c r="D32043" i="1"/>
  <c r="D32044" i="1"/>
  <c r="D32045" i="1"/>
  <c r="D32046" i="1"/>
  <c r="D32047" i="1"/>
  <c r="D32048" i="1"/>
  <c r="D32049" i="1"/>
  <c r="D32050" i="1"/>
  <c r="D32051" i="1"/>
  <c r="D32052" i="1"/>
  <c r="D32053" i="1"/>
  <c r="D32054" i="1"/>
  <c r="D32055" i="1"/>
  <c r="D32056" i="1"/>
  <c r="D32057" i="1"/>
  <c r="D32058" i="1"/>
  <c r="D32059" i="1"/>
  <c r="D32060" i="1"/>
  <c r="D32061" i="1"/>
  <c r="D32062" i="1"/>
  <c r="D32063" i="1"/>
  <c r="D32064" i="1"/>
  <c r="D32065" i="1"/>
  <c r="D32066" i="1"/>
  <c r="D32067" i="1"/>
  <c r="D32068" i="1"/>
  <c r="D32069" i="1"/>
  <c r="D32070" i="1"/>
  <c r="D32071" i="1"/>
  <c r="D32072" i="1"/>
  <c r="D32073" i="1"/>
  <c r="D32074" i="1"/>
  <c r="D32075" i="1"/>
  <c r="D32076" i="1"/>
  <c r="D32077" i="1"/>
  <c r="D32078" i="1"/>
  <c r="D32079" i="1"/>
  <c r="D32080" i="1"/>
  <c r="D32081" i="1"/>
  <c r="D32082" i="1"/>
  <c r="D32083" i="1"/>
  <c r="D32084" i="1"/>
  <c r="D32085" i="1"/>
  <c r="D32086" i="1"/>
  <c r="D32087" i="1"/>
  <c r="D32088" i="1"/>
  <c r="D32089" i="1"/>
  <c r="D32090" i="1"/>
  <c r="D32091" i="1"/>
  <c r="D32092" i="1"/>
  <c r="D32093" i="1"/>
  <c r="D32094" i="1"/>
  <c r="D32095" i="1"/>
  <c r="D32096" i="1"/>
  <c r="D32097" i="1"/>
  <c r="D32098" i="1"/>
  <c r="D32099" i="1"/>
  <c r="D32100" i="1"/>
  <c r="D32101" i="1"/>
  <c r="D32102" i="1"/>
  <c r="D32103" i="1"/>
  <c r="D32104" i="1"/>
  <c r="D32105" i="1"/>
  <c r="D32106" i="1"/>
  <c r="D32107" i="1"/>
  <c r="D32108" i="1"/>
  <c r="D32109" i="1"/>
  <c r="D32110" i="1"/>
  <c r="D32111" i="1"/>
  <c r="D32112" i="1"/>
  <c r="D32113" i="1"/>
  <c r="D32114" i="1"/>
  <c r="D32115" i="1"/>
  <c r="D32116" i="1"/>
  <c r="D32117" i="1"/>
  <c r="D32118" i="1"/>
  <c r="D32119" i="1"/>
  <c r="D32120" i="1"/>
  <c r="D32121" i="1"/>
  <c r="D32122" i="1"/>
  <c r="D32123" i="1"/>
  <c r="D32124" i="1"/>
  <c r="D32125" i="1"/>
  <c r="D32126" i="1"/>
  <c r="D32127" i="1"/>
  <c r="D32128" i="1"/>
  <c r="D32129" i="1"/>
  <c r="D32130" i="1"/>
  <c r="D32131" i="1"/>
  <c r="D32132" i="1"/>
  <c r="D32133" i="1"/>
  <c r="D32134" i="1"/>
  <c r="D32135" i="1"/>
  <c r="D32136" i="1"/>
  <c r="D32137" i="1"/>
  <c r="D32138" i="1"/>
  <c r="D32139" i="1"/>
  <c r="D32140" i="1"/>
  <c r="D32141" i="1"/>
  <c r="D32142" i="1"/>
  <c r="D32143" i="1"/>
  <c r="D32144" i="1"/>
  <c r="D32145" i="1"/>
  <c r="D32146" i="1"/>
  <c r="D32147" i="1"/>
  <c r="D32148" i="1"/>
  <c r="D32149" i="1"/>
  <c r="D32150" i="1"/>
  <c r="D32151" i="1"/>
  <c r="D32152" i="1"/>
  <c r="D32153" i="1"/>
  <c r="D32154" i="1"/>
  <c r="D32155" i="1"/>
  <c r="D32156" i="1"/>
  <c r="D32157" i="1"/>
  <c r="D32158" i="1"/>
  <c r="D32159" i="1"/>
  <c r="D32160" i="1"/>
  <c r="D32161" i="1"/>
  <c r="D32162" i="1"/>
  <c r="D32163" i="1"/>
  <c r="D32164" i="1"/>
  <c r="D32165" i="1"/>
  <c r="D32166" i="1"/>
  <c r="D32167" i="1"/>
  <c r="D32168" i="1"/>
  <c r="D32169" i="1"/>
  <c r="D32170" i="1"/>
  <c r="D32171" i="1"/>
  <c r="D32172" i="1"/>
  <c r="D32173" i="1"/>
  <c r="D32174" i="1"/>
  <c r="D32175" i="1"/>
  <c r="D32176" i="1"/>
  <c r="D32177" i="1"/>
  <c r="D32178" i="1"/>
  <c r="D32179" i="1"/>
  <c r="D32180" i="1"/>
  <c r="D32181" i="1"/>
  <c r="D32182" i="1"/>
  <c r="D32183" i="1"/>
  <c r="D32184" i="1"/>
  <c r="D32185" i="1"/>
  <c r="D32186" i="1"/>
  <c r="D32187" i="1"/>
  <c r="D32188" i="1"/>
  <c r="D32189" i="1"/>
  <c r="D32190" i="1"/>
  <c r="D32191" i="1"/>
  <c r="D32192" i="1"/>
  <c r="D32193" i="1"/>
  <c r="D32194" i="1"/>
  <c r="D32195" i="1"/>
  <c r="D32196" i="1"/>
  <c r="D32197" i="1"/>
  <c r="D32198" i="1"/>
  <c r="D32199" i="1"/>
  <c r="D32200" i="1"/>
  <c r="D32201" i="1"/>
  <c r="D32202" i="1"/>
  <c r="D32203" i="1"/>
  <c r="D32204" i="1"/>
  <c r="D32205" i="1"/>
  <c r="D32206" i="1"/>
  <c r="D32207" i="1"/>
  <c r="D32208" i="1"/>
  <c r="D32209" i="1"/>
  <c r="D32210" i="1"/>
  <c r="D32211" i="1"/>
  <c r="D32212" i="1"/>
  <c r="D32213" i="1"/>
  <c r="D32214" i="1"/>
  <c r="D32215" i="1"/>
  <c r="D32216" i="1"/>
  <c r="D32217" i="1"/>
  <c r="D32218" i="1"/>
  <c r="D32219" i="1"/>
  <c r="D32220" i="1"/>
  <c r="D32221" i="1"/>
  <c r="D32222" i="1"/>
  <c r="D32223" i="1"/>
  <c r="D32224" i="1"/>
  <c r="D32225" i="1"/>
  <c r="D32226" i="1"/>
  <c r="D32227" i="1"/>
  <c r="D32228" i="1"/>
  <c r="D32229" i="1"/>
  <c r="D32230" i="1"/>
  <c r="D32231" i="1"/>
  <c r="D32232" i="1"/>
  <c r="D32233" i="1"/>
  <c r="D32234" i="1"/>
  <c r="D32235" i="1"/>
  <c r="D32236" i="1"/>
  <c r="D32237" i="1"/>
  <c r="D32238" i="1"/>
  <c r="D32239" i="1"/>
  <c r="D32240" i="1"/>
  <c r="D32241" i="1"/>
  <c r="D32242" i="1"/>
  <c r="D32243" i="1"/>
  <c r="D32244" i="1"/>
  <c r="D32245" i="1"/>
  <c r="D32246" i="1"/>
  <c r="D32247" i="1"/>
  <c r="D32248" i="1"/>
  <c r="D32249" i="1"/>
  <c r="D32250" i="1"/>
  <c r="D32251" i="1"/>
  <c r="D32252" i="1"/>
  <c r="D32253" i="1"/>
  <c r="D32254" i="1"/>
  <c r="D32255" i="1"/>
  <c r="D32256" i="1"/>
  <c r="D32257" i="1"/>
  <c r="D32258" i="1"/>
  <c r="D32259" i="1"/>
  <c r="D32260" i="1"/>
  <c r="D32261" i="1"/>
  <c r="D32262" i="1"/>
  <c r="D32263" i="1"/>
  <c r="D32264" i="1"/>
  <c r="D32265" i="1"/>
  <c r="D32266" i="1"/>
  <c r="D32267" i="1"/>
  <c r="D32268" i="1"/>
  <c r="D32269" i="1"/>
  <c r="D32270" i="1"/>
  <c r="D32271" i="1"/>
  <c r="D32272" i="1"/>
  <c r="D32273" i="1"/>
  <c r="D32274" i="1"/>
  <c r="D32275" i="1"/>
  <c r="D32276" i="1"/>
  <c r="D32277" i="1"/>
  <c r="D32278" i="1"/>
  <c r="D32279" i="1"/>
  <c r="D32280" i="1"/>
  <c r="D32281" i="1"/>
  <c r="D32282" i="1"/>
  <c r="D32283" i="1"/>
  <c r="D32284" i="1"/>
  <c r="D32285" i="1"/>
  <c r="D32286" i="1"/>
  <c r="D32287" i="1"/>
  <c r="D32288" i="1"/>
  <c r="D32289" i="1"/>
  <c r="D32290" i="1"/>
  <c r="D32291" i="1"/>
  <c r="D32292" i="1"/>
  <c r="D32293" i="1"/>
  <c r="D32294" i="1"/>
  <c r="D32295" i="1"/>
  <c r="D32296" i="1"/>
  <c r="D32297" i="1"/>
  <c r="D32298" i="1"/>
  <c r="D32299" i="1"/>
  <c r="D32300" i="1"/>
  <c r="D32301" i="1"/>
  <c r="D32302" i="1"/>
  <c r="D32303" i="1"/>
  <c r="D32304" i="1"/>
  <c r="D32305" i="1"/>
  <c r="D32306" i="1"/>
  <c r="D32307" i="1"/>
  <c r="D32308" i="1"/>
  <c r="D32309" i="1"/>
  <c r="D32310" i="1"/>
  <c r="D32311" i="1"/>
  <c r="D32312" i="1"/>
  <c r="D32313" i="1"/>
  <c r="D32314" i="1"/>
  <c r="D32315" i="1"/>
  <c r="D32316" i="1"/>
  <c r="D32317" i="1"/>
  <c r="D32318" i="1"/>
  <c r="D32319" i="1"/>
  <c r="D32320" i="1"/>
  <c r="D32321" i="1"/>
  <c r="D32322" i="1"/>
  <c r="D32323" i="1"/>
  <c r="D32324" i="1"/>
  <c r="D32325" i="1"/>
  <c r="D32326" i="1"/>
  <c r="D32327" i="1"/>
  <c r="D32328" i="1"/>
  <c r="D32329" i="1"/>
  <c r="D32330" i="1"/>
  <c r="D32331" i="1"/>
  <c r="D32332" i="1"/>
  <c r="D32333" i="1"/>
  <c r="D32334" i="1"/>
  <c r="D32335" i="1"/>
  <c r="D32336" i="1"/>
  <c r="D32337" i="1"/>
  <c r="D32338" i="1"/>
  <c r="D32339" i="1"/>
  <c r="D32340" i="1"/>
  <c r="D32341" i="1"/>
  <c r="D32342" i="1"/>
  <c r="D32343" i="1"/>
  <c r="D32344" i="1"/>
  <c r="D32345" i="1"/>
  <c r="D32346" i="1"/>
  <c r="D32347" i="1"/>
  <c r="D32348" i="1"/>
  <c r="D32349" i="1"/>
  <c r="D32350" i="1"/>
  <c r="D32351" i="1"/>
  <c r="D32352" i="1"/>
  <c r="D32353" i="1"/>
  <c r="D32354" i="1"/>
  <c r="D32355" i="1"/>
  <c r="D32356" i="1"/>
  <c r="D32357" i="1"/>
  <c r="D32358" i="1"/>
  <c r="D32359" i="1"/>
  <c r="D32360" i="1"/>
  <c r="D32361" i="1"/>
  <c r="D32362" i="1"/>
  <c r="D32363" i="1"/>
  <c r="D32364" i="1"/>
  <c r="D32365" i="1"/>
  <c r="D32366" i="1"/>
  <c r="D32367" i="1"/>
  <c r="D32368" i="1"/>
  <c r="D32369" i="1"/>
  <c r="D32370" i="1"/>
  <c r="D32371" i="1"/>
  <c r="D32372" i="1"/>
  <c r="D32373" i="1"/>
  <c r="D32374" i="1"/>
  <c r="D32375" i="1"/>
  <c r="D32376" i="1"/>
  <c r="D32377" i="1"/>
  <c r="D32378" i="1"/>
  <c r="D32379" i="1"/>
  <c r="D32380" i="1"/>
  <c r="D32381" i="1"/>
  <c r="D32382" i="1"/>
  <c r="D32383" i="1"/>
  <c r="D32384" i="1"/>
  <c r="D32385" i="1"/>
  <c r="D32386" i="1"/>
  <c r="D32387" i="1"/>
  <c r="D32388" i="1"/>
  <c r="D32389" i="1"/>
  <c r="D32390" i="1"/>
  <c r="D32391" i="1"/>
  <c r="D32392" i="1"/>
  <c r="D32393" i="1"/>
  <c r="D32394" i="1"/>
  <c r="D32395" i="1"/>
  <c r="D32396" i="1"/>
  <c r="D32397" i="1"/>
  <c r="D32398" i="1"/>
  <c r="D32399" i="1"/>
  <c r="D32400" i="1"/>
  <c r="D32401" i="1"/>
  <c r="D32402" i="1"/>
  <c r="D32403" i="1"/>
  <c r="D32404" i="1"/>
  <c r="D32405" i="1"/>
  <c r="D32406" i="1"/>
  <c r="D32407" i="1"/>
  <c r="D32408" i="1"/>
  <c r="D32409" i="1"/>
  <c r="D32410" i="1"/>
  <c r="D32411" i="1"/>
  <c r="D32412" i="1"/>
  <c r="D32413" i="1"/>
  <c r="D32414" i="1"/>
  <c r="D32415" i="1"/>
  <c r="D32416" i="1"/>
  <c r="D32417" i="1"/>
  <c r="D32418" i="1"/>
  <c r="D32419" i="1"/>
  <c r="D32420" i="1"/>
  <c r="D32421" i="1"/>
  <c r="D32422" i="1"/>
  <c r="D32423" i="1"/>
  <c r="D32424" i="1"/>
  <c r="D32425" i="1"/>
  <c r="D32426" i="1"/>
  <c r="D32427" i="1"/>
  <c r="D32428" i="1"/>
  <c r="D32429" i="1"/>
  <c r="D32430" i="1"/>
  <c r="D32431" i="1"/>
  <c r="D32432" i="1"/>
  <c r="D32433" i="1"/>
  <c r="D32434" i="1"/>
  <c r="D32435" i="1"/>
  <c r="D32436" i="1"/>
  <c r="D32437" i="1"/>
  <c r="D32438" i="1"/>
  <c r="D32439" i="1"/>
  <c r="D32440" i="1"/>
  <c r="D32441" i="1"/>
  <c r="D32442" i="1"/>
  <c r="D32443" i="1"/>
  <c r="D32444" i="1"/>
  <c r="D32445" i="1"/>
  <c r="D32446" i="1"/>
  <c r="D32447" i="1"/>
  <c r="D32448" i="1"/>
  <c r="D32449" i="1"/>
  <c r="D32450" i="1"/>
  <c r="D32451" i="1"/>
  <c r="D32452" i="1"/>
  <c r="D32453" i="1"/>
  <c r="D32454" i="1"/>
  <c r="D32455" i="1"/>
  <c r="D32456" i="1"/>
  <c r="D32457" i="1"/>
  <c r="D32458" i="1"/>
  <c r="D32459" i="1"/>
  <c r="D32460" i="1"/>
  <c r="D32461" i="1"/>
  <c r="D32462" i="1"/>
  <c r="D32463" i="1"/>
  <c r="D32464" i="1"/>
  <c r="D32465" i="1"/>
  <c r="D32466" i="1"/>
  <c r="D32467" i="1"/>
  <c r="D32468" i="1"/>
  <c r="D32469" i="1"/>
  <c r="D32470" i="1"/>
  <c r="D32471" i="1"/>
  <c r="D32472" i="1"/>
  <c r="D32473" i="1"/>
  <c r="D32474" i="1"/>
  <c r="D32475" i="1"/>
  <c r="D32476" i="1"/>
  <c r="D32477" i="1"/>
  <c r="D32478" i="1"/>
  <c r="D32479" i="1"/>
  <c r="D32480" i="1"/>
  <c r="D32481" i="1"/>
  <c r="D32482" i="1"/>
  <c r="D32483" i="1"/>
  <c r="D32484" i="1"/>
  <c r="D32485" i="1"/>
  <c r="D32486" i="1"/>
  <c r="D32487" i="1"/>
  <c r="D32488" i="1"/>
  <c r="D32489" i="1"/>
  <c r="D32490" i="1"/>
  <c r="D32491" i="1"/>
  <c r="D32492" i="1"/>
  <c r="D32493" i="1"/>
  <c r="D32494" i="1"/>
  <c r="D32495" i="1"/>
  <c r="D32496" i="1"/>
  <c r="D32497" i="1"/>
  <c r="D32498" i="1"/>
  <c r="D32499" i="1"/>
  <c r="D32500" i="1"/>
  <c r="D32501" i="1"/>
  <c r="D32502" i="1"/>
  <c r="D32503" i="1"/>
  <c r="D32504" i="1"/>
  <c r="D32505" i="1"/>
  <c r="D32506" i="1"/>
  <c r="D32507" i="1"/>
  <c r="D32508" i="1"/>
  <c r="D32509" i="1"/>
  <c r="D32510" i="1"/>
  <c r="D32511" i="1"/>
  <c r="D32512" i="1"/>
  <c r="D32513" i="1"/>
  <c r="D32514" i="1"/>
  <c r="D32515" i="1"/>
  <c r="D32516" i="1"/>
  <c r="D32517" i="1"/>
  <c r="D32518" i="1"/>
  <c r="D32519" i="1"/>
  <c r="D32520" i="1"/>
  <c r="D32521" i="1"/>
  <c r="D32522" i="1"/>
  <c r="D32523" i="1"/>
  <c r="D32524" i="1"/>
  <c r="D32525" i="1"/>
  <c r="D32526" i="1"/>
  <c r="D32527" i="1"/>
  <c r="D32528" i="1"/>
  <c r="D32529" i="1"/>
  <c r="D32530" i="1"/>
  <c r="D32531" i="1"/>
  <c r="D32532" i="1"/>
  <c r="D32533" i="1"/>
  <c r="D32534" i="1"/>
  <c r="D32535" i="1"/>
  <c r="D32536" i="1"/>
  <c r="D32537" i="1"/>
  <c r="D32538" i="1"/>
  <c r="D32539" i="1"/>
  <c r="D32540" i="1"/>
  <c r="D32541" i="1"/>
  <c r="D32542" i="1"/>
  <c r="D32543" i="1"/>
  <c r="D32544" i="1"/>
  <c r="D32545" i="1"/>
  <c r="D32546" i="1"/>
  <c r="D32547" i="1"/>
  <c r="D32548" i="1"/>
  <c r="D32549" i="1"/>
  <c r="D32550" i="1"/>
  <c r="D32551" i="1"/>
  <c r="D32552" i="1"/>
  <c r="D32553" i="1"/>
  <c r="D32554" i="1"/>
  <c r="D32555" i="1"/>
  <c r="D32556" i="1"/>
  <c r="D32557" i="1"/>
  <c r="D32558" i="1"/>
  <c r="D32559" i="1"/>
  <c r="D32560" i="1"/>
  <c r="D32561" i="1"/>
  <c r="D32562" i="1"/>
  <c r="D32563" i="1"/>
  <c r="D32564" i="1"/>
  <c r="D32565" i="1"/>
  <c r="D32566" i="1"/>
  <c r="D32567" i="1"/>
  <c r="D32568" i="1"/>
  <c r="D32569" i="1"/>
  <c r="D32570" i="1"/>
  <c r="D32571" i="1"/>
  <c r="D32572" i="1"/>
  <c r="D32573" i="1"/>
  <c r="D32574" i="1"/>
  <c r="D32575" i="1"/>
  <c r="D32576" i="1"/>
  <c r="D32577" i="1"/>
  <c r="D32578" i="1"/>
  <c r="D32579" i="1"/>
  <c r="D32580" i="1"/>
  <c r="D32581" i="1"/>
  <c r="D32582" i="1"/>
  <c r="D32583" i="1"/>
  <c r="D32584" i="1"/>
  <c r="D32585" i="1"/>
  <c r="D32586" i="1"/>
  <c r="D32587" i="1"/>
  <c r="D32588" i="1"/>
  <c r="D32589" i="1"/>
  <c r="D32590" i="1"/>
  <c r="D32591" i="1"/>
  <c r="D32592" i="1"/>
  <c r="D32593" i="1"/>
  <c r="D32594" i="1"/>
  <c r="D32595" i="1"/>
  <c r="D32596" i="1"/>
  <c r="D32597" i="1"/>
  <c r="D32598" i="1"/>
  <c r="D32599" i="1"/>
  <c r="D32600" i="1"/>
  <c r="D32601" i="1"/>
  <c r="D32602" i="1"/>
  <c r="D32603" i="1"/>
  <c r="D32604" i="1"/>
  <c r="D32605" i="1"/>
  <c r="D32606" i="1"/>
  <c r="D32607" i="1"/>
  <c r="D32608" i="1"/>
  <c r="D32609" i="1"/>
  <c r="D32610" i="1"/>
  <c r="D32611" i="1"/>
  <c r="D32612" i="1"/>
  <c r="D32613" i="1"/>
  <c r="D32614" i="1"/>
  <c r="D32615" i="1"/>
  <c r="D32616" i="1"/>
  <c r="D32617" i="1"/>
  <c r="D32618" i="1"/>
  <c r="D32619" i="1"/>
  <c r="D32620" i="1"/>
  <c r="D32621" i="1"/>
  <c r="D32622" i="1"/>
  <c r="D32623" i="1"/>
  <c r="D32624" i="1"/>
  <c r="D32625" i="1"/>
  <c r="D32626" i="1"/>
  <c r="D32627" i="1"/>
  <c r="D32628" i="1"/>
  <c r="D32629" i="1"/>
  <c r="D32630" i="1"/>
  <c r="D32631" i="1"/>
  <c r="D32632" i="1"/>
  <c r="D32633" i="1"/>
  <c r="D32634" i="1"/>
  <c r="D32635" i="1"/>
  <c r="D32636" i="1"/>
  <c r="D32637" i="1"/>
  <c r="D32638" i="1"/>
  <c r="D32639" i="1"/>
  <c r="D32640" i="1"/>
  <c r="D32641" i="1"/>
  <c r="D32642" i="1"/>
  <c r="D32643" i="1"/>
  <c r="D32644" i="1"/>
  <c r="D32645" i="1"/>
  <c r="D32646" i="1"/>
  <c r="D32647" i="1"/>
  <c r="D32648" i="1"/>
  <c r="D32649" i="1"/>
  <c r="D32650" i="1"/>
  <c r="D32651" i="1"/>
  <c r="D32652" i="1"/>
  <c r="D32653" i="1"/>
  <c r="D32654" i="1"/>
  <c r="D32655" i="1"/>
  <c r="D32656" i="1"/>
  <c r="D32657" i="1"/>
  <c r="D32658" i="1"/>
  <c r="D32659" i="1"/>
  <c r="D32660" i="1"/>
  <c r="D32661" i="1"/>
  <c r="D32662" i="1"/>
  <c r="D32663" i="1"/>
  <c r="D32664" i="1"/>
  <c r="D32665" i="1"/>
  <c r="D32666" i="1"/>
  <c r="D32667" i="1"/>
  <c r="D32668" i="1"/>
  <c r="D32669" i="1"/>
  <c r="D32670" i="1"/>
  <c r="D32671" i="1"/>
  <c r="D32672" i="1"/>
  <c r="D32673" i="1"/>
  <c r="D32674" i="1"/>
  <c r="D32675" i="1"/>
  <c r="D32676" i="1"/>
  <c r="D32677" i="1"/>
  <c r="D32678" i="1"/>
  <c r="D32679" i="1"/>
  <c r="D32680" i="1"/>
  <c r="D32681" i="1"/>
  <c r="D32682" i="1"/>
  <c r="D32683" i="1"/>
  <c r="D32684" i="1"/>
  <c r="D32685" i="1"/>
  <c r="D32686" i="1"/>
  <c r="D32687" i="1"/>
  <c r="D32688" i="1"/>
  <c r="D32689" i="1"/>
  <c r="D32690" i="1"/>
  <c r="D32691" i="1"/>
  <c r="D32692" i="1"/>
  <c r="D32693" i="1"/>
  <c r="D32694" i="1"/>
  <c r="D32695" i="1"/>
  <c r="D32696" i="1"/>
  <c r="D32697" i="1"/>
  <c r="D32698" i="1"/>
  <c r="D32699" i="1"/>
  <c r="D32700" i="1"/>
  <c r="D32701" i="1"/>
  <c r="D32702" i="1"/>
  <c r="D32703" i="1"/>
  <c r="D32704" i="1"/>
  <c r="D32705" i="1"/>
  <c r="D32706" i="1"/>
  <c r="D32707" i="1"/>
  <c r="D32708" i="1"/>
  <c r="D32709" i="1"/>
  <c r="D32710" i="1"/>
  <c r="D32711" i="1"/>
  <c r="D32712" i="1"/>
  <c r="D32713" i="1"/>
  <c r="D32714" i="1"/>
  <c r="D32715" i="1"/>
  <c r="D32716" i="1"/>
  <c r="D32717" i="1"/>
  <c r="D32718" i="1"/>
  <c r="D32719" i="1"/>
  <c r="D32720" i="1"/>
  <c r="D32721" i="1"/>
  <c r="D32722" i="1"/>
  <c r="D32723" i="1"/>
  <c r="D32724" i="1"/>
  <c r="D32725" i="1"/>
  <c r="D32726" i="1"/>
  <c r="D32727" i="1"/>
  <c r="D32728" i="1"/>
  <c r="D32729" i="1"/>
  <c r="D32730" i="1"/>
  <c r="D32731" i="1"/>
  <c r="D32732" i="1"/>
  <c r="D32733" i="1"/>
  <c r="D32734" i="1"/>
  <c r="D32735" i="1"/>
  <c r="D32736" i="1"/>
  <c r="D32737" i="1"/>
  <c r="D32738" i="1"/>
  <c r="D32739" i="1"/>
  <c r="D32740" i="1"/>
  <c r="D32741" i="1"/>
  <c r="D32742" i="1"/>
  <c r="D32743" i="1"/>
  <c r="D32744" i="1"/>
  <c r="D32745" i="1"/>
  <c r="D32746" i="1"/>
  <c r="D32747" i="1"/>
  <c r="D32748" i="1"/>
  <c r="D32749" i="1"/>
  <c r="D32750" i="1"/>
  <c r="D32751" i="1"/>
  <c r="D32752" i="1"/>
  <c r="D32753" i="1"/>
  <c r="D32754" i="1"/>
  <c r="D32755" i="1"/>
  <c r="D32756" i="1"/>
  <c r="D32757" i="1"/>
  <c r="D32758" i="1"/>
  <c r="D32759" i="1"/>
  <c r="D32760" i="1"/>
  <c r="D32761" i="1"/>
  <c r="D32762" i="1"/>
  <c r="D32763" i="1"/>
  <c r="D32764" i="1"/>
  <c r="D32765" i="1"/>
  <c r="D32766" i="1"/>
  <c r="D32767" i="1"/>
  <c r="D32768" i="1"/>
  <c r="D32769" i="1"/>
  <c r="D32770" i="1"/>
  <c r="D32771" i="1"/>
  <c r="D32772" i="1"/>
  <c r="D32773" i="1"/>
  <c r="D32774" i="1"/>
  <c r="D32775" i="1"/>
  <c r="D32776" i="1"/>
  <c r="D32777" i="1"/>
  <c r="D32778" i="1"/>
  <c r="D32779" i="1"/>
  <c r="D32780" i="1"/>
  <c r="D32781" i="1"/>
  <c r="D32782" i="1"/>
  <c r="D32783" i="1"/>
  <c r="D32784" i="1"/>
  <c r="D32785" i="1"/>
  <c r="D32786" i="1"/>
  <c r="D32787" i="1"/>
  <c r="D32788" i="1"/>
  <c r="D32789" i="1"/>
  <c r="D32790" i="1"/>
  <c r="D32791" i="1"/>
  <c r="D32792" i="1"/>
  <c r="D32793" i="1"/>
  <c r="D32794" i="1"/>
  <c r="D32795" i="1"/>
  <c r="D32796" i="1"/>
  <c r="D32797" i="1"/>
  <c r="D32798" i="1"/>
  <c r="D32799" i="1"/>
  <c r="D32800" i="1"/>
  <c r="D32801" i="1"/>
  <c r="D32802" i="1"/>
  <c r="D32803" i="1"/>
  <c r="D32804" i="1"/>
  <c r="D32805" i="1"/>
  <c r="D32806" i="1"/>
  <c r="D32807" i="1"/>
  <c r="D32808" i="1"/>
  <c r="D32809" i="1"/>
  <c r="D32810" i="1"/>
  <c r="D32811" i="1"/>
  <c r="D32812" i="1"/>
  <c r="D32813" i="1"/>
  <c r="D32814" i="1"/>
  <c r="D32815" i="1"/>
  <c r="D32816" i="1"/>
  <c r="D32817" i="1"/>
  <c r="D32818" i="1"/>
  <c r="D32819" i="1"/>
  <c r="D32820" i="1"/>
  <c r="D32821" i="1"/>
  <c r="D32822" i="1"/>
  <c r="D32823" i="1"/>
  <c r="D32824" i="1"/>
  <c r="D32825" i="1"/>
  <c r="D32826" i="1"/>
  <c r="D32827" i="1"/>
  <c r="D32828" i="1"/>
  <c r="D32829" i="1"/>
  <c r="D32830" i="1"/>
  <c r="D32831" i="1"/>
  <c r="D32832" i="1"/>
  <c r="D32833" i="1"/>
  <c r="D32834" i="1"/>
  <c r="D32835" i="1"/>
  <c r="D32836" i="1"/>
  <c r="D32837" i="1"/>
  <c r="D32838" i="1"/>
  <c r="D32839" i="1"/>
  <c r="D32840" i="1"/>
  <c r="D32841" i="1"/>
  <c r="D32842" i="1"/>
  <c r="D32843" i="1"/>
  <c r="D32844" i="1"/>
  <c r="D32845" i="1"/>
  <c r="D32846" i="1"/>
  <c r="D32847" i="1"/>
  <c r="D32848" i="1"/>
  <c r="D32849" i="1"/>
  <c r="D32850" i="1"/>
  <c r="D32851" i="1"/>
  <c r="D32852" i="1"/>
  <c r="D32853" i="1"/>
  <c r="D32854" i="1"/>
  <c r="D32855" i="1"/>
  <c r="D32856" i="1"/>
  <c r="D32857" i="1"/>
  <c r="D32858" i="1"/>
  <c r="D32859" i="1"/>
  <c r="D32860" i="1"/>
  <c r="D32861" i="1"/>
  <c r="D32862" i="1"/>
  <c r="D32863" i="1"/>
  <c r="D32864" i="1"/>
  <c r="D32865" i="1"/>
  <c r="D32866" i="1"/>
  <c r="D32867" i="1"/>
  <c r="D32868" i="1"/>
  <c r="D32869" i="1"/>
  <c r="D32870" i="1"/>
  <c r="D32871" i="1"/>
  <c r="D32872" i="1"/>
  <c r="D32873" i="1"/>
  <c r="D32874" i="1"/>
  <c r="D32875" i="1"/>
  <c r="D32876" i="1"/>
  <c r="D32877" i="1"/>
  <c r="D32878" i="1"/>
  <c r="D32879" i="1"/>
  <c r="D32880" i="1"/>
  <c r="D32881" i="1"/>
  <c r="D32882" i="1"/>
  <c r="D32883" i="1"/>
  <c r="D32884" i="1"/>
  <c r="D32885" i="1"/>
  <c r="D32886" i="1"/>
  <c r="D32887" i="1"/>
  <c r="D32888" i="1"/>
  <c r="D32889" i="1"/>
  <c r="D32890" i="1"/>
  <c r="D32891" i="1"/>
  <c r="D32892" i="1"/>
  <c r="D32893" i="1"/>
  <c r="D32894" i="1"/>
  <c r="D32895" i="1"/>
  <c r="D32896" i="1"/>
  <c r="D32897" i="1"/>
  <c r="D32898" i="1"/>
  <c r="D32899" i="1"/>
  <c r="D32900" i="1"/>
  <c r="D32901" i="1"/>
  <c r="D32902" i="1"/>
  <c r="D32903" i="1"/>
  <c r="D32904" i="1"/>
  <c r="D32905" i="1"/>
  <c r="D32906" i="1"/>
  <c r="D32907" i="1"/>
  <c r="D32908" i="1"/>
  <c r="D32909" i="1"/>
  <c r="D32910" i="1"/>
  <c r="D32911" i="1"/>
  <c r="D32912" i="1"/>
  <c r="D32913" i="1"/>
  <c r="D32914" i="1"/>
  <c r="D32915" i="1"/>
  <c r="D32916" i="1"/>
  <c r="D32917" i="1"/>
  <c r="D32918" i="1"/>
  <c r="D32919" i="1"/>
  <c r="D32920" i="1"/>
  <c r="D32921" i="1"/>
  <c r="D32922" i="1"/>
  <c r="D32923" i="1"/>
  <c r="D32924" i="1"/>
  <c r="D32925" i="1"/>
  <c r="D32926" i="1"/>
  <c r="D32927" i="1"/>
  <c r="D32928" i="1"/>
  <c r="D32929" i="1"/>
  <c r="D32930" i="1"/>
  <c r="D32931" i="1"/>
  <c r="D32932" i="1"/>
  <c r="D32933" i="1"/>
  <c r="D32934" i="1"/>
  <c r="D32935" i="1"/>
  <c r="D32936" i="1"/>
  <c r="D32937" i="1"/>
  <c r="D32938" i="1"/>
  <c r="D32939" i="1"/>
  <c r="D32940" i="1"/>
  <c r="D32941" i="1"/>
  <c r="D32942" i="1"/>
  <c r="D32943" i="1"/>
  <c r="D32944" i="1"/>
  <c r="D32945" i="1"/>
  <c r="D32946" i="1"/>
  <c r="D32947" i="1"/>
  <c r="D32948" i="1"/>
  <c r="D32949" i="1"/>
  <c r="D32950" i="1"/>
  <c r="D32951" i="1"/>
  <c r="D32952" i="1"/>
  <c r="D32953" i="1"/>
  <c r="D32954" i="1"/>
  <c r="D32955" i="1"/>
  <c r="D32956" i="1"/>
  <c r="D32957" i="1"/>
  <c r="D32958" i="1"/>
  <c r="D32959" i="1"/>
  <c r="D32960" i="1"/>
  <c r="D32961" i="1"/>
  <c r="D32962" i="1"/>
  <c r="D32963" i="1"/>
  <c r="D32964" i="1"/>
  <c r="D32965" i="1"/>
  <c r="D32966" i="1"/>
  <c r="D32967" i="1"/>
  <c r="D32968" i="1"/>
  <c r="D32969" i="1"/>
  <c r="D32970" i="1"/>
  <c r="D32971" i="1"/>
  <c r="D32972" i="1"/>
  <c r="D32973" i="1"/>
  <c r="D32974" i="1"/>
  <c r="D32975" i="1"/>
  <c r="D32976" i="1"/>
  <c r="D32977" i="1"/>
  <c r="D32978" i="1"/>
  <c r="D32979" i="1"/>
  <c r="D32980" i="1"/>
  <c r="D32981" i="1"/>
  <c r="D32982" i="1"/>
  <c r="D32983" i="1"/>
  <c r="D32984" i="1"/>
  <c r="D32985" i="1"/>
  <c r="D32986" i="1"/>
  <c r="D32987" i="1"/>
  <c r="D32988" i="1"/>
  <c r="D32989" i="1"/>
  <c r="D32990" i="1"/>
  <c r="D32991" i="1"/>
  <c r="D32992" i="1"/>
  <c r="D32993" i="1"/>
  <c r="D32994" i="1"/>
  <c r="D32995" i="1"/>
  <c r="D32996" i="1"/>
  <c r="D32997" i="1"/>
  <c r="D32998" i="1"/>
  <c r="D32999" i="1"/>
  <c r="D33000" i="1"/>
  <c r="D33001" i="1"/>
  <c r="D33002" i="1"/>
  <c r="D33003" i="1"/>
  <c r="D33004" i="1"/>
  <c r="D33005" i="1"/>
  <c r="D33006" i="1"/>
  <c r="D33007" i="1"/>
  <c r="D33008" i="1"/>
  <c r="D33009" i="1"/>
  <c r="D33010" i="1"/>
  <c r="D33011" i="1"/>
  <c r="D33012" i="1"/>
  <c r="D33013" i="1"/>
  <c r="D33014" i="1"/>
  <c r="D33015" i="1"/>
  <c r="D33016" i="1"/>
  <c r="D33017" i="1"/>
  <c r="D33018" i="1"/>
  <c r="D33019" i="1"/>
  <c r="D33020" i="1"/>
  <c r="D33021" i="1"/>
  <c r="D33022" i="1"/>
  <c r="D33023" i="1"/>
  <c r="D33024" i="1"/>
  <c r="D33025" i="1"/>
  <c r="D33026" i="1"/>
  <c r="D33027" i="1"/>
  <c r="D33028" i="1"/>
  <c r="D33029" i="1"/>
  <c r="D33030" i="1"/>
  <c r="D33031" i="1"/>
  <c r="D33032" i="1"/>
  <c r="D33033" i="1"/>
  <c r="D33034" i="1"/>
  <c r="D33035" i="1"/>
  <c r="D33036" i="1"/>
  <c r="D33037" i="1"/>
  <c r="D33038" i="1"/>
  <c r="D33039" i="1"/>
  <c r="D33040" i="1"/>
  <c r="D33041" i="1"/>
  <c r="D33042" i="1"/>
  <c r="D33043" i="1"/>
  <c r="D33044" i="1"/>
  <c r="D33045" i="1"/>
  <c r="D33046" i="1"/>
  <c r="D33047" i="1"/>
  <c r="D33048" i="1"/>
  <c r="D33049" i="1"/>
  <c r="D33050" i="1"/>
  <c r="D33051" i="1"/>
  <c r="D33052" i="1"/>
  <c r="D33053" i="1"/>
  <c r="D33054" i="1"/>
  <c r="D33055" i="1"/>
  <c r="D33056" i="1"/>
  <c r="D33057" i="1"/>
  <c r="D33058" i="1"/>
  <c r="D33059" i="1"/>
  <c r="D33060" i="1"/>
  <c r="D33061" i="1"/>
  <c r="D33062" i="1"/>
  <c r="D33063" i="1"/>
  <c r="D33064" i="1"/>
  <c r="D33065" i="1"/>
  <c r="D33066" i="1"/>
  <c r="D33067" i="1"/>
  <c r="D33068" i="1"/>
  <c r="D33069" i="1"/>
  <c r="D33070" i="1"/>
  <c r="D33071" i="1"/>
  <c r="D33072" i="1"/>
  <c r="D33073" i="1"/>
  <c r="D33074" i="1"/>
  <c r="D33075" i="1"/>
  <c r="D33076" i="1"/>
  <c r="D33077" i="1"/>
  <c r="D33078" i="1"/>
  <c r="D33079" i="1"/>
  <c r="D33080" i="1"/>
  <c r="D33081" i="1"/>
  <c r="D33082" i="1"/>
  <c r="D33083" i="1"/>
  <c r="D33084" i="1"/>
  <c r="D33085" i="1"/>
  <c r="D33086" i="1"/>
  <c r="D33087" i="1"/>
  <c r="D33088" i="1"/>
  <c r="D33089" i="1"/>
  <c r="D33090" i="1"/>
  <c r="D33091" i="1"/>
  <c r="D33092" i="1"/>
  <c r="D33093" i="1"/>
  <c r="D33094" i="1"/>
  <c r="D33095" i="1"/>
  <c r="D33096" i="1"/>
  <c r="D33097" i="1"/>
  <c r="D33098" i="1"/>
  <c r="D33099" i="1"/>
  <c r="D33100" i="1"/>
  <c r="D33101" i="1"/>
  <c r="D33102" i="1"/>
  <c r="D33103" i="1"/>
  <c r="D33104" i="1"/>
  <c r="D33105" i="1"/>
  <c r="D33106" i="1"/>
  <c r="D33107" i="1"/>
  <c r="D33108" i="1"/>
  <c r="D33109" i="1"/>
  <c r="D33110" i="1"/>
  <c r="D33111" i="1"/>
  <c r="D33112" i="1"/>
  <c r="D33113" i="1"/>
  <c r="D33114" i="1"/>
  <c r="D33115" i="1"/>
  <c r="D33116" i="1"/>
  <c r="D33117" i="1"/>
  <c r="D33118" i="1"/>
  <c r="D33119" i="1"/>
  <c r="D33120" i="1"/>
  <c r="D33121" i="1"/>
  <c r="D33122" i="1"/>
  <c r="D33123" i="1"/>
  <c r="D33124" i="1"/>
  <c r="D33125" i="1"/>
  <c r="D33126" i="1"/>
  <c r="D33127" i="1"/>
  <c r="D33128" i="1"/>
  <c r="D33129" i="1"/>
  <c r="D33130" i="1"/>
  <c r="D33131" i="1"/>
  <c r="D33132" i="1"/>
  <c r="D33133" i="1"/>
  <c r="D33134" i="1"/>
  <c r="D33135" i="1"/>
  <c r="D33136" i="1"/>
  <c r="D33137" i="1"/>
  <c r="D33138" i="1"/>
  <c r="D33139" i="1"/>
  <c r="D33140" i="1"/>
  <c r="D33141" i="1"/>
  <c r="D33142" i="1"/>
  <c r="D33143" i="1"/>
  <c r="D33144" i="1"/>
  <c r="D33145" i="1"/>
  <c r="D33146" i="1"/>
  <c r="D33147" i="1"/>
  <c r="D33148" i="1"/>
  <c r="D33149" i="1"/>
  <c r="D33150" i="1"/>
  <c r="D33151" i="1"/>
  <c r="D33152" i="1"/>
  <c r="D33153" i="1"/>
  <c r="D33154" i="1"/>
  <c r="D33155" i="1"/>
  <c r="D33156" i="1"/>
  <c r="D33157" i="1"/>
  <c r="D33158" i="1"/>
  <c r="D33159" i="1"/>
  <c r="D33160" i="1"/>
  <c r="D33161" i="1"/>
  <c r="D33162" i="1"/>
  <c r="D33163" i="1"/>
  <c r="D33164" i="1"/>
  <c r="D33165" i="1"/>
  <c r="D33166" i="1"/>
  <c r="D33167" i="1"/>
  <c r="D33168" i="1"/>
  <c r="D33169" i="1"/>
  <c r="D33170" i="1"/>
  <c r="D33171" i="1"/>
  <c r="D33172" i="1"/>
  <c r="D33173" i="1"/>
  <c r="D33174" i="1"/>
  <c r="D33175" i="1"/>
  <c r="D33176" i="1"/>
  <c r="D33177" i="1"/>
  <c r="D33178" i="1"/>
  <c r="D33179" i="1"/>
  <c r="D33180" i="1"/>
  <c r="D33181" i="1"/>
  <c r="D33182" i="1"/>
  <c r="D33183" i="1"/>
  <c r="D33184" i="1"/>
  <c r="D33185" i="1"/>
  <c r="D33186" i="1"/>
  <c r="D33187" i="1"/>
  <c r="D33188" i="1"/>
  <c r="D33189" i="1"/>
  <c r="D33190" i="1"/>
  <c r="D33191" i="1"/>
  <c r="D33192" i="1"/>
  <c r="D33193" i="1"/>
  <c r="D33194" i="1"/>
  <c r="D33195" i="1"/>
  <c r="D33196" i="1"/>
  <c r="D33197" i="1"/>
  <c r="D33198" i="1"/>
  <c r="D33199" i="1"/>
  <c r="D33200" i="1"/>
  <c r="D33201" i="1"/>
  <c r="D33202" i="1"/>
  <c r="D33203" i="1"/>
  <c r="D33204" i="1"/>
  <c r="D33205" i="1"/>
  <c r="D33206" i="1"/>
  <c r="D33207" i="1"/>
  <c r="D33208" i="1"/>
  <c r="D33209" i="1"/>
  <c r="D33210" i="1"/>
  <c r="D33211" i="1"/>
  <c r="D33212" i="1"/>
  <c r="D33213" i="1"/>
  <c r="D33214" i="1"/>
  <c r="D33215" i="1"/>
  <c r="D33216" i="1"/>
  <c r="D33217" i="1"/>
  <c r="D33218" i="1"/>
  <c r="D33219" i="1"/>
  <c r="D33220" i="1"/>
  <c r="D33221" i="1"/>
  <c r="D33222" i="1"/>
  <c r="D33223" i="1"/>
  <c r="D33224" i="1"/>
  <c r="D33225" i="1"/>
  <c r="D33226" i="1"/>
  <c r="D33227" i="1"/>
  <c r="D33228" i="1"/>
  <c r="D33229" i="1"/>
  <c r="D33230" i="1"/>
  <c r="D33231" i="1"/>
  <c r="D33232" i="1"/>
  <c r="D33233" i="1"/>
  <c r="D33234" i="1"/>
  <c r="D33235" i="1"/>
  <c r="D33236" i="1"/>
  <c r="D33237" i="1"/>
  <c r="D33238" i="1"/>
  <c r="D33239" i="1"/>
  <c r="D33240" i="1"/>
  <c r="D33241" i="1"/>
  <c r="D33242" i="1"/>
  <c r="D33243" i="1"/>
  <c r="D33244" i="1"/>
  <c r="D33245" i="1"/>
  <c r="D33246" i="1"/>
  <c r="D33247" i="1"/>
  <c r="D33248" i="1"/>
  <c r="D33249" i="1"/>
  <c r="D33250" i="1"/>
  <c r="D33251" i="1"/>
  <c r="D33252" i="1"/>
  <c r="D33253" i="1"/>
  <c r="D33254" i="1"/>
  <c r="D33255" i="1"/>
  <c r="D33256" i="1"/>
  <c r="D33257" i="1"/>
  <c r="D33258" i="1"/>
  <c r="D33259" i="1"/>
  <c r="D33260" i="1"/>
  <c r="D33261" i="1"/>
  <c r="D33262" i="1"/>
  <c r="D33263" i="1"/>
  <c r="D33264" i="1"/>
  <c r="D33265" i="1"/>
  <c r="D33266" i="1"/>
  <c r="D33267" i="1"/>
  <c r="D33268" i="1"/>
  <c r="D33269" i="1"/>
  <c r="D33270" i="1"/>
  <c r="D33271" i="1"/>
  <c r="D33272" i="1"/>
  <c r="D33273" i="1"/>
  <c r="D33274" i="1"/>
  <c r="D33275" i="1"/>
  <c r="D33276" i="1"/>
  <c r="D33277" i="1"/>
  <c r="D33278" i="1"/>
  <c r="D33279" i="1"/>
  <c r="D33280" i="1"/>
  <c r="D33281" i="1"/>
  <c r="D33282" i="1"/>
  <c r="D33283" i="1"/>
  <c r="D33284" i="1"/>
  <c r="D33285" i="1"/>
  <c r="D33286" i="1"/>
  <c r="D33287" i="1"/>
  <c r="D33288" i="1"/>
  <c r="D33289" i="1"/>
</calcChain>
</file>

<file path=xl/sharedStrings.xml><?xml version="1.0" encoding="utf-8"?>
<sst xmlns="http://schemas.openxmlformats.org/spreadsheetml/2006/main" count="38945" uniqueCount="67">
  <si>
    <t>Zip</t>
  </si>
  <si>
    <t>State</t>
  </si>
  <si>
    <t>FIPS Code</t>
  </si>
  <si>
    <t>Formatted FIPS</t>
  </si>
  <si>
    <t>Percent of income tax returns with income tax in 2017.</t>
  </si>
  <si>
    <t>AK</t>
  </si>
  <si>
    <t>N/A</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</si>
  <si>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</si>
  <si>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</si>
  <si>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</si>
  <si>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</si>
  <si>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</si>
  <si>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</si>
  <si>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</si>
  <si>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</si>
  <si>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</si>
  <si>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</si>
  <si>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</si>
  <si>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</si>
  <si>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</si>
  <si>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</si>
  <si>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</si>
  <si>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</si>
  <si>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</si>
  <si>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</si>
  <si>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</si>
  <si>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</si>
  <si>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</si>
  <si>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</si>
  <si>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</si>
  <si>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</si>
  <si>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</si>
  <si>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</si>
  <si>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</si>
  <si>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</si>
  <si>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</si>
  <si>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</si>
  <si>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</si>
  <si>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</si>
  <si>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</si>
  <si>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</si>
  <si>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</si>
  <si>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</si>
  <si>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</si>
  <si>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</si>
  <si>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PR</t>
  </si>
  <si>
    <t>RI</t>
  </si>
  <si>
    <t>SC</t>
  </si>
  <si>
    <t>SD</t>
  </si>
  <si>
    <t>TN</t>
  </si>
  <si>
    <t>TX</t>
  </si>
  <si>
    <t>UT</t>
  </si>
  <si>
    <t>VA</t>
  </si>
  <si>
    <t>VT</t>
  </si>
  <si>
    <t>WA</t>
  </si>
  <si>
    <t>WI</t>
  </si>
  <si>
    <t>WV</t>
  </si>
  <si>
    <t>WY</t>
  </si>
  <si>
    <t>Location: United States</t>
  </si>
  <si>
    <t>Indicator source: IRS</t>
  </si>
  <si>
    <t>http://www.policymap.com/our-data-directory.html#IRS%20Statistics%20of%20Income%20-%20Individual%20Income%20Tax%20Statistics</t>
  </si>
  <si>
    <t>When using PolicyMap data in your work, please consult the Terms of Use and the instructions for Citing Us:</t>
  </si>
  <si>
    <t>https://www.policymap.com/terms/</t>
  </si>
  <si>
    <t>https://www.policymap.com/citing/</t>
  </si>
  <si>
    <t>Percent of income tax returns with income tax in 2017. Percent of all 1040, 1040A, and 1040EZ forms filed with the IRS with income tax reported for the tax year 2017. Total income tax consists of taxes on adjusted gross income minus exemptions, credits, and deductions. The alternative minimum tax is included if applicable. The percent is suppressed where fewer than 10 total returns are filed.</t>
  </si>
  <si>
    <t>Source</t>
  </si>
  <si>
    <t>IRS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</si>
</sst>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0"/>
      <color theme="1"/>
      <name val="Verdana"/>
      <family val="2"/>
    </font>
    <font>
      <sz val="10"/>
      <color theme="1"/>
      <name val="Verdana"/>
      <family val="2"/>
    </font>
    <font>
      <sz val="18"/>
      <color theme="3"/>
      <name val="Calibri Light"/>
      <family val="2"/>
      <scheme val="major"/>
    </font>
    <font>
      <b/>
      <sz val="15"/>
      <color theme="3"/>
      <name val="Verdana"/>
      <family val="2"/>
    </font>
    <font>
      <b/>
      <sz val="13"/>
      <color theme="3"/>
      <name val="Verdana"/>
      <family val="2"/>
    </font>
    <font>
      <b/>
      <sz val="11"/>
      <color theme="3"/>
      <name val="Verdana"/>
      <family val="2"/>
    </font>
    <font>
      <sz val="10"/>
      <color rgb="FF006100"/>
      <name val="Verdana"/>
      <family val="2"/>
    </font>
    <font>
      <sz val="10"/>
      <color rgb="FF9C0006"/>
      <name val="Verdana"/>
      <family val="2"/>
    </font>
    <font>
      <sz val="10"/>
      <color rgb="FF9C5700"/>
      <name val="Verdana"/>
      <family val="2"/>
    </font>
    <font>
      <sz val="10"/>
      <color rgb="FF3F3F76"/>
      <name val="Verdana"/>
      <family val="2"/>
    </font>
    <font>
      <b/>
      <sz val="10"/>
      <color rgb="FF3F3F3F"/>
      <name val="Verdana"/>
      <family val="2"/>
    </font>
    <font>
      <b/>
      <sz val="10"/>
      <color rgb="FFFA7D00"/>
      <name val="Verdana"/>
      <family val="2"/>
    </font>
    <font>
      <sz val="10"/>
      <color rgb="FFFA7D00"/>
      <name val="Verdana"/>
      <family val="2"/>
    </font>
    <font>
      <b/>
      <sz val="10"/>
      <color theme="0"/>
      <name val="Verdana"/>
      <family val="2"/>
    </font>
    <font>
      <sz val="10"/>
      <color rgb="FFFF0000"/>
      <name val="Verdana"/>
      <family val="2"/>
    </font>
    <font>
      <i/>
      <sz val="10"/>
      <color rgb="FF7F7F7F"/>
      <name val="Verdana"/>
      <family val="2"/>
    </font>
    <font>
      <b/>
      <sz val="10"/>
      <color theme="1"/>
      <name val="Verdana"/>
      <family val="2"/>
    </font>
    <font>
      <sz val="10"/>
      <color theme="0"/>
      <name val="Verdana"/>
      <family val="2"/>
    </font>
    <font>
      <sz val="12"/>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Font="1"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298"/>
  <sheetViews>
    <sheetView tabSelected="1" workbookViewId="0">
      <selection activeCell="D35" sqref="D35"/>
    </sheetView>
  </sheetViews>
  <sheetFormatPr defaultRowHeight="12.75" x14ac:dyDescent="0.2"/>
  <sheetData>
    <row r="1" spans="1:5" x14ac:dyDescent="0.2">
      <c r="A1" t="s">
        <v>0</v>
      </c>
      <c r="B1" t="s">
        <v>1</v>
      </c>
      <c r="C1" t="s">
        <v>2</v>
      </c>
      <c r="D1" t="s">
        <v>3</v>
      </c>
      <c r="E1" t="s">
        <v>4</v>
      </c>
    </row>
    <row r="2" spans="1:5" x14ac:dyDescent="0.2">
      <c r="A2">
        <v>99501</v>
      </c>
      <c r="B2" t="s">
        <v>5</v>
      </c>
      <c r="C2">
        <v>99501</v>
      </c>
      <c r="D2" t="str">
        <f>"99501"</f>
        <v>99501</v>
      </c>
      <c r="E2">
        <v>75.709999999999994</v>
      </c>
    </row>
    <row r="3" spans="1:5" x14ac:dyDescent="0.2">
      <c r="A3">
        <v>99502</v>
      </c>
      <c r="B3" t="s">
        <v>5</v>
      </c>
      <c r="C3">
        <v>99502</v>
      </c>
      <c r="D3" t="str">
        <f>"99502"</f>
        <v>99502</v>
      </c>
      <c r="E3">
        <v>83.49</v>
      </c>
    </row>
    <row r="4" spans="1:5" x14ac:dyDescent="0.2">
      <c r="A4">
        <v>99503</v>
      </c>
      <c r="B4" t="s">
        <v>5</v>
      </c>
      <c r="C4">
        <v>99503</v>
      </c>
      <c r="D4" t="str">
        <f>"99503"</f>
        <v>99503</v>
      </c>
      <c r="E4">
        <v>75.88</v>
      </c>
    </row>
    <row r="5" spans="1:5" x14ac:dyDescent="0.2">
      <c r="A5">
        <v>99504</v>
      </c>
      <c r="B5" t="s">
        <v>5</v>
      </c>
      <c r="C5">
        <v>99504</v>
      </c>
      <c r="D5" t="str">
        <f>"99504"</f>
        <v>99504</v>
      </c>
      <c r="E5">
        <v>77.14</v>
      </c>
    </row>
    <row r="6" spans="1:5" x14ac:dyDescent="0.2">
      <c r="A6">
        <v>99505</v>
      </c>
      <c r="B6" t="s">
        <v>5</v>
      </c>
      <c r="C6">
        <v>99505</v>
      </c>
      <c r="D6" t="str">
        <f>"99505"</f>
        <v>99505</v>
      </c>
      <c r="E6">
        <v>73.8</v>
      </c>
    </row>
    <row r="7" spans="1:5" x14ac:dyDescent="0.2">
      <c r="A7">
        <v>99506</v>
      </c>
      <c r="B7" t="s">
        <v>5</v>
      </c>
      <c r="C7">
        <v>99506</v>
      </c>
      <c r="D7" t="str">
        <f>"99506"</f>
        <v>99506</v>
      </c>
      <c r="E7">
        <v>75</v>
      </c>
    </row>
    <row r="8" spans="1:5" x14ac:dyDescent="0.2">
      <c r="A8">
        <v>99507</v>
      </c>
      <c r="B8" t="s">
        <v>5</v>
      </c>
      <c r="C8">
        <v>99507</v>
      </c>
      <c r="D8" t="str">
        <f>"99507"</f>
        <v>99507</v>
      </c>
      <c r="E8">
        <v>83.39</v>
      </c>
    </row>
    <row r="9" spans="1:5" x14ac:dyDescent="0.2">
      <c r="A9">
        <v>99508</v>
      </c>
      <c r="B9" t="s">
        <v>5</v>
      </c>
      <c r="C9">
        <v>99508</v>
      </c>
      <c r="D9" t="str">
        <f>"99508"</f>
        <v>99508</v>
      </c>
      <c r="E9">
        <v>72.150000000000006</v>
      </c>
    </row>
    <row r="10" spans="1:5" x14ac:dyDescent="0.2">
      <c r="A10">
        <v>99510</v>
      </c>
      <c r="B10" t="s">
        <v>5</v>
      </c>
      <c r="C10">
        <v>99510</v>
      </c>
      <c r="D10" t="str">
        <f>"99510"</f>
        <v>99510</v>
      </c>
      <c r="E10" t="s">
        <v>6</v>
      </c>
    </row>
    <row r="11" spans="1:5" x14ac:dyDescent="0.2">
      <c r="A11">
        <v>99513</v>
      </c>
      <c r="B11" t="s">
        <v>5</v>
      </c>
      <c r="C11">
        <v>99513</v>
      </c>
      <c r="D11" t="str">
        <f>"99513"</f>
        <v>99513</v>
      </c>
      <c r="E11" t="s">
        <v>6</v>
      </c>
    </row>
    <row r="12" spans="1:5" x14ac:dyDescent="0.2">
      <c r="A12">
        <v>99515</v>
      </c>
      <c r="B12" t="s">
        <v>5</v>
      </c>
      <c r="C12">
        <v>99515</v>
      </c>
      <c r="D12" t="str">
        <f>"99515"</f>
        <v>99515</v>
      </c>
      <c r="E12">
        <v>84.31</v>
      </c>
    </row>
    <row r="13" spans="1:5" x14ac:dyDescent="0.2">
      <c r="A13">
        <v>99516</v>
      </c>
      <c r="B13" t="s">
        <v>5</v>
      </c>
      <c r="C13">
        <v>99516</v>
      </c>
      <c r="D13" t="str">
        <f>"99516"</f>
        <v>99516</v>
      </c>
      <c r="E13">
        <v>89.51</v>
      </c>
    </row>
    <row r="14" spans="1:5" x14ac:dyDescent="0.2">
      <c r="A14">
        <v>99517</v>
      </c>
      <c r="B14" t="s">
        <v>5</v>
      </c>
      <c r="C14">
        <v>99517</v>
      </c>
      <c r="D14" t="str">
        <f>"99517"</f>
        <v>99517</v>
      </c>
      <c r="E14">
        <v>83.13</v>
      </c>
    </row>
    <row r="15" spans="1:5" x14ac:dyDescent="0.2">
      <c r="A15">
        <v>99518</v>
      </c>
      <c r="B15" t="s">
        <v>5</v>
      </c>
      <c r="C15">
        <v>99518</v>
      </c>
      <c r="D15" t="str">
        <f>"99518"</f>
        <v>99518</v>
      </c>
      <c r="E15">
        <v>82.43</v>
      </c>
    </row>
    <row r="16" spans="1:5" x14ac:dyDescent="0.2">
      <c r="A16">
        <v>99519</v>
      </c>
      <c r="B16" t="s">
        <v>5</v>
      </c>
      <c r="C16">
        <v>99519</v>
      </c>
      <c r="D16" t="str">
        <f>"99519"</f>
        <v>99519</v>
      </c>
      <c r="E16" t="s">
        <v>6</v>
      </c>
    </row>
    <row r="17" spans="1:5" x14ac:dyDescent="0.2">
      <c r="A17">
        <v>99530</v>
      </c>
      <c r="B17" t="s">
        <v>5</v>
      </c>
      <c r="C17">
        <v>99530</v>
      </c>
      <c r="D17" t="str">
        <f>"99530"</f>
        <v>99530</v>
      </c>
      <c r="E17" t="s">
        <v>6</v>
      </c>
    </row>
    <row r="18" spans="1:5" x14ac:dyDescent="0.2">
      <c r="A18">
        <v>99540</v>
      </c>
      <c r="B18" t="s">
        <v>5</v>
      </c>
      <c r="C18">
        <v>99540</v>
      </c>
      <c r="D18" t="str">
        <f>"99540"</f>
        <v>99540</v>
      </c>
      <c r="E18">
        <v>85.71</v>
      </c>
    </row>
    <row r="19" spans="1:5" x14ac:dyDescent="0.2">
      <c r="A19">
        <v>99546</v>
      </c>
      <c r="B19" t="s">
        <v>5</v>
      </c>
      <c r="C19">
        <v>99546</v>
      </c>
      <c r="D19" t="str">
        <f>"99546"</f>
        <v>99546</v>
      </c>
      <c r="E19" t="s">
        <v>6</v>
      </c>
    </row>
    <row r="20" spans="1:5" x14ac:dyDescent="0.2">
      <c r="A20">
        <v>99547</v>
      </c>
      <c r="B20" t="s">
        <v>5</v>
      </c>
      <c r="C20">
        <v>99547</v>
      </c>
      <c r="D20" t="str">
        <f>"99547"</f>
        <v>99547</v>
      </c>
      <c r="E20" t="s">
        <v>6</v>
      </c>
    </row>
    <row r="21" spans="1:5" x14ac:dyDescent="0.2">
      <c r="A21">
        <v>99548</v>
      </c>
      <c r="B21" t="s">
        <v>5</v>
      </c>
      <c r="C21">
        <v>99548</v>
      </c>
      <c r="D21" t="str">
        <f>"99548"</f>
        <v>99548</v>
      </c>
      <c r="E21" t="s">
        <v>6</v>
      </c>
    </row>
    <row r="22" spans="1:5" x14ac:dyDescent="0.2">
      <c r="A22">
        <v>99549</v>
      </c>
      <c r="B22" t="s">
        <v>5</v>
      </c>
      <c r="C22">
        <v>99549</v>
      </c>
      <c r="D22" t="str">
        <f>"99549"</f>
        <v>99549</v>
      </c>
      <c r="E22" t="s">
        <v>6</v>
      </c>
    </row>
    <row r="23" spans="1:5" x14ac:dyDescent="0.2">
      <c r="A23">
        <v>99550</v>
      </c>
      <c r="B23" t="s">
        <v>5</v>
      </c>
      <c r="C23">
        <v>99550</v>
      </c>
      <c r="D23" t="str">
        <f>"99550"</f>
        <v>99550</v>
      </c>
      <c r="E23" t="s">
        <v>6</v>
      </c>
    </row>
    <row r="24" spans="1:5" x14ac:dyDescent="0.2">
      <c r="A24">
        <v>99551</v>
      </c>
      <c r="B24" t="s">
        <v>5</v>
      </c>
      <c r="C24">
        <v>99551</v>
      </c>
      <c r="D24" t="str">
        <f>"99551"</f>
        <v>99551</v>
      </c>
      <c r="E24" t="s">
        <v>6</v>
      </c>
    </row>
    <row r="25" spans="1:5" x14ac:dyDescent="0.2">
      <c r="A25">
        <v>99552</v>
      </c>
      <c r="B25" t="s">
        <v>5</v>
      </c>
      <c r="C25">
        <v>99552</v>
      </c>
      <c r="D25" t="str">
        <f>"99552"</f>
        <v>99552</v>
      </c>
      <c r="E25" t="s">
        <v>6</v>
      </c>
    </row>
    <row r="26" spans="1:5" x14ac:dyDescent="0.2">
      <c r="A26">
        <v>99553</v>
      </c>
      <c r="B26" t="s">
        <v>5</v>
      </c>
      <c r="C26">
        <v>99553</v>
      </c>
      <c r="D26" t="str">
        <f>"99553"</f>
        <v>99553</v>
      </c>
      <c r="E26" t="s">
        <v>6</v>
      </c>
    </row>
    <row r="27" spans="1:5" x14ac:dyDescent="0.2">
      <c r="A27">
        <v>99554</v>
      </c>
      <c r="B27" t="s">
        <v>5</v>
      </c>
      <c r="C27">
        <v>99554</v>
      </c>
      <c r="D27" t="str">
        <f>"99554"</f>
        <v>99554</v>
      </c>
      <c r="E27" t="s">
        <v>6</v>
      </c>
    </row>
    <row r="28" spans="1:5" x14ac:dyDescent="0.2">
      <c r="A28">
        <v>99555</v>
      </c>
      <c r="B28" t="s">
        <v>5</v>
      </c>
      <c r="C28">
        <v>99555</v>
      </c>
      <c r="D28" t="str">
        <f>"99555"</f>
        <v>99555</v>
      </c>
      <c r="E28" t="s">
        <v>6</v>
      </c>
    </row>
    <row r="29" spans="1:5" x14ac:dyDescent="0.2">
      <c r="A29">
        <v>99556</v>
      </c>
      <c r="B29" t="s">
        <v>5</v>
      </c>
      <c r="C29">
        <v>99556</v>
      </c>
      <c r="D29" t="str">
        <f>"99556"</f>
        <v>99556</v>
      </c>
      <c r="E29">
        <v>74.56</v>
      </c>
    </row>
    <row r="30" spans="1:5" x14ac:dyDescent="0.2">
      <c r="A30">
        <v>99557</v>
      </c>
      <c r="B30" t="s">
        <v>5</v>
      </c>
      <c r="C30">
        <v>99557</v>
      </c>
      <c r="D30" t="str">
        <f>"99557"</f>
        <v>99557</v>
      </c>
      <c r="E30" t="s">
        <v>6</v>
      </c>
    </row>
    <row r="31" spans="1:5" x14ac:dyDescent="0.2">
      <c r="A31">
        <v>99558</v>
      </c>
      <c r="B31" t="s">
        <v>5</v>
      </c>
      <c r="C31">
        <v>99558</v>
      </c>
      <c r="D31" t="str">
        <f>"99558"</f>
        <v>99558</v>
      </c>
      <c r="E31" t="s">
        <v>6</v>
      </c>
    </row>
    <row r="32" spans="1:5" x14ac:dyDescent="0.2">
      <c r="A32">
        <v>99559</v>
      </c>
      <c r="B32" t="s">
        <v>5</v>
      </c>
      <c r="C32">
        <v>99559</v>
      </c>
      <c r="D32" t="str">
        <f>"99559"</f>
        <v>99559</v>
      </c>
      <c r="E32" t="s">
        <v>6</v>
      </c>
    </row>
    <row r="33" spans="1:5" x14ac:dyDescent="0.2">
      <c r="A33">
        <v>99561</v>
      </c>
      <c r="B33" t="s">
        <v>5</v>
      </c>
      <c r="C33">
        <v>99561</v>
      </c>
      <c r="D33" t="str">
        <f>"99561"</f>
        <v>99561</v>
      </c>
      <c r="E33" t="s">
        <v>6</v>
      </c>
    </row>
    <row r="34" spans="1:5" x14ac:dyDescent="0.2">
      <c r="A34">
        <v>99563</v>
      </c>
      <c r="B34" t="s">
        <v>5</v>
      </c>
      <c r="C34">
        <v>99563</v>
      </c>
      <c r="D34" t="str">
        <f>"99563"</f>
        <v>99563</v>
      </c>
      <c r="E34" t="s">
        <v>6</v>
      </c>
    </row>
    <row r="35" spans="1:5" x14ac:dyDescent="0.2">
      <c r="A35">
        <v>99564</v>
      </c>
      <c r="B35" t="s">
        <v>5</v>
      </c>
      <c r="C35">
        <v>99564</v>
      </c>
      <c r="D35" t="str">
        <f>"99564"</f>
        <v>99564</v>
      </c>
      <c r="E35" t="s">
        <v>6</v>
      </c>
    </row>
    <row r="36" spans="1:5" x14ac:dyDescent="0.2">
      <c r="A36">
        <v>99565</v>
      </c>
      <c r="B36" t="s">
        <v>5</v>
      </c>
      <c r="C36">
        <v>99565</v>
      </c>
      <c r="D36" t="str">
        <f>"99565"</f>
        <v>99565</v>
      </c>
      <c r="E36" t="s">
        <v>6</v>
      </c>
    </row>
    <row r="37" spans="1:5" x14ac:dyDescent="0.2">
      <c r="A37">
        <v>99566</v>
      </c>
      <c r="B37" t="s">
        <v>5</v>
      </c>
      <c r="C37">
        <v>99566</v>
      </c>
      <c r="D37" t="str">
        <f>"99566"</f>
        <v>99566</v>
      </c>
      <c r="E37" t="s">
        <v>6</v>
      </c>
    </row>
    <row r="38" spans="1:5" x14ac:dyDescent="0.2">
      <c r="A38">
        <v>99567</v>
      </c>
      <c r="B38" t="s">
        <v>5</v>
      </c>
      <c r="C38">
        <v>99567</v>
      </c>
      <c r="D38" t="str">
        <f>"99567"</f>
        <v>99567</v>
      </c>
      <c r="E38">
        <v>84.76</v>
      </c>
    </row>
    <row r="39" spans="1:5" x14ac:dyDescent="0.2">
      <c r="A39">
        <v>99568</v>
      </c>
      <c r="B39" t="s">
        <v>5</v>
      </c>
      <c r="C39">
        <v>99568</v>
      </c>
      <c r="D39" t="str">
        <f>"99568"</f>
        <v>99568</v>
      </c>
      <c r="E39">
        <v>73.33</v>
      </c>
    </row>
    <row r="40" spans="1:5" x14ac:dyDescent="0.2">
      <c r="A40">
        <v>99569</v>
      </c>
      <c r="B40" t="s">
        <v>5</v>
      </c>
      <c r="C40">
        <v>99569</v>
      </c>
      <c r="D40" t="str">
        <f>"99569"</f>
        <v>99569</v>
      </c>
      <c r="E40" t="s">
        <v>6</v>
      </c>
    </row>
    <row r="41" spans="1:5" x14ac:dyDescent="0.2">
      <c r="A41">
        <v>99571</v>
      </c>
      <c r="B41" t="s">
        <v>5</v>
      </c>
      <c r="C41">
        <v>99571</v>
      </c>
      <c r="D41" t="str">
        <f>"99571"</f>
        <v>99571</v>
      </c>
      <c r="E41" t="s">
        <v>6</v>
      </c>
    </row>
    <row r="42" spans="1:5" x14ac:dyDescent="0.2">
      <c r="A42">
        <v>99572</v>
      </c>
      <c r="B42" t="s">
        <v>5</v>
      </c>
      <c r="C42">
        <v>99572</v>
      </c>
      <c r="D42" t="str">
        <f>"99572"</f>
        <v>99572</v>
      </c>
      <c r="E42">
        <v>77.27</v>
      </c>
    </row>
    <row r="43" spans="1:5" x14ac:dyDescent="0.2">
      <c r="A43">
        <v>99573</v>
      </c>
      <c r="B43" t="s">
        <v>5</v>
      </c>
      <c r="C43">
        <v>99573</v>
      </c>
      <c r="D43" t="str">
        <f>"99573"</f>
        <v>99573</v>
      </c>
      <c r="E43">
        <v>74.42</v>
      </c>
    </row>
    <row r="44" spans="1:5" x14ac:dyDescent="0.2">
      <c r="A44">
        <v>99574</v>
      </c>
      <c r="B44" t="s">
        <v>5</v>
      </c>
      <c r="C44">
        <v>99574</v>
      </c>
      <c r="D44" t="str">
        <f>"99574"</f>
        <v>99574</v>
      </c>
      <c r="E44" t="s">
        <v>6</v>
      </c>
    </row>
    <row r="45" spans="1:5" x14ac:dyDescent="0.2">
      <c r="A45">
        <v>99575</v>
      </c>
      <c r="B45" t="s">
        <v>5</v>
      </c>
      <c r="C45">
        <v>99575</v>
      </c>
      <c r="D45" t="str">
        <f>"99575"</f>
        <v>99575</v>
      </c>
      <c r="E45" t="s">
        <v>6</v>
      </c>
    </row>
    <row r="46" spans="1:5" x14ac:dyDescent="0.2">
      <c r="A46">
        <v>99576</v>
      </c>
      <c r="B46" t="s">
        <v>5</v>
      </c>
      <c r="C46">
        <v>99576</v>
      </c>
      <c r="D46" t="str">
        <f>"99576"</f>
        <v>99576</v>
      </c>
      <c r="E46" t="s">
        <v>6</v>
      </c>
    </row>
    <row r="47" spans="1:5" x14ac:dyDescent="0.2">
      <c r="A47">
        <v>99577</v>
      </c>
      <c r="B47" t="s">
        <v>5</v>
      </c>
      <c r="C47">
        <v>99577</v>
      </c>
      <c r="D47" t="str">
        <f>"99577"</f>
        <v>99577</v>
      </c>
      <c r="E47">
        <v>86.66</v>
      </c>
    </row>
    <row r="48" spans="1:5" x14ac:dyDescent="0.2">
      <c r="A48">
        <v>99578</v>
      </c>
      <c r="B48" t="s">
        <v>5</v>
      </c>
      <c r="C48">
        <v>99578</v>
      </c>
      <c r="D48" t="str">
        <f>"99578"</f>
        <v>99578</v>
      </c>
      <c r="E48" t="s">
        <v>6</v>
      </c>
    </row>
    <row r="49" spans="1:5" x14ac:dyDescent="0.2">
      <c r="A49">
        <v>99579</v>
      </c>
      <c r="B49" t="s">
        <v>5</v>
      </c>
      <c r="C49">
        <v>99579</v>
      </c>
      <c r="D49" t="str">
        <f>"99579"</f>
        <v>99579</v>
      </c>
      <c r="E49" t="s">
        <v>6</v>
      </c>
    </row>
    <row r="50" spans="1:5" x14ac:dyDescent="0.2">
      <c r="A50">
        <v>99580</v>
      </c>
      <c r="B50" t="s">
        <v>5</v>
      </c>
      <c r="C50">
        <v>99580</v>
      </c>
      <c r="D50" t="str">
        <f>"99580"</f>
        <v>99580</v>
      </c>
      <c r="E50" t="s">
        <v>6</v>
      </c>
    </row>
    <row r="51" spans="1:5" x14ac:dyDescent="0.2">
      <c r="A51">
        <v>99581</v>
      </c>
      <c r="B51" t="s">
        <v>5</v>
      </c>
      <c r="C51">
        <v>99581</v>
      </c>
      <c r="D51" t="str">
        <f>"99581"</f>
        <v>99581</v>
      </c>
      <c r="E51" t="s">
        <v>6</v>
      </c>
    </row>
    <row r="52" spans="1:5" x14ac:dyDescent="0.2">
      <c r="A52">
        <v>99583</v>
      </c>
      <c r="B52" t="s">
        <v>5</v>
      </c>
      <c r="C52">
        <v>99583</v>
      </c>
      <c r="D52" t="str">
        <f>"99583"</f>
        <v>99583</v>
      </c>
      <c r="E52" t="s">
        <v>6</v>
      </c>
    </row>
    <row r="53" spans="1:5" x14ac:dyDescent="0.2">
      <c r="A53">
        <v>99585</v>
      </c>
      <c r="B53" t="s">
        <v>5</v>
      </c>
      <c r="C53">
        <v>99585</v>
      </c>
      <c r="D53" t="str">
        <f>"99585"</f>
        <v>99585</v>
      </c>
      <c r="E53" t="s">
        <v>6</v>
      </c>
    </row>
    <row r="54" spans="1:5" x14ac:dyDescent="0.2">
      <c r="A54">
        <v>99586</v>
      </c>
      <c r="B54" t="s">
        <v>5</v>
      </c>
      <c r="C54">
        <v>99586</v>
      </c>
      <c r="D54" t="str">
        <f>"99586"</f>
        <v>99586</v>
      </c>
      <c r="E54">
        <v>72</v>
      </c>
    </row>
    <row r="55" spans="1:5" x14ac:dyDescent="0.2">
      <c r="A55">
        <v>99587</v>
      </c>
      <c r="B55" t="s">
        <v>5</v>
      </c>
      <c r="C55">
        <v>99587</v>
      </c>
      <c r="D55" t="str">
        <f>"99587"</f>
        <v>99587</v>
      </c>
      <c r="E55" t="s">
        <v>6</v>
      </c>
    </row>
    <row r="56" spans="1:5" x14ac:dyDescent="0.2">
      <c r="A56">
        <v>99588</v>
      </c>
      <c r="B56" t="s">
        <v>5</v>
      </c>
      <c r="C56">
        <v>99588</v>
      </c>
      <c r="D56" t="str">
        <f>"99588"</f>
        <v>99588</v>
      </c>
      <c r="E56">
        <v>82.81</v>
      </c>
    </row>
    <row r="57" spans="1:5" x14ac:dyDescent="0.2">
      <c r="A57">
        <v>99589</v>
      </c>
      <c r="B57" t="s">
        <v>5</v>
      </c>
      <c r="C57">
        <v>99589</v>
      </c>
      <c r="D57" t="str">
        <f>"99589"</f>
        <v>99589</v>
      </c>
      <c r="E57" t="s">
        <v>6</v>
      </c>
    </row>
    <row r="58" spans="1:5" x14ac:dyDescent="0.2">
      <c r="A58">
        <v>99590</v>
      </c>
      <c r="B58" t="s">
        <v>5</v>
      </c>
      <c r="C58">
        <v>99590</v>
      </c>
      <c r="D58" t="str">
        <f>"99590"</f>
        <v>99590</v>
      </c>
      <c r="E58" t="s">
        <v>6</v>
      </c>
    </row>
    <row r="59" spans="1:5" x14ac:dyDescent="0.2">
      <c r="A59">
        <v>99591</v>
      </c>
      <c r="B59" t="s">
        <v>5</v>
      </c>
      <c r="C59">
        <v>99591</v>
      </c>
      <c r="D59" t="str">
        <f>"99591"</f>
        <v>99591</v>
      </c>
      <c r="E59" t="s">
        <v>6</v>
      </c>
    </row>
    <row r="60" spans="1:5" x14ac:dyDescent="0.2">
      <c r="A60">
        <v>99602</v>
      </c>
      <c r="B60" t="s">
        <v>5</v>
      </c>
      <c r="C60">
        <v>99602</v>
      </c>
      <c r="D60" t="str">
        <f>"99602"</f>
        <v>99602</v>
      </c>
      <c r="E60" t="s">
        <v>6</v>
      </c>
    </row>
    <row r="61" spans="1:5" x14ac:dyDescent="0.2">
      <c r="A61">
        <v>99603</v>
      </c>
      <c r="B61" t="s">
        <v>5</v>
      </c>
      <c r="C61">
        <v>99603</v>
      </c>
      <c r="D61" t="str">
        <f>"99603"</f>
        <v>99603</v>
      </c>
      <c r="E61">
        <v>76.23</v>
      </c>
    </row>
    <row r="62" spans="1:5" x14ac:dyDescent="0.2">
      <c r="A62">
        <v>99604</v>
      </c>
      <c r="B62" t="s">
        <v>5</v>
      </c>
      <c r="C62">
        <v>99604</v>
      </c>
      <c r="D62" t="str">
        <f>"99604"</f>
        <v>99604</v>
      </c>
      <c r="E62" t="s">
        <v>6</v>
      </c>
    </row>
    <row r="63" spans="1:5" x14ac:dyDescent="0.2">
      <c r="A63">
        <v>99605</v>
      </c>
      <c r="B63" t="s">
        <v>5</v>
      </c>
      <c r="C63">
        <v>99605</v>
      </c>
      <c r="D63" t="str">
        <f>"99605"</f>
        <v>99605</v>
      </c>
      <c r="E63" t="s">
        <v>6</v>
      </c>
    </row>
    <row r="64" spans="1:5" x14ac:dyDescent="0.2">
      <c r="A64">
        <v>99606</v>
      </c>
      <c r="B64" t="s">
        <v>5</v>
      </c>
      <c r="C64">
        <v>99606</v>
      </c>
      <c r="D64" t="str">
        <f>"99606"</f>
        <v>99606</v>
      </c>
      <c r="E64" t="s">
        <v>6</v>
      </c>
    </row>
    <row r="65" spans="1:5" x14ac:dyDescent="0.2">
      <c r="A65">
        <v>99607</v>
      </c>
      <c r="B65" t="s">
        <v>5</v>
      </c>
      <c r="C65">
        <v>99607</v>
      </c>
      <c r="D65" t="str">
        <f>"99607"</f>
        <v>99607</v>
      </c>
      <c r="E65" t="s">
        <v>6</v>
      </c>
    </row>
    <row r="66" spans="1:5" x14ac:dyDescent="0.2">
      <c r="A66">
        <v>99608</v>
      </c>
      <c r="B66" t="s">
        <v>5</v>
      </c>
      <c r="C66">
        <v>99608</v>
      </c>
      <c r="D66" t="str">
        <f>"99608"</f>
        <v>99608</v>
      </c>
      <c r="E66" t="s">
        <v>6</v>
      </c>
    </row>
    <row r="67" spans="1:5" x14ac:dyDescent="0.2">
      <c r="A67">
        <v>99609</v>
      </c>
      <c r="B67" t="s">
        <v>5</v>
      </c>
      <c r="C67">
        <v>99609</v>
      </c>
      <c r="D67" t="str">
        <f>"99609"</f>
        <v>99609</v>
      </c>
      <c r="E67" t="s">
        <v>6</v>
      </c>
    </row>
    <row r="68" spans="1:5" x14ac:dyDescent="0.2">
      <c r="A68">
        <v>99610</v>
      </c>
      <c r="B68" t="s">
        <v>5</v>
      </c>
      <c r="C68">
        <v>99610</v>
      </c>
      <c r="D68" t="str">
        <f>"99610"</f>
        <v>99610</v>
      </c>
      <c r="E68">
        <v>78.38</v>
      </c>
    </row>
    <row r="69" spans="1:5" x14ac:dyDescent="0.2">
      <c r="A69">
        <v>99611</v>
      </c>
      <c r="B69" t="s">
        <v>5</v>
      </c>
      <c r="C69">
        <v>99611</v>
      </c>
      <c r="D69" t="str">
        <f>"99611"</f>
        <v>99611</v>
      </c>
      <c r="E69">
        <v>78.86</v>
      </c>
    </row>
    <row r="70" spans="1:5" x14ac:dyDescent="0.2">
      <c r="A70">
        <v>99612</v>
      </c>
      <c r="B70" t="s">
        <v>5</v>
      </c>
      <c r="C70">
        <v>99612</v>
      </c>
      <c r="D70" t="str">
        <f>"99612"</f>
        <v>99612</v>
      </c>
      <c r="E70" t="s">
        <v>6</v>
      </c>
    </row>
    <row r="71" spans="1:5" x14ac:dyDescent="0.2">
      <c r="A71">
        <v>99613</v>
      </c>
      <c r="B71" t="s">
        <v>5</v>
      </c>
      <c r="C71">
        <v>99613</v>
      </c>
      <c r="D71" t="str">
        <f>"99613"</f>
        <v>99613</v>
      </c>
      <c r="E71" t="s">
        <v>6</v>
      </c>
    </row>
    <row r="72" spans="1:5" x14ac:dyDescent="0.2">
      <c r="A72">
        <v>99614</v>
      </c>
      <c r="B72" t="s">
        <v>5</v>
      </c>
      <c r="C72">
        <v>99614</v>
      </c>
      <c r="D72" t="str">
        <f>"99614"</f>
        <v>99614</v>
      </c>
      <c r="E72" t="s">
        <v>6</v>
      </c>
    </row>
    <row r="73" spans="1:5" x14ac:dyDescent="0.2">
      <c r="A73">
        <v>99615</v>
      </c>
      <c r="B73" t="s">
        <v>5</v>
      </c>
      <c r="C73">
        <v>99615</v>
      </c>
      <c r="D73" t="str">
        <f>"99615"</f>
        <v>99615</v>
      </c>
      <c r="E73">
        <v>80.73</v>
      </c>
    </row>
    <row r="74" spans="1:5" x14ac:dyDescent="0.2">
      <c r="A74">
        <v>99620</v>
      </c>
      <c r="B74" t="s">
        <v>5</v>
      </c>
      <c r="C74">
        <v>99620</v>
      </c>
      <c r="D74" t="str">
        <f>"99620"</f>
        <v>99620</v>
      </c>
      <c r="E74" t="s">
        <v>6</v>
      </c>
    </row>
    <row r="75" spans="1:5" x14ac:dyDescent="0.2">
      <c r="A75">
        <v>99621</v>
      </c>
      <c r="B75" t="s">
        <v>5</v>
      </c>
      <c r="C75">
        <v>99621</v>
      </c>
      <c r="D75" t="str">
        <f>"99621"</f>
        <v>99621</v>
      </c>
      <c r="E75" t="s">
        <v>6</v>
      </c>
    </row>
    <row r="76" spans="1:5" x14ac:dyDescent="0.2">
      <c r="A76">
        <v>99622</v>
      </c>
      <c r="B76" t="s">
        <v>5</v>
      </c>
      <c r="C76">
        <v>99622</v>
      </c>
      <c r="D76" t="str">
        <f>"99622"</f>
        <v>99622</v>
      </c>
      <c r="E76" t="s">
        <v>6</v>
      </c>
    </row>
    <row r="77" spans="1:5" x14ac:dyDescent="0.2">
      <c r="A77">
        <v>99623</v>
      </c>
      <c r="B77" t="s">
        <v>5</v>
      </c>
      <c r="C77">
        <v>99623</v>
      </c>
      <c r="D77" t="str">
        <f>"99623"</f>
        <v>99623</v>
      </c>
      <c r="E77" t="s">
        <v>6</v>
      </c>
    </row>
    <row r="78" spans="1:5" x14ac:dyDescent="0.2">
      <c r="A78">
        <v>99624</v>
      </c>
      <c r="B78" t="s">
        <v>5</v>
      </c>
      <c r="C78">
        <v>99624</v>
      </c>
      <c r="D78" t="str">
        <f>"99624"</f>
        <v>99624</v>
      </c>
      <c r="E78" t="s">
        <v>6</v>
      </c>
    </row>
    <row r="79" spans="1:5" x14ac:dyDescent="0.2">
      <c r="A79">
        <v>99625</v>
      </c>
      <c r="B79" t="s">
        <v>5</v>
      </c>
      <c r="C79">
        <v>99625</v>
      </c>
      <c r="D79" t="str">
        <f>"99625"</f>
        <v>99625</v>
      </c>
      <c r="E79" t="s">
        <v>6</v>
      </c>
    </row>
    <row r="80" spans="1:5" x14ac:dyDescent="0.2">
      <c r="A80">
        <v>99626</v>
      </c>
      <c r="B80" t="s">
        <v>5</v>
      </c>
      <c r="C80">
        <v>99626</v>
      </c>
      <c r="D80" t="str">
        <f>"99626"</f>
        <v>99626</v>
      </c>
      <c r="E80" t="s">
        <v>6</v>
      </c>
    </row>
    <row r="81" spans="1:5" x14ac:dyDescent="0.2">
      <c r="A81">
        <v>99627</v>
      </c>
      <c r="B81" t="s">
        <v>5</v>
      </c>
      <c r="C81">
        <v>99627</v>
      </c>
      <c r="D81" t="str">
        <f>"99627"</f>
        <v>99627</v>
      </c>
      <c r="E81" t="s">
        <v>6</v>
      </c>
    </row>
    <row r="82" spans="1:5" x14ac:dyDescent="0.2">
      <c r="A82">
        <v>99628</v>
      </c>
      <c r="B82" t="s">
        <v>5</v>
      </c>
      <c r="C82">
        <v>99628</v>
      </c>
      <c r="D82" t="str">
        <f>"99628"</f>
        <v>99628</v>
      </c>
      <c r="E82" t="s">
        <v>6</v>
      </c>
    </row>
    <row r="83" spans="1:5" x14ac:dyDescent="0.2">
      <c r="A83">
        <v>99630</v>
      </c>
      <c r="B83" t="s">
        <v>5</v>
      </c>
      <c r="C83">
        <v>99630</v>
      </c>
      <c r="D83" t="str">
        <f>"99630"</f>
        <v>99630</v>
      </c>
      <c r="E83" t="s">
        <v>6</v>
      </c>
    </row>
    <row r="84" spans="1:5" x14ac:dyDescent="0.2">
      <c r="A84">
        <v>99631</v>
      </c>
      <c r="B84" t="s">
        <v>5</v>
      </c>
      <c r="C84">
        <v>99631</v>
      </c>
      <c r="D84" t="str">
        <f>"99631"</f>
        <v>99631</v>
      </c>
      <c r="E84">
        <v>78.569999999999993</v>
      </c>
    </row>
    <row r="85" spans="1:5" x14ac:dyDescent="0.2">
      <c r="A85">
        <v>99632</v>
      </c>
      <c r="B85" t="s">
        <v>5</v>
      </c>
      <c r="C85">
        <v>99632</v>
      </c>
      <c r="D85" t="str">
        <f>"99632"</f>
        <v>99632</v>
      </c>
      <c r="E85" t="s">
        <v>6</v>
      </c>
    </row>
    <row r="86" spans="1:5" x14ac:dyDescent="0.2">
      <c r="A86">
        <v>99633</v>
      </c>
      <c r="B86" t="s">
        <v>5</v>
      </c>
      <c r="C86">
        <v>99633</v>
      </c>
      <c r="D86" t="str">
        <f>"99633"</f>
        <v>99633</v>
      </c>
      <c r="E86" t="s">
        <v>6</v>
      </c>
    </row>
    <row r="87" spans="1:5" x14ac:dyDescent="0.2">
      <c r="A87">
        <v>99634</v>
      </c>
      <c r="B87" t="s">
        <v>5</v>
      </c>
      <c r="C87">
        <v>99634</v>
      </c>
      <c r="D87" t="str">
        <f>"99634"</f>
        <v>99634</v>
      </c>
      <c r="E87" t="s">
        <v>6</v>
      </c>
    </row>
    <row r="88" spans="1:5" x14ac:dyDescent="0.2">
      <c r="A88">
        <v>99636</v>
      </c>
      <c r="B88" t="s">
        <v>5</v>
      </c>
      <c r="C88">
        <v>99636</v>
      </c>
      <c r="D88" t="str">
        <f>"99636"</f>
        <v>99636</v>
      </c>
      <c r="E88" t="s">
        <v>6</v>
      </c>
    </row>
    <row r="89" spans="1:5" x14ac:dyDescent="0.2">
      <c r="A89">
        <v>99637</v>
      </c>
      <c r="B89" t="s">
        <v>5</v>
      </c>
      <c r="C89">
        <v>99637</v>
      </c>
      <c r="D89" t="str">
        <f>"99637"</f>
        <v>99637</v>
      </c>
      <c r="E89" t="s">
        <v>6</v>
      </c>
    </row>
    <row r="90" spans="1:5" x14ac:dyDescent="0.2">
      <c r="A90">
        <v>99638</v>
      </c>
      <c r="B90" t="s">
        <v>5</v>
      </c>
      <c r="C90">
        <v>99638</v>
      </c>
      <c r="D90" t="str">
        <f>"99638"</f>
        <v>99638</v>
      </c>
      <c r="E90" t="s">
        <v>6</v>
      </c>
    </row>
    <row r="91" spans="1:5" x14ac:dyDescent="0.2">
      <c r="A91">
        <v>99639</v>
      </c>
      <c r="B91" t="s">
        <v>5</v>
      </c>
      <c r="C91">
        <v>99639</v>
      </c>
      <c r="D91" t="str">
        <f>"99639"</f>
        <v>99639</v>
      </c>
      <c r="E91">
        <v>71.930000000000007</v>
      </c>
    </row>
    <row r="92" spans="1:5" x14ac:dyDescent="0.2">
      <c r="A92">
        <v>99640</v>
      </c>
      <c r="B92" t="s">
        <v>5</v>
      </c>
      <c r="C92">
        <v>99640</v>
      </c>
      <c r="D92" t="str">
        <f>"99640"</f>
        <v>99640</v>
      </c>
      <c r="E92" t="s">
        <v>6</v>
      </c>
    </row>
    <row r="93" spans="1:5" x14ac:dyDescent="0.2">
      <c r="A93">
        <v>99641</v>
      </c>
      <c r="B93" t="s">
        <v>5</v>
      </c>
      <c r="C93">
        <v>99641</v>
      </c>
      <c r="D93" t="str">
        <f>"99641"</f>
        <v>99641</v>
      </c>
      <c r="E93" t="s">
        <v>6</v>
      </c>
    </row>
    <row r="94" spans="1:5" x14ac:dyDescent="0.2">
      <c r="A94">
        <v>99643</v>
      </c>
      <c r="B94" t="s">
        <v>5</v>
      </c>
      <c r="C94">
        <v>99643</v>
      </c>
      <c r="D94" t="str">
        <f>"99643"</f>
        <v>99643</v>
      </c>
      <c r="E94" t="s">
        <v>6</v>
      </c>
    </row>
    <row r="95" spans="1:5" x14ac:dyDescent="0.2">
      <c r="A95">
        <v>99644</v>
      </c>
      <c r="B95" t="s">
        <v>5</v>
      </c>
      <c r="C95">
        <v>99644</v>
      </c>
      <c r="D95" t="str">
        <f>"99644"</f>
        <v>99644</v>
      </c>
      <c r="E95" t="s">
        <v>6</v>
      </c>
    </row>
    <row r="96" spans="1:5" x14ac:dyDescent="0.2">
      <c r="A96">
        <v>99645</v>
      </c>
      <c r="B96" t="s">
        <v>5</v>
      </c>
      <c r="C96">
        <v>99645</v>
      </c>
      <c r="D96" t="str">
        <f>"99645"</f>
        <v>99645</v>
      </c>
      <c r="E96">
        <v>81.64</v>
      </c>
    </row>
    <row r="97" spans="1:5" x14ac:dyDescent="0.2">
      <c r="A97">
        <v>99647</v>
      </c>
      <c r="B97" t="s">
        <v>5</v>
      </c>
      <c r="C97">
        <v>99647</v>
      </c>
      <c r="D97" t="str">
        <f>"99647"</f>
        <v>99647</v>
      </c>
      <c r="E97" t="s">
        <v>6</v>
      </c>
    </row>
    <row r="98" spans="1:5" x14ac:dyDescent="0.2">
      <c r="A98">
        <v>99648</v>
      </c>
      <c r="B98" t="s">
        <v>5</v>
      </c>
      <c r="C98">
        <v>99648</v>
      </c>
      <c r="D98" t="str">
        <f>"99648"</f>
        <v>99648</v>
      </c>
      <c r="E98" t="s">
        <v>6</v>
      </c>
    </row>
    <row r="99" spans="1:5" x14ac:dyDescent="0.2">
      <c r="A99">
        <v>99649</v>
      </c>
      <c r="B99" t="s">
        <v>5</v>
      </c>
      <c r="C99">
        <v>99649</v>
      </c>
      <c r="D99" t="str">
        <f>"99649"</f>
        <v>99649</v>
      </c>
      <c r="E99" t="s">
        <v>6</v>
      </c>
    </row>
    <row r="100" spans="1:5" x14ac:dyDescent="0.2">
      <c r="A100">
        <v>99650</v>
      </c>
      <c r="B100" t="s">
        <v>5</v>
      </c>
      <c r="C100">
        <v>99650</v>
      </c>
      <c r="D100" t="str">
        <f>"99650"</f>
        <v>99650</v>
      </c>
      <c r="E100" t="s">
        <v>6</v>
      </c>
    </row>
    <row r="101" spans="1:5" x14ac:dyDescent="0.2">
      <c r="A101">
        <v>99651</v>
      </c>
      <c r="B101" t="s">
        <v>5</v>
      </c>
      <c r="C101">
        <v>99651</v>
      </c>
      <c r="D101" t="str">
        <f>"99651"</f>
        <v>99651</v>
      </c>
      <c r="E101" t="s">
        <v>6</v>
      </c>
    </row>
    <row r="102" spans="1:5" x14ac:dyDescent="0.2">
      <c r="A102">
        <v>99653</v>
      </c>
      <c r="B102" t="s">
        <v>5</v>
      </c>
      <c r="C102">
        <v>99653</v>
      </c>
      <c r="D102" t="str">
        <f>"99653"</f>
        <v>99653</v>
      </c>
      <c r="E102" t="s">
        <v>6</v>
      </c>
    </row>
    <row r="103" spans="1:5" x14ac:dyDescent="0.2">
      <c r="A103">
        <v>99654</v>
      </c>
      <c r="B103" t="s">
        <v>5</v>
      </c>
      <c r="C103">
        <v>99654</v>
      </c>
      <c r="D103" t="str">
        <f>"99654"</f>
        <v>99654</v>
      </c>
      <c r="E103">
        <v>80.16</v>
      </c>
    </row>
    <row r="104" spans="1:5" x14ac:dyDescent="0.2">
      <c r="A104">
        <v>99655</v>
      </c>
      <c r="B104" t="s">
        <v>5</v>
      </c>
      <c r="C104">
        <v>99655</v>
      </c>
      <c r="D104" t="str">
        <f>"99655"</f>
        <v>99655</v>
      </c>
      <c r="E104" t="s">
        <v>6</v>
      </c>
    </row>
    <row r="105" spans="1:5" x14ac:dyDescent="0.2">
      <c r="A105">
        <v>99656</v>
      </c>
      <c r="B105" t="s">
        <v>5</v>
      </c>
      <c r="C105">
        <v>99656</v>
      </c>
      <c r="D105" t="str">
        <f>"99656"</f>
        <v>99656</v>
      </c>
      <c r="E105" t="s">
        <v>6</v>
      </c>
    </row>
    <row r="106" spans="1:5" x14ac:dyDescent="0.2">
      <c r="A106">
        <v>99657</v>
      </c>
      <c r="B106" t="s">
        <v>5</v>
      </c>
      <c r="C106">
        <v>99657</v>
      </c>
      <c r="D106" t="str">
        <f>"99657"</f>
        <v>99657</v>
      </c>
      <c r="E106" t="s">
        <v>6</v>
      </c>
    </row>
    <row r="107" spans="1:5" x14ac:dyDescent="0.2">
      <c r="A107">
        <v>99658</v>
      </c>
      <c r="B107" t="s">
        <v>5</v>
      </c>
      <c r="C107">
        <v>99658</v>
      </c>
      <c r="D107" t="str">
        <f>"99658"</f>
        <v>99658</v>
      </c>
      <c r="E107" t="s">
        <v>6</v>
      </c>
    </row>
    <row r="108" spans="1:5" x14ac:dyDescent="0.2">
      <c r="A108">
        <v>99659</v>
      </c>
      <c r="B108" t="s">
        <v>5</v>
      </c>
      <c r="C108">
        <v>99659</v>
      </c>
      <c r="D108" t="str">
        <f>"99659"</f>
        <v>99659</v>
      </c>
      <c r="E108" t="s">
        <v>6</v>
      </c>
    </row>
    <row r="109" spans="1:5" x14ac:dyDescent="0.2">
      <c r="A109">
        <v>99660</v>
      </c>
      <c r="B109" t="s">
        <v>5</v>
      </c>
      <c r="C109">
        <v>99660</v>
      </c>
      <c r="D109" t="str">
        <f>"99660"</f>
        <v>99660</v>
      </c>
      <c r="E109" t="s">
        <v>6</v>
      </c>
    </row>
    <row r="110" spans="1:5" x14ac:dyDescent="0.2">
      <c r="A110">
        <v>99661</v>
      </c>
      <c r="B110" t="s">
        <v>5</v>
      </c>
      <c r="C110">
        <v>99661</v>
      </c>
      <c r="D110" t="str">
        <f>"99661"</f>
        <v>99661</v>
      </c>
      <c r="E110" t="s">
        <v>6</v>
      </c>
    </row>
    <row r="111" spans="1:5" x14ac:dyDescent="0.2">
      <c r="A111">
        <v>99662</v>
      </c>
      <c r="B111" t="s">
        <v>5</v>
      </c>
      <c r="C111">
        <v>99662</v>
      </c>
      <c r="D111" t="str">
        <f>"99662"</f>
        <v>99662</v>
      </c>
      <c r="E111" t="s">
        <v>6</v>
      </c>
    </row>
    <row r="112" spans="1:5" x14ac:dyDescent="0.2">
      <c r="A112">
        <v>99663</v>
      </c>
      <c r="B112" t="s">
        <v>5</v>
      </c>
      <c r="C112">
        <v>99663</v>
      </c>
      <c r="D112" t="str">
        <f>"99663"</f>
        <v>99663</v>
      </c>
      <c r="E112" t="s">
        <v>6</v>
      </c>
    </row>
    <row r="113" spans="1:5" x14ac:dyDescent="0.2">
      <c r="A113">
        <v>99664</v>
      </c>
      <c r="B113" t="s">
        <v>5</v>
      </c>
      <c r="C113">
        <v>99664</v>
      </c>
      <c r="D113" t="str">
        <f>"99664"</f>
        <v>99664</v>
      </c>
      <c r="E113">
        <v>84.3</v>
      </c>
    </row>
    <row r="114" spans="1:5" x14ac:dyDescent="0.2">
      <c r="A114">
        <v>99665</v>
      </c>
      <c r="B114" t="s">
        <v>5</v>
      </c>
      <c r="C114">
        <v>99665</v>
      </c>
      <c r="D114" t="str">
        <f>"99665"</f>
        <v>99665</v>
      </c>
      <c r="E114" t="s">
        <v>6</v>
      </c>
    </row>
    <row r="115" spans="1:5" x14ac:dyDescent="0.2">
      <c r="A115">
        <v>99666</v>
      </c>
      <c r="B115" t="s">
        <v>5</v>
      </c>
      <c r="C115">
        <v>99666</v>
      </c>
      <c r="D115" t="str">
        <f>"99666"</f>
        <v>99666</v>
      </c>
      <c r="E115" t="s">
        <v>6</v>
      </c>
    </row>
    <row r="116" spans="1:5" x14ac:dyDescent="0.2">
      <c r="A116">
        <v>99667</v>
      </c>
      <c r="B116" t="s">
        <v>5</v>
      </c>
      <c r="C116">
        <v>99667</v>
      </c>
      <c r="D116" t="str">
        <f>"99667"</f>
        <v>99667</v>
      </c>
      <c r="E116" t="s">
        <v>6</v>
      </c>
    </row>
    <row r="117" spans="1:5" x14ac:dyDescent="0.2">
      <c r="A117">
        <v>99668</v>
      </c>
      <c r="B117" t="s">
        <v>5</v>
      </c>
      <c r="C117">
        <v>99668</v>
      </c>
      <c r="D117" t="str">
        <f>"99668"</f>
        <v>99668</v>
      </c>
      <c r="E117" t="s">
        <v>6</v>
      </c>
    </row>
    <row r="118" spans="1:5" x14ac:dyDescent="0.2">
      <c r="A118">
        <v>99669</v>
      </c>
      <c r="B118" t="s">
        <v>5</v>
      </c>
      <c r="C118">
        <v>99669</v>
      </c>
      <c r="D118" t="str">
        <f>"99669"</f>
        <v>99669</v>
      </c>
      <c r="E118">
        <v>80.89</v>
      </c>
    </row>
    <row r="119" spans="1:5" x14ac:dyDescent="0.2">
      <c r="A119">
        <v>99670</v>
      </c>
      <c r="B119" t="s">
        <v>5</v>
      </c>
      <c r="C119">
        <v>99670</v>
      </c>
      <c r="D119" t="str">
        <f>"99670"</f>
        <v>99670</v>
      </c>
      <c r="E119" t="s">
        <v>6</v>
      </c>
    </row>
    <row r="120" spans="1:5" x14ac:dyDescent="0.2">
      <c r="A120">
        <v>99671</v>
      </c>
      <c r="B120" t="s">
        <v>5</v>
      </c>
      <c r="C120">
        <v>99671</v>
      </c>
      <c r="D120" t="str">
        <f>"99671"</f>
        <v>99671</v>
      </c>
      <c r="E120" t="s">
        <v>6</v>
      </c>
    </row>
    <row r="121" spans="1:5" x14ac:dyDescent="0.2">
      <c r="A121">
        <v>99672</v>
      </c>
      <c r="B121" t="s">
        <v>5</v>
      </c>
      <c r="C121">
        <v>99672</v>
      </c>
      <c r="D121" t="str">
        <f>"99672"</f>
        <v>99672</v>
      </c>
      <c r="E121">
        <v>80.489999999999995</v>
      </c>
    </row>
    <row r="122" spans="1:5" x14ac:dyDescent="0.2">
      <c r="A122">
        <v>99674</v>
      </c>
      <c r="B122" t="s">
        <v>5</v>
      </c>
      <c r="C122">
        <v>99674</v>
      </c>
      <c r="D122" t="str">
        <f>"99674"</f>
        <v>99674</v>
      </c>
      <c r="E122">
        <v>72.459999999999994</v>
      </c>
    </row>
    <row r="123" spans="1:5" x14ac:dyDescent="0.2">
      <c r="A123">
        <v>99675</v>
      </c>
      <c r="B123" t="s">
        <v>5</v>
      </c>
      <c r="C123">
        <v>99675</v>
      </c>
      <c r="D123" t="str">
        <f>"99675"</f>
        <v>99675</v>
      </c>
      <c r="E123" t="s">
        <v>6</v>
      </c>
    </row>
    <row r="124" spans="1:5" x14ac:dyDescent="0.2">
      <c r="A124">
        <v>99676</v>
      </c>
      <c r="B124" t="s">
        <v>5</v>
      </c>
      <c r="C124">
        <v>99676</v>
      </c>
      <c r="D124" t="str">
        <f>"99676"</f>
        <v>99676</v>
      </c>
      <c r="E124">
        <v>76.53</v>
      </c>
    </row>
    <row r="125" spans="1:5" x14ac:dyDescent="0.2">
      <c r="A125">
        <v>99677</v>
      </c>
      <c r="B125" t="s">
        <v>5</v>
      </c>
      <c r="C125">
        <v>99677</v>
      </c>
      <c r="D125" t="str">
        <f>"99677"</f>
        <v>99677</v>
      </c>
      <c r="E125" t="s">
        <v>6</v>
      </c>
    </row>
    <row r="126" spans="1:5" x14ac:dyDescent="0.2">
      <c r="A126">
        <v>99678</v>
      </c>
      <c r="B126" t="s">
        <v>5</v>
      </c>
      <c r="C126">
        <v>99678</v>
      </c>
      <c r="D126" t="str">
        <f>"99678"</f>
        <v>99678</v>
      </c>
      <c r="E126" t="s">
        <v>6</v>
      </c>
    </row>
    <row r="127" spans="1:5" x14ac:dyDescent="0.2">
      <c r="A127">
        <v>99679</v>
      </c>
      <c r="B127" t="s">
        <v>5</v>
      </c>
      <c r="C127">
        <v>99679</v>
      </c>
      <c r="D127" t="str">
        <f>"99679"</f>
        <v>99679</v>
      </c>
      <c r="E127" t="s">
        <v>6</v>
      </c>
    </row>
    <row r="128" spans="1:5" x14ac:dyDescent="0.2">
      <c r="A128">
        <v>99680</v>
      </c>
      <c r="B128" t="s">
        <v>5</v>
      </c>
      <c r="C128">
        <v>99680</v>
      </c>
      <c r="D128" t="str">
        <f>"99680"</f>
        <v>99680</v>
      </c>
      <c r="E128" t="s">
        <v>6</v>
      </c>
    </row>
    <row r="129" spans="1:5" x14ac:dyDescent="0.2">
      <c r="A129">
        <v>99681</v>
      </c>
      <c r="B129" t="s">
        <v>5</v>
      </c>
      <c r="C129">
        <v>99681</v>
      </c>
      <c r="D129" t="str">
        <f>"99681"</f>
        <v>99681</v>
      </c>
      <c r="E129" t="s">
        <v>6</v>
      </c>
    </row>
    <row r="130" spans="1:5" x14ac:dyDescent="0.2">
      <c r="A130">
        <v>99682</v>
      </c>
      <c r="B130" t="s">
        <v>5</v>
      </c>
      <c r="C130">
        <v>99682</v>
      </c>
      <c r="D130" t="str">
        <f>"99682"</f>
        <v>99682</v>
      </c>
      <c r="E130" t="s">
        <v>6</v>
      </c>
    </row>
    <row r="131" spans="1:5" x14ac:dyDescent="0.2">
      <c r="A131">
        <v>99683</v>
      </c>
      <c r="B131" t="s">
        <v>5</v>
      </c>
      <c r="C131">
        <v>99683</v>
      </c>
      <c r="D131" t="str">
        <f>"99683"</f>
        <v>99683</v>
      </c>
      <c r="E131" t="s">
        <v>6</v>
      </c>
    </row>
    <row r="132" spans="1:5" x14ac:dyDescent="0.2">
      <c r="A132">
        <v>99684</v>
      </c>
      <c r="B132" t="s">
        <v>5</v>
      </c>
      <c r="C132">
        <v>99684</v>
      </c>
      <c r="D132" t="str">
        <f>"99684"</f>
        <v>99684</v>
      </c>
      <c r="E132" t="s">
        <v>6</v>
      </c>
    </row>
    <row r="133" spans="1:5" x14ac:dyDescent="0.2">
      <c r="A133">
        <v>99685</v>
      </c>
      <c r="B133" t="s">
        <v>5</v>
      </c>
      <c r="C133">
        <v>99685</v>
      </c>
      <c r="D133" t="str">
        <f>"99685"</f>
        <v>99685</v>
      </c>
      <c r="E133" t="s">
        <v>6</v>
      </c>
    </row>
    <row r="134" spans="1:5" x14ac:dyDescent="0.2">
      <c r="A134">
        <v>99686</v>
      </c>
      <c r="B134" t="s">
        <v>5</v>
      </c>
      <c r="C134">
        <v>99686</v>
      </c>
      <c r="D134" t="str">
        <f>"99686"</f>
        <v>99686</v>
      </c>
      <c r="E134">
        <v>86.57</v>
      </c>
    </row>
    <row r="135" spans="1:5" x14ac:dyDescent="0.2">
      <c r="A135">
        <v>99687</v>
      </c>
      <c r="B135" t="s">
        <v>5</v>
      </c>
      <c r="C135">
        <v>99687</v>
      </c>
      <c r="D135" t="str">
        <f>"99687"</f>
        <v>99687</v>
      </c>
      <c r="E135" t="s">
        <v>6</v>
      </c>
    </row>
    <row r="136" spans="1:5" x14ac:dyDescent="0.2">
      <c r="A136">
        <v>99688</v>
      </c>
      <c r="B136" t="s">
        <v>5</v>
      </c>
      <c r="C136">
        <v>99688</v>
      </c>
      <c r="D136" t="str">
        <f>"99688"</f>
        <v>99688</v>
      </c>
      <c r="E136">
        <v>75</v>
      </c>
    </row>
    <row r="137" spans="1:5" x14ac:dyDescent="0.2">
      <c r="A137">
        <v>99689</v>
      </c>
      <c r="B137" t="s">
        <v>5</v>
      </c>
      <c r="C137">
        <v>99689</v>
      </c>
      <c r="D137" t="str">
        <f>"99689"</f>
        <v>99689</v>
      </c>
      <c r="E137" t="s">
        <v>6</v>
      </c>
    </row>
    <row r="138" spans="1:5" x14ac:dyDescent="0.2">
      <c r="A138">
        <v>99690</v>
      </c>
      <c r="B138" t="s">
        <v>5</v>
      </c>
      <c r="C138">
        <v>99690</v>
      </c>
      <c r="D138" t="str">
        <f>"99690"</f>
        <v>99690</v>
      </c>
      <c r="E138" t="s">
        <v>6</v>
      </c>
    </row>
    <row r="139" spans="1:5" x14ac:dyDescent="0.2">
      <c r="A139">
        <v>99691</v>
      </c>
      <c r="B139" t="s">
        <v>5</v>
      </c>
      <c r="C139">
        <v>99691</v>
      </c>
      <c r="D139" t="str">
        <f>"99691"</f>
        <v>99691</v>
      </c>
      <c r="E139" t="s">
        <v>6</v>
      </c>
    </row>
    <row r="140" spans="1:5" x14ac:dyDescent="0.2">
      <c r="A140">
        <v>99692</v>
      </c>
      <c r="B140" t="s">
        <v>5</v>
      </c>
      <c r="C140">
        <v>99692</v>
      </c>
      <c r="D140" t="str">
        <f>"99692"</f>
        <v>99692</v>
      </c>
      <c r="E140" t="s">
        <v>6</v>
      </c>
    </row>
    <row r="141" spans="1:5" x14ac:dyDescent="0.2">
      <c r="A141">
        <v>99693</v>
      </c>
      <c r="B141" t="s">
        <v>5</v>
      </c>
      <c r="C141">
        <v>99693</v>
      </c>
      <c r="D141" t="str">
        <f>"99693"</f>
        <v>99693</v>
      </c>
      <c r="E141" t="s">
        <v>6</v>
      </c>
    </row>
    <row r="142" spans="1:5" x14ac:dyDescent="0.2">
      <c r="A142">
        <v>99694</v>
      </c>
      <c r="B142" t="s">
        <v>5</v>
      </c>
      <c r="C142">
        <v>99694</v>
      </c>
      <c r="D142" t="str">
        <f>"99694"</f>
        <v>99694</v>
      </c>
      <c r="E142" t="s">
        <v>6</v>
      </c>
    </row>
    <row r="143" spans="1:5" x14ac:dyDescent="0.2">
      <c r="A143">
        <v>99695</v>
      </c>
      <c r="B143" t="s">
        <v>5</v>
      </c>
      <c r="C143">
        <v>99695</v>
      </c>
      <c r="D143" t="str">
        <f>"99695"</f>
        <v>99695</v>
      </c>
      <c r="E143" t="s">
        <v>6</v>
      </c>
    </row>
    <row r="144" spans="1:5" x14ac:dyDescent="0.2">
      <c r="A144">
        <v>99701</v>
      </c>
      <c r="B144" t="s">
        <v>5</v>
      </c>
      <c r="C144">
        <v>99701</v>
      </c>
      <c r="D144" t="str">
        <f>"99701"</f>
        <v>99701</v>
      </c>
      <c r="E144">
        <v>76.849999999999994</v>
      </c>
    </row>
    <row r="145" spans="1:5" x14ac:dyDescent="0.2">
      <c r="A145">
        <v>99702</v>
      </c>
      <c r="B145" t="s">
        <v>5</v>
      </c>
      <c r="C145">
        <v>99702</v>
      </c>
      <c r="D145" t="str">
        <f>"99702"</f>
        <v>99702</v>
      </c>
      <c r="E145">
        <v>77.78</v>
      </c>
    </row>
    <row r="146" spans="1:5" x14ac:dyDescent="0.2">
      <c r="A146">
        <v>99703</v>
      </c>
      <c r="B146" t="s">
        <v>5</v>
      </c>
      <c r="C146">
        <v>99703</v>
      </c>
      <c r="D146" t="str">
        <f>"99703"</f>
        <v>99703</v>
      </c>
      <c r="E146">
        <v>72.25</v>
      </c>
    </row>
    <row r="147" spans="1:5" x14ac:dyDescent="0.2">
      <c r="A147">
        <v>99704</v>
      </c>
      <c r="B147" t="s">
        <v>5</v>
      </c>
      <c r="C147">
        <v>99704</v>
      </c>
      <c r="D147" t="str">
        <f>"99704"</f>
        <v>99704</v>
      </c>
      <c r="E147" t="s">
        <v>6</v>
      </c>
    </row>
    <row r="148" spans="1:5" x14ac:dyDescent="0.2">
      <c r="A148">
        <v>99705</v>
      </c>
      <c r="B148" t="s">
        <v>5</v>
      </c>
      <c r="C148">
        <v>99705</v>
      </c>
      <c r="D148" t="str">
        <f>"99705"</f>
        <v>99705</v>
      </c>
      <c r="E148">
        <v>83.81</v>
      </c>
    </row>
    <row r="149" spans="1:5" x14ac:dyDescent="0.2">
      <c r="A149">
        <v>99706</v>
      </c>
      <c r="B149" t="s">
        <v>5</v>
      </c>
      <c r="C149">
        <v>99706</v>
      </c>
      <c r="D149" t="str">
        <f>"99706"</f>
        <v>99706</v>
      </c>
      <c r="E149" t="s">
        <v>6</v>
      </c>
    </row>
    <row r="150" spans="1:5" x14ac:dyDescent="0.2">
      <c r="A150">
        <v>99709</v>
      </c>
      <c r="B150" t="s">
        <v>5</v>
      </c>
      <c r="C150">
        <v>99709</v>
      </c>
      <c r="D150" t="str">
        <f>"99709"</f>
        <v>99709</v>
      </c>
      <c r="E150">
        <v>83.72</v>
      </c>
    </row>
    <row r="151" spans="1:5" x14ac:dyDescent="0.2">
      <c r="A151">
        <v>99712</v>
      </c>
      <c r="B151" t="s">
        <v>5</v>
      </c>
      <c r="C151">
        <v>99712</v>
      </c>
      <c r="D151" t="str">
        <f>"99712"</f>
        <v>99712</v>
      </c>
      <c r="E151">
        <v>84.3</v>
      </c>
    </row>
    <row r="152" spans="1:5" x14ac:dyDescent="0.2">
      <c r="A152">
        <v>99714</v>
      </c>
      <c r="B152" t="s">
        <v>5</v>
      </c>
      <c r="C152">
        <v>99714</v>
      </c>
      <c r="D152" t="str">
        <f>"99714"</f>
        <v>99714</v>
      </c>
      <c r="E152">
        <v>84.44</v>
      </c>
    </row>
    <row r="153" spans="1:5" x14ac:dyDescent="0.2">
      <c r="A153">
        <v>99720</v>
      </c>
      <c r="B153" t="s">
        <v>5</v>
      </c>
      <c r="C153">
        <v>99720</v>
      </c>
      <c r="D153" t="str">
        <f>"99720"</f>
        <v>99720</v>
      </c>
      <c r="E153" t="s">
        <v>6</v>
      </c>
    </row>
    <row r="154" spans="1:5" x14ac:dyDescent="0.2">
      <c r="A154">
        <v>99721</v>
      </c>
      <c r="B154" t="s">
        <v>5</v>
      </c>
      <c r="C154">
        <v>99721</v>
      </c>
      <c r="D154" t="str">
        <f>"99721"</f>
        <v>99721</v>
      </c>
      <c r="E154" t="s">
        <v>6</v>
      </c>
    </row>
    <row r="155" spans="1:5" x14ac:dyDescent="0.2">
      <c r="A155">
        <v>99722</v>
      </c>
      <c r="B155" t="s">
        <v>5</v>
      </c>
      <c r="C155">
        <v>99722</v>
      </c>
      <c r="D155" t="str">
        <f>"99722"</f>
        <v>99722</v>
      </c>
      <c r="E155" t="s">
        <v>6</v>
      </c>
    </row>
    <row r="156" spans="1:5" x14ac:dyDescent="0.2">
      <c r="A156">
        <v>99723</v>
      </c>
      <c r="B156" t="s">
        <v>5</v>
      </c>
      <c r="C156">
        <v>99723</v>
      </c>
      <c r="D156" t="str">
        <f>"99723"</f>
        <v>99723</v>
      </c>
      <c r="E156" t="s">
        <v>6</v>
      </c>
    </row>
    <row r="157" spans="1:5" x14ac:dyDescent="0.2">
      <c r="A157">
        <v>99724</v>
      </c>
      <c r="B157" t="s">
        <v>5</v>
      </c>
      <c r="C157">
        <v>99724</v>
      </c>
      <c r="D157" t="str">
        <f>"99724"</f>
        <v>99724</v>
      </c>
      <c r="E157" t="s">
        <v>6</v>
      </c>
    </row>
    <row r="158" spans="1:5" x14ac:dyDescent="0.2">
      <c r="A158">
        <v>99726</v>
      </c>
      <c r="B158" t="s">
        <v>5</v>
      </c>
      <c r="C158">
        <v>99726</v>
      </c>
      <c r="D158" t="str">
        <f>"99726"</f>
        <v>99726</v>
      </c>
      <c r="E158" t="s">
        <v>6</v>
      </c>
    </row>
    <row r="159" spans="1:5" x14ac:dyDescent="0.2">
      <c r="A159">
        <v>99727</v>
      </c>
      <c r="B159" t="s">
        <v>5</v>
      </c>
      <c r="C159">
        <v>99727</v>
      </c>
      <c r="D159" t="str">
        <f>"99727"</f>
        <v>99727</v>
      </c>
      <c r="E159" t="s">
        <v>6</v>
      </c>
    </row>
    <row r="160" spans="1:5" x14ac:dyDescent="0.2">
      <c r="A160">
        <v>99729</v>
      </c>
      <c r="B160" t="s">
        <v>5</v>
      </c>
      <c r="C160">
        <v>99729</v>
      </c>
      <c r="D160" t="str">
        <f>"99729"</f>
        <v>99729</v>
      </c>
      <c r="E160" t="s">
        <v>6</v>
      </c>
    </row>
    <row r="161" spans="1:5" x14ac:dyDescent="0.2">
      <c r="A161">
        <v>99730</v>
      </c>
      <c r="B161" t="s">
        <v>5</v>
      </c>
      <c r="C161">
        <v>99730</v>
      </c>
      <c r="D161" t="str">
        <f>"99730"</f>
        <v>99730</v>
      </c>
      <c r="E161" t="s">
        <v>6</v>
      </c>
    </row>
    <row r="162" spans="1:5" x14ac:dyDescent="0.2">
      <c r="A162">
        <v>99731</v>
      </c>
      <c r="B162" t="s">
        <v>5</v>
      </c>
      <c r="C162">
        <v>99731</v>
      </c>
      <c r="D162" t="str">
        <f>"99731"</f>
        <v>99731</v>
      </c>
      <c r="E162" t="s">
        <v>6</v>
      </c>
    </row>
    <row r="163" spans="1:5" x14ac:dyDescent="0.2">
      <c r="A163">
        <v>99732</v>
      </c>
      <c r="B163" t="s">
        <v>5</v>
      </c>
      <c r="C163">
        <v>99732</v>
      </c>
      <c r="D163" t="str">
        <f>"99732"</f>
        <v>99732</v>
      </c>
      <c r="E163" t="s">
        <v>6</v>
      </c>
    </row>
    <row r="164" spans="1:5" x14ac:dyDescent="0.2">
      <c r="A164">
        <v>99733</v>
      </c>
      <c r="B164" t="s">
        <v>5</v>
      </c>
      <c r="C164">
        <v>99733</v>
      </c>
      <c r="D164" t="str">
        <f>"99733"</f>
        <v>99733</v>
      </c>
      <c r="E164" t="s">
        <v>6</v>
      </c>
    </row>
    <row r="165" spans="1:5" x14ac:dyDescent="0.2">
      <c r="A165">
        <v>99734</v>
      </c>
      <c r="B165" t="s">
        <v>5</v>
      </c>
      <c r="C165">
        <v>99734</v>
      </c>
      <c r="D165" t="str">
        <f>"99734"</f>
        <v>99734</v>
      </c>
      <c r="E165" t="s">
        <v>6</v>
      </c>
    </row>
    <row r="166" spans="1:5" x14ac:dyDescent="0.2">
      <c r="A166">
        <v>99736</v>
      </c>
      <c r="B166" t="s">
        <v>5</v>
      </c>
      <c r="C166">
        <v>99736</v>
      </c>
      <c r="D166" t="str">
        <f>"99736"</f>
        <v>99736</v>
      </c>
      <c r="E166" t="s">
        <v>6</v>
      </c>
    </row>
    <row r="167" spans="1:5" x14ac:dyDescent="0.2">
      <c r="A167">
        <v>99737</v>
      </c>
      <c r="B167" t="s">
        <v>5</v>
      </c>
      <c r="C167">
        <v>99737</v>
      </c>
      <c r="D167" t="str">
        <f>"99737"</f>
        <v>99737</v>
      </c>
      <c r="E167">
        <v>76.599999999999994</v>
      </c>
    </row>
    <row r="168" spans="1:5" x14ac:dyDescent="0.2">
      <c r="A168">
        <v>99738</v>
      </c>
      <c r="B168" t="s">
        <v>5</v>
      </c>
      <c r="C168">
        <v>99738</v>
      </c>
      <c r="D168" t="str">
        <f>"99738"</f>
        <v>99738</v>
      </c>
      <c r="E168" t="s">
        <v>6</v>
      </c>
    </row>
    <row r="169" spans="1:5" x14ac:dyDescent="0.2">
      <c r="A169">
        <v>99739</v>
      </c>
      <c r="B169" t="s">
        <v>5</v>
      </c>
      <c r="C169">
        <v>99739</v>
      </c>
      <c r="D169" t="str">
        <f>"99739"</f>
        <v>99739</v>
      </c>
      <c r="E169" t="s">
        <v>6</v>
      </c>
    </row>
    <row r="170" spans="1:5" x14ac:dyDescent="0.2">
      <c r="A170">
        <v>99740</v>
      </c>
      <c r="B170" t="s">
        <v>5</v>
      </c>
      <c r="C170">
        <v>99740</v>
      </c>
      <c r="D170" t="str">
        <f>"99740"</f>
        <v>99740</v>
      </c>
      <c r="E170" t="s">
        <v>6</v>
      </c>
    </row>
    <row r="171" spans="1:5" x14ac:dyDescent="0.2">
      <c r="A171">
        <v>99741</v>
      </c>
      <c r="B171" t="s">
        <v>5</v>
      </c>
      <c r="C171">
        <v>99741</v>
      </c>
      <c r="D171" t="str">
        <f>"99741"</f>
        <v>99741</v>
      </c>
      <c r="E171" t="s">
        <v>6</v>
      </c>
    </row>
    <row r="172" spans="1:5" x14ac:dyDescent="0.2">
      <c r="A172">
        <v>99742</v>
      </c>
      <c r="B172" t="s">
        <v>5</v>
      </c>
      <c r="C172">
        <v>99742</v>
      </c>
      <c r="D172" t="str">
        <f>"99742"</f>
        <v>99742</v>
      </c>
      <c r="E172" t="s">
        <v>6</v>
      </c>
    </row>
    <row r="173" spans="1:5" x14ac:dyDescent="0.2">
      <c r="A173">
        <v>99743</v>
      </c>
      <c r="B173" t="s">
        <v>5</v>
      </c>
      <c r="C173">
        <v>99743</v>
      </c>
      <c r="D173" t="str">
        <f>"99743"</f>
        <v>99743</v>
      </c>
      <c r="E173">
        <v>84.48</v>
      </c>
    </row>
    <row r="174" spans="1:5" x14ac:dyDescent="0.2">
      <c r="A174">
        <v>99744</v>
      </c>
      <c r="B174" t="s">
        <v>5</v>
      </c>
      <c r="C174">
        <v>99744</v>
      </c>
      <c r="D174" t="str">
        <f>"99744"</f>
        <v>99744</v>
      </c>
      <c r="E174" t="s">
        <v>6</v>
      </c>
    </row>
    <row r="175" spans="1:5" x14ac:dyDescent="0.2">
      <c r="A175">
        <v>99745</v>
      </c>
      <c r="B175" t="s">
        <v>5</v>
      </c>
      <c r="C175">
        <v>99745</v>
      </c>
      <c r="D175" t="str">
        <f>"99745"</f>
        <v>99745</v>
      </c>
      <c r="E175" t="s">
        <v>6</v>
      </c>
    </row>
    <row r="176" spans="1:5" x14ac:dyDescent="0.2">
      <c r="A176">
        <v>99746</v>
      </c>
      <c r="B176" t="s">
        <v>5</v>
      </c>
      <c r="C176">
        <v>99746</v>
      </c>
      <c r="D176" t="str">
        <f>"99746"</f>
        <v>99746</v>
      </c>
      <c r="E176" t="s">
        <v>6</v>
      </c>
    </row>
    <row r="177" spans="1:5" x14ac:dyDescent="0.2">
      <c r="A177">
        <v>99747</v>
      </c>
      <c r="B177" t="s">
        <v>5</v>
      </c>
      <c r="C177">
        <v>99747</v>
      </c>
      <c r="D177" t="str">
        <f>"99747"</f>
        <v>99747</v>
      </c>
      <c r="E177" t="s">
        <v>6</v>
      </c>
    </row>
    <row r="178" spans="1:5" x14ac:dyDescent="0.2">
      <c r="A178">
        <v>99748</v>
      </c>
      <c r="B178" t="s">
        <v>5</v>
      </c>
      <c r="C178">
        <v>99748</v>
      </c>
      <c r="D178" t="str">
        <f>"99748"</f>
        <v>99748</v>
      </c>
      <c r="E178" t="s">
        <v>6</v>
      </c>
    </row>
    <row r="179" spans="1:5" x14ac:dyDescent="0.2">
      <c r="A179">
        <v>99749</v>
      </c>
      <c r="B179" t="s">
        <v>5</v>
      </c>
      <c r="C179">
        <v>99749</v>
      </c>
      <c r="D179" t="str">
        <f>"99749"</f>
        <v>99749</v>
      </c>
      <c r="E179" t="s">
        <v>6</v>
      </c>
    </row>
    <row r="180" spans="1:5" x14ac:dyDescent="0.2">
      <c r="A180">
        <v>99750</v>
      </c>
      <c r="B180" t="s">
        <v>5</v>
      </c>
      <c r="C180">
        <v>99750</v>
      </c>
      <c r="D180" t="str">
        <f>"99750"</f>
        <v>99750</v>
      </c>
      <c r="E180" t="s">
        <v>6</v>
      </c>
    </row>
    <row r="181" spans="1:5" x14ac:dyDescent="0.2">
      <c r="A181">
        <v>99751</v>
      </c>
      <c r="B181" t="s">
        <v>5</v>
      </c>
      <c r="C181">
        <v>99751</v>
      </c>
      <c r="D181" t="str">
        <f>"99751"</f>
        <v>99751</v>
      </c>
      <c r="E181" t="s">
        <v>6</v>
      </c>
    </row>
    <row r="182" spans="1:5" x14ac:dyDescent="0.2">
      <c r="A182">
        <v>99752</v>
      </c>
      <c r="B182" t="s">
        <v>5</v>
      </c>
      <c r="C182">
        <v>99752</v>
      </c>
      <c r="D182" t="str">
        <f>"99752"</f>
        <v>99752</v>
      </c>
      <c r="E182" t="s">
        <v>6</v>
      </c>
    </row>
    <row r="183" spans="1:5" x14ac:dyDescent="0.2">
      <c r="A183">
        <v>99753</v>
      </c>
      <c r="B183" t="s">
        <v>5</v>
      </c>
      <c r="C183">
        <v>99753</v>
      </c>
      <c r="D183" t="str">
        <f>"99753"</f>
        <v>99753</v>
      </c>
      <c r="E183" t="s">
        <v>6</v>
      </c>
    </row>
    <row r="184" spans="1:5" x14ac:dyDescent="0.2">
      <c r="A184">
        <v>99754</v>
      </c>
      <c r="B184" t="s">
        <v>5</v>
      </c>
      <c r="C184">
        <v>99754</v>
      </c>
      <c r="D184" t="str">
        <f>"99754"</f>
        <v>99754</v>
      </c>
      <c r="E184" t="s">
        <v>6</v>
      </c>
    </row>
    <row r="185" spans="1:5" x14ac:dyDescent="0.2">
      <c r="A185">
        <v>99755</v>
      </c>
      <c r="B185" t="s">
        <v>5</v>
      </c>
      <c r="C185">
        <v>99755</v>
      </c>
      <c r="D185" t="str">
        <f>"99755"</f>
        <v>99755</v>
      </c>
      <c r="E185" t="s">
        <v>6</v>
      </c>
    </row>
    <row r="186" spans="1:5" x14ac:dyDescent="0.2">
      <c r="A186">
        <v>99756</v>
      </c>
      <c r="B186" t="s">
        <v>5</v>
      </c>
      <c r="C186">
        <v>99756</v>
      </c>
      <c r="D186" t="str">
        <f>"99756"</f>
        <v>99756</v>
      </c>
      <c r="E186" t="s">
        <v>6</v>
      </c>
    </row>
    <row r="187" spans="1:5" x14ac:dyDescent="0.2">
      <c r="A187">
        <v>99757</v>
      </c>
      <c r="B187" t="s">
        <v>5</v>
      </c>
      <c r="C187">
        <v>99757</v>
      </c>
      <c r="D187" t="str">
        <f>"99757"</f>
        <v>99757</v>
      </c>
      <c r="E187" t="s">
        <v>6</v>
      </c>
    </row>
    <row r="188" spans="1:5" x14ac:dyDescent="0.2">
      <c r="A188">
        <v>99758</v>
      </c>
      <c r="B188" t="s">
        <v>5</v>
      </c>
      <c r="C188">
        <v>99758</v>
      </c>
      <c r="D188" t="str">
        <f>"99758"</f>
        <v>99758</v>
      </c>
      <c r="E188" t="s">
        <v>6</v>
      </c>
    </row>
    <row r="189" spans="1:5" x14ac:dyDescent="0.2">
      <c r="A189">
        <v>99759</v>
      </c>
      <c r="B189" t="s">
        <v>5</v>
      </c>
      <c r="C189">
        <v>99759</v>
      </c>
      <c r="D189" t="str">
        <f>"99759"</f>
        <v>99759</v>
      </c>
      <c r="E189" t="s">
        <v>6</v>
      </c>
    </row>
    <row r="190" spans="1:5" x14ac:dyDescent="0.2">
      <c r="A190">
        <v>99760</v>
      </c>
      <c r="B190" t="s">
        <v>5</v>
      </c>
      <c r="C190">
        <v>99760</v>
      </c>
      <c r="D190" t="str">
        <f>"99760"</f>
        <v>99760</v>
      </c>
      <c r="E190">
        <v>77.14</v>
      </c>
    </row>
    <row r="191" spans="1:5" x14ac:dyDescent="0.2">
      <c r="A191">
        <v>99761</v>
      </c>
      <c r="B191" t="s">
        <v>5</v>
      </c>
      <c r="C191">
        <v>99761</v>
      </c>
      <c r="D191" t="str">
        <f>"99761"</f>
        <v>99761</v>
      </c>
      <c r="E191" t="s">
        <v>6</v>
      </c>
    </row>
    <row r="192" spans="1:5" x14ac:dyDescent="0.2">
      <c r="A192">
        <v>99762</v>
      </c>
      <c r="B192" t="s">
        <v>5</v>
      </c>
      <c r="C192">
        <v>99762</v>
      </c>
      <c r="D192" t="str">
        <f>"99762"</f>
        <v>99762</v>
      </c>
      <c r="E192" t="s">
        <v>6</v>
      </c>
    </row>
    <row r="193" spans="1:5" x14ac:dyDescent="0.2">
      <c r="A193">
        <v>99763</v>
      </c>
      <c r="B193" t="s">
        <v>5</v>
      </c>
      <c r="C193">
        <v>99763</v>
      </c>
      <c r="D193" t="str">
        <f>"99763"</f>
        <v>99763</v>
      </c>
      <c r="E193" t="s">
        <v>6</v>
      </c>
    </row>
    <row r="194" spans="1:5" x14ac:dyDescent="0.2">
      <c r="A194">
        <v>99764</v>
      </c>
      <c r="B194" t="s">
        <v>5</v>
      </c>
      <c r="C194">
        <v>99764</v>
      </c>
      <c r="D194" t="str">
        <f>"99764"</f>
        <v>99764</v>
      </c>
      <c r="E194" t="s">
        <v>6</v>
      </c>
    </row>
    <row r="195" spans="1:5" x14ac:dyDescent="0.2">
      <c r="A195">
        <v>99765</v>
      </c>
      <c r="B195" t="s">
        <v>5</v>
      </c>
      <c r="C195">
        <v>99765</v>
      </c>
      <c r="D195" t="str">
        <f>"99765"</f>
        <v>99765</v>
      </c>
      <c r="E195" t="s">
        <v>6</v>
      </c>
    </row>
    <row r="196" spans="1:5" x14ac:dyDescent="0.2">
      <c r="A196">
        <v>99766</v>
      </c>
      <c r="B196" t="s">
        <v>5</v>
      </c>
      <c r="C196">
        <v>99766</v>
      </c>
      <c r="D196" t="str">
        <f>"99766"</f>
        <v>99766</v>
      </c>
      <c r="E196" t="s">
        <v>6</v>
      </c>
    </row>
    <row r="197" spans="1:5" x14ac:dyDescent="0.2">
      <c r="A197">
        <v>99767</v>
      </c>
      <c r="B197" t="s">
        <v>5</v>
      </c>
      <c r="C197">
        <v>99767</v>
      </c>
      <c r="D197" t="str">
        <f>"99767"</f>
        <v>99767</v>
      </c>
      <c r="E197" t="s">
        <v>6</v>
      </c>
    </row>
    <row r="198" spans="1:5" x14ac:dyDescent="0.2">
      <c r="A198">
        <v>99768</v>
      </c>
      <c r="B198" t="s">
        <v>5</v>
      </c>
      <c r="C198">
        <v>99768</v>
      </c>
      <c r="D198" t="str">
        <f>"99768"</f>
        <v>99768</v>
      </c>
      <c r="E198" t="s">
        <v>6</v>
      </c>
    </row>
    <row r="199" spans="1:5" x14ac:dyDescent="0.2">
      <c r="A199">
        <v>99769</v>
      </c>
      <c r="B199" t="s">
        <v>5</v>
      </c>
      <c r="C199">
        <v>99769</v>
      </c>
      <c r="D199" t="str">
        <f>"99769"</f>
        <v>99769</v>
      </c>
      <c r="E199" t="s">
        <v>6</v>
      </c>
    </row>
    <row r="200" spans="1:5" x14ac:dyDescent="0.2">
      <c r="A200">
        <v>99770</v>
      </c>
      <c r="B200" t="s">
        <v>5</v>
      </c>
      <c r="C200">
        <v>99770</v>
      </c>
      <c r="D200" t="str">
        <f>"99770"</f>
        <v>99770</v>
      </c>
      <c r="E200" t="s">
        <v>6</v>
      </c>
    </row>
    <row r="201" spans="1:5" x14ac:dyDescent="0.2">
      <c r="A201">
        <v>99771</v>
      </c>
      <c r="B201" t="s">
        <v>5</v>
      </c>
      <c r="C201">
        <v>99771</v>
      </c>
      <c r="D201" t="str">
        <f>"99771"</f>
        <v>99771</v>
      </c>
      <c r="E201" t="s">
        <v>6</v>
      </c>
    </row>
    <row r="202" spans="1:5" x14ac:dyDescent="0.2">
      <c r="A202">
        <v>99772</v>
      </c>
      <c r="B202" t="s">
        <v>5</v>
      </c>
      <c r="C202">
        <v>99772</v>
      </c>
      <c r="D202" t="str">
        <f>"99772"</f>
        <v>99772</v>
      </c>
      <c r="E202" t="s">
        <v>6</v>
      </c>
    </row>
    <row r="203" spans="1:5" x14ac:dyDescent="0.2">
      <c r="A203">
        <v>99773</v>
      </c>
      <c r="B203" t="s">
        <v>5</v>
      </c>
      <c r="C203">
        <v>99773</v>
      </c>
      <c r="D203" t="str">
        <f>"99773"</f>
        <v>99773</v>
      </c>
      <c r="E203" t="s">
        <v>6</v>
      </c>
    </row>
    <row r="204" spans="1:5" x14ac:dyDescent="0.2">
      <c r="A204">
        <v>99774</v>
      </c>
      <c r="B204" t="s">
        <v>5</v>
      </c>
      <c r="C204">
        <v>99774</v>
      </c>
      <c r="D204" t="str">
        <f>"99774"</f>
        <v>99774</v>
      </c>
      <c r="E204" t="s">
        <v>6</v>
      </c>
    </row>
    <row r="205" spans="1:5" x14ac:dyDescent="0.2">
      <c r="A205">
        <v>99775</v>
      </c>
      <c r="B205" t="s">
        <v>5</v>
      </c>
      <c r="C205">
        <v>99775</v>
      </c>
      <c r="D205" t="str">
        <f>"99775"</f>
        <v>99775</v>
      </c>
      <c r="E205" t="s">
        <v>6</v>
      </c>
    </row>
    <row r="206" spans="1:5" x14ac:dyDescent="0.2">
      <c r="A206">
        <v>99776</v>
      </c>
      <c r="B206" t="s">
        <v>5</v>
      </c>
      <c r="C206">
        <v>99776</v>
      </c>
      <c r="D206" t="str">
        <f>"99776"</f>
        <v>99776</v>
      </c>
      <c r="E206" t="s">
        <v>6</v>
      </c>
    </row>
    <row r="207" spans="1:5" x14ac:dyDescent="0.2">
      <c r="A207">
        <v>99777</v>
      </c>
      <c r="B207" t="s">
        <v>5</v>
      </c>
      <c r="C207">
        <v>99777</v>
      </c>
      <c r="D207" t="str">
        <f>"99777"</f>
        <v>99777</v>
      </c>
      <c r="E207" t="s">
        <v>6</v>
      </c>
    </row>
    <row r="208" spans="1:5" x14ac:dyDescent="0.2">
      <c r="A208">
        <v>99778</v>
      </c>
      <c r="B208" t="s">
        <v>5</v>
      </c>
      <c r="C208">
        <v>99778</v>
      </c>
      <c r="D208" t="str">
        <f>"99778"</f>
        <v>99778</v>
      </c>
      <c r="E208" t="s">
        <v>6</v>
      </c>
    </row>
    <row r="209" spans="1:5" x14ac:dyDescent="0.2">
      <c r="A209">
        <v>99780</v>
      </c>
      <c r="B209" t="s">
        <v>5</v>
      </c>
      <c r="C209">
        <v>99780</v>
      </c>
      <c r="D209" t="str">
        <f>"99780"</f>
        <v>99780</v>
      </c>
      <c r="E209">
        <v>70.89</v>
      </c>
    </row>
    <row r="210" spans="1:5" x14ac:dyDescent="0.2">
      <c r="A210">
        <v>99781</v>
      </c>
      <c r="B210" t="s">
        <v>5</v>
      </c>
      <c r="C210">
        <v>99781</v>
      </c>
      <c r="D210" t="str">
        <f>"99781"</f>
        <v>99781</v>
      </c>
      <c r="E210" t="s">
        <v>6</v>
      </c>
    </row>
    <row r="211" spans="1:5" x14ac:dyDescent="0.2">
      <c r="A211">
        <v>99782</v>
      </c>
      <c r="B211" t="s">
        <v>5</v>
      </c>
      <c r="C211">
        <v>99782</v>
      </c>
      <c r="D211" t="str">
        <f>"99782"</f>
        <v>99782</v>
      </c>
      <c r="E211" t="s">
        <v>6</v>
      </c>
    </row>
    <row r="212" spans="1:5" x14ac:dyDescent="0.2">
      <c r="A212">
        <v>99783</v>
      </c>
      <c r="B212" t="s">
        <v>5</v>
      </c>
      <c r="C212">
        <v>99783</v>
      </c>
      <c r="D212" t="str">
        <f>"99783"</f>
        <v>99783</v>
      </c>
      <c r="E212" t="s">
        <v>6</v>
      </c>
    </row>
    <row r="213" spans="1:5" x14ac:dyDescent="0.2">
      <c r="A213">
        <v>99784</v>
      </c>
      <c r="B213" t="s">
        <v>5</v>
      </c>
      <c r="C213">
        <v>99784</v>
      </c>
      <c r="D213" t="str">
        <f>"99784"</f>
        <v>99784</v>
      </c>
      <c r="E213" t="s">
        <v>6</v>
      </c>
    </row>
    <row r="214" spans="1:5" x14ac:dyDescent="0.2">
      <c r="A214">
        <v>99785</v>
      </c>
      <c r="B214" t="s">
        <v>5</v>
      </c>
      <c r="C214">
        <v>99785</v>
      </c>
      <c r="D214" t="str">
        <f>"99785"</f>
        <v>99785</v>
      </c>
      <c r="E214" t="s">
        <v>6</v>
      </c>
    </row>
    <row r="215" spans="1:5" x14ac:dyDescent="0.2">
      <c r="A215">
        <v>99786</v>
      </c>
      <c r="B215" t="s">
        <v>5</v>
      </c>
      <c r="C215">
        <v>99786</v>
      </c>
      <c r="D215" t="str">
        <f>"99786"</f>
        <v>99786</v>
      </c>
      <c r="E215" t="s">
        <v>6</v>
      </c>
    </row>
    <row r="216" spans="1:5" x14ac:dyDescent="0.2">
      <c r="A216">
        <v>99788</v>
      </c>
      <c r="B216" t="s">
        <v>5</v>
      </c>
      <c r="C216">
        <v>99788</v>
      </c>
      <c r="D216" t="str">
        <f>"99788"</f>
        <v>99788</v>
      </c>
      <c r="E216" t="s">
        <v>6</v>
      </c>
    </row>
    <row r="217" spans="1:5" x14ac:dyDescent="0.2">
      <c r="A217">
        <v>99789</v>
      </c>
      <c r="B217" t="s">
        <v>5</v>
      </c>
      <c r="C217">
        <v>99789</v>
      </c>
      <c r="D217" t="str">
        <f>"99789"</f>
        <v>99789</v>
      </c>
      <c r="E217" t="s">
        <v>6</v>
      </c>
    </row>
    <row r="218" spans="1:5" x14ac:dyDescent="0.2">
      <c r="A218">
        <v>99790</v>
      </c>
      <c r="B218" t="s">
        <v>5</v>
      </c>
      <c r="C218">
        <v>99790</v>
      </c>
      <c r="D218" t="str">
        <f>"99790"</f>
        <v>99790</v>
      </c>
      <c r="E218" t="s">
        <v>6</v>
      </c>
    </row>
    <row r="219" spans="1:5" x14ac:dyDescent="0.2">
      <c r="A219">
        <v>99791</v>
      </c>
      <c r="B219" t="s">
        <v>5</v>
      </c>
      <c r="C219">
        <v>99791</v>
      </c>
      <c r="D219" t="str">
        <f>"99791"</f>
        <v>99791</v>
      </c>
      <c r="E219" t="s">
        <v>6</v>
      </c>
    </row>
    <row r="220" spans="1:5" x14ac:dyDescent="0.2">
      <c r="A220">
        <v>99801</v>
      </c>
      <c r="B220" t="s">
        <v>5</v>
      </c>
      <c r="C220">
        <v>99801</v>
      </c>
      <c r="D220" t="str">
        <f>"99801"</f>
        <v>99801</v>
      </c>
      <c r="E220">
        <v>85.32</v>
      </c>
    </row>
    <row r="221" spans="1:5" x14ac:dyDescent="0.2">
      <c r="A221">
        <v>99820</v>
      </c>
      <c r="B221" t="s">
        <v>5</v>
      </c>
      <c r="C221">
        <v>99820</v>
      </c>
      <c r="D221" t="str">
        <f>"99820"</f>
        <v>99820</v>
      </c>
      <c r="E221" t="s">
        <v>6</v>
      </c>
    </row>
    <row r="222" spans="1:5" x14ac:dyDescent="0.2">
      <c r="A222">
        <v>99824</v>
      </c>
      <c r="B222" t="s">
        <v>5</v>
      </c>
      <c r="C222">
        <v>99824</v>
      </c>
      <c r="D222" t="str">
        <f>"99824"</f>
        <v>99824</v>
      </c>
      <c r="E222">
        <v>87.83</v>
      </c>
    </row>
    <row r="223" spans="1:5" x14ac:dyDescent="0.2">
      <c r="A223">
        <v>99825</v>
      </c>
      <c r="B223" t="s">
        <v>5</v>
      </c>
      <c r="C223">
        <v>99825</v>
      </c>
      <c r="D223" t="str">
        <f>"99825"</f>
        <v>99825</v>
      </c>
      <c r="E223" t="s">
        <v>6</v>
      </c>
    </row>
    <row r="224" spans="1:5" x14ac:dyDescent="0.2">
      <c r="A224">
        <v>99826</v>
      </c>
      <c r="B224" t="s">
        <v>5</v>
      </c>
      <c r="C224">
        <v>99826</v>
      </c>
      <c r="D224" t="str">
        <f>"99826"</f>
        <v>99826</v>
      </c>
      <c r="E224" t="s">
        <v>6</v>
      </c>
    </row>
    <row r="225" spans="1:5" x14ac:dyDescent="0.2">
      <c r="A225">
        <v>99827</v>
      </c>
      <c r="B225" t="s">
        <v>5</v>
      </c>
      <c r="C225">
        <v>99827</v>
      </c>
      <c r="D225" t="str">
        <f>"99827"</f>
        <v>99827</v>
      </c>
      <c r="E225">
        <v>76.56</v>
      </c>
    </row>
    <row r="226" spans="1:5" x14ac:dyDescent="0.2">
      <c r="A226">
        <v>99829</v>
      </c>
      <c r="B226" t="s">
        <v>5</v>
      </c>
      <c r="C226">
        <v>99829</v>
      </c>
      <c r="D226" t="str">
        <f>"99829"</f>
        <v>99829</v>
      </c>
      <c r="E226" t="s">
        <v>6</v>
      </c>
    </row>
    <row r="227" spans="1:5" x14ac:dyDescent="0.2">
      <c r="A227">
        <v>99830</v>
      </c>
      <c r="B227" t="s">
        <v>5</v>
      </c>
      <c r="C227">
        <v>99830</v>
      </c>
      <c r="D227" t="str">
        <f>"99830"</f>
        <v>99830</v>
      </c>
      <c r="E227" t="s">
        <v>6</v>
      </c>
    </row>
    <row r="228" spans="1:5" x14ac:dyDescent="0.2">
      <c r="A228">
        <v>99832</v>
      </c>
      <c r="B228" t="s">
        <v>5</v>
      </c>
      <c r="C228">
        <v>99832</v>
      </c>
      <c r="D228" t="str">
        <f>"99832"</f>
        <v>99832</v>
      </c>
      <c r="E228" t="s">
        <v>6</v>
      </c>
    </row>
    <row r="229" spans="1:5" x14ac:dyDescent="0.2">
      <c r="A229">
        <v>99833</v>
      </c>
      <c r="B229" t="s">
        <v>5</v>
      </c>
      <c r="C229">
        <v>99833</v>
      </c>
      <c r="D229" t="str">
        <f>"99833"</f>
        <v>99833</v>
      </c>
      <c r="E229">
        <v>81.290000000000006</v>
      </c>
    </row>
    <row r="230" spans="1:5" x14ac:dyDescent="0.2">
      <c r="A230">
        <v>99835</v>
      </c>
      <c r="B230" t="s">
        <v>5</v>
      </c>
      <c r="C230">
        <v>99835</v>
      </c>
      <c r="D230" t="str">
        <f>"99835"</f>
        <v>99835</v>
      </c>
      <c r="E230">
        <v>83.6</v>
      </c>
    </row>
    <row r="231" spans="1:5" x14ac:dyDescent="0.2">
      <c r="A231">
        <v>99836</v>
      </c>
      <c r="B231" t="s">
        <v>5</v>
      </c>
      <c r="C231">
        <v>99836</v>
      </c>
      <c r="D231" t="str">
        <f>"99836"</f>
        <v>99836</v>
      </c>
      <c r="E231" t="s">
        <v>6</v>
      </c>
    </row>
    <row r="232" spans="1:5" x14ac:dyDescent="0.2">
      <c r="A232">
        <v>99840</v>
      </c>
      <c r="B232" t="s">
        <v>5</v>
      </c>
      <c r="C232">
        <v>99840</v>
      </c>
      <c r="D232" t="str">
        <f>"99840"</f>
        <v>99840</v>
      </c>
      <c r="E232" t="s">
        <v>6</v>
      </c>
    </row>
    <row r="233" spans="1:5" x14ac:dyDescent="0.2">
      <c r="A233">
        <v>99841</v>
      </c>
      <c r="B233" t="s">
        <v>5</v>
      </c>
      <c r="C233">
        <v>99841</v>
      </c>
      <c r="D233" t="str">
        <f>"99841"</f>
        <v>99841</v>
      </c>
      <c r="E233" t="s">
        <v>6</v>
      </c>
    </row>
    <row r="234" spans="1:5" x14ac:dyDescent="0.2">
      <c r="A234">
        <v>99901</v>
      </c>
      <c r="B234" t="s">
        <v>5</v>
      </c>
      <c r="C234">
        <v>99901</v>
      </c>
      <c r="D234" t="str">
        <f>"99901"</f>
        <v>99901</v>
      </c>
      <c r="E234">
        <v>81.069999999999993</v>
      </c>
    </row>
    <row r="235" spans="1:5" x14ac:dyDescent="0.2">
      <c r="A235">
        <v>99903</v>
      </c>
      <c r="B235" t="s">
        <v>5</v>
      </c>
      <c r="C235">
        <v>99903</v>
      </c>
      <c r="D235" t="str">
        <f>"99903"</f>
        <v>99903</v>
      </c>
      <c r="E235" t="s">
        <v>6</v>
      </c>
    </row>
    <row r="236" spans="1:5" x14ac:dyDescent="0.2">
      <c r="A236">
        <v>99918</v>
      </c>
      <c r="B236" t="s">
        <v>5</v>
      </c>
      <c r="C236">
        <v>99918</v>
      </c>
      <c r="D236" t="str">
        <f>"99918"</f>
        <v>99918</v>
      </c>
      <c r="E236" t="s">
        <v>6</v>
      </c>
    </row>
    <row r="237" spans="1:5" x14ac:dyDescent="0.2">
      <c r="A237">
        <v>99919</v>
      </c>
      <c r="B237" t="s">
        <v>5</v>
      </c>
      <c r="C237">
        <v>99919</v>
      </c>
      <c r="D237" t="str">
        <f>"99919"</f>
        <v>99919</v>
      </c>
      <c r="E237" t="s">
        <v>6</v>
      </c>
    </row>
    <row r="238" spans="1:5" x14ac:dyDescent="0.2">
      <c r="A238">
        <v>99921</v>
      </c>
      <c r="B238" t="s">
        <v>5</v>
      </c>
      <c r="C238">
        <v>99921</v>
      </c>
      <c r="D238" t="str">
        <f>"99921"</f>
        <v>99921</v>
      </c>
      <c r="E238" t="s">
        <v>6</v>
      </c>
    </row>
    <row r="239" spans="1:5" x14ac:dyDescent="0.2">
      <c r="A239">
        <v>99922</v>
      </c>
      <c r="B239" t="s">
        <v>5</v>
      </c>
      <c r="C239">
        <v>99922</v>
      </c>
      <c r="D239" t="str">
        <f>"99922"</f>
        <v>99922</v>
      </c>
      <c r="E239" t="s">
        <v>6</v>
      </c>
    </row>
    <row r="240" spans="1:5" x14ac:dyDescent="0.2">
      <c r="A240">
        <v>99923</v>
      </c>
      <c r="B240" t="s">
        <v>5</v>
      </c>
      <c r="C240">
        <v>99923</v>
      </c>
      <c r="D240" t="str">
        <f>"99923"</f>
        <v>99923</v>
      </c>
      <c r="E240" t="s">
        <v>6</v>
      </c>
    </row>
    <row r="241" spans="1:5" x14ac:dyDescent="0.2">
      <c r="A241">
        <v>99925</v>
      </c>
      <c r="B241" t="s">
        <v>5</v>
      </c>
      <c r="C241">
        <v>99925</v>
      </c>
      <c r="D241" t="str">
        <f>"99925"</f>
        <v>99925</v>
      </c>
      <c r="E241" t="s">
        <v>6</v>
      </c>
    </row>
    <row r="242" spans="1:5" x14ac:dyDescent="0.2">
      <c r="A242">
        <v>99926</v>
      </c>
      <c r="B242" t="s">
        <v>5</v>
      </c>
      <c r="C242">
        <v>99926</v>
      </c>
      <c r="D242" t="str">
        <f>"99926"</f>
        <v>99926</v>
      </c>
      <c r="E242" t="s">
        <v>6</v>
      </c>
    </row>
    <row r="243" spans="1:5" x14ac:dyDescent="0.2">
      <c r="A243">
        <v>99927</v>
      </c>
      <c r="B243" t="s">
        <v>5</v>
      </c>
      <c r="C243">
        <v>99927</v>
      </c>
      <c r="D243" t="str">
        <f>"99927"</f>
        <v>99927</v>
      </c>
      <c r="E243" t="s">
        <v>6</v>
      </c>
    </row>
    <row r="244" spans="1:5" x14ac:dyDescent="0.2">
      <c r="A244">
        <v>99929</v>
      </c>
      <c r="B244" t="s">
        <v>5</v>
      </c>
      <c r="C244">
        <v>99929</v>
      </c>
      <c r="D244" t="str">
        <f>"99929"</f>
        <v>99929</v>
      </c>
      <c r="E244" t="s">
        <v>6</v>
      </c>
    </row>
    <row r="245" spans="1:5" x14ac:dyDescent="0.2">
      <c r="A245">
        <v>35004</v>
      </c>
      <c r="B245" t="s">
        <v>7</v>
      </c>
      <c r="C245">
        <v>35004</v>
      </c>
      <c r="D245" t="str">
        <f>"35004"</f>
        <v>35004</v>
      </c>
      <c r="E245">
        <v>75.44</v>
      </c>
    </row>
    <row r="246" spans="1:5" x14ac:dyDescent="0.2">
      <c r="A246">
        <v>35005</v>
      </c>
      <c r="B246" t="s">
        <v>7</v>
      </c>
      <c r="C246">
        <v>35005</v>
      </c>
      <c r="D246" t="str">
        <f>"35005"</f>
        <v>35005</v>
      </c>
      <c r="E246">
        <v>63.41</v>
      </c>
    </row>
    <row r="247" spans="1:5" x14ac:dyDescent="0.2">
      <c r="A247">
        <v>35006</v>
      </c>
      <c r="B247" t="s">
        <v>7</v>
      </c>
      <c r="C247">
        <v>35006</v>
      </c>
      <c r="D247" t="str">
        <f>"35006"</f>
        <v>35006</v>
      </c>
      <c r="E247">
        <v>71.900000000000006</v>
      </c>
    </row>
    <row r="248" spans="1:5" x14ac:dyDescent="0.2">
      <c r="A248">
        <v>35007</v>
      </c>
      <c r="B248" t="s">
        <v>7</v>
      </c>
      <c r="C248">
        <v>35007</v>
      </c>
      <c r="D248" t="str">
        <f>"35007"</f>
        <v>35007</v>
      </c>
      <c r="E248">
        <v>71.42</v>
      </c>
    </row>
    <row r="249" spans="1:5" x14ac:dyDescent="0.2">
      <c r="A249">
        <v>35010</v>
      </c>
      <c r="B249" t="s">
        <v>7</v>
      </c>
      <c r="C249">
        <v>35010</v>
      </c>
      <c r="D249" t="str">
        <f>"35010"</f>
        <v>35010</v>
      </c>
      <c r="E249">
        <v>60.08</v>
      </c>
    </row>
    <row r="250" spans="1:5" x14ac:dyDescent="0.2">
      <c r="A250">
        <v>35014</v>
      </c>
      <c r="B250" t="s">
        <v>7</v>
      </c>
      <c r="C250">
        <v>35014</v>
      </c>
      <c r="D250" t="str">
        <f>"35014"</f>
        <v>35014</v>
      </c>
      <c r="E250">
        <v>65.84</v>
      </c>
    </row>
    <row r="251" spans="1:5" x14ac:dyDescent="0.2">
      <c r="A251">
        <v>35016</v>
      </c>
      <c r="B251" t="s">
        <v>7</v>
      </c>
      <c r="C251">
        <v>35016</v>
      </c>
      <c r="D251" t="str">
        <f>"35016"</f>
        <v>35016</v>
      </c>
      <c r="E251">
        <v>68.900000000000006</v>
      </c>
    </row>
    <row r="252" spans="1:5" x14ac:dyDescent="0.2">
      <c r="A252">
        <v>35019</v>
      </c>
      <c r="B252" t="s">
        <v>7</v>
      </c>
      <c r="C252">
        <v>35019</v>
      </c>
      <c r="D252" t="str">
        <f>"35019"</f>
        <v>35019</v>
      </c>
      <c r="E252">
        <v>64.77</v>
      </c>
    </row>
    <row r="253" spans="1:5" x14ac:dyDescent="0.2">
      <c r="A253">
        <v>35020</v>
      </c>
      <c r="B253" t="s">
        <v>7</v>
      </c>
      <c r="C253">
        <v>35020</v>
      </c>
      <c r="D253" t="str">
        <f>"35020"</f>
        <v>35020</v>
      </c>
      <c r="E253">
        <v>46.72</v>
      </c>
    </row>
    <row r="254" spans="1:5" x14ac:dyDescent="0.2">
      <c r="A254">
        <v>35022</v>
      </c>
      <c r="B254" t="s">
        <v>7</v>
      </c>
      <c r="C254">
        <v>35022</v>
      </c>
      <c r="D254" t="str">
        <f>"35022"</f>
        <v>35022</v>
      </c>
      <c r="E254">
        <v>71.37</v>
      </c>
    </row>
    <row r="255" spans="1:5" x14ac:dyDescent="0.2">
      <c r="A255">
        <v>35023</v>
      </c>
      <c r="B255" t="s">
        <v>7</v>
      </c>
      <c r="C255">
        <v>35023</v>
      </c>
      <c r="D255" t="str">
        <f>"35023"</f>
        <v>35023</v>
      </c>
      <c r="E255">
        <v>69.59</v>
      </c>
    </row>
    <row r="256" spans="1:5" x14ac:dyDescent="0.2">
      <c r="A256">
        <v>35031</v>
      </c>
      <c r="B256" t="s">
        <v>7</v>
      </c>
      <c r="C256">
        <v>35031</v>
      </c>
      <c r="D256" t="str">
        <f>"35031"</f>
        <v>35031</v>
      </c>
      <c r="E256">
        <v>64.260000000000005</v>
      </c>
    </row>
    <row r="257" spans="1:5" x14ac:dyDescent="0.2">
      <c r="A257">
        <v>35032</v>
      </c>
      <c r="B257" t="s">
        <v>7</v>
      </c>
      <c r="C257">
        <v>35032</v>
      </c>
      <c r="D257" t="str">
        <f>"35032"</f>
        <v>35032</v>
      </c>
      <c r="E257" t="s">
        <v>6</v>
      </c>
    </row>
    <row r="258" spans="1:5" x14ac:dyDescent="0.2">
      <c r="A258">
        <v>35033</v>
      </c>
      <c r="B258" t="s">
        <v>7</v>
      </c>
      <c r="C258">
        <v>35033</v>
      </c>
      <c r="D258" t="str">
        <f>"35033"</f>
        <v>35033</v>
      </c>
      <c r="E258">
        <v>70.5</v>
      </c>
    </row>
    <row r="259" spans="1:5" x14ac:dyDescent="0.2">
      <c r="A259">
        <v>35034</v>
      </c>
      <c r="B259" t="s">
        <v>7</v>
      </c>
      <c r="C259">
        <v>35034</v>
      </c>
      <c r="D259" t="str">
        <f>"35034"</f>
        <v>35034</v>
      </c>
      <c r="E259">
        <v>56.62</v>
      </c>
    </row>
    <row r="260" spans="1:5" x14ac:dyDescent="0.2">
      <c r="A260">
        <v>35035</v>
      </c>
      <c r="B260" t="s">
        <v>7</v>
      </c>
      <c r="C260">
        <v>35035</v>
      </c>
      <c r="D260" t="str">
        <f>"35035"</f>
        <v>35035</v>
      </c>
      <c r="E260">
        <v>62.5</v>
      </c>
    </row>
    <row r="261" spans="1:5" x14ac:dyDescent="0.2">
      <c r="A261">
        <v>35036</v>
      </c>
      <c r="B261" t="s">
        <v>7</v>
      </c>
      <c r="C261">
        <v>35036</v>
      </c>
      <c r="D261" t="str">
        <f>"35036"</f>
        <v>35036</v>
      </c>
      <c r="E261" t="s">
        <v>6</v>
      </c>
    </row>
    <row r="262" spans="1:5" x14ac:dyDescent="0.2">
      <c r="A262">
        <v>35040</v>
      </c>
      <c r="B262" t="s">
        <v>7</v>
      </c>
      <c r="C262">
        <v>35040</v>
      </c>
      <c r="D262" t="str">
        <f>"35040"</f>
        <v>35040</v>
      </c>
      <c r="E262">
        <v>71.13</v>
      </c>
    </row>
    <row r="263" spans="1:5" x14ac:dyDescent="0.2">
      <c r="A263">
        <v>35042</v>
      </c>
      <c r="B263" t="s">
        <v>7</v>
      </c>
      <c r="C263">
        <v>35042</v>
      </c>
      <c r="D263" t="str">
        <f>"35042"</f>
        <v>35042</v>
      </c>
      <c r="E263">
        <v>65.3</v>
      </c>
    </row>
    <row r="264" spans="1:5" x14ac:dyDescent="0.2">
      <c r="A264">
        <v>35043</v>
      </c>
      <c r="B264" t="s">
        <v>7</v>
      </c>
      <c r="C264">
        <v>35043</v>
      </c>
      <c r="D264" t="str">
        <f>"35043"</f>
        <v>35043</v>
      </c>
      <c r="E264">
        <v>80.069999999999993</v>
      </c>
    </row>
    <row r="265" spans="1:5" x14ac:dyDescent="0.2">
      <c r="A265">
        <v>35044</v>
      </c>
      <c r="B265" t="s">
        <v>7</v>
      </c>
      <c r="C265">
        <v>35044</v>
      </c>
      <c r="D265" t="str">
        <f>"35044"</f>
        <v>35044</v>
      </c>
      <c r="E265">
        <v>62.9</v>
      </c>
    </row>
    <row r="266" spans="1:5" x14ac:dyDescent="0.2">
      <c r="A266">
        <v>35045</v>
      </c>
      <c r="B266" t="s">
        <v>7</v>
      </c>
      <c r="C266">
        <v>35045</v>
      </c>
      <c r="D266" t="str">
        <f>"35045"</f>
        <v>35045</v>
      </c>
      <c r="E266">
        <v>64.62</v>
      </c>
    </row>
    <row r="267" spans="1:5" x14ac:dyDescent="0.2">
      <c r="A267">
        <v>35046</v>
      </c>
      <c r="B267" t="s">
        <v>7</v>
      </c>
      <c r="C267">
        <v>35046</v>
      </c>
      <c r="D267" t="str">
        <f>"35046"</f>
        <v>35046</v>
      </c>
      <c r="E267">
        <v>68.069999999999993</v>
      </c>
    </row>
    <row r="268" spans="1:5" x14ac:dyDescent="0.2">
      <c r="A268">
        <v>35049</v>
      </c>
      <c r="B268" t="s">
        <v>7</v>
      </c>
      <c r="C268">
        <v>35049</v>
      </c>
      <c r="D268" t="str">
        <f>"35049"</f>
        <v>35049</v>
      </c>
      <c r="E268">
        <v>70.78</v>
      </c>
    </row>
    <row r="269" spans="1:5" x14ac:dyDescent="0.2">
      <c r="A269">
        <v>35051</v>
      </c>
      <c r="B269" t="s">
        <v>7</v>
      </c>
      <c r="C269">
        <v>35051</v>
      </c>
      <c r="D269" t="str">
        <f>"35051"</f>
        <v>35051</v>
      </c>
      <c r="E269">
        <v>69.16</v>
      </c>
    </row>
    <row r="270" spans="1:5" x14ac:dyDescent="0.2">
      <c r="A270">
        <v>35052</v>
      </c>
      <c r="B270" t="s">
        <v>7</v>
      </c>
      <c r="C270">
        <v>35052</v>
      </c>
      <c r="D270" t="str">
        <f>"35052"</f>
        <v>35052</v>
      </c>
      <c r="E270" t="s">
        <v>6</v>
      </c>
    </row>
    <row r="271" spans="1:5" x14ac:dyDescent="0.2">
      <c r="A271">
        <v>35053</v>
      </c>
      <c r="B271" t="s">
        <v>7</v>
      </c>
      <c r="C271">
        <v>35053</v>
      </c>
      <c r="D271" t="str">
        <f>"35053"</f>
        <v>35053</v>
      </c>
      <c r="E271">
        <v>74.069999999999993</v>
      </c>
    </row>
    <row r="272" spans="1:5" x14ac:dyDescent="0.2">
      <c r="A272">
        <v>35054</v>
      </c>
      <c r="B272" t="s">
        <v>7</v>
      </c>
      <c r="C272">
        <v>35054</v>
      </c>
      <c r="D272" t="str">
        <f>"35054"</f>
        <v>35054</v>
      </c>
      <c r="E272">
        <v>72.78</v>
      </c>
    </row>
    <row r="273" spans="1:5" x14ac:dyDescent="0.2">
      <c r="A273">
        <v>35055</v>
      </c>
      <c r="B273" t="s">
        <v>7</v>
      </c>
      <c r="C273">
        <v>35055</v>
      </c>
      <c r="D273" t="str">
        <f>"35055"</f>
        <v>35055</v>
      </c>
      <c r="E273">
        <v>68.959999999999994</v>
      </c>
    </row>
    <row r="274" spans="1:5" x14ac:dyDescent="0.2">
      <c r="A274">
        <v>35057</v>
      </c>
      <c r="B274" t="s">
        <v>7</v>
      </c>
      <c r="C274">
        <v>35057</v>
      </c>
      <c r="D274" t="str">
        <f>"35057"</f>
        <v>35057</v>
      </c>
      <c r="E274">
        <v>69.010000000000005</v>
      </c>
    </row>
    <row r="275" spans="1:5" x14ac:dyDescent="0.2">
      <c r="A275">
        <v>35058</v>
      </c>
      <c r="B275" t="s">
        <v>7</v>
      </c>
      <c r="C275">
        <v>35058</v>
      </c>
      <c r="D275" t="str">
        <f>"35058"</f>
        <v>35058</v>
      </c>
      <c r="E275">
        <v>66.59</v>
      </c>
    </row>
    <row r="276" spans="1:5" x14ac:dyDescent="0.2">
      <c r="A276">
        <v>35060</v>
      </c>
      <c r="B276" t="s">
        <v>7</v>
      </c>
      <c r="C276">
        <v>35060</v>
      </c>
      <c r="D276" t="str">
        <f>"35060"</f>
        <v>35060</v>
      </c>
      <c r="E276" t="s">
        <v>6</v>
      </c>
    </row>
    <row r="277" spans="1:5" x14ac:dyDescent="0.2">
      <c r="A277">
        <v>35061</v>
      </c>
      <c r="B277" t="s">
        <v>7</v>
      </c>
      <c r="C277">
        <v>35061</v>
      </c>
      <c r="D277" t="str">
        <f>"35061"</f>
        <v>35061</v>
      </c>
      <c r="E277">
        <v>56.45</v>
      </c>
    </row>
    <row r="278" spans="1:5" x14ac:dyDescent="0.2">
      <c r="A278">
        <v>35062</v>
      </c>
      <c r="B278" t="s">
        <v>7</v>
      </c>
      <c r="C278">
        <v>35062</v>
      </c>
      <c r="D278" t="str">
        <f>"35062"</f>
        <v>35062</v>
      </c>
      <c r="E278">
        <v>72.42</v>
      </c>
    </row>
    <row r="279" spans="1:5" x14ac:dyDescent="0.2">
      <c r="A279">
        <v>35063</v>
      </c>
      <c r="B279" t="s">
        <v>7</v>
      </c>
      <c r="C279">
        <v>35063</v>
      </c>
      <c r="D279" t="str">
        <f>"35063"</f>
        <v>35063</v>
      </c>
      <c r="E279">
        <v>63.11</v>
      </c>
    </row>
    <row r="280" spans="1:5" x14ac:dyDescent="0.2">
      <c r="A280">
        <v>35064</v>
      </c>
      <c r="B280" t="s">
        <v>7</v>
      </c>
      <c r="C280">
        <v>35064</v>
      </c>
      <c r="D280" t="str">
        <f>"35064"</f>
        <v>35064</v>
      </c>
      <c r="E280">
        <v>56.14</v>
      </c>
    </row>
    <row r="281" spans="1:5" x14ac:dyDescent="0.2">
      <c r="A281">
        <v>35068</v>
      </c>
      <c r="B281" t="s">
        <v>7</v>
      </c>
      <c r="C281">
        <v>35068</v>
      </c>
      <c r="D281" t="str">
        <f>"35068"</f>
        <v>35068</v>
      </c>
      <c r="E281">
        <v>70.900000000000006</v>
      </c>
    </row>
    <row r="282" spans="1:5" x14ac:dyDescent="0.2">
      <c r="A282">
        <v>35071</v>
      </c>
      <c r="B282" t="s">
        <v>7</v>
      </c>
      <c r="C282">
        <v>35071</v>
      </c>
      <c r="D282" t="str">
        <f>"35071"</f>
        <v>35071</v>
      </c>
      <c r="E282">
        <v>76.36</v>
      </c>
    </row>
    <row r="283" spans="1:5" x14ac:dyDescent="0.2">
      <c r="A283">
        <v>35072</v>
      </c>
      <c r="B283" t="s">
        <v>7</v>
      </c>
      <c r="C283">
        <v>35072</v>
      </c>
      <c r="D283" t="str">
        <f>"35072"</f>
        <v>35072</v>
      </c>
      <c r="E283">
        <v>61.45</v>
      </c>
    </row>
    <row r="284" spans="1:5" x14ac:dyDescent="0.2">
      <c r="A284">
        <v>35073</v>
      </c>
      <c r="B284" t="s">
        <v>7</v>
      </c>
      <c r="C284">
        <v>35073</v>
      </c>
      <c r="D284" t="str">
        <f>"35073"</f>
        <v>35073</v>
      </c>
      <c r="E284">
        <v>63.16</v>
      </c>
    </row>
    <row r="285" spans="1:5" x14ac:dyDescent="0.2">
      <c r="A285">
        <v>35074</v>
      </c>
      <c r="B285" t="s">
        <v>7</v>
      </c>
      <c r="C285">
        <v>35074</v>
      </c>
      <c r="D285" t="str">
        <f>"35074"</f>
        <v>35074</v>
      </c>
      <c r="E285" t="s">
        <v>6</v>
      </c>
    </row>
    <row r="286" spans="1:5" x14ac:dyDescent="0.2">
      <c r="A286">
        <v>35077</v>
      </c>
      <c r="B286" t="s">
        <v>7</v>
      </c>
      <c r="C286">
        <v>35077</v>
      </c>
      <c r="D286" t="str">
        <f>"35077"</f>
        <v>35077</v>
      </c>
      <c r="E286">
        <v>66.41</v>
      </c>
    </row>
    <row r="287" spans="1:5" x14ac:dyDescent="0.2">
      <c r="A287">
        <v>35078</v>
      </c>
      <c r="B287" t="s">
        <v>7</v>
      </c>
      <c r="C287">
        <v>35078</v>
      </c>
      <c r="D287" t="str">
        <f>"35078"</f>
        <v>35078</v>
      </c>
      <c r="E287">
        <v>66.67</v>
      </c>
    </row>
    <row r="288" spans="1:5" x14ac:dyDescent="0.2">
      <c r="A288">
        <v>35079</v>
      </c>
      <c r="B288" t="s">
        <v>7</v>
      </c>
      <c r="C288">
        <v>35079</v>
      </c>
      <c r="D288" t="str">
        <f>"35079"</f>
        <v>35079</v>
      </c>
      <c r="E288">
        <v>72.959999999999994</v>
      </c>
    </row>
    <row r="289" spans="1:5" x14ac:dyDescent="0.2">
      <c r="A289">
        <v>35080</v>
      </c>
      <c r="B289" t="s">
        <v>7</v>
      </c>
      <c r="C289">
        <v>35080</v>
      </c>
      <c r="D289" t="str">
        <f>"35080"</f>
        <v>35080</v>
      </c>
      <c r="E289">
        <v>78.349999999999994</v>
      </c>
    </row>
    <row r="290" spans="1:5" x14ac:dyDescent="0.2">
      <c r="A290">
        <v>35082</v>
      </c>
      <c r="B290" t="s">
        <v>7</v>
      </c>
      <c r="C290">
        <v>35082</v>
      </c>
      <c r="D290" t="str">
        <f>"35082"</f>
        <v>35082</v>
      </c>
      <c r="E290" t="s">
        <v>6</v>
      </c>
    </row>
    <row r="291" spans="1:5" x14ac:dyDescent="0.2">
      <c r="A291">
        <v>35083</v>
      </c>
      <c r="B291" t="s">
        <v>7</v>
      </c>
      <c r="C291">
        <v>35083</v>
      </c>
      <c r="D291" t="str">
        <f>"35083"</f>
        <v>35083</v>
      </c>
      <c r="E291">
        <v>66.94</v>
      </c>
    </row>
    <row r="292" spans="1:5" x14ac:dyDescent="0.2">
      <c r="A292">
        <v>35085</v>
      </c>
      <c r="B292" t="s">
        <v>7</v>
      </c>
      <c r="C292">
        <v>35085</v>
      </c>
      <c r="D292" t="str">
        <f>"35085"</f>
        <v>35085</v>
      </c>
      <c r="E292">
        <v>64.62</v>
      </c>
    </row>
    <row r="293" spans="1:5" x14ac:dyDescent="0.2">
      <c r="A293">
        <v>35087</v>
      </c>
      <c r="B293" t="s">
        <v>7</v>
      </c>
      <c r="C293">
        <v>35087</v>
      </c>
      <c r="D293" t="str">
        <f>"35087"</f>
        <v>35087</v>
      </c>
      <c r="E293">
        <v>61.9</v>
      </c>
    </row>
    <row r="294" spans="1:5" x14ac:dyDescent="0.2">
      <c r="A294">
        <v>35089</v>
      </c>
      <c r="B294" t="s">
        <v>7</v>
      </c>
      <c r="C294">
        <v>35089</v>
      </c>
      <c r="D294" t="str">
        <f>"35089"</f>
        <v>35089</v>
      </c>
      <c r="E294">
        <v>58.67</v>
      </c>
    </row>
    <row r="295" spans="1:5" x14ac:dyDescent="0.2">
      <c r="A295">
        <v>35091</v>
      </c>
      <c r="B295" t="s">
        <v>7</v>
      </c>
      <c r="C295">
        <v>35091</v>
      </c>
      <c r="D295" t="str">
        <f>"35091"</f>
        <v>35091</v>
      </c>
      <c r="E295">
        <v>81.25</v>
      </c>
    </row>
    <row r="296" spans="1:5" x14ac:dyDescent="0.2">
      <c r="A296">
        <v>35094</v>
      </c>
      <c r="B296" t="s">
        <v>7</v>
      </c>
      <c r="C296">
        <v>35094</v>
      </c>
      <c r="D296" t="str">
        <f>"35094"</f>
        <v>35094</v>
      </c>
      <c r="E296">
        <v>71.61</v>
      </c>
    </row>
    <row r="297" spans="1:5" x14ac:dyDescent="0.2">
      <c r="A297">
        <v>35096</v>
      </c>
      <c r="B297" t="s">
        <v>7</v>
      </c>
      <c r="C297">
        <v>35096</v>
      </c>
      <c r="D297" t="str">
        <f>"35096"</f>
        <v>35096</v>
      </c>
      <c r="E297">
        <v>68.010000000000005</v>
      </c>
    </row>
    <row r="298" spans="1:5" x14ac:dyDescent="0.2">
      <c r="A298">
        <v>35097</v>
      </c>
      <c r="B298" t="s">
        <v>7</v>
      </c>
      <c r="C298">
        <v>35097</v>
      </c>
      <c r="D298" t="str">
        <f>"35097"</f>
        <v>35097</v>
      </c>
      <c r="E298">
        <v>72.73</v>
      </c>
    </row>
    <row r="299" spans="1:5" x14ac:dyDescent="0.2">
      <c r="A299">
        <v>35098</v>
      </c>
      <c r="B299" t="s">
        <v>7</v>
      </c>
      <c r="C299">
        <v>35098</v>
      </c>
      <c r="D299" t="str">
        <f>"35098"</f>
        <v>35098</v>
      </c>
      <c r="E299">
        <v>64.81</v>
      </c>
    </row>
    <row r="300" spans="1:5" x14ac:dyDescent="0.2">
      <c r="A300">
        <v>35111</v>
      </c>
      <c r="B300" t="s">
        <v>7</v>
      </c>
      <c r="C300">
        <v>35111</v>
      </c>
      <c r="D300" t="str">
        <f>"35111"</f>
        <v>35111</v>
      </c>
      <c r="E300">
        <v>76.569999999999993</v>
      </c>
    </row>
    <row r="301" spans="1:5" x14ac:dyDescent="0.2">
      <c r="A301">
        <v>35114</v>
      </c>
      <c r="B301" t="s">
        <v>7</v>
      </c>
      <c r="C301">
        <v>35114</v>
      </c>
      <c r="D301" t="str">
        <f>"35114"</f>
        <v>35114</v>
      </c>
      <c r="E301">
        <v>74.36</v>
      </c>
    </row>
    <row r="302" spans="1:5" x14ac:dyDescent="0.2">
      <c r="A302">
        <v>35115</v>
      </c>
      <c r="B302" t="s">
        <v>7</v>
      </c>
      <c r="C302">
        <v>35115</v>
      </c>
      <c r="D302" t="str">
        <f>"35115"</f>
        <v>35115</v>
      </c>
      <c r="E302">
        <v>63.71</v>
      </c>
    </row>
    <row r="303" spans="1:5" x14ac:dyDescent="0.2">
      <c r="A303">
        <v>35116</v>
      </c>
      <c r="B303" t="s">
        <v>7</v>
      </c>
      <c r="C303">
        <v>35116</v>
      </c>
      <c r="D303" t="str">
        <f>"35116"</f>
        <v>35116</v>
      </c>
      <c r="E303">
        <v>76.260000000000005</v>
      </c>
    </row>
    <row r="304" spans="1:5" x14ac:dyDescent="0.2">
      <c r="A304">
        <v>35117</v>
      </c>
      <c r="B304" t="s">
        <v>7</v>
      </c>
      <c r="C304">
        <v>35117</v>
      </c>
      <c r="D304" t="str">
        <f>"35117"</f>
        <v>35117</v>
      </c>
      <c r="E304">
        <v>79.180000000000007</v>
      </c>
    </row>
    <row r="305" spans="1:5" x14ac:dyDescent="0.2">
      <c r="A305">
        <v>35118</v>
      </c>
      <c r="B305" t="s">
        <v>7</v>
      </c>
      <c r="C305">
        <v>35118</v>
      </c>
      <c r="D305" t="str">
        <f>"35118"</f>
        <v>35118</v>
      </c>
      <c r="E305">
        <v>70.069999999999993</v>
      </c>
    </row>
    <row r="306" spans="1:5" x14ac:dyDescent="0.2">
      <c r="A306">
        <v>35119</v>
      </c>
      <c r="B306" t="s">
        <v>7</v>
      </c>
      <c r="C306">
        <v>35119</v>
      </c>
      <c r="D306" t="str">
        <f>"35119"</f>
        <v>35119</v>
      </c>
      <c r="E306" t="s">
        <v>6</v>
      </c>
    </row>
    <row r="307" spans="1:5" x14ac:dyDescent="0.2">
      <c r="A307">
        <v>35120</v>
      </c>
      <c r="B307" t="s">
        <v>7</v>
      </c>
      <c r="C307">
        <v>35120</v>
      </c>
      <c r="D307" t="str">
        <f>"35120"</f>
        <v>35120</v>
      </c>
      <c r="E307">
        <v>70.88</v>
      </c>
    </row>
    <row r="308" spans="1:5" x14ac:dyDescent="0.2">
      <c r="A308">
        <v>35121</v>
      </c>
      <c r="B308" t="s">
        <v>7</v>
      </c>
      <c r="C308">
        <v>35121</v>
      </c>
      <c r="D308" t="str">
        <f>"35121"</f>
        <v>35121</v>
      </c>
      <c r="E308">
        <v>66.099999999999994</v>
      </c>
    </row>
    <row r="309" spans="1:5" x14ac:dyDescent="0.2">
      <c r="A309">
        <v>35123</v>
      </c>
      <c r="B309" t="s">
        <v>7</v>
      </c>
      <c r="C309">
        <v>35123</v>
      </c>
      <c r="D309" t="str">
        <f>"35123"</f>
        <v>35123</v>
      </c>
      <c r="E309" t="s">
        <v>6</v>
      </c>
    </row>
    <row r="310" spans="1:5" x14ac:dyDescent="0.2">
      <c r="A310">
        <v>35124</v>
      </c>
      <c r="B310" t="s">
        <v>7</v>
      </c>
      <c r="C310">
        <v>35124</v>
      </c>
      <c r="D310" t="str">
        <f>"35124"</f>
        <v>35124</v>
      </c>
      <c r="E310">
        <v>77.22</v>
      </c>
    </row>
    <row r="311" spans="1:5" x14ac:dyDescent="0.2">
      <c r="A311">
        <v>35125</v>
      </c>
      <c r="B311" t="s">
        <v>7</v>
      </c>
      <c r="C311">
        <v>35125</v>
      </c>
      <c r="D311" t="str">
        <f>"35125"</f>
        <v>35125</v>
      </c>
      <c r="E311">
        <v>64.5</v>
      </c>
    </row>
    <row r="312" spans="1:5" x14ac:dyDescent="0.2">
      <c r="A312">
        <v>35126</v>
      </c>
      <c r="B312" t="s">
        <v>7</v>
      </c>
      <c r="C312">
        <v>35126</v>
      </c>
      <c r="D312" t="str">
        <f>"35126"</f>
        <v>35126</v>
      </c>
      <c r="E312">
        <v>71.83</v>
      </c>
    </row>
    <row r="313" spans="1:5" x14ac:dyDescent="0.2">
      <c r="A313">
        <v>35127</v>
      </c>
      <c r="B313" t="s">
        <v>7</v>
      </c>
      <c r="C313">
        <v>35127</v>
      </c>
      <c r="D313" t="str">
        <f>"35127"</f>
        <v>35127</v>
      </c>
      <c r="E313">
        <v>70.56</v>
      </c>
    </row>
    <row r="314" spans="1:5" x14ac:dyDescent="0.2">
      <c r="A314">
        <v>35128</v>
      </c>
      <c r="B314" t="s">
        <v>7</v>
      </c>
      <c r="C314">
        <v>35128</v>
      </c>
      <c r="D314" t="str">
        <f>"35128"</f>
        <v>35128</v>
      </c>
      <c r="E314">
        <v>71.760000000000005</v>
      </c>
    </row>
    <row r="315" spans="1:5" x14ac:dyDescent="0.2">
      <c r="A315">
        <v>35130</v>
      </c>
      <c r="B315" t="s">
        <v>7</v>
      </c>
      <c r="C315">
        <v>35130</v>
      </c>
      <c r="D315" t="str">
        <f>"35130"</f>
        <v>35130</v>
      </c>
      <c r="E315">
        <v>67.2</v>
      </c>
    </row>
    <row r="316" spans="1:5" x14ac:dyDescent="0.2">
      <c r="A316">
        <v>35131</v>
      </c>
      <c r="B316" t="s">
        <v>7</v>
      </c>
      <c r="C316">
        <v>35131</v>
      </c>
      <c r="D316" t="str">
        <f>"35131"</f>
        <v>35131</v>
      </c>
      <c r="E316">
        <v>64.239999999999995</v>
      </c>
    </row>
    <row r="317" spans="1:5" x14ac:dyDescent="0.2">
      <c r="A317">
        <v>35133</v>
      </c>
      <c r="B317" t="s">
        <v>7</v>
      </c>
      <c r="C317">
        <v>35133</v>
      </c>
      <c r="D317" t="str">
        <f>"35133"</f>
        <v>35133</v>
      </c>
      <c r="E317">
        <v>69.38</v>
      </c>
    </row>
    <row r="318" spans="1:5" x14ac:dyDescent="0.2">
      <c r="A318">
        <v>35135</v>
      </c>
      <c r="B318" t="s">
        <v>7</v>
      </c>
      <c r="C318">
        <v>35135</v>
      </c>
      <c r="D318" t="str">
        <f>"35135"</f>
        <v>35135</v>
      </c>
      <c r="E318">
        <v>73.489999999999995</v>
      </c>
    </row>
    <row r="319" spans="1:5" x14ac:dyDescent="0.2">
      <c r="A319">
        <v>35136</v>
      </c>
      <c r="B319" t="s">
        <v>7</v>
      </c>
      <c r="C319">
        <v>35136</v>
      </c>
      <c r="D319" t="str">
        <f>"35136"</f>
        <v>35136</v>
      </c>
      <c r="E319">
        <v>73.44</v>
      </c>
    </row>
    <row r="320" spans="1:5" x14ac:dyDescent="0.2">
      <c r="A320">
        <v>35137</v>
      </c>
      <c r="B320" t="s">
        <v>7</v>
      </c>
      <c r="C320">
        <v>35137</v>
      </c>
      <c r="D320" t="str">
        <f>"35137"</f>
        <v>35137</v>
      </c>
      <c r="E320" t="s">
        <v>6</v>
      </c>
    </row>
    <row r="321" spans="1:5" x14ac:dyDescent="0.2">
      <c r="A321">
        <v>35143</v>
      </c>
      <c r="B321" t="s">
        <v>7</v>
      </c>
      <c r="C321">
        <v>35143</v>
      </c>
      <c r="D321" t="str">
        <f>"35143"</f>
        <v>35143</v>
      </c>
      <c r="E321">
        <v>69.290000000000006</v>
      </c>
    </row>
    <row r="322" spans="1:5" x14ac:dyDescent="0.2">
      <c r="A322">
        <v>35146</v>
      </c>
      <c r="B322" t="s">
        <v>7</v>
      </c>
      <c r="C322">
        <v>35146</v>
      </c>
      <c r="D322" t="str">
        <f>"35146"</f>
        <v>35146</v>
      </c>
      <c r="E322">
        <v>75.650000000000006</v>
      </c>
    </row>
    <row r="323" spans="1:5" x14ac:dyDescent="0.2">
      <c r="A323">
        <v>35147</v>
      </c>
      <c r="B323" t="s">
        <v>7</v>
      </c>
      <c r="C323">
        <v>35147</v>
      </c>
      <c r="D323" t="str">
        <f>"35147"</f>
        <v>35147</v>
      </c>
      <c r="E323">
        <v>75.97</v>
      </c>
    </row>
    <row r="324" spans="1:5" x14ac:dyDescent="0.2">
      <c r="A324">
        <v>35148</v>
      </c>
      <c r="B324" t="s">
        <v>7</v>
      </c>
      <c r="C324">
        <v>35148</v>
      </c>
      <c r="D324" t="str">
        <f>"35148"</f>
        <v>35148</v>
      </c>
      <c r="E324">
        <v>65.38</v>
      </c>
    </row>
    <row r="325" spans="1:5" x14ac:dyDescent="0.2">
      <c r="A325">
        <v>35149</v>
      </c>
      <c r="B325" t="s">
        <v>7</v>
      </c>
      <c r="C325">
        <v>35149</v>
      </c>
      <c r="D325" t="str">
        <f>"35149"</f>
        <v>35149</v>
      </c>
      <c r="E325" t="s">
        <v>6</v>
      </c>
    </row>
    <row r="326" spans="1:5" x14ac:dyDescent="0.2">
      <c r="A326">
        <v>35150</v>
      </c>
      <c r="B326" t="s">
        <v>7</v>
      </c>
      <c r="C326">
        <v>35150</v>
      </c>
      <c r="D326" t="str">
        <f>"35150"</f>
        <v>35150</v>
      </c>
      <c r="E326">
        <v>62.63</v>
      </c>
    </row>
    <row r="327" spans="1:5" x14ac:dyDescent="0.2">
      <c r="A327">
        <v>35151</v>
      </c>
      <c r="B327" t="s">
        <v>7</v>
      </c>
      <c r="C327">
        <v>35151</v>
      </c>
      <c r="D327" t="str">
        <f>"35151"</f>
        <v>35151</v>
      </c>
      <c r="E327">
        <v>71.38</v>
      </c>
    </row>
    <row r="328" spans="1:5" x14ac:dyDescent="0.2">
      <c r="A328">
        <v>35160</v>
      </c>
      <c r="B328" t="s">
        <v>7</v>
      </c>
      <c r="C328">
        <v>35160</v>
      </c>
      <c r="D328" t="str">
        <f>"35160"</f>
        <v>35160</v>
      </c>
      <c r="E328">
        <v>59.57</v>
      </c>
    </row>
    <row r="329" spans="1:5" x14ac:dyDescent="0.2">
      <c r="A329">
        <v>35171</v>
      </c>
      <c r="B329" t="s">
        <v>7</v>
      </c>
      <c r="C329">
        <v>35171</v>
      </c>
      <c r="D329" t="str">
        <f>"35171"</f>
        <v>35171</v>
      </c>
      <c r="E329">
        <v>69.849999999999994</v>
      </c>
    </row>
    <row r="330" spans="1:5" x14ac:dyDescent="0.2">
      <c r="A330">
        <v>35172</v>
      </c>
      <c r="B330" t="s">
        <v>7</v>
      </c>
      <c r="C330">
        <v>35172</v>
      </c>
      <c r="D330" t="str">
        <f>"35172"</f>
        <v>35172</v>
      </c>
      <c r="E330">
        <v>65.45</v>
      </c>
    </row>
    <row r="331" spans="1:5" x14ac:dyDescent="0.2">
      <c r="A331">
        <v>35173</v>
      </c>
      <c r="B331" t="s">
        <v>7</v>
      </c>
      <c r="C331">
        <v>35173</v>
      </c>
      <c r="D331" t="str">
        <f>"35173"</f>
        <v>35173</v>
      </c>
      <c r="E331">
        <v>79.48</v>
      </c>
    </row>
    <row r="332" spans="1:5" x14ac:dyDescent="0.2">
      <c r="A332">
        <v>35175</v>
      </c>
      <c r="B332" t="s">
        <v>7</v>
      </c>
      <c r="C332">
        <v>35175</v>
      </c>
      <c r="D332" t="str">
        <f>"35175"</f>
        <v>35175</v>
      </c>
      <c r="E332">
        <v>73.3</v>
      </c>
    </row>
    <row r="333" spans="1:5" x14ac:dyDescent="0.2">
      <c r="A333">
        <v>35176</v>
      </c>
      <c r="B333" t="s">
        <v>7</v>
      </c>
      <c r="C333">
        <v>35176</v>
      </c>
      <c r="D333" t="str">
        <f>"35176"</f>
        <v>35176</v>
      </c>
      <c r="E333">
        <v>60</v>
      </c>
    </row>
    <row r="334" spans="1:5" x14ac:dyDescent="0.2">
      <c r="A334">
        <v>35178</v>
      </c>
      <c r="B334" t="s">
        <v>7</v>
      </c>
      <c r="C334">
        <v>35178</v>
      </c>
      <c r="D334" t="str">
        <f>"35178"</f>
        <v>35178</v>
      </c>
      <c r="E334">
        <v>67.83</v>
      </c>
    </row>
    <row r="335" spans="1:5" x14ac:dyDescent="0.2">
      <c r="A335">
        <v>35179</v>
      </c>
      <c r="B335" t="s">
        <v>7</v>
      </c>
      <c r="C335">
        <v>35179</v>
      </c>
      <c r="D335" t="str">
        <f>"35179"</f>
        <v>35179</v>
      </c>
      <c r="E335">
        <v>68.73</v>
      </c>
    </row>
    <row r="336" spans="1:5" x14ac:dyDescent="0.2">
      <c r="A336">
        <v>35180</v>
      </c>
      <c r="B336" t="s">
        <v>7</v>
      </c>
      <c r="C336">
        <v>35180</v>
      </c>
      <c r="D336" t="str">
        <f>"35180"</f>
        <v>35180</v>
      </c>
      <c r="E336">
        <v>74.39</v>
      </c>
    </row>
    <row r="337" spans="1:5" x14ac:dyDescent="0.2">
      <c r="A337">
        <v>35182</v>
      </c>
      <c r="B337" t="s">
        <v>7</v>
      </c>
      <c r="C337">
        <v>35182</v>
      </c>
      <c r="D337" t="str">
        <f>"35182"</f>
        <v>35182</v>
      </c>
      <c r="E337" t="s">
        <v>6</v>
      </c>
    </row>
    <row r="338" spans="1:5" x14ac:dyDescent="0.2">
      <c r="A338">
        <v>35183</v>
      </c>
      <c r="B338" t="s">
        <v>7</v>
      </c>
      <c r="C338">
        <v>35183</v>
      </c>
      <c r="D338" t="str">
        <f>"35183"</f>
        <v>35183</v>
      </c>
      <c r="E338">
        <v>66.67</v>
      </c>
    </row>
    <row r="339" spans="1:5" x14ac:dyDescent="0.2">
      <c r="A339">
        <v>35184</v>
      </c>
      <c r="B339" t="s">
        <v>7</v>
      </c>
      <c r="C339">
        <v>35184</v>
      </c>
      <c r="D339" t="str">
        <f>"35184"</f>
        <v>35184</v>
      </c>
      <c r="E339">
        <v>67.3</v>
      </c>
    </row>
    <row r="340" spans="1:5" x14ac:dyDescent="0.2">
      <c r="A340">
        <v>35185</v>
      </c>
      <c r="B340" t="s">
        <v>7</v>
      </c>
      <c r="C340">
        <v>35185</v>
      </c>
      <c r="D340" t="str">
        <f>"35185"</f>
        <v>35185</v>
      </c>
      <c r="E340" t="s">
        <v>6</v>
      </c>
    </row>
    <row r="341" spans="1:5" x14ac:dyDescent="0.2">
      <c r="A341">
        <v>35186</v>
      </c>
      <c r="B341" t="s">
        <v>7</v>
      </c>
      <c r="C341">
        <v>35186</v>
      </c>
      <c r="D341" t="str">
        <f>"35186"</f>
        <v>35186</v>
      </c>
      <c r="E341">
        <v>73.53</v>
      </c>
    </row>
    <row r="342" spans="1:5" x14ac:dyDescent="0.2">
      <c r="A342">
        <v>35188</v>
      </c>
      <c r="B342" t="s">
        <v>7</v>
      </c>
      <c r="C342">
        <v>35188</v>
      </c>
      <c r="D342" t="str">
        <f>"35188"</f>
        <v>35188</v>
      </c>
      <c r="E342">
        <v>73.64</v>
      </c>
    </row>
    <row r="343" spans="1:5" x14ac:dyDescent="0.2">
      <c r="A343">
        <v>35203</v>
      </c>
      <c r="B343" t="s">
        <v>7</v>
      </c>
      <c r="C343">
        <v>35203</v>
      </c>
      <c r="D343" t="str">
        <f>"35203"</f>
        <v>35203</v>
      </c>
      <c r="E343">
        <v>69.930000000000007</v>
      </c>
    </row>
    <row r="344" spans="1:5" x14ac:dyDescent="0.2">
      <c r="A344">
        <v>35204</v>
      </c>
      <c r="B344" t="s">
        <v>7</v>
      </c>
      <c r="C344">
        <v>35204</v>
      </c>
      <c r="D344" t="str">
        <f>"35204"</f>
        <v>35204</v>
      </c>
      <c r="E344">
        <v>46.13</v>
      </c>
    </row>
    <row r="345" spans="1:5" x14ac:dyDescent="0.2">
      <c r="A345">
        <v>35205</v>
      </c>
      <c r="B345" t="s">
        <v>7</v>
      </c>
      <c r="C345">
        <v>35205</v>
      </c>
      <c r="D345" t="str">
        <f>"35205"</f>
        <v>35205</v>
      </c>
      <c r="E345">
        <v>70.94</v>
      </c>
    </row>
    <row r="346" spans="1:5" x14ac:dyDescent="0.2">
      <c r="A346">
        <v>35206</v>
      </c>
      <c r="B346" t="s">
        <v>7</v>
      </c>
      <c r="C346">
        <v>35206</v>
      </c>
      <c r="D346" t="str">
        <f>"35206"</f>
        <v>35206</v>
      </c>
      <c r="E346">
        <v>52.06</v>
      </c>
    </row>
    <row r="347" spans="1:5" x14ac:dyDescent="0.2">
      <c r="A347">
        <v>35207</v>
      </c>
      <c r="B347" t="s">
        <v>7</v>
      </c>
      <c r="C347">
        <v>35207</v>
      </c>
      <c r="D347" t="str">
        <f>"35207"</f>
        <v>35207</v>
      </c>
      <c r="E347">
        <v>43.13</v>
      </c>
    </row>
    <row r="348" spans="1:5" x14ac:dyDescent="0.2">
      <c r="A348">
        <v>35208</v>
      </c>
      <c r="B348" t="s">
        <v>7</v>
      </c>
      <c r="C348">
        <v>35208</v>
      </c>
      <c r="D348" t="str">
        <f>"35208"</f>
        <v>35208</v>
      </c>
      <c r="E348">
        <v>50.17</v>
      </c>
    </row>
    <row r="349" spans="1:5" x14ac:dyDescent="0.2">
      <c r="A349">
        <v>35209</v>
      </c>
      <c r="B349" t="s">
        <v>7</v>
      </c>
      <c r="C349">
        <v>35209</v>
      </c>
      <c r="D349" t="str">
        <f>"35209"</f>
        <v>35209</v>
      </c>
      <c r="E349">
        <v>73.75</v>
      </c>
    </row>
    <row r="350" spans="1:5" x14ac:dyDescent="0.2">
      <c r="A350">
        <v>35210</v>
      </c>
      <c r="B350" t="s">
        <v>7</v>
      </c>
      <c r="C350">
        <v>35210</v>
      </c>
      <c r="D350" t="str">
        <f>"35210"</f>
        <v>35210</v>
      </c>
      <c r="E350">
        <v>72.36</v>
      </c>
    </row>
    <row r="351" spans="1:5" x14ac:dyDescent="0.2">
      <c r="A351">
        <v>35211</v>
      </c>
      <c r="B351" t="s">
        <v>7</v>
      </c>
      <c r="C351">
        <v>35211</v>
      </c>
      <c r="D351" t="str">
        <f>"35211"</f>
        <v>35211</v>
      </c>
      <c r="E351">
        <v>52.33</v>
      </c>
    </row>
    <row r="352" spans="1:5" x14ac:dyDescent="0.2">
      <c r="A352">
        <v>35212</v>
      </c>
      <c r="B352" t="s">
        <v>7</v>
      </c>
      <c r="C352">
        <v>35212</v>
      </c>
      <c r="D352" t="str">
        <f>"35212"</f>
        <v>35212</v>
      </c>
      <c r="E352">
        <v>50.88</v>
      </c>
    </row>
    <row r="353" spans="1:5" x14ac:dyDescent="0.2">
      <c r="A353">
        <v>35213</v>
      </c>
      <c r="B353" t="s">
        <v>7</v>
      </c>
      <c r="C353">
        <v>35213</v>
      </c>
      <c r="D353" t="str">
        <f>"35213"</f>
        <v>35213</v>
      </c>
      <c r="E353">
        <v>84.64</v>
      </c>
    </row>
    <row r="354" spans="1:5" x14ac:dyDescent="0.2">
      <c r="A354">
        <v>35214</v>
      </c>
      <c r="B354" t="s">
        <v>7</v>
      </c>
      <c r="C354">
        <v>35214</v>
      </c>
      <c r="D354" t="str">
        <f>"35214"</f>
        <v>35214</v>
      </c>
      <c r="E354">
        <v>61.01</v>
      </c>
    </row>
    <row r="355" spans="1:5" x14ac:dyDescent="0.2">
      <c r="A355">
        <v>35215</v>
      </c>
      <c r="B355" t="s">
        <v>7</v>
      </c>
      <c r="C355">
        <v>35215</v>
      </c>
      <c r="D355" t="str">
        <f>"35215"</f>
        <v>35215</v>
      </c>
      <c r="E355">
        <v>52.68</v>
      </c>
    </row>
    <row r="356" spans="1:5" x14ac:dyDescent="0.2">
      <c r="A356">
        <v>35216</v>
      </c>
      <c r="B356" t="s">
        <v>7</v>
      </c>
      <c r="C356">
        <v>35216</v>
      </c>
      <c r="D356" t="str">
        <f>"35216"</f>
        <v>35216</v>
      </c>
      <c r="E356">
        <v>72.94</v>
      </c>
    </row>
    <row r="357" spans="1:5" x14ac:dyDescent="0.2">
      <c r="A357">
        <v>35217</v>
      </c>
      <c r="B357" t="s">
        <v>7</v>
      </c>
      <c r="C357">
        <v>35217</v>
      </c>
      <c r="D357" t="str">
        <f>"35217"</f>
        <v>35217</v>
      </c>
      <c r="E357">
        <v>50.51</v>
      </c>
    </row>
    <row r="358" spans="1:5" x14ac:dyDescent="0.2">
      <c r="A358">
        <v>35218</v>
      </c>
      <c r="B358" t="s">
        <v>7</v>
      </c>
      <c r="C358">
        <v>35218</v>
      </c>
      <c r="D358" t="str">
        <f>"35218"</f>
        <v>35218</v>
      </c>
      <c r="E358">
        <v>46.06</v>
      </c>
    </row>
    <row r="359" spans="1:5" x14ac:dyDescent="0.2">
      <c r="A359">
        <v>35221</v>
      </c>
      <c r="B359" t="s">
        <v>7</v>
      </c>
      <c r="C359">
        <v>35221</v>
      </c>
      <c r="D359" t="str">
        <f>"35221"</f>
        <v>35221</v>
      </c>
      <c r="E359">
        <v>49.43</v>
      </c>
    </row>
    <row r="360" spans="1:5" x14ac:dyDescent="0.2">
      <c r="A360">
        <v>35222</v>
      </c>
      <c r="B360" t="s">
        <v>7</v>
      </c>
      <c r="C360">
        <v>35222</v>
      </c>
      <c r="D360" t="str">
        <f>"35222"</f>
        <v>35222</v>
      </c>
      <c r="E360">
        <v>76.41</v>
      </c>
    </row>
    <row r="361" spans="1:5" x14ac:dyDescent="0.2">
      <c r="A361">
        <v>35223</v>
      </c>
      <c r="B361" t="s">
        <v>7</v>
      </c>
      <c r="C361">
        <v>35223</v>
      </c>
      <c r="D361" t="str">
        <f>"35223"</f>
        <v>35223</v>
      </c>
      <c r="E361">
        <v>84.06</v>
      </c>
    </row>
    <row r="362" spans="1:5" x14ac:dyDescent="0.2">
      <c r="A362">
        <v>35224</v>
      </c>
      <c r="B362" t="s">
        <v>7</v>
      </c>
      <c r="C362">
        <v>35224</v>
      </c>
      <c r="D362" t="str">
        <f>"35224"</f>
        <v>35224</v>
      </c>
      <c r="E362">
        <v>51.16</v>
      </c>
    </row>
    <row r="363" spans="1:5" x14ac:dyDescent="0.2">
      <c r="A363">
        <v>35226</v>
      </c>
      <c r="B363" t="s">
        <v>7</v>
      </c>
      <c r="C363">
        <v>35226</v>
      </c>
      <c r="D363" t="str">
        <f>"35226"</f>
        <v>35226</v>
      </c>
      <c r="E363">
        <v>81.87</v>
      </c>
    </row>
    <row r="364" spans="1:5" x14ac:dyDescent="0.2">
      <c r="A364">
        <v>35228</v>
      </c>
      <c r="B364" t="s">
        <v>7</v>
      </c>
      <c r="C364">
        <v>35228</v>
      </c>
      <c r="D364" t="str">
        <f>"35228"</f>
        <v>35228</v>
      </c>
      <c r="E364">
        <v>50.59</v>
      </c>
    </row>
    <row r="365" spans="1:5" x14ac:dyDescent="0.2">
      <c r="A365">
        <v>35229</v>
      </c>
      <c r="B365" t="s">
        <v>7</v>
      </c>
      <c r="C365">
        <v>35229</v>
      </c>
      <c r="D365" t="str">
        <f>"35229"</f>
        <v>35229</v>
      </c>
      <c r="E365" t="s">
        <v>6</v>
      </c>
    </row>
    <row r="366" spans="1:5" x14ac:dyDescent="0.2">
      <c r="A366">
        <v>35233</v>
      </c>
      <c r="B366" t="s">
        <v>7</v>
      </c>
      <c r="C366">
        <v>35233</v>
      </c>
      <c r="D366" t="str">
        <f>"35233"</f>
        <v>35233</v>
      </c>
      <c r="E366">
        <v>77.010000000000005</v>
      </c>
    </row>
    <row r="367" spans="1:5" x14ac:dyDescent="0.2">
      <c r="A367">
        <v>35234</v>
      </c>
      <c r="B367" t="s">
        <v>7</v>
      </c>
      <c r="C367">
        <v>35234</v>
      </c>
      <c r="D367" t="str">
        <f>"35234"</f>
        <v>35234</v>
      </c>
      <c r="E367">
        <v>48.04</v>
      </c>
    </row>
    <row r="368" spans="1:5" x14ac:dyDescent="0.2">
      <c r="A368">
        <v>35235</v>
      </c>
      <c r="B368" t="s">
        <v>7</v>
      </c>
      <c r="C368">
        <v>35235</v>
      </c>
      <c r="D368" t="str">
        <f>"35235"</f>
        <v>35235</v>
      </c>
      <c r="E368">
        <v>65.33</v>
      </c>
    </row>
    <row r="369" spans="1:5" x14ac:dyDescent="0.2">
      <c r="A369">
        <v>35242</v>
      </c>
      <c r="B369" t="s">
        <v>7</v>
      </c>
      <c r="C369">
        <v>35242</v>
      </c>
      <c r="D369" t="str">
        <f>"35242"</f>
        <v>35242</v>
      </c>
      <c r="E369">
        <v>80.89</v>
      </c>
    </row>
    <row r="370" spans="1:5" x14ac:dyDescent="0.2">
      <c r="A370">
        <v>35243</v>
      </c>
      <c r="B370" t="s">
        <v>7</v>
      </c>
      <c r="C370">
        <v>35243</v>
      </c>
      <c r="D370" t="str">
        <f>"35243"</f>
        <v>35243</v>
      </c>
      <c r="E370">
        <v>83.32</v>
      </c>
    </row>
    <row r="371" spans="1:5" x14ac:dyDescent="0.2">
      <c r="A371">
        <v>35244</v>
      </c>
      <c r="B371" t="s">
        <v>7</v>
      </c>
      <c r="C371">
        <v>35244</v>
      </c>
      <c r="D371" t="str">
        <f>"35244"</f>
        <v>35244</v>
      </c>
      <c r="E371">
        <v>79.540000000000006</v>
      </c>
    </row>
    <row r="372" spans="1:5" x14ac:dyDescent="0.2">
      <c r="A372">
        <v>35285</v>
      </c>
      <c r="B372" t="s">
        <v>7</v>
      </c>
      <c r="C372">
        <v>35285</v>
      </c>
      <c r="D372" t="str">
        <f>"35285"</f>
        <v>35285</v>
      </c>
      <c r="E372" t="s">
        <v>6</v>
      </c>
    </row>
    <row r="373" spans="1:5" x14ac:dyDescent="0.2">
      <c r="A373">
        <v>35401</v>
      </c>
      <c r="B373" t="s">
        <v>7</v>
      </c>
      <c r="C373">
        <v>35401</v>
      </c>
      <c r="D373" t="str">
        <f>"35401"</f>
        <v>35401</v>
      </c>
      <c r="E373">
        <v>50.35</v>
      </c>
    </row>
    <row r="374" spans="1:5" x14ac:dyDescent="0.2">
      <c r="A374">
        <v>35404</v>
      </c>
      <c r="B374" t="s">
        <v>7</v>
      </c>
      <c r="C374">
        <v>35404</v>
      </c>
      <c r="D374" t="str">
        <f>"35404"</f>
        <v>35404</v>
      </c>
      <c r="E374">
        <v>58.85</v>
      </c>
    </row>
    <row r="375" spans="1:5" x14ac:dyDescent="0.2">
      <c r="A375">
        <v>35405</v>
      </c>
      <c r="B375" t="s">
        <v>7</v>
      </c>
      <c r="C375">
        <v>35405</v>
      </c>
      <c r="D375" t="str">
        <f>"35405"</f>
        <v>35405</v>
      </c>
      <c r="E375">
        <v>63.95</v>
      </c>
    </row>
    <row r="376" spans="1:5" x14ac:dyDescent="0.2">
      <c r="A376">
        <v>35406</v>
      </c>
      <c r="B376" t="s">
        <v>7</v>
      </c>
      <c r="C376">
        <v>35406</v>
      </c>
      <c r="D376" t="str">
        <f>"35406"</f>
        <v>35406</v>
      </c>
      <c r="E376">
        <v>80.319999999999993</v>
      </c>
    </row>
    <row r="377" spans="1:5" x14ac:dyDescent="0.2">
      <c r="A377">
        <v>35441</v>
      </c>
      <c r="B377" t="s">
        <v>7</v>
      </c>
      <c r="C377">
        <v>35441</v>
      </c>
      <c r="D377" t="str">
        <f>"35441"</f>
        <v>35441</v>
      </c>
      <c r="E377">
        <v>61.36</v>
      </c>
    </row>
    <row r="378" spans="1:5" x14ac:dyDescent="0.2">
      <c r="A378">
        <v>35442</v>
      </c>
      <c r="B378" t="s">
        <v>7</v>
      </c>
      <c r="C378">
        <v>35442</v>
      </c>
      <c r="D378" t="str">
        <f>"35442"</f>
        <v>35442</v>
      </c>
      <c r="E378">
        <v>49.46</v>
      </c>
    </row>
    <row r="379" spans="1:5" x14ac:dyDescent="0.2">
      <c r="A379">
        <v>35443</v>
      </c>
      <c r="B379" t="s">
        <v>7</v>
      </c>
      <c r="C379">
        <v>35443</v>
      </c>
      <c r="D379" t="str">
        <f>"35443"</f>
        <v>35443</v>
      </c>
      <c r="E379">
        <v>42.42</v>
      </c>
    </row>
    <row r="380" spans="1:5" x14ac:dyDescent="0.2">
      <c r="A380">
        <v>35444</v>
      </c>
      <c r="B380" t="s">
        <v>7</v>
      </c>
      <c r="C380">
        <v>35444</v>
      </c>
      <c r="D380" t="str">
        <f>"35444"</f>
        <v>35444</v>
      </c>
      <c r="E380">
        <v>67.760000000000005</v>
      </c>
    </row>
    <row r="381" spans="1:5" x14ac:dyDescent="0.2">
      <c r="A381">
        <v>35446</v>
      </c>
      <c r="B381" t="s">
        <v>7</v>
      </c>
      <c r="C381">
        <v>35446</v>
      </c>
      <c r="D381" t="str">
        <f>"35446"</f>
        <v>35446</v>
      </c>
      <c r="E381">
        <v>67.47</v>
      </c>
    </row>
    <row r="382" spans="1:5" x14ac:dyDescent="0.2">
      <c r="A382">
        <v>35447</v>
      </c>
      <c r="B382" t="s">
        <v>7</v>
      </c>
      <c r="C382">
        <v>35447</v>
      </c>
      <c r="D382" t="str">
        <f>"35447"</f>
        <v>35447</v>
      </c>
      <c r="E382">
        <v>55.74</v>
      </c>
    </row>
    <row r="383" spans="1:5" x14ac:dyDescent="0.2">
      <c r="A383">
        <v>35452</v>
      </c>
      <c r="B383" t="s">
        <v>7</v>
      </c>
      <c r="C383">
        <v>35452</v>
      </c>
      <c r="D383" t="str">
        <f>"35452"</f>
        <v>35452</v>
      </c>
      <c r="E383">
        <v>73.13</v>
      </c>
    </row>
    <row r="384" spans="1:5" x14ac:dyDescent="0.2">
      <c r="A384">
        <v>35453</v>
      </c>
      <c r="B384" t="s">
        <v>7</v>
      </c>
      <c r="C384">
        <v>35453</v>
      </c>
      <c r="D384" t="str">
        <f>"35453"</f>
        <v>35453</v>
      </c>
      <c r="E384">
        <v>67.08</v>
      </c>
    </row>
    <row r="385" spans="1:5" x14ac:dyDescent="0.2">
      <c r="A385">
        <v>35456</v>
      </c>
      <c r="B385" t="s">
        <v>7</v>
      </c>
      <c r="C385">
        <v>35456</v>
      </c>
      <c r="D385" t="str">
        <f>"35456"</f>
        <v>35456</v>
      </c>
      <c r="E385">
        <v>63.69</v>
      </c>
    </row>
    <row r="386" spans="1:5" x14ac:dyDescent="0.2">
      <c r="A386">
        <v>35457</v>
      </c>
      <c r="B386" t="s">
        <v>7</v>
      </c>
      <c r="C386">
        <v>35457</v>
      </c>
      <c r="D386" t="str">
        <f>"35457"</f>
        <v>35457</v>
      </c>
      <c r="E386" t="s">
        <v>6</v>
      </c>
    </row>
    <row r="387" spans="1:5" x14ac:dyDescent="0.2">
      <c r="A387">
        <v>35458</v>
      </c>
      <c r="B387" t="s">
        <v>7</v>
      </c>
      <c r="C387">
        <v>35458</v>
      </c>
      <c r="D387" t="str">
        <f>"35458"</f>
        <v>35458</v>
      </c>
      <c r="E387">
        <v>68.180000000000007</v>
      </c>
    </row>
    <row r="388" spans="1:5" x14ac:dyDescent="0.2">
      <c r="A388">
        <v>35459</v>
      </c>
      <c r="B388" t="s">
        <v>7</v>
      </c>
      <c r="C388">
        <v>35459</v>
      </c>
      <c r="D388" t="str">
        <f>"35459"</f>
        <v>35459</v>
      </c>
      <c r="E388">
        <v>59.38</v>
      </c>
    </row>
    <row r="389" spans="1:5" x14ac:dyDescent="0.2">
      <c r="A389">
        <v>35460</v>
      </c>
      <c r="B389" t="s">
        <v>7</v>
      </c>
      <c r="C389">
        <v>35460</v>
      </c>
      <c r="D389" t="str">
        <f>"35460"</f>
        <v>35460</v>
      </c>
      <c r="E389">
        <v>47.62</v>
      </c>
    </row>
    <row r="390" spans="1:5" x14ac:dyDescent="0.2">
      <c r="A390">
        <v>35461</v>
      </c>
      <c r="B390" t="s">
        <v>7</v>
      </c>
      <c r="C390">
        <v>35461</v>
      </c>
      <c r="D390" t="str">
        <f>"35461"</f>
        <v>35461</v>
      </c>
      <c r="E390">
        <v>66.67</v>
      </c>
    </row>
    <row r="391" spans="1:5" x14ac:dyDescent="0.2">
      <c r="A391">
        <v>35462</v>
      </c>
      <c r="B391" t="s">
        <v>7</v>
      </c>
      <c r="C391">
        <v>35462</v>
      </c>
      <c r="D391" t="str">
        <f>"35462"</f>
        <v>35462</v>
      </c>
      <c r="E391">
        <v>48.13</v>
      </c>
    </row>
    <row r="392" spans="1:5" x14ac:dyDescent="0.2">
      <c r="A392">
        <v>35463</v>
      </c>
      <c r="B392" t="s">
        <v>7</v>
      </c>
      <c r="C392">
        <v>35463</v>
      </c>
      <c r="D392" t="str">
        <f>"35463"</f>
        <v>35463</v>
      </c>
      <c r="E392">
        <v>67.900000000000006</v>
      </c>
    </row>
    <row r="393" spans="1:5" x14ac:dyDescent="0.2">
      <c r="A393">
        <v>35464</v>
      </c>
      <c r="B393" t="s">
        <v>7</v>
      </c>
      <c r="C393">
        <v>35464</v>
      </c>
      <c r="D393" t="str">
        <f>"35464"</f>
        <v>35464</v>
      </c>
      <c r="E393">
        <v>42.11</v>
      </c>
    </row>
    <row r="394" spans="1:5" x14ac:dyDescent="0.2">
      <c r="A394">
        <v>35466</v>
      </c>
      <c r="B394" t="s">
        <v>7</v>
      </c>
      <c r="C394">
        <v>35466</v>
      </c>
      <c r="D394" t="str">
        <f>"35466"</f>
        <v>35466</v>
      </c>
      <c r="E394">
        <v>69.33</v>
      </c>
    </row>
    <row r="395" spans="1:5" x14ac:dyDescent="0.2">
      <c r="A395">
        <v>35469</v>
      </c>
      <c r="B395" t="s">
        <v>7</v>
      </c>
      <c r="C395">
        <v>35469</v>
      </c>
      <c r="D395" t="str">
        <f>"35469"</f>
        <v>35469</v>
      </c>
      <c r="E395">
        <v>53.85</v>
      </c>
    </row>
    <row r="396" spans="1:5" x14ac:dyDescent="0.2">
      <c r="A396">
        <v>35470</v>
      </c>
      <c r="B396" t="s">
        <v>7</v>
      </c>
      <c r="C396">
        <v>35470</v>
      </c>
      <c r="D396" t="str">
        <f>"35470"</f>
        <v>35470</v>
      </c>
      <c r="E396">
        <v>56.59</v>
      </c>
    </row>
    <row r="397" spans="1:5" x14ac:dyDescent="0.2">
      <c r="A397">
        <v>35473</v>
      </c>
      <c r="B397" t="s">
        <v>7</v>
      </c>
      <c r="C397">
        <v>35473</v>
      </c>
      <c r="D397" t="str">
        <f>"35473"</f>
        <v>35473</v>
      </c>
      <c r="E397">
        <v>73.16</v>
      </c>
    </row>
    <row r="398" spans="1:5" x14ac:dyDescent="0.2">
      <c r="A398">
        <v>35474</v>
      </c>
      <c r="B398" t="s">
        <v>7</v>
      </c>
      <c r="C398">
        <v>35474</v>
      </c>
      <c r="D398" t="str">
        <f>"35474"</f>
        <v>35474</v>
      </c>
      <c r="E398">
        <v>66.44</v>
      </c>
    </row>
    <row r="399" spans="1:5" x14ac:dyDescent="0.2">
      <c r="A399">
        <v>35475</v>
      </c>
      <c r="B399" t="s">
        <v>7</v>
      </c>
      <c r="C399">
        <v>35475</v>
      </c>
      <c r="D399" t="str">
        <f>"35475"</f>
        <v>35475</v>
      </c>
      <c r="E399">
        <v>78.48</v>
      </c>
    </row>
    <row r="400" spans="1:5" x14ac:dyDescent="0.2">
      <c r="A400">
        <v>35476</v>
      </c>
      <c r="B400" t="s">
        <v>7</v>
      </c>
      <c r="C400">
        <v>35476</v>
      </c>
      <c r="D400" t="str">
        <f>"35476"</f>
        <v>35476</v>
      </c>
      <c r="E400">
        <v>56.35</v>
      </c>
    </row>
    <row r="401" spans="1:5" x14ac:dyDescent="0.2">
      <c r="A401">
        <v>35480</v>
      </c>
      <c r="B401" t="s">
        <v>7</v>
      </c>
      <c r="C401">
        <v>35480</v>
      </c>
      <c r="D401" t="str">
        <f>"35480"</f>
        <v>35480</v>
      </c>
      <c r="E401">
        <v>70.150000000000006</v>
      </c>
    </row>
    <row r="402" spans="1:5" x14ac:dyDescent="0.2">
      <c r="A402">
        <v>35481</v>
      </c>
      <c r="B402" t="s">
        <v>7</v>
      </c>
      <c r="C402">
        <v>35481</v>
      </c>
      <c r="D402" t="str">
        <f>"35481"</f>
        <v>35481</v>
      </c>
      <c r="E402">
        <v>60.16</v>
      </c>
    </row>
    <row r="403" spans="1:5" x14ac:dyDescent="0.2">
      <c r="A403">
        <v>35490</v>
      </c>
      <c r="B403" t="s">
        <v>7</v>
      </c>
      <c r="C403">
        <v>35490</v>
      </c>
      <c r="D403" t="str">
        <f>"35490"</f>
        <v>35490</v>
      </c>
      <c r="E403">
        <v>71.91</v>
      </c>
    </row>
    <row r="404" spans="1:5" x14ac:dyDescent="0.2">
      <c r="A404">
        <v>35501</v>
      </c>
      <c r="B404" t="s">
        <v>7</v>
      </c>
      <c r="C404">
        <v>35501</v>
      </c>
      <c r="D404" t="str">
        <f>"35501"</f>
        <v>35501</v>
      </c>
      <c r="E404">
        <v>60.22</v>
      </c>
    </row>
    <row r="405" spans="1:5" x14ac:dyDescent="0.2">
      <c r="A405">
        <v>35502</v>
      </c>
      <c r="B405" t="s">
        <v>7</v>
      </c>
      <c r="C405">
        <v>35502</v>
      </c>
      <c r="D405" t="str">
        <f>"35502"</f>
        <v>35502</v>
      </c>
      <c r="E405" t="s">
        <v>6</v>
      </c>
    </row>
    <row r="406" spans="1:5" x14ac:dyDescent="0.2">
      <c r="A406">
        <v>35503</v>
      </c>
      <c r="B406" t="s">
        <v>7</v>
      </c>
      <c r="C406">
        <v>35503</v>
      </c>
      <c r="D406" t="str">
        <f>"35503"</f>
        <v>35503</v>
      </c>
      <c r="E406">
        <v>68.28</v>
      </c>
    </row>
    <row r="407" spans="1:5" x14ac:dyDescent="0.2">
      <c r="A407">
        <v>35504</v>
      </c>
      <c r="B407" t="s">
        <v>7</v>
      </c>
      <c r="C407">
        <v>35504</v>
      </c>
      <c r="D407" t="str">
        <f>"35504"</f>
        <v>35504</v>
      </c>
      <c r="E407">
        <v>72.69</v>
      </c>
    </row>
    <row r="408" spans="1:5" x14ac:dyDescent="0.2">
      <c r="A408">
        <v>35540</v>
      </c>
      <c r="B408" t="s">
        <v>7</v>
      </c>
      <c r="C408">
        <v>35540</v>
      </c>
      <c r="D408" t="str">
        <f>"35540"</f>
        <v>35540</v>
      </c>
      <c r="E408">
        <v>65.959999999999994</v>
      </c>
    </row>
    <row r="409" spans="1:5" x14ac:dyDescent="0.2">
      <c r="A409">
        <v>35541</v>
      </c>
      <c r="B409" t="s">
        <v>7</v>
      </c>
      <c r="C409">
        <v>35541</v>
      </c>
      <c r="D409" t="str">
        <f>"35541"</f>
        <v>35541</v>
      </c>
      <c r="E409">
        <v>68.94</v>
      </c>
    </row>
    <row r="410" spans="1:5" x14ac:dyDescent="0.2">
      <c r="A410">
        <v>35542</v>
      </c>
      <c r="B410" t="s">
        <v>7</v>
      </c>
      <c r="C410">
        <v>35542</v>
      </c>
      <c r="D410" t="str">
        <f>"35542"</f>
        <v>35542</v>
      </c>
      <c r="E410">
        <v>67.44</v>
      </c>
    </row>
    <row r="411" spans="1:5" x14ac:dyDescent="0.2">
      <c r="A411">
        <v>35543</v>
      </c>
      <c r="B411" t="s">
        <v>7</v>
      </c>
      <c r="C411">
        <v>35543</v>
      </c>
      <c r="D411" t="str">
        <f>"35543"</f>
        <v>35543</v>
      </c>
      <c r="E411">
        <v>57.89</v>
      </c>
    </row>
    <row r="412" spans="1:5" x14ac:dyDescent="0.2">
      <c r="A412">
        <v>35544</v>
      </c>
      <c r="B412" t="s">
        <v>7</v>
      </c>
      <c r="C412">
        <v>35544</v>
      </c>
      <c r="D412" t="str">
        <f>"35544"</f>
        <v>35544</v>
      </c>
      <c r="E412">
        <v>69.569999999999993</v>
      </c>
    </row>
    <row r="413" spans="1:5" x14ac:dyDescent="0.2">
      <c r="A413">
        <v>35546</v>
      </c>
      <c r="B413" t="s">
        <v>7</v>
      </c>
      <c r="C413">
        <v>35546</v>
      </c>
      <c r="D413" t="str">
        <f>"35546"</f>
        <v>35546</v>
      </c>
      <c r="E413">
        <v>68.87</v>
      </c>
    </row>
    <row r="414" spans="1:5" x14ac:dyDescent="0.2">
      <c r="A414">
        <v>35548</v>
      </c>
      <c r="B414" t="s">
        <v>7</v>
      </c>
      <c r="C414">
        <v>35548</v>
      </c>
      <c r="D414" t="str">
        <f>"35548"</f>
        <v>35548</v>
      </c>
      <c r="E414">
        <v>60.34</v>
      </c>
    </row>
    <row r="415" spans="1:5" x14ac:dyDescent="0.2">
      <c r="A415">
        <v>35549</v>
      </c>
      <c r="B415" t="s">
        <v>7</v>
      </c>
      <c r="C415">
        <v>35549</v>
      </c>
      <c r="D415" t="str">
        <f>"35549"</f>
        <v>35549</v>
      </c>
      <c r="E415">
        <v>63.04</v>
      </c>
    </row>
    <row r="416" spans="1:5" x14ac:dyDescent="0.2">
      <c r="A416">
        <v>35550</v>
      </c>
      <c r="B416" t="s">
        <v>7</v>
      </c>
      <c r="C416">
        <v>35550</v>
      </c>
      <c r="D416" t="str">
        <f>"35550"</f>
        <v>35550</v>
      </c>
      <c r="E416">
        <v>66.489999999999995</v>
      </c>
    </row>
    <row r="417" spans="1:5" x14ac:dyDescent="0.2">
      <c r="A417">
        <v>35552</v>
      </c>
      <c r="B417" t="s">
        <v>7</v>
      </c>
      <c r="C417">
        <v>35552</v>
      </c>
      <c r="D417" t="str">
        <f>"35552"</f>
        <v>35552</v>
      </c>
      <c r="E417">
        <v>68.569999999999993</v>
      </c>
    </row>
    <row r="418" spans="1:5" x14ac:dyDescent="0.2">
      <c r="A418">
        <v>35553</v>
      </c>
      <c r="B418" t="s">
        <v>7</v>
      </c>
      <c r="C418">
        <v>35553</v>
      </c>
      <c r="D418" t="str">
        <f>"35553"</f>
        <v>35553</v>
      </c>
      <c r="E418">
        <v>64.67</v>
      </c>
    </row>
    <row r="419" spans="1:5" x14ac:dyDescent="0.2">
      <c r="A419">
        <v>35554</v>
      </c>
      <c r="B419" t="s">
        <v>7</v>
      </c>
      <c r="C419">
        <v>35554</v>
      </c>
      <c r="D419" t="str">
        <f>"35554"</f>
        <v>35554</v>
      </c>
      <c r="E419">
        <v>69.05</v>
      </c>
    </row>
    <row r="420" spans="1:5" x14ac:dyDescent="0.2">
      <c r="A420">
        <v>35555</v>
      </c>
      <c r="B420" t="s">
        <v>7</v>
      </c>
      <c r="C420">
        <v>35555</v>
      </c>
      <c r="D420" t="str">
        <f>"35555"</f>
        <v>35555</v>
      </c>
      <c r="E420">
        <v>63.32</v>
      </c>
    </row>
    <row r="421" spans="1:5" x14ac:dyDescent="0.2">
      <c r="A421">
        <v>35563</v>
      </c>
      <c r="B421" t="s">
        <v>7</v>
      </c>
      <c r="C421">
        <v>35563</v>
      </c>
      <c r="D421" t="str">
        <f>"35563"</f>
        <v>35563</v>
      </c>
      <c r="E421">
        <v>64.38</v>
      </c>
    </row>
    <row r="422" spans="1:5" x14ac:dyDescent="0.2">
      <c r="A422">
        <v>35564</v>
      </c>
      <c r="B422" t="s">
        <v>7</v>
      </c>
      <c r="C422">
        <v>35564</v>
      </c>
      <c r="D422" t="str">
        <f>"35564"</f>
        <v>35564</v>
      </c>
      <c r="E422">
        <v>64.099999999999994</v>
      </c>
    </row>
    <row r="423" spans="1:5" x14ac:dyDescent="0.2">
      <c r="A423">
        <v>35565</v>
      </c>
      <c r="B423" t="s">
        <v>7</v>
      </c>
      <c r="C423">
        <v>35565</v>
      </c>
      <c r="D423" t="str">
        <f>"35565"</f>
        <v>35565</v>
      </c>
      <c r="E423">
        <v>61.18</v>
      </c>
    </row>
    <row r="424" spans="1:5" x14ac:dyDescent="0.2">
      <c r="A424">
        <v>35570</v>
      </c>
      <c r="B424" t="s">
        <v>7</v>
      </c>
      <c r="C424">
        <v>35570</v>
      </c>
      <c r="D424" t="str">
        <f>"35570"</f>
        <v>35570</v>
      </c>
      <c r="E424">
        <v>62.05</v>
      </c>
    </row>
    <row r="425" spans="1:5" x14ac:dyDescent="0.2">
      <c r="A425">
        <v>35571</v>
      </c>
      <c r="B425" t="s">
        <v>7</v>
      </c>
      <c r="C425">
        <v>35571</v>
      </c>
      <c r="D425" t="str">
        <f>"35571"</f>
        <v>35571</v>
      </c>
      <c r="E425">
        <v>67.739999999999995</v>
      </c>
    </row>
    <row r="426" spans="1:5" x14ac:dyDescent="0.2">
      <c r="A426">
        <v>35572</v>
      </c>
      <c r="B426" t="s">
        <v>7</v>
      </c>
      <c r="C426">
        <v>35572</v>
      </c>
      <c r="D426" t="str">
        <f>"35572"</f>
        <v>35572</v>
      </c>
      <c r="E426">
        <v>67.569999999999993</v>
      </c>
    </row>
    <row r="427" spans="1:5" x14ac:dyDescent="0.2">
      <c r="A427">
        <v>35574</v>
      </c>
      <c r="B427" t="s">
        <v>7</v>
      </c>
      <c r="C427">
        <v>35574</v>
      </c>
      <c r="D427" t="str">
        <f>"35574"</f>
        <v>35574</v>
      </c>
      <c r="E427">
        <v>70.37</v>
      </c>
    </row>
    <row r="428" spans="1:5" x14ac:dyDescent="0.2">
      <c r="A428">
        <v>35575</v>
      </c>
      <c r="B428" t="s">
        <v>7</v>
      </c>
      <c r="C428">
        <v>35575</v>
      </c>
      <c r="D428" t="str">
        <f>"35575"</f>
        <v>35575</v>
      </c>
      <c r="E428">
        <v>67.569999999999993</v>
      </c>
    </row>
    <row r="429" spans="1:5" x14ac:dyDescent="0.2">
      <c r="A429">
        <v>35576</v>
      </c>
      <c r="B429" t="s">
        <v>7</v>
      </c>
      <c r="C429">
        <v>35576</v>
      </c>
      <c r="D429" t="str">
        <f>"35576"</f>
        <v>35576</v>
      </c>
      <c r="E429">
        <v>68.099999999999994</v>
      </c>
    </row>
    <row r="430" spans="1:5" x14ac:dyDescent="0.2">
      <c r="A430">
        <v>35577</v>
      </c>
      <c r="B430" t="s">
        <v>7</v>
      </c>
      <c r="C430">
        <v>35577</v>
      </c>
      <c r="D430" t="str">
        <f>"35577"</f>
        <v>35577</v>
      </c>
      <c r="E430" t="s">
        <v>6</v>
      </c>
    </row>
    <row r="431" spans="1:5" x14ac:dyDescent="0.2">
      <c r="A431">
        <v>35578</v>
      </c>
      <c r="B431" t="s">
        <v>7</v>
      </c>
      <c r="C431">
        <v>35578</v>
      </c>
      <c r="D431" t="str">
        <f>"35578"</f>
        <v>35578</v>
      </c>
      <c r="E431">
        <v>64.290000000000006</v>
      </c>
    </row>
    <row r="432" spans="1:5" x14ac:dyDescent="0.2">
      <c r="A432">
        <v>35579</v>
      </c>
      <c r="B432" t="s">
        <v>7</v>
      </c>
      <c r="C432">
        <v>35579</v>
      </c>
      <c r="D432" t="str">
        <f>"35579"</f>
        <v>35579</v>
      </c>
      <c r="E432">
        <v>68.38</v>
      </c>
    </row>
    <row r="433" spans="1:5" x14ac:dyDescent="0.2">
      <c r="A433">
        <v>35580</v>
      </c>
      <c r="B433" t="s">
        <v>7</v>
      </c>
      <c r="C433">
        <v>35580</v>
      </c>
      <c r="D433" t="str">
        <f>"35580"</f>
        <v>35580</v>
      </c>
      <c r="E433">
        <v>68.03</v>
      </c>
    </row>
    <row r="434" spans="1:5" x14ac:dyDescent="0.2">
      <c r="A434">
        <v>35581</v>
      </c>
      <c r="B434" t="s">
        <v>7</v>
      </c>
      <c r="C434">
        <v>35581</v>
      </c>
      <c r="D434" t="str">
        <f>"35581"</f>
        <v>35581</v>
      </c>
      <c r="E434">
        <v>61.38</v>
      </c>
    </row>
    <row r="435" spans="1:5" x14ac:dyDescent="0.2">
      <c r="A435">
        <v>35582</v>
      </c>
      <c r="B435" t="s">
        <v>7</v>
      </c>
      <c r="C435">
        <v>35582</v>
      </c>
      <c r="D435" t="str">
        <f>"35582"</f>
        <v>35582</v>
      </c>
      <c r="E435">
        <v>67.88</v>
      </c>
    </row>
    <row r="436" spans="1:5" x14ac:dyDescent="0.2">
      <c r="A436">
        <v>35584</v>
      </c>
      <c r="B436" t="s">
        <v>7</v>
      </c>
      <c r="C436">
        <v>35584</v>
      </c>
      <c r="D436" t="str">
        <f>"35584"</f>
        <v>35584</v>
      </c>
      <c r="E436" t="s">
        <v>6</v>
      </c>
    </row>
    <row r="437" spans="1:5" x14ac:dyDescent="0.2">
      <c r="A437">
        <v>35585</v>
      </c>
      <c r="B437" t="s">
        <v>7</v>
      </c>
      <c r="C437">
        <v>35585</v>
      </c>
      <c r="D437" t="str">
        <f>"35585"</f>
        <v>35585</v>
      </c>
      <c r="E437">
        <v>66.67</v>
      </c>
    </row>
    <row r="438" spans="1:5" x14ac:dyDescent="0.2">
      <c r="A438">
        <v>35586</v>
      </c>
      <c r="B438" t="s">
        <v>7</v>
      </c>
      <c r="C438">
        <v>35586</v>
      </c>
      <c r="D438" t="str">
        <f>"35586"</f>
        <v>35586</v>
      </c>
      <c r="E438">
        <v>61.88</v>
      </c>
    </row>
    <row r="439" spans="1:5" x14ac:dyDescent="0.2">
      <c r="A439">
        <v>35587</v>
      </c>
      <c r="B439" t="s">
        <v>7</v>
      </c>
      <c r="C439">
        <v>35587</v>
      </c>
      <c r="D439" t="str">
        <f>"35587"</f>
        <v>35587</v>
      </c>
      <c r="E439">
        <v>65.63</v>
      </c>
    </row>
    <row r="440" spans="1:5" x14ac:dyDescent="0.2">
      <c r="A440">
        <v>35592</v>
      </c>
      <c r="B440" t="s">
        <v>7</v>
      </c>
      <c r="C440">
        <v>35592</v>
      </c>
      <c r="D440" t="str">
        <f>"35592"</f>
        <v>35592</v>
      </c>
      <c r="E440">
        <v>60.24</v>
      </c>
    </row>
    <row r="441" spans="1:5" x14ac:dyDescent="0.2">
      <c r="A441">
        <v>35593</v>
      </c>
      <c r="B441" t="s">
        <v>7</v>
      </c>
      <c r="C441">
        <v>35593</v>
      </c>
      <c r="D441" t="str">
        <f>"35593"</f>
        <v>35593</v>
      </c>
      <c r="E441">
        <v>72.31</v>
      </c>
    </row>
    <row r="442" spans="1:5" x14ac:dyDescent="0.2">
      <c r="A442">
        <v>35594</v>
      </c>
      <c r="B442" t="s">
        <v>7</v>
      </c>
      <c r="C442">
        <v>35594</v>
      </c>
      <c r="D442" t="str">
        <f>"35594"</f>
        <v>35594</v>
      </c>
      <c r="E442">
        <v>66.67</v>
      </c>
    </row>
    <row r="443" spans="1:5" x14ac:dyDescent="0.2">
      <c r="A443">
        <v>35601</v>
      </c>
      <c r="B443" t="s">
        <v>7</v>
      </c>
      <c r="C443">
        <v>35601</v>
      </c>
      <c r="D443" t="str">
        <f>"35601"</f>
        <v>35601</v>
      </c>
      <c r="E443">
        <v>58.5</v>
      </c>
    </row>
    <row r="444" spans="1:5" x14ac:dyDescent="0.2">
      <c r="A444">
        <v>35603</v>
      </c>
      <c r="B444" t="s">
        <v>7</v>
      </c>
      <c r="C444">
        <v>35603</v>
      </c>
      <c r="D444" t="str">
        <f>"35603"</f>
        <v>35603</v>
      </c>
      <c r="E444">
        <v>72.44</v>
      </c>
    </row>
    <row r="445" spans="1:5" x14ac:dyDescent="0.2">
      <c r="A445">
        <v>35610</v>
      </c>
      <c r="B445" t="s">
        <v>7</v>
      </c>
      <c r="C445">
        <v>35610</v>
      </c>
      <c r="D445" t="str">
        <f>"35610"</f>
        <v>35610</v>
      </c>
      <c r="E445">
        <v>69.33</v>
      </c>
    </row>
    <row r="446" spans="1:5" x14ac:dyDescent="0.2">
      <c r="A446">
        <v>35611</v>
      </c>
      <c r="B446" t="s">
        <v>7</v>
      </c>
      <c r="C446">
        <v>35611</v>
      </c>
      <c r="D446" t="str">
        <f>"35611"</f>
        <v>35611</v>
      </c>
      <c r="E446">
        <v>64.34</v>
      </c>
    </row>
    <row r="447" spans="1:5" x14ac:dyDescent="0.2">
      <c r="A447">
        <v>35613</v>
      </c>
      <c r="B447" t="s">
        <v>7</v>
      </c>
      <c r="C447">
        <v>35613</v>
      </c>
      <c r="D447" t="str">
        <f>"35613"</f>
        <v>35613</v>
      </c>
      <c r="E447">
        <v>78.819999999999993</v>
      </c>
    </row>
    <row r="448" spans="1:5" x14ac:dyDescent="0.2">
      <c r="A448">
        <v>35614</v>
      </c>
      <c r="B448" t="s">
        <v>7</v>
      </c>
      <c r="C448">
        <v>35614</v>
      </c>
      <c r="D448" t="str">
        <f>"35614"</f>
        <v>35614</v>
      </c>
      <c r="E448">
        <v>67.33</v>
      </c>
    </row>
    <row r="449" spans="1:5" x14ac:dyDescent="0.2">
      <c r="A449">
        <v>35616</v>
      </c>
      <c r="B449" t="s">
        <v>7</v>
      </c>
      <c r="C449">
        <v>35616</v>
      </c>
      <c r="D449" t="str">
        <f>"35616"</f>
        <v>35616</v>
      </c>
      <c r="E449">
        <v>65.73</v>
      </c>
    </row>
    <row r="450" spans="1:5" x14ac:dyDescent="0.2">
      <c r="A450">
        <v>35618</v>
      </c>
      <c r="B450" t="s">
        <v>7</v>
      </c>
      <c r="C450">
        <v>35618</v>
      </c>
      <c r="D450" t="str">
        <f>"35618"</f>
        <v>35618</v>
      </c>
      <c r="E450">
        <v>60.53</v>
      </c>
    </row>
    <row r="451" spans="1:5" x14ac:dyDescent="0.2">
      <c r="A451">
        <v>35619</v>
      </c>
      <c r="B451" t="s">
        <v>7</v>
      </c>
      <c r="C451">
        <v>35619</v>
      </c>
      <c r="D451" t="str">
        <f>"35619"</f>
        <v>35619</v>
      </c>
      <c r="E451">
        <v>68.45</v>
      </c>
    </row>
    <row r="452" spans="1:5" x14ac:dyDescent="0.2">
      <c r="A452">
        <v>35620</v>
      </c>
      <c r="B452" t="s">
        <v>7</v>
      </c>
      <c r="C452">
        <v>35620</v>
      </c>
      <c r="D452" t="str">
        <f>"35620"</f>
        <v>35620</v>
      </c>
      <c r="E452">
        <v>69.900000000000006</v>
      </c>
    </row>
    <row r="453" spans="1:5" x14ac:dyDescent="0.2">
      <c r="A453">
        <v>35621</v>
      </c>
      <c r="B453" t="s">
        <v>7</v>
      </c>
      <c r="C453">
        <v>35621</v>
      </c>
      <c r="D453" t="str">
        <f>"35621"</f>
        <v>35621</v>
      </c>
      <c r="E453">
        <v>68.290000000000006</v>
      </c>
    </row>
    <row r="454" spans="1:5" x14ac:dyDescent="0.2">
      <c r="A454">
        <v>35622</v>
      </c>
      <c r="B454" t="s">
        <v>7</v>
      </c>
      <c r="C454">
        <v>35622</v>
      </c>
      <c r="D454" t="str">
        <f>"35622"</f>
        <v>35622</v>
      </c>
      <c r="E454">
        <v>64.36</v>
      </c>
    </row>
    <row r="455" spans="1:5" x14ac:dyDescent="0.2">
      <c r="A455">
        <v>35630</v>
      </c>
      <c r="B455" t="s">
        <v>7</v>
      </c>
      <c r="C455">
        <v>35630</v>
      </c>
      <c r="D455" t="str">
        <f>"35630"</f>
        <v>35630</v>
      </c>
      <c r="E455">
        <v>63.22</v>
      </c>
    </row>
    <row r="456" spans="1:5" x14ac:dyDescent="0.2">
      <c r="A456">
        <v>35633</v>
      </c>
      <c r="B456" t="s">
        <v>7</v>
      </c>
      <c r="C456">
        <v>35633</v>
      </c>
      <c r="D456" t="str">
        <f>"35633"</f>
        <v>35633</v>
      </c>
      <c r="E456">
        <v>70.510000000000005</v>
      </c>
    </row>
    <row r="457" spans="1:5" x14ac:dyDescent="0.2">
      <c r="A457">
        <v>35634</v>
      </c>
      <c r="B457" t="s">
        <v>7</v>
      </c>
      <c r="C457">
        <v>35634</v>
      </c>
      <c r="D457" t="str">
        <f>"35634"</f>
        <v>35634</v>
      </c>
      <c r="E457">
        <v>72.260000000000005</v>
      </c>
    </row>
    <row r="458" spans="1:5" x14ac:dyDescent="0.2">
      <c r="A458">
        <v>35640</v>
      </c>
      <c r="B458" t="s">
        <v>7</v>
      </c>
      <c r="C458">
        <v>35640</v>
      </c>
      <c r="D458" t="str">
        <f>"35640"</f>
        <v>35640</v>
      </c>
      <c r="E458">
        <v>70.7</v>
      </c>
    </row>
    <row r="459" spans="1:5" x14ac:dyDescent="0.2">
      <c r="A459">
        <v>35643</v>
      </c>
      <c r="B459" t="s">
        <v>7</v>
      </c>
      <c r="C459">
        <v>35643</v>
      </c>
      <c r="D459" t="str">
        <f>"35643"</f>
        <v>35643</v>
      </c>
      <c r="E459">
        <v>64.84</v>
      </c>
    </row>
    <row r="460" spans="1:5" x14ac:dyDescent="0.2">
      <c r="A460">
        <v>35645</v>
      </c>
      <c r="B460" t="s">
        <v>7</v>
      </c>
      <c r="C460">
        <v>35645</v>
      </c>
      <c r="D460" t="str">
        <f>"35645"</f>
        <v>35645</v>
      </c>
      <c r="E460">
        <v>74.31</v>
      </c>
    </row>
    <row r="461" spans="1:5" x14ac:dyDescent="0.2">
      <c r="A461">
        <v>35646</v>
      </c>
      <c r="B461" t="s">
        <v>7</v>
      </c>
      <c r="C461">
        <v>35646</v>
      </c>
      <c r="D461" t="str">
        <f>"35646"</f>
        <v>35646</v>
      </c>
      <c r="E461">
        <v>65.92</v>
      </c>
    </row>
    <row r="462" spans="1:5" x14ac:dyDescent="0.2">
      <c r="A462">
        <v>35647</v>
      </c>
      <c r="B462" t="s">
        <v>7</v>
      </c>
      <c r="C462">
        <v>35647</v>
      </c>
      <c r="D462" t="str">
        <f>"35647"</f>
        <v>35647</v>
      </c>
      <c r="E462">
        <v>69.77</v>
      </c>
    </row>
    <row r="463" spans="1:5" x14ac:dyDescent="0.2">
      <c r="A463">
        <v>35648</v>
      </c>
      <c r="B463" t="s">
        <v>7</v>
      </c>
      <c r="C463">
        <v>35648</v>
      </c>
      <c r="D463" t="str">
        <f>"35648"</f>
        <v>35648</v>
      </c>
      <c r="E463">
        <v>71.97</v>
      </c>
    </row>
    <row r="464" spans="1:5" x14ac:dyDescent="0.2">
      <c r="A464">
        <v>35649</v>
      </c>
      <c r="B464" t="s">
        <v>7</v>
      </c>
      <c r="C464">
        <v>35649</v>
      </c>
      <c r="D464" t="str">
        <f>"35649"</f>
        <v>35649</v>
      </c>
      <c r="E464" t="s">
        <v>6</v>
      </c>
    </row>
    <row r="465" spans="1:5" x14ac:dyDescent="0.2">
      <c r="A465">
        <v>35650</v>
      </c>
      <c r="B465" t="s">
        <v>7</v>
      </c>
      <c r="C465">
        <v>35650</v>
      </c>
      <c r="D465" t="str">
        <f>"35650"</f>
        <v>35650</v>
      </c>
      <c r="E465">
        <v>68.95</v>
      </c>
    </row>
    <row r="466" spans="1:5" x14ac:dyDescent="0.2">
      <c r="A466">
        <v>35651</v>
      </c>
      <c r="B466" t="s">
        <v>7</v>
      </c>
      <c r="C466">
        <v>35651</v>
      </c>
      <c r="D466" t="str">
        <f>"35651"</f>
        <v>35651</v>
      </c>
      <c r="E466">
        <v>67.44</v>
      </c>
    </row>
    <row r="467" spans="1:5" x14ac:dyDescent="0.2">
      <c r="A467">
        <v>35652</v>
      </c>
      <c r="B467" t="s">
        <v>7</v>
      </c>
      <c r="C467">
        <v>35652</v>
      </c>
      <c r="D467" t="str">
        <f>"35652"</f>
        <v>35652</v>
      </c>
      <c r="E467">
        <v>73.39</v>
      </c>
    </row>
    <row r="468" spans="1:5" x14ac:dyDescent="0.2">
      <c r="A468">
        <v>35653</v>
      </c>
      <c r="B468" t="s">
        <v>7</v>
      </c>
      <c r="C468">
        <v>35653</v>
      </c>
      <c r="D468" t="str">
        <f>"35653"</f>
        <v>35653</v>
      </c>
      <c r="E468">
        <v>56.63</v>
      </c>
    </row>
    <row r="469" spans="1:5" x14ac:dyDescent="0.2">
      <c r="A469">
        <v>35654</v>
      </c>
      <c r="B469" t="s">
        <v>7</v>
      </c>
      <c r="C469">
        <v>35654</v>
      </c>
      <c r="D469" t="str">
        <f>"35654"</f>
        <v>35654</v>
      </c>
      <c r="E469">
        <v>59.55</v>
      </c>
    </row>
    <row r="470" spans="1:5" x14ac:dyDescent="0.2">
      <c r="A470">
        <v>35660</v>
      </c>
      <c r="B470" t="s">
        <v>7</v>
      </c>
      <c r="C470">
        <v>35660</v>
      </c>
      <c r="D470" t="str">
        <f>"35660"</f>
        <v>35660</v>
      </c>
      <c r="E470">
        <v>62.01</v>
      </c>
    </row>
    <row r="471" spans="1:5" x14ac:dyDescent="0.2">
      <c r="A471">
        <v>35661</v>
      </c>
      <c r="B471" t="s">
        <v>7</v>
      </c>
      <c r="C471">
        <v>35661</v>
      </c>
      <c r="D471" t="str">
        <f>"35661"</f>
        <v>35661</v>
      </c>
      <c r="E471">
        <v>71.36</v>
      </c>
    </row>
    <row r="472" spans="1:5" x14ac:dyDescent="0.2">
      <c r="A472">
        <v>35670</v>
      </c>
      <c r="B472" t="s">
        <v>7</v>
      </c>
      <c r="C472">
        <v>35670</v>
      </c>
      <c r="D472" t="str">
        <f>"35670"</f>
        <v>35670</v>
      </c>
      <c r="E472">
        <v>69.09</v>
      </c>
    </row>
    <row r="473" spans="1:5" x14ac:dyDescent="0.2">
      <c r="A473">
        <v>35671</v>
      </c>
      <c r="B473" t="s">
        <v>7</v>
      </c>
      <c r="C473">
        <v>35671</v>
      </c>
      <c r="D473" t="str">
        <f>"35671"</f>
        <v>35671</v>
      </c>
      <c r="E473">
        <v>64.37</v>
      </c>
    </row>
    <row r="474" spans="1:5" x14ac:dyDescent="0.2">
      <c r="A474">
        <v>35672</v>
      </c>
      <c r="B474" t="s">
        <v>7</v>
      </c>
      <c r="C474">
        <v>35672</v>
      </c>
      <c r="D474" t="str">
        <f>"35672"</f>
        <v>35672</v>
      </c>
      <c r="E474">
        <v>67.069999999999993</v>
      </c>
    </row>
    <row r="475" spans="1:5" x14ac:dyDescent="0.2">
      <c r="A475">
        <v>35673</v>
      </c>
      <c r="B475" t="s">
        <v>7</v>
      </c>
      <c r="C475">
        <v>35673</v>
      </c>
      <c r="D475" t="str">
        <f>"35673"</f>
        <v>35673</v>
      </c>
      <c r="E475">
        <v>67.459999999999994</v>
      </c>
    </row>
    <row r="476" spans="1:5" x14ac:dyDescent="0.2">
      <c r="A476">
        <v>35674</v>
      </c>
      <c r="B476" t="s">
        <v>7</v>
      </c>
      <c r="C476">
        <v>35674</v>
      </c>
      <c r="D476" t="str">
        <f>"35674"</f>
        <v>35674</v>
      </c>
      <c r="E476">
        <v>68.95</v>
      </c>
    </row>
    <row r="477" spans="1:5" x14ac:dyDescent="0.2">
      <c r="A477">
        <v>35677</v>
      </c>
      <c r="B477" t="s">
        <v>7</v>
      </c>
      <c r="C477">
        <v>35677</v>
      </c>
      <c r="D477" t="str">
        <f>"35677"</f>
        <v>35677</v>
      </c>
      <c r="E477">
        <v>65.709999999999994</v>
      </c>
    </row>
    <row r="478" spans="1:5" x14ac:dyDescent="0.2">
      <c r="A478">
        <v>35739</v>
      </c>
      <c r="B478" t="s">
        <v>7</v>
      </c>
      <c r="C478">
        <v>35739</v>
      </c>
      <c r="D478" t="str">
        <f>"35739"</f>
        <v>35739</v>
      </c>
      <c r="E478">
        <v>70.05</v>
      </c>
    </row>
    <row r="479" spans="1:5" x14ac:dyDescent="0.2">
      <c r="A479">
        <v>35740</v>
      </c>
      <c r="B479" t="s">
        <v>7</v>
      </c>
      <c r="C479">
        <v>35740</v>
      </c>
      <c r="D479" t="str">
        <f>"35740"</f>
        <v>35740</v>
      </c>
      <c r="E479">
        <v>67.180000000000007</v>
      </c>
    </row>
    <row r="480" spans="1:5" x14ac:dyDescent="0.2">
      <c r="A480">
        <v>35741</v>
      </c>
      <c r="B480" t="s">
        <v>7</v>
      </c>
      <c r="C480">
        <v>35741</v>
      </c>
      <c r="D480" t="str">
        <f>"35741"</f>
        <v>35741</v>
      </c>
      <c r="E480">
        <v>78.150000000000006</v>
      </c>
    </row>
    <row r="481" spans="1:5" x14ac:dyDescent="0.2">
      <c r="A481">
        <v>35744</v>
      </c>
      <c r="B481" t="s">
        <v>7</v>
      </c>
      <c r="C481">
        <v>35744</v>
      </c>
      <c r="D481" t="str">
        <f>"35744"</f>
        <v>35744</v>
      </c>
      <c r="E481">
        <v>63.54</v>
      </c>
    </row>
    <row r="482" spans="1:5" x14ac:dyDescent="0.2">
      <c r="A482">
        <v>35745</v>
      </c>
      <c r="B482" t="s">
        <v>7</v>
      </c>
      <c r="C482">
        <v>35745</v>
      </c>
      <c r="D482" t="str">
        <f>"35745"</f>
        <v>35745</v>
      </c>
      <c r="E482" t="s">
        <v>6</v>
      </c>
    </row>
    <row r="483" spans="1:5" x14ac:dyDescent="0.2">
      <c r="A483">
        <v>35746</v>
      </c>
      <c r="B483" t="s">
        <v>7</v>
      </c>
      <c r="C483">
        <v>35746</v>
      </c>
      <c r="D483" t="str">
        <f>"35746"</f>
        <v>35746</v>
      </c>
      <c r="E483">
        <v>66.67</v>
      </c>
    </row>
    <row r="484" spans="1:5" x14ac:dyDescent="0.2">
      <c r="A484">
        <v>35747</v>
      </c>
      <c r="B484" t="s">
        <v>7</v>
      </c>
      <c r="C484">
        <v>35747</v>
      </c>
      <c r="D484" t="str">
        <f>"35747"</f>
        <v>35747</v>
      </c>
      <c r="E484">
        <v>70.08</v>
      </c>
    </row>
    <row r="485" spans="1:5" x14ac:dyDescent="0.2">
      <c r="A485">
        <v>35748</v>
      </c>
      <c r="B485" t="s">
        <v>7</v>
      </c>
      <c r="C485">
        <v>35748</v>
      </c>
      <c r="D485" t="str">
        <f>"35748"</f>
        <v>35748</v>
      </c>
      <c r="E485">
        <v>74.150000000000006</v>
      </c>
    </row>
    <row r="486" spans="1:5" x14ac:dyDescent="0.2">
      <c r="A486">
        <v>35749</v>
      </c>
      <c r="B486" t="s">
        <v>7</v>
      </c>
      <c r="C486">
        <v>35749</v>
      </c>
      <c r="D486" t="str">
        <f>"35749"</f>
        <v>35749</v>
      </c>
      <c r="E486">
        <v>75.989999999999995</v>
      </c>
    </row>
    <row r="487" spans="1:5" x14ac:dyDescent="0.2">
      <c r="A487">
        <v>35750</v>
      </c>
      <c r="B487" t="s">
        <v>7</v>
      </c>
      <c r="C487">
        <v>35750</v>
      </c>
      <c r="D487" t="str">
        <f>"35750"</f>
        <v>35750</v>
      </c>
      <c r="E487">
        <v>70.900000000000006</v>
      </c>
    </row>
    <row r="488" spans="1:5" x14ac:dyDescent="0.2">
      <c r="A488">
        <v>35751</v>
      </c>
      <c r="B488" t="s">
        <v>7</v>
      </c>
      <c r="C488">
        <v>35751</v>
      </c>
      <c r="D488" t="str">
        <f>"35751"</f>
        <v>35751</v>
      </c>
      <c r="E488" t="s">
        <v>6</v>
      </c>
    </row>
    <row r="489" spans="1:5" x14ac:dyDescent="0.2">
      <c r="A489">
        <v>35752</v>
      </c>
      <c r="B489" t="s">
        <v>7</v>
      </c>
      <c r="C489">
        <v>35752</v>
      </c>
      <c r="D489" t="str">
        <f>"35752"</f>
        <v>35752</v>
      </c>
      <c r="E489">
        <v>68.290000000000006</v>
      </c>
    </row>
    <row r="490" spans="1:5" x14ac:dyDescent="0.2">
      <c r="A490">
        <v>35754</v>
      </c>
      <c r="B490" t="s">
        <v>7</v>
      </c>
      <c r="C490">
        <v>35754</v>
      </c>
      <c r="D490" t="str">
        <f>"35754"</f>
        <v>35754</v>
      </c>
      <c r="E490">
        <v>65.12</v>
      </c>
    </row>
    <row r="491" spans="1:5" x14ac:dyDescent="0.2">
      <c r="A491">
        <v>35755</v>
      </c>
      <c r="B491" t="s">
        <v>7</v>
      </c>
      <c r="C491">
        <v>35755</v>
      </c>
      <c r="D491" t="str">
        <f>"35755"</f>
        <v>35755</v>
      </c>
      <c r="E491">
        <v>70.37</v>
      </c>
    </row>
    <row r="492" spans="1:5" x14ac:dyDescent="0.2">
      <c r="A492">
        <v>35756</v>
      </c>
      <c r="B492" t="s">
        <v>7</v>
      </c>
      <c r="C492">
        <v>35756</v>
      </c>
      <c r="D492" t="str">
        <f>"35756"</f>
        <v>35756</v>
      </c>
      <c r="E492">
        <v>80.319999999999993</v>
      </c>
    </row>
    <row r="493" spans="1:5" x14ac:dyDescent="0.2">
      <c r="A493">
        <v>35757</v>
      </c>
      <c r="B493" t="s">
        <v>7</v>
      </c>
      <c r="C493">
        <v>35757</v>
      </c>
      <c r="D493" t="str">
        <f>"35757"</f>
        <v>35757</v>
      </c>
      <c r="E493">
        <v>78.17</v>
      </c>
    </row>
    <row r="494" spans="1:5" x14ac:dyDescent="0.2">
      <c r="A494">
        <v>35758</v>
      </c>
      <c r="B494" t="s">
        <v>7</v>
      </c>
      <c r="C494">
        <v>35758</v>
      </c>
      <c r="D494" t="str">
        <f>"35758"</f>
        <v>35758</v>
      </c>
      <c r="E494">
        <v>78.31</v>
      </c>
    </row>
    <row r="495" spans="1:5" x14ac:dyDescent="0.2">
      <c r="A495">
        <v>35759</v>
      </c>
      <c r="B495" t="s">
        <v>7</v>
      </c>
      <c r="C495">
        <v>35759</v>
      </c>
      <c r="D495" t="str">
        <f>"35759"</f>
        <v>35759</v>
      </c>
      <c r="E495">
        <v>78.2</v>
      </c>
    </row>
    <row r="496" spans="1:5" x14ac:dyDescent="0.2">
      <c r="A496">
        <v>35760</v>
      </c>
      <c r="B496" t="s">
        <v>7</v>
      </c>
      <c r="C496">
        <v>35760</v>
      </c>
      <c r="D496" t="str">
        <f>"35760"</f>
        <v>35760</v>
      </c>
      <c r="E496">
        <v>69.12</v>
      </c>
    </row>
    <row r="497" spans="1:5" x14ac:dyDescent="0.2">
      <c r="A497">
        <v>35761</v>
      </c>
      <c r="B497" t="s">
        <v>7</v>
      </c>
      <c r="C497">
        <v>35761</v>
      </c>
      <c r="D497" t="str">
        <f>"35761"</f>
        <v>35761</v>
      </c>
      <c r="E497">
        <v>74.48</v>
      </c>
    </row>
    <row r="498" spans="1:5" x14ac:dyDescent="0.2">
      <c r="A498">
        <v>35763</v>
      </c>
      <c r="B498" t="s">
        <v>7</v>
      </c>
      <c r="C498">
        <v>35763</v>
      </c>
      <c r="D498" t="str">
        <f>"35763"</f>
        <v>35763</v>
      </c>
      <c r="E498">
        <v>80.95</v>
      </c>
    </row>
    <row r="499" spans="1:5" x14ac:dyDescent="0.2">
      <c r="A499">
        <v>35764</v>
      </c>
      <c r="B499" t="s">
        <v>7</v>
      </c>
      <c r="C499">
        <v>35764</v>
      </c>
      <c r="D499" t="str">
        <f>"35764"</f>
        <v>35764</v>
      </c>
      <c r="E499">
        <v>69.569999999999993</v>
      </c>
    </row>
    <row r="500" spans="1:5" x14ac:dyDescent="0.2">
      <c r="A500">
        <v>35765</v>
      </c>
      <c r="B500" t="s">
        <v>7</v>
      </c>
      <c r="C500">
        <v>35765</v>
      </c>
      <c r="D500" t="str">
        <f>"35765"</f>
        <v>35765</v>
      </c>
      <c r="E500">
        <v>64.14</v>
      </c>
    </row>
    <row r="501" spans="1:5" x14ac:dyDescent="0.2">
      <c r="A501">
        <v>35766</v>
      </c>
      <c r="B501" t="s">
        <v>7</v>
      </c>
      <c r="C501">
        <v>35766</v>
      </c>
      <c r="D501" t="str">
        <f>"35766"</f>
        <v>35766</v>
      </c>
      <c r="E501" t="s">
        <v>6</v>
      </c>
    </row>
    <row r="502" spans="1:5" x14ac:dyDescent="0.2">
      <c r="A502">
        <v>35768</v>
      </c>
      <c r="B502" t="s">
        <v>7</v>
      </c>
      <c r="C502">
        <v>35768</v>
      </c>
      <c r="D502" t="str">
        <f>"35768"</f>
        <v>35768</v>
      </c>
      <c r="E502">
        <v>66.52</v>
      </c>
    </row>
    <row r="503" spans="1:5" x14ac:dyDescent="0.2">
      <c r="A503">
        <v>35769</v>
      </c>
      <c r="B503" t="s">
        <v>7</v>
      </c>
      <c r="C503">
        <v>35769</v>
      </c>
      <c r="D503" t="str">
        <f>"35769"</f>
        <v>35769</v>
      </c>
      <c r="E503">
        <v>71.97</v>
      </c>
    </row>
    <row r="504" spans="1:5" x14ac:dyDescent="0.2">
      <c r="A504">
        <v>35771</v>
      </c>
      <c r="B504" t="s">
        <v>7</v>
      </c>
      <c r="C504">
        <v>35771</v>
      </c>
      <c r="D504" t="str">
        <f>"35771"</f>
        <v>35771</v>
      </c>
      <c r="E504">
        <v>64.75</v>
      </c>
    </row>
    <row r="505" spans="1:5" x14ac:dyDescent="0.2">
      <c r="A505">
        <v>35772</v>
      </c>
      <c r="B505" t="s">
        <v>7</v>
      </c>
      <c r="C505">
        <v>35772</v>
      </c>
      <c r="D505" t="str">
        <f>"35772"</f>
        <v>35772</v>
      </c>
      <c r="E505">
        <v>62.43</v>
      </c>
    </row>
    <row r="506" spans="1:5" x14ac:dyDescent="0.2">
      <c r="A506">
        <v>35773</v>
      </c>
      <c r="B506" t="s">
        <v>7</v>
      </c>
      <c r="C506">
        <v>35773</v>
      </c>
      <c r="D506" t="str">
        <f>"35773"</f>
        <v>35773</v>
      </c>
      <c r="E506">
        <v>69.62</v>
      </c>
    </row>
    <row r="507" spans="1:5" x14ac:dyDescent="0.2">
      <c r="A507">
        <v>35774</v>
      </c>
      <c r="B507" t="s">
        <v>7</v>
      </c>
      <c r="C507">
        <v>35774</v>
      </c>
      <c r="D507" t="str">
        <f>"35774"</f>
        <v>35774</v>
      </c>
      <c r="E507" t="s">
        <v>6</v>
      </c>
    </row>
    <row r="508" spans="1:5" x14ac:dyDescent="0.2">
      <c r="A508">
        <v>35775</v>
      </c>
      <c r="B508" t="s">
        <v>7</v>
      </c>
      <c r="C508">
        <v>35775</v>
      </c>
      <c r="D508" t="str">
        <f>"35775"</f>
        <v>35775</v>
      </c>
      <c r="E508">
        <v>54.84</v>
      </c>
    </row>
    <row r="509" spans="1:5" x14ac:dyDescent="0.2">
      <c r="A509">
        <v>35776</v>
      </c>
      <c r="B509" t="s">
        <v>7</v>
      </c>
      <c r="C509">
        <v>35776</v>
      </c>
      <c r="D509" t="str">
        <f>"35776"</f>
        <v>35776</v>
      </c>
      <c r="E509">
        <v>66.430000000000007</v>
      </c>
    </row>
    <row r="510" spans="1:5" x14ac:dyDescent="0.2">
      <c r="A510">
        <v>35801</v>
      </c>
      <c r="B510" t="s">
        <v>7</v>
      </c>
      <c r="C510">
        <v>35801</v>
      </c>
      <c r="D510" t="str">
        <f>"35801"</f>
        <v>35801</v>
      </c>
      <c r="E510">
        <v>80.7</v>
      </c>
    </row>
    <row r="511" spans="1:5" x14ac:dyDescent="0.2">
      <c r="A511">
        <v>35802</v>
      </c>
      <c r="B511" t="s">
        <v>7</v>
      </c>
      <c r="C511">
        <v>35802</v>
      </c>
      <c r="D511" t="str">
        <f>"35802"</f>
        <v>35802</v>
      </c>
      <c r="E511">
        <v>77.64</v>
      </c>
    </row>
    <row r="512" spans="1:5" x14ac:dyDescent="0.2">
      <c r="A512">
        <v>35803</v>
      </c>
      <c r="B512" t="s">
        <v>7</v>
      </c>
      <c r="C512">
        <v>35803</v>
      </c>
      <c r="D512" t="str">
        <f>"35803"</f>
        <v>35803</v>
      </c>
      <c r="E512">
        <v>79.41</v>
      </c>
    </row>
    <row r="513" spans="1:5" x14ac:dyDescent="0.2">
      <c r="A513">
        <v>35805</v>
      </c>
      <c r="B513" t="s">
        <v>7</v>
      </c>
      <c r="C513">
        <v>35805</v>
      </c>
      <c r="D513" t="str">
        <f>"35805"</f>
        <v>35805</v>
      </c>
      <c r="E513">
        <v>46.91</v>
      </c>
    </row>
    <row r="514" spans="1:5" x14ac:dyDescent="0.2">
      <c r="A514">
        <v>35806</v>
      </c>
      <c r="B514" t="s">
        <v>7</v>
      </c>
      <c r="C514">
        <v>35806</v>
      </c>
      <c r="D514" t="str">
        <f>"35806"</f>
        <v>35806</v>
      </c>
      <c r="E514">
        <v>77.209999999999994</v>
      </c>
    </row>
    <row r="515" spans="1:5" x14ac:dyDescent="0.2">
      <c r="A515">
        <v>35808</v>
      </c>
      <c r="B515" t="s">
        <v>7</v>
      </c>
      <c r="C515">
        <v>35808</v>
      </c>
      <c r="D515" t="str">
        <f>"35808"</f>
        <v>35808</v>
      </c>
      <c r="E515">
        <v>79.55</v>
      </c>
    </row>
    <row r="516" spans="1:5" x14ac:dyDescent="0.2">
      <c r="A516">
        <v>35809</v>
      </c>
      <c r="B516" t="s">
        <v>7</v>
      </c>
      <c r="C516">
        <v>35809</v>
      </c>
      <c r="D516" t="str">
        <f>"35809"</f>
        <v>35809</v>
      </c>
      <c r="E516" t="s">
        <v>6</v>
      </c>
    </row>
    <row r="517" spans="1:5" x14ac:dyDescent="0.2">
      <c r="A517">
        <v>35810</v>
      </c>
      <c r="B517" t="s">
        <v>7</v>
      </c>
      <c r="C517">
        <v>35810</v>
      </c>
      <c r="D517" t="str">
        <f>"35810"</f>
        <v>35810</v>
      </c>
      <c r="E517">
        <v>56.86</v>
      </c>
    </row>
    <row r="518" spans="1:5" x14ac:dyDescent="0.2">
      <c r="A518">
        <v>35811</v>
      </c>
      <c r="B518" t="s">
        <v>7</v>
      </c>
      <c r="C518">
        <v>35811</v>
      </c>
      <c r="D518" t="str">
        <f>"35811"</f>
        <v>35811</v>
      </c>
      <c r="E518">
        <v>74.2</v>
      </c>
    </row>
    <row r="519" spans="1:5" x14ac:dyDescent="0.2">
      <c r="A519">
        <v>35814</v>
      </c>
      <c r="B519" t="s">
        <v>7</v>
      </c>
      <c r="C519">
        <v>35814</v>
      </c>
      <c r="D519" t="str">
        <f>"35814"</f>
        <v>35814</v>
      </c>
      <c r="E519" t="s">
        <v>6</v>
      </c>
    </row>
    <row r="520" spans="1:5" x14ac:dyDescent="0.2">
      <c r="A520">
        <v>35816</v>
      </c>
      <c r="B520" t="s">
        <v>7</v>
      </c>
      <c r="C520">
        <v>35816</v>
      </c>
      <c r="D520" t="str">
        <f>"35816"</f>
        <v>35816</v>
      </c>
      <c r="E520">
        <v>50.35</v>
      </c>
    </row>
    <row r="521" spans="1:5" x14ac:dyDescent="0.2">
      <c r="A521">
        <v>35824</v>
      </c>
      <c r="B521" t="s">
        <v>7</v>
      </c>
      <c r="C521">
        <v>35824</v>
      </c>
      <c r="D521" t="str">
        <f>"35824"</f>
        <v>35824</v>
      </c>
      <c r="E521">
        <v>81.86</v>
      </c>
    </row>
    <row r="522" spans="1:5" x14ac:dyDescent="0.2">
      <c r="A522">
        <v>35893</v>
      </c>
      <c r="B522" t="s">
        <v>7</v>
      </c>
      <c r="C522">
        <v>35893</v>
      </c>
      <c r="D522" t="str">
        <f>"35893"</f>
        <v>35893</v>
      </c>
      <c r="E522" t="s">
        <v>6</v>
      </c>
    </row>
    <row r="523" spans="1:5" x14ac:dyDescent="0.2">
      <c r="A523">
        <v>35896</v>
      </c>
      <c r="B523" t="s">
        <v>7</v>
      </c>
      <c r="C523">
        <v>35896</v>
      </c>
      <c r="D523" t="str">
        <f>"35896"</f>
        <v>35896</v>
      </c>
      <c r="E523" t="s">
        <v>6</v>
      </c>
    </row>
    <row r="524" spans="1:5" x14ac:dyDescent="0.2">
      <c r="A524">
        <v>35899</v>
      </c>
      <c r="B524" t="s">
        <v>7</v>
      </c>
      <c r="C524">
        <v>35899</v>
      </c>
      <c r="D524" t="str">
        <f>"35899"</f>
        <v>35899</v>
      </c>
      <c r="E524" t="s">
        <v>6</v>
      </c>
    </row>
    <row r="525" spans="1:5" x14ac:dyDescent="0.2">
      <c r="A525">
        <v>35901</v>
      </c>
      <c r="B525" t="s">
        <v>7</v>
      </c>
      <c r="C525">
        <v>35901</v>
      </c>
      <c r="D525" t="str">
        <f>"35901"</f>
        <v>35901</v>
      </c>
      <c r="E525">
        <v>60.22</v>
      </c>
    </row>
    <row r="526" spans="1:5" x14ac:dyDescent="0.2">
      <c r="A526">
        <v>35903</v>
      </c>
      <c r="B526" t="s">
        <v>7</v>
      </c>
      <c r="C526">
        <v>35903</v>
      </c>
      <c r="D526" t="str">
        <f>"35903"</f>
        <v>35903</v>
      </c>
      <c r="E526">
        <v>61.47</v>
      </c>
    </row>
    <row r="527" spans="1:5" x14ac:dyDescent="0.2">
      <c r="A527">
        <v>35904</v>
      </c>
      <c r="B527" t="s">
        <v>7</v>
      </c>
      <c r="C527">
        <v>35904</v>
      </c>
      <c r="D527" t="str">
        <f>"35904"</f>
        <v>35904</v>
      </c>
      <c r="E527">
        <v>59.88</v>
      </c>
    </row>
    <row r="528" spans="1:5" x14ac:dyDescent="0.2">
      <c r="A528">
        <v>35905</v>
      </c>
      <c r="B528" t="s">
        <v>7</v>
      </c>
      <c r="C528">
        <v>35905</v>
      </c>
      <c r="D528" t="str">
        <f>"35905"</f>
        <v>35905</v>
      </c>
      <c r="E528">
        <v>69.52</v>
      </c>
    </row>
    <row r="529" spans="1:5" x14ac:dyDescent="0.2">
      <c r="A529">
        <v>35906</v>
      </c>
      <c r="B529" t="s">
        <v>7</v>
      </c>
      <c r="C529">
        <v>35906</v>
      </c>
      <c r="D529" t="str">
        <f>"35906"</f>
        <v>35906</v>
      </c>
      <c r="E529">
        <v>68.5</v>
      </c>
    </row>
    <row r="530" spans="1:5" x14ac:dyDescent="0.2">
      <c r="A530">
        <v>35907</v>
      </c>
      <c r="B530" t="s">
        <v>7</v>
      </c>
      <c r="C530">
        <v>35907</v>
      </c>
      <c r="D530" t="str">
        <f>"35907"</f>
        <v>35907</v>
      </c>
      <c r="E530">
        <v>75.84</v>
      </c>
    </row>
    <row r="531" spans="1:5" x14ac:dyDescent="0.2">
      <c r="A531">
        <v>35950</v>
      </c>
      <c r="B531" t="s">
        <v>7</v>
      </c>
      <c r="C531">
        <v>35950</v>
      </c>
      <c r="D531" t="str">
        <f>"35950"</f>
        <v>35950</v>
      </c>
      <c r="E531">
        <v>54.05</v>
      </c>
    </row>
    <row r="532" spans="1:5" x14ac:dyDescent="0.2">
      <c r="A532">
        <v>35951</v>
      </c>
      <c r="B532" t="s">
        <v>7</v>
      </c>
      <c r="C532">
        <v>35951</v>
      </c>
      <c r="D532" t="str">
        <f>"35951"</f>
        <v>35951</v>
      </c>
      <c r="E532">
        <v>54.44</v>
      </c>
    </row>
    <row r="533" spans="1:5" x14ac:dyDescent="0.2">
      <c r="A533">
        <v>35952</v>
      </c>
      <c r="B533" t="s">
        <v>7</v>
      </c>
      <c r="C533">
        <v>35952</v>
      </c>
      <c r="D533" t="str">
        <f>"35952"</f>
        <v>35952</v>
      </c>
      <c r="E533">
        <v>62.45</v>
      </c>
    </row>
    <row r="534" spans="1:5" x14ac:dyDescent="0.2">
      <c r="A534">
        <v>35953</v>
      </c>
      <c r="B534" t="s">
        <v>7</v>
      </c>
      <c r="C534">
        <v>35953</v>
      </c>
      <c r="D534" t="str">
        <f>"35953"</f>
        <v>35953</v>
      </c>
      <c r="E534">
        <v>68.349999999999994</v>
      </c>
    </row>
    <row r="535" spans="1:5" x14ac:dyDescent="0.2">
      <c r="A535">
        <v>35954</v>
      </c>
      <c r="B535" t="s">
        <v>7</v>
      </c>
      <c r="C535">
        <v>35954</v>
      </c>
      <c r="D535" t="str">
        <f>"35954"</f>
        <v>35954</v>
      </c>
      <c r="E535">
        <v>59.78</v>
      </c>
    </row>
    <row r="536" spans="1:5" x14ac:dyDescent="0.2">
      <c r="A536">
        <v>35956</v>
      </c>
      <c r="B536" t="s">
        <v>7</v>
      </c>
      <c r="C536">
        <v>35956</v>
      </c>
      <c r="D536" t="str">
        <f>"35956"</f>
        <v>35956</v>
      </c>
      <c r="E536">
        <v>63.48</v>
      </c>
    </row>
    <row r="537" spans="1:5" x14ac:dyDescent="0.2">
      <c r="A537">
        <v>35957</v>
      </c>
      <c r="B537" t="s">
        <v>7</v>
      </c>
      <c r="C537">
        <v>35957</v>
      </c>
      <c r="D537" t="str">
        <f>"35957"</f>
        <v>35957</v>
      </c>
      <c r="E537">
        <v>58.2</v>
      </c>
    </row>
    <row r="538" spans="1:5" x14ac:dyDescent="0.2">
      <c r="A538">
        <v>35958</v>
      </c>
      <c r="B538" t="s">
        <v>7</v>
      </c>
      <c r="C538">
        <v>35958</v>
      </c>
      <c r="D538" t="str">
        <f>"35958"</f>
        <v>35958</v>
      </c>
      <c r="E538">
        <v>69.569999999999993</v>
      </c>
    </row>
    <row r="539" spans="1:5" x14ac:dyDescent="0.2">
      <c r="A539">
        <v>35959</v>
      </c>
      <c r="B539" t="s">
        <v>7</v>
      </c>
      <c r="C539">
        <v>35959</v>
      </c>
      <c r="D539" t="str">
        <f>"35959"</f>
        <v>35959</v>
      </c>
      <c r="E539">
        <v>63.69</v>
      </c>
    </row>
    <row r="540" spans="1:5" x14ac:dyDescent="0.2">
      <c r="A540">
        <v>35960</v>
      </c>
      <c r="B540" t="s">
        <v>7</v>
      </c>
      <c r="C540">
        <v>35960</v>
      </c>
      <c r="D540" t="str">
        <f>"35960"</f>
        <v>35960</v>
      </c>
      <c r="E540">
        <v>66.489999999999995</v>
      </c>
    </row>
    <row r="541" spans="1:5" x14ac:dyDescent="0.2">
      <c r="A541">
        <v>35961</v>
      </c>
      <c r="B541" t="s">
        <v>7</v>
      </c>
      <c r="C541">
        <v>35961</v>
      </c>
      <c r="D541" t="str">
        <f>"35961"</f>
        <v>35961</v>
      </c>
      <c r="E541">
        <v>55.56</v>
      </c>
    </row>
    <row r="542" spans="1:5" x14ac:dyDescent="0.2">
      <c r="A542">
        <v>35962</v>
      </c>
      <c r="B542" t="s">
        <v>7</v>
      </c>
      <c r="C542">
        <v>35962</v>
      </c>
      <c r="D542" t="str">
        <f>"35962"</f>
        <v>35962</v>
      </c>
      <c r="E542">
        <v>56.06</v>
      </c>
    </row>
    <row r="543" spans="1:5" x14ac:dyDescent="0.2">
      <c r="A543">
        <v>35963</v>
      </c>
      <c r="B543" t="s">
        <v>7</v>
      </c>
      <c r="C543">
        <v>35963</v>
      </c>
      <c r="D543" t="str">
        <f>"35963"</f>
        <v>35963</v>
      </c>
      <c r="E543">
        <v>60</v>
      </c>
    </row>
    <row r="544" spans="1:5" x14ac:dyDescent="0.2">
      <c r="A544">
        <v>35966</v>
      </c>
      <c r="B544" t="s">
        <v>7</v>
      </c>
      <c r="C544">
        <v>35966</v>
      </c>
      <c r="D544" t="str">
        <f>"35966"</f>
        <v>35966</v>
      </c>
      <c r="E544">
        <v>65.89</v>
      </c>
    </row>
    <row r="545" spans="1:5" x14ac:dyDescent="0.2">
      <c r="A545">
        <v>35967</v>
      </c>
      <c r="B545" t="s">
        <v>7</v>
      </c>
      <c r="C545">
        <v>35967</v>
      </c>
      <c r="D545" t="str">
        <f>"35967"</f>
        <v>35967</v>
      </c>
      <c r="E545">
        <v>60.81</v>
      </c>
    </row>
    <row r="546" spans="1:5" x14ac:dyDescent="0.2">
      <c r="A546">
        <v>35968</v>
      </c>
      <c r="B546" t="s">
        <v>7</v>
      </c>
      <c r="C546">
        <v>35968</v>
      </c>
      <c r="D546" t="str">
        <f>"35968"</f>
        <v>35968</v>
      </c>
      <c r="E546">
        <v>65.319999999999993</v>
      </c>
    </row>
    <row r="547" spans="1:5" x14ac:dyDescent="0.2">
      <c r="A547">
        <v>35971</v>
      </c>
      <c r="B547" t="s">
        <v>7</v>
      </c>
      <c r="C547">
        <v>35971</v>
      </c>
      <c r="D547" t="str">
        <f>"35971"</f>
        <v>35971</v>
      </c>
      <c r="E547">
        <v>62.71</v>
      </c>
    </row>
    <row r="548" spans="1:5" x14ac:dyDescent="0.2">
      <c r="A548">
        <v>35972</v>
      </c>
      <c r="B548" t="s">
        <v>7</v>
      </c>
      <c r="C548">
        <v>35972</v>
      </c>
      <c r="D548" t="str">
        <f>"35972"</f>
        <v>35972</v>
      </c>
      <c r="E548">
        <v>62.75</v>
      </c>
    </row>
    <row r="549" spans="1:5" x14ac:dyDescent="0.2">
      <c r="A549">
        <v>35973</v>
      </c>
      <c r="B549" t="s">
        <v>7</v>
      </c>
      <c r="C549">
        <v>35973</v>
      </c>
      <c r="D549" t="str">
        <f>"35973"</f>
        <v>35973</v>
      </c>
      <c r="E549">
        <v>63.73</v>
      </c>
    </row>
    <row r="550" spans="1:5" x14ac:dyDescent="0.2">
      <c r="A550">
        <v>35974</v>
      </c>
      <c r="B550" t="s">
        <v>7</v>
      </c>
      <c r="C550">
        <v>35974</v>
      </c>
      <c r="D550" t="str">
        <f>"35974"</f>
        <v>35974</v>
      </c>
      <c r="E550">
        <v>61.97</v>
      </c>
    </row>
    <row r="551" spans="1:5" x14ac:dyDescent="0.2">
      <c r="A551">
        <v>35975</v>
      </c>
      <c r="B551" t="s">
        <v>7</v>
      </c>
      <c r="C551">
        <v>35975</v>
      </c>
      <c r="D551" t="str">
        <f>"35975"</f>
        <v>35975</v>
      </c>
      <c r="E551">
        <v>70.27</v>
      </c>
    </row>
    <row r="552" spans="1:5" x14ac:dyDescent="0.2">
      <c r="A552">
        <v>35976</v>
      </c>
      <c r="B552" t="s">
        <v>7</v>
      </c>
      <c r="C552">
        <v>35976</v>
      </c>
      <c r="D552" t="str">
        <f>"35976"</f>
        <v>35976</v>
      </c>
      <c r="E552">
        <v>66.95</v>
      </c>
    </row>
    <row r="553" spans="1:5" x14ac:dyDescent="0.2">
      <c r="A553">
        <v>35978</v>
      </c>
      <c r="B553" t="s">
        <v>7</v>
      </c>
      <c r="C553">
        <v>35978</v>
      </c>
      <c r="D553" t="str">
        <f>"35978"</f>
        <v>35978</v>
      </c>
      <c r="E553">
        <v>62.38</v>
      </c>
    </row>
    <row r="554" spans="1:5" x14ac:dyDescent="0.2">
      <c r="A554">
        <v>35979</v>
      </c>
      <c r="B554" t="s">
        <v>7</v>
      </c>
      <c r="C554">
        <v>35979</v>
      </c>
      <c r="D554" t="str">
        <f>"35979"</f>
        <v>35979</v>
      </c>
      <c r="E554">
        <v>58.49</v>
      </c>
    </row>
    <row r="555" spans="1:5" x14ac:dyDescent="0.2">
      <c r="A555">
        <v>35980</v>
      </c>
      <c r="B555" t="s">
        <v>7</v>
      </c>
      <c r="C555">
        <v>35980</v>
      </c>
      <c r="D555" t="str">
        <f>"35980"</f>
        <v>35980</v>
      </c>
      <c r="E555">
        <v>56.04</v>
      </c>
    </row>
    <row r="556" spans="1:5" x14ac:dyDescent="0.2">
      <c r="A556">
        <v>35981</v>
      </c>
      <c r="B556" t="s">
        <v>7</v>
      </c>
      <c r="C556">
        <v>35981</v>
      </c>
      <c r="D556" t="str">
        <f>"35981"</f>
        <v>35981</v>
      </c>
      <c r="E556">
        <v>64.47</v>
      </c>
    </row>
    <row r="557" spans="1:5" x14ac:dyDescent="0.2">
      <c r="A557">
        <v>35983</v>
      </c>
      <c r="B557" t="s">
        <v>7</v>
      </c>
      <c r="C557">
        <v>35983</v>
      </c>
      <c r="D557" t="str">
        <f>"35983"</f>
        <v>35983</v>
      </c>
      <c r="E557">
        <v>66.430000000000007</v>
      </c>
    </row>
    <row r="558" spans="1:5" x14ac:dyDescent="0.2">
      <c r="A558">
        <v>35984</v>
      </c>
      <c r="B558" t="s">
        <v>7</v>
      </c>
      <c r="C558">
        <v>35984</v>
      </c>
      <c r="D558" t="str">
        <f>"35984"</f>
        <v>35984</v>
      </c>
      <c r="E558">
        <v>65</v>
      </c>
    </row>
    <row r="559" spans="1:5" x14ac:dyDescent="0.2">
      <c r="A559">
        <v>35986</v>
      </c>
      <c r="B559" t="s">
        <v>7</v>
      </c>
      <c r="C559">
        <v>35986</v>
      </c>
      <c r="D559" t="str">
        <f>"35986"</f>
        <v>35986</v>
      </c>
      <c r="E559">
        <v>66.239999999999995</v>
      </c>
    </row>
    <row r="560" spans="1:5" x14ac:dyDescent="0.2">
      <c r="A560">
        <v>35987</v>
      </c>
      <c r="B560" t="s">
        <v>7</v>
      </c>
      <c r="C560">
        <v>35987</v>
      </c>
      <c r="D560" t="str">
        <f>"35987"</f>
        <v>35987</v>
      </c>
      <c r="E560">
        <v>63.92</v>
      </c>
    </row>
    <row r="561" spans="1:5" x14ac:dyDescent="0.2">
      <c r="A561">
        <v>35988</v>
      </c>
      <c r="B561" t="s">
        <v>7</v>
      </c>
      <c r="C561">
        <v>35988</v>
      </c>
      <c r="D561" t="str">
        <f>"35988"</f>
        <v>35988</v>
      </c>
      <c r="E561">
        <v>59.42</v>
      </c>
    </row>
    <row r="562" spans="1:5" x14ac:dyDescent="0.2">
      <c r="A562">
        <v>35989</v>
      </c>
      <c r="B562" t="s">
        <v>7</v>
      </c>
      <c r="C562">
        <v>35989</v>
      </c>
      <c r="D562" t="str">
        <f>"35989"</f>
        <v>35989</v>
      </c>
      <c r="E562">
        <v>59.38</v>
      </c>
    </row>
    <row r="563" spans="1:5" x14ac:dyDescent="0.2">
      <c r="A563">
        <v>36003</v>
      </c>
      <c r="B563" t="s">
        <v>7</v>
      </c>
      <c r="C563">
        <v>36003</v>
      </c>
      <c r="D563" t="str">
        <f>"36003"</f>
        <v>36003</v>
      </c>
      <c r="E563">
        <v>59.21</v>
      </c>
    </row>
    <row r="564" spans="1:5" x14ac:dyDescent="0.2">
      <c r="A564">
        <v>36005</v>
      </c>
      <c r="B564" t="s">
        <v>7</v>
      </c>
      <c r="C564">
        <v>36005</v>
      </c>
      <c r="D564" t="str">
        <f>"36005"</f>
        <v>36005</v>
      </c>
      <c r="E564">
        <v>68.569999999999993</v>
      </c>
    </row>
    <row r="565" spans="1:5" x14ac:dyDescent="0.2">
      <c r="A565">
        <v>36006</v>
      </c>
      <c r="B565" t="s">
        <v>7</v>
      </c>
      <c r="C565">
        <v>36006</v>
      </c>
      <c r="D565" t="str">
        <f>"36006"</f>
        <v>36006</v>
      </c>
      <c r="E565">
        <v>66.67</v>
      </c>
    </row>
    <row r="566" spans="1:5" x14ac:dyDescent="0.2">
      <c r="A566">
        <v>36008</v>
      </c>
      <c r="B566" t="s">
        <v>7</v>
      </c>
      <c r="C566">
        <v>36008</v>
      </c>
      <c r="D566" t="str">
        <f>"36008"</f>
        <v>36008</v>
      </c>
      <c r="E566" t="s">
        <v>6</v>
      </c>
    </row>
    <row r="567" spans="1:5" x14ac:dyDescent="0.2">
      <c r="A567">
        <v>36009</v>
      </c>
      <c r="B567" t="s">
        <v>7</v>
      </c>
      <c r="C567">
        <v>36009</v>
      </c>
      <c r="D567" t="str">
        <f>"36009"</f>
        <v>36009</v>
      </c>
      <c r="E567">
        <v>68.27</v>
      </c>
    </row>
    <row r="568" spans="1:5" x14ac:dyDescent="0.2">
      <c r="A568">
        <v>36010</v>
      </c>
      <c r="B568" t="s">
        <v>7</v>
      </c>
      <c r="C568">
        <v>36010</v>
      </c>
      <c r="D568" t="str">
        <f>"36010"</f>
        <v>36010</v>
      </c>
      <c r="E568">
        <v>58.05</v>
      </c>
    </row>
    <row r="569" spans="1:5" x14ac:dyDescent="0.2">
      <c r="A569">
        <v>36013</v>
      </c>
      <c r="B569" t="s">
        <v>7</v>
      </c>
      <c r="C569">
        <v>36013</v>
      </c>
      <c r="D569" t="str">
        <f>"36013"</f>
        <v>36013</v>
      </c>
      <c r="E569">
        <v>80</v>
      </c>
    </row>
    <row r="570" spans="1:5" x14ac:dyDescent="0.2">
      <c r="A570">
        <v>36016</v>
      </c>
      <c r="B570" t="s">
        <v>7</v>
      </c>
      <c r="C570">
        <v>36016</v>
      </c>
      <c r="D570" t="str">
        <f>"36016"</f>
        <v>36016</v>
      </c>
      <c r="E570">
        <v>56.2</v>
      </c>
    </row>
    <row r="571" spans="1:5" x14ac:dyDescent="0.2">
      <c r="A571">
        <v>36017</v>
      </c>
      <c r="B571" t="s">
        <v>7</v>
      </c>
      <c r="C571">
        <v>36017</v>
      </c>
      <c r="D571" t="str">
        <f>"36017"</f>
        <v>36017</v>
      </c>
      <c r="E571">
        <v>48.98</v>
      </c>
    </row>
    <row r="572" spans="1:5" x14ac:dyDescent="0.2">
      <c r="A572">
        <v>36020</v>
      </c>
      <c r="B572" t="s">
        <v>7</v>
      </c>
      <c r="C572">
        <v>36020</v>
      </c>
      <c r="D572" t="str">
        <f>"36020"</f>
        <v>36020</v>
      </c>
      <c r="E572">
        <v>62.96</v>
      </c>
    </row>
    <row r="573" spans="1:5" x14ac:dyDescent="0.2">
      <c r="A573">
        <v>36022</v>
      </c>
      <c r="B573" t="s">
        <v>7</v>
      </c>
      <c r="C573">
        <v>36022</v>
      </c>
      <c r="D573" t="str">
        <f>"36022"</f>
        <v>36022</v>
      </c>
      <c r="E573">
        <v>76.03</v>
      </c>
    </row>
    <row r="574" spans="1:5" x14ac:dyDescent="0.2">
      <c r="A574">
        <v>36024</v>
      </c>
      <c r="B574" t="s">
        <v>7</v>
      </c>
      <c r="C574">
        <v>36024</v>
      </c>
      <c r="D574" t="str">
        <f>"36024"</f>
        <v>36024</v>
      </c>
      <c r="E574">
        <v>68.77</v>
      </c>
    </row>
    <row r="575" spans="1:5" x14ac:dyDescent="0.2">
      <c r="A575">
        <v>36025</v>
      </c>
      <c r="B575" t="s">
        <v>7</v>
      </c>
      <c r="C575">
        <v>36025</v>
      </c>
      <c r="D575" t="str">
        <f>"36025"</f>
        <v>36025</v>
      </c>
      <c r="E575">
        <v>66.27</v>
      </c>
    </row>
    <row r="576" spans="1:5" x14ac:dyDescent="0.2">
      <c r="A576">
        <v>36026</v>
      </c>
      <c r="B576" t="s">
        <v>7</v>
      </c>
      <c r="C576">
        <v>36026</v>
      </c>
      <c r="D576" t="str">
        <f>"36026"</f>
        <v>36026</v>
      </c>
      <c r="E576">
        <v>79.069999999999993</v>
      </c>
    </row>
    <row r="577" spans="1:5" x14ac:dyDescent="0.2">
      <c r="A577">
        <v>36027</v>
      </c>
      <c r="B577" t="s">
        <v>7</v>
      </c>
      <c r="C577">
        <v>36027</v>
      </c>
      <c r="D577" t="str">
        <f>"36027"</f>
        <v>36027</v>
      </c>
      <c r="E577">
        <v>56.35</v>
      </c>
    </row>
    <row r="578" spans="1:5" x14ac:dyDescent="0.2">
      <c r="A578">
        <v>36028</v>
      </c>
      <c r="B578" t="s">
        <v>7</v>
      </c>
      <c r="C578">
        <v>36028</v>
      </c>
      <c r="D578" t="str">
        <f>"36028"</f>
        <v>36028</v>
      </c>
      <c r="E578">
        <v>64.709999999999994</v>
      </c>
    </row>
    <row r="579" spans="1:5" x14ac:dyDescent="0.2">
      <c r="A579">
        <v>36029</v>
      </c>
      <c r="B579" t="s">
        <v>7</v>
      </c>
      <c r="C579">
        <v>36029</v>
      </c>
      <c r="D579" t="str">
        <f>"36029"</f>
        <v>36029</v>
      </c>
      <c r="E579">
        <v>68.290000000000006</v>
      </c>
    </row>
    <row r="580" spans="1:5" x14ac:dyDescent="0.2">
      <c r="A580">
        <v>36030</v>
      </c>
      <c r="B580" t="s">
        <v>7</v>
      </c>
      <c r="C580">
        <v>36030</v>
      </c>
      <c r="D580" t="str">
        <f>"36030"</f>
        <v>36030</v>
      </c>
      <c r="E580">
        <v>52.63</v>
      </c>
    </row>
    <row r="581" spans="1:5" x14ac:dyDescent="0.2">
      <c r="A581">
        <v>36032</v>
      </c>
      <c r="B581" t="s">
        <v>7</v>
      </c>
      <c r="C581">
        <v>36032</v>
      </c>
      <c r="D581" t="str">
        <f>"36032"</f>
        <v>36032</v>
      </c>
      <c r="E581">
        <v>44.23</v>
      </c>
    </row>
    <row r="582" spans="1:5" x14ac:dyDescent="0.2">
      <c r="A582">
        <v>36033</v>
      </c>
      <c r="B582" t="s">
        <v>7</v>
      </c>
      <c r="C582">
        <v>36033</v>
      </c>
      <c r="D582" t="str">
        <f>"36033"</f>
        <v>36033</v>
      </c>
      <c r="E582">
        <v>57.62</v>
      </c>
    </row>
    <row r="583" spans="1:5" x14ac:dyDescent="0.2">
      <c r="A583">
        <v>36034</v>
      </c>
      <c r="B583" t="s">
        <v>7</v>
      </c>
      <c r="C583">
        <v>36034</v>
      </c>
      <c r="D583" t="str">
        <f>"36034"</f>
        <v>36034</v>
      </c>
      <c r="E583">
        <v>61.29</v>
      </c>
    </row>
    <row r="584" spans="1:5" x14ac:dyDescent="0.2">
      <c r="A584">
        <v>36035</v>
      </c>
      <c r="B584" t="s">
        <v>7</v>
      </c>
      <c r="C584">
        <v>36035</v>
      </c>
      <c r="D584" t="str">
        <f>"36035"</f>
        <v>36035</v>
      </c>
      <c r="E584">
        <v>71.430000000000007</v>
      </c>
    </row>
    <row r="585" spans="1:5" x14ac:dyDescent="0.2">
      <c r="A585">
        <v>36036</v>
      </c>
      <c r="B585" t="s">
        <v>7</v>
      </c>
      <c r="C585">
        <v>36036</v>
      </c>
      <c r="D585" t="str">
        <f>"36036"</f>
        <v>36036</v>
      </c>
      <c r="E585">
        <v>65.819999999999993</v>
      </c>
    </row>
    <row r="586" spans="1:5" x14ac:dyDescent="0.2">
      <c r="A586">
        <v>36037</v>
      </c>
      <c r="B586" t="s">
        <v>7</v>
      </c>
      <c r="C586">
        <v>36037</v>
      </c>
      <c r="D586" t="str">
        <f>"36037"</f>
        <v>36037</v>
      </c>
      <c r="E586">
        <v>56.93</v>
      </c>
    </row>
    <row r="587" spans="1:5" x14ac:dyDescent="0.2">
      <c r="A587">
        <v>36038</v>
      </c>
      <c r="B587" t="s">
        <v>7</v>
      </c>
      <c r="C587">
        <v>36038</v>
      </c>
      <c r="D587" t="str">
        <f>"36038"</f>
        <v>36038</v>
      </c>
      <c r="E587" t="s">
        <v>6</v>
      </c>
    </row>
    <row r="588" spans="1:5" x14ac:dyDescent="0.2">
      <c r="A588">
        <v>36039</v>
      </c>
      <c r="B588" t="s">
        <v>7</v>
      </c>
      <c r="C588">
        <v>36039</v>
      </c>
      <c r="D588" t="str">
        <f>"36039"</f>
        <v>36039</v>
      </c>
      <c r="E588">
        <v>50</v>
      </c>
    </row>
    <row r="589" spans="1:5" x14ac:dyDescent="0.2">
      <c r="A589">
        <v>36040</v>
      </c>
      <c r="B589" t="s">
        <v>7</v>
      </c>
      <c r="C589">
        <v>36040</v>
      </c>
      <c r="D589" t="str">
        <f>"36040"</f>
        <v>36040</v>
      </c>
      <c r="E589">
        <v>46.75</v>
      </c>
    </row>
    <row r="590" spans="1:5" x14ac:dyDescent="0.2">
      <c r="A590">
        <v>36041</v>
      </c>
      <c r="B590" t="s">
        <v>7</v>
      </c>
      <c r="C590">
        <v>36041</v>
      </c>
      <c r="D590" t="str">
        <f>"36041"</f>
        <v>36041</v>
      </c>
      <c r="E590">
        <v>62.07</v>
      </c>
    </row>
    <row r="591" spans="1:5" x14ac:dyDescent="0.2">
      <c r="A591">
        <v>36042</v>
      </c>
      <c r="B591" t="s">
        <v>7</v>
      </c>
      <c r="C591">
        <v>36042</v>
      </c>
      <c r="D591" t="str">
        <f>"36042"</f>
        <v>36042</v>
      </c>
      <c r="E591">
        <v>67.27</v>
      </c>
    </row>
    <row r="592" spans="1:5" x14ac:dyDescent="0.2">
      <c r="A592">
        <v>36043</v>
      </c>
      <c r="B592" t="s">
        <v>7</v>
      </c>
      <c r="C592">
        <v>36043</v>
      </c>
      <c r="D592" t="str">
        <f>"36043"</f>
        <v>36043</v>
      </c>
      <c r="E592">
        <v>67.92</v>
      </c>
    </row>
    <row r="593" spans="1:5" x14ac:dyDescent="0.2">
      <c r="A593">
        <v>36046</v>
      </c>
      <c r="B593" t="s">
        <v>7</v>
      </c>
      <c r="C593">
        <v>36046</v>
      </c>
      <c r="D593" t="str">
        <f>"36046"</f>
        <v>36046</v>
      </c>
      <c r="E593">
        <v>62.71</v>
      </c>
    </row>
    <row r="594" spans="1:5" x14ac:dyDescent="0.2">
      <c r="A594">
        <v>36047</v>
      </c>
      <c r="B594" t="s">
        <v>7</v>
      </c>
      <c r="C594">
        <v>36047</v>
      </c>
      <c r="D594" t="str">
        <f>"36047"</f>
        <v>36047</v>
      </c>
      <c r="E594">
        <v>54.39</v>
      </c>
    </row>
    <row r="595" spans="1:5" x14ac:dyDescent="0.2">
      <c r="A595">
        <v>36048</v>
      </c>
      <c r="B595" t="s">
        <v>7</v>
      </c>
      <c r="C595">
        <v>36048</v>
      </c>
      <c r="D595" t="str">
        <f>"36048"</f>
        <v>36048</v>
      </c>
      <c r="E595">
        <v>54.72</v>
      </c>
    </row>
    <row r="596" spans="1:5" x14ac:dyDescent="0.2">
      <c r="A596">
        <v>36049</v>
      </c>
      <c r="B596" t="s">
        <v>7</v>
      </c>
      <c r="C596">
        <v>36049</v>
      </c>
      <c r="D596" t="str">
        <f>"36049"</f>
        <v>36049</v>
      </c>
      <c r="E596">
        <v>62.78</v>
      </c>
    </row>
    <row r="597" spans="1:5" x14ac:dyDescent="0.2">
      <c r="A597">
        <v>36051</v>
      </c>
      <c r="B597" t="s">
        <v>7</v>
      </c>
      <c r="C597">
        <v>36051</v>
      </c>
      <c r="D597" t="str">
        <f>"36051"</f>
        <v>36051</v>
      </c>
      <c r="E597">
        <v>64.44</v>
      </c>
    </row>
    <row r="598" spans="1:5" x14ac:dyDescent="0.2">
      <c r="A598">
        <v>36052</v>
      </c>
      <c r="B598" t="s">
        <v>7</v>
      </c>
      <c r="C598">
        <v>36052</v>
      </c>
      <c r="D598" t="str">
        <f>"36052"</f>
        <v>36052</v>
      </c>
      <c r="E598">
        <v>80</v>
      </c>
    </row>
    <row r="599" spans="1:5" x14ac:dyDescent="0.2">
      <c r="A599">
        <v>36053</v>
      </c>
      <c r="B599" t="s">
        <v>7</v>
      </c>
      <c r="C599">
        <v>36053</v>
      </c>
      <c r="D599" t="str">
        <f>"36053"</f>
        <v>36053</v>
      </c>
      <c r="E599">
        <v>52.56</v>
      </c>
    </row>
    <row r="600" spans="1:5" x14ac:dyDescent="0.2">
      <c r="A600">
        <v>36054</v>
      </c>
      <c r="B600" t="s">
        <v>7</v>
      </c>
      <c r="C600">
        <v>36054</v>
      </c>
      <c r="D600" t="str">
        <f>"36054"</f>
        <v>36054</v>
      </c>
      <c r="E600">
        <v>68.55</v>
      </c>
    </row>
    <row r="601" spans="1:5" x14ac:dyDescent="0.2">
      <c r="A601">
        <v>36064</v>
      </c>
      <c r="B601" t="s">
        <v>7</v>
      </c>
      <c r="C601">
        <v>36064</v>
      </c>
      <c r="D601" t="str">
        <f>"36064"</f>
        <v>36064</v>
      </c>
      <c r="E601">
        <v>77.58</v>
      </c>
    </row>
    <row r="602" spans="1:5" x14ac:dyDescent="0.2">
      <c r="A602">
        <v>36066</v>
      </c>
      <c r="B602" t="s">
        <v>7</v>
      </c>
      <c r="C602">
        <v>36066</v>
      </c>
      <c r="D602" t="str">
        <f>"36066"</f>
        <v>36066</v>
      </c>
      <c r="E602">
        <v>74.75</v>
      </c>
    </row>
    <row r="603" spans="1:5" x14ac:dyDescent="0.2">
      <c r="A603">
        <v>36067</v>
      </c>
      <c r="B603" t="s">
        <v>7</v>
      </c>
      <c r="C603">
        <v>36067</v>
      </c>
      <c r="D603" t="str">
        <f>"36067"</f>
        <v>36067</v>
      </c>
      <c r="E603">
        <v>67.84</v>
      </c>
    </row>
    <row r="604" spans="1:5" x14ac:dyDescent="0.2">
      <c r="A604">
        <v>36069</v>
      </c>
      <c r="B604" t="s">
        <v>7</v>
      </c>
      <c r="C604">
        <v>36069</v>
      </c>
      <c r="D604" t="str">
        <f>"36069"</f>
        <v>36069</v>
      </c>
      <c r="E604">
        <v>68.349999999999994</v>
      </c>
    </row>
    <row r="605" spans="1:5" x14ac:dyDescent="0.2">
      <c r="A605">
        <v>36071</v>
      </c>
      <c r="B605" t="s">
        <v>7</v>
      </c>
      <c r="C605">
        <v>36071</v>
      </c>
      <c r="D605" t="str">
        <f>"36071"</f>
        <v>36071</v>
      </c>
      <c r="E605">
        <v>58.82</v>
      </c>
    </row>
    <row r="606" spans="1:5" x14ac:dyDescent="0.2">
      <c r="A606">
        <v>36075</v>
      </c>
      <c r="B606" t="s">
        <v>7</v>
      </c>
      <c r="C606">
        <v>36075</v>
      </c>
      <c r="D606" t="str">
        <f>"36075"</f>
        <v>36075</v>
      </c>
      <c r="E606">
        <v>58.33</v>
      </c>
    </row>
    <row r="607" spans="1:5" x14ac:dyDescent="0.2">
      <c r="A607">
        <v>36078</v>
      </c>
      <c r="B607" t="s">
        <v>7</v>
      </c>
      <c r="C607">
        <v>36078</v>
      </c>
      <c r="D607" t="str">
        <f>"36078"</f>
        <v>36078</v>
      </c>
      <c r="E607">
        <v>63.72</v>
      </c>
    </row>
    <row r="608" spans="1:5" x14ac:dyDescent="0.2">
      <c r="A608">
        <v>36079</v>
      </c>
      <c r="B608" t="s">
        <v>7</v>
      </c>
      <c r="C608">
        <v>36079</v>
      </c>
      <c r="D608" t="str">
        <f>"36079"</f>
        <v>36079</v>
      </c>
      <c r="E608">
        <v>65.31</v>
      </c>
    </row>
    <row r="609" spans="1:5" x14ac:dyDescent="0.2">
      <c r="A609">
        <v>36080</v>
      </c>
      <c r="B609" t="s">
        <v>7</v>
      </c>
      <c r="C609">
        <v>36080</v>
      </c>
      <c r="D609" t="str">
        <f>"36080"</f>
        <v>36080</v>
      </c>
      <c r="E609">
        <v>75</v>
      </c>
    </row>
    <row r="610" spans="1:5" x14ac:dyDescent="0.2">
      <c r="A610">
        <v>36081</v>
      </c>
      <c r="B610" t="s">
        <v>7</v>
      </c>
      <c r="C610">
        <v>36081</v>
      </c>
      <c r="D610" t="str">
        <f>"36081"</f>
        <v>36081</v>
      </c>
      <c r="E610">
        <v>58.61</v>
      </c>
    </row>
    <row r="611" spans="1:5" x14ac:dyDescent="0.2">
      <c r="A611">
        <v>36082</v>
      </c>
      <c r="B611" t="s">
        <v>7</v>
      </c>
      <c r="C611">
        <v>36082</v>
      </c>
      <c r="D611" t="str">
        <f>"36082"</f>
        <v>36082</v>
      </c>
      <c r="E611" t="s">
        <v>6</v>
      </c>
    </row>
    <row r="612" spans="1:5" x14ac:dyDescent="0.2">
      <c r="A612">
        <v>36083</v>
      </c>
      <c r="B612" t="s">
        <v>7</v>
      </c>
      <c r="C612">
        <v>36083</v>
      </c>
      <c r="D612" t="str">
        <f>"36083"</f>
        <v>36083</v>
      </c>
      <c r="E612">
        <v>55.99</v>
      </c>
    </row>
    <row r="613" spans="1:5" x14ac:dyDescent="0.2">
      <c r="A613">
        <v>36088</v>
      </c>
      <c r="B613" t="s">
        <v>7</v>
      </c>
      <c r="C613">
        <v>36088</v>
      </c>
      <c r="D613" t="str">
        <f>"36088"</f>
        <v>36088</v>
      </c>
      <c r="E613">
        <v>49.49</v>
      </c>
    </row>
    <row r="614" spans="1:5" x14ac:dyDescent="0.2">
      <c r="A614">
        <v>36089</v>
      </c>
      <c r="B614" t="s">
        <v>7</v>
      </c>
      <c r="C614">
        <v>36089</v>
      </c>
      <c r="D614" t="str">
        <f>"36089"</f>
        <v>36089</v>
      </c>
      <c r="E614">
        <v>48.29</v>
      </c>
    </row>
    <row r="615" spans="1:5" x14ac:dyDescent="0.2">
      <c r="A615">
        <v>36091</v>
      </c>
      <c r="B615" t="s">
        <v>7</v>
      </c>
      <c r="C615">
        <v>36091</v>
      </c>
      <c r="D615" t="str">
        <f>"36091"</f>
        <v>36091</v>
      </c>
      <c r="E615">
        <v>60.4</v>
      </c>
    </row>
    <row r="616" spans="1:5" x14ac:dyDescent="0.2">
      <c r="A616">
        <v>36092</v>
      </c>
      <c r="B616" t="s">
        <v>7</v>
      </c>
      <c r="C616">
        <v>36092</v>
      </c>
      <c r="D616" t="str">
        <f>"36092"</f>
        <v>36092</v>
      </c>
      <c r="E616">
        <v>68.09</v>
      </c>
    </row>
    <row r="617" spans="1:5" x14ac:dyDescent="0.2">
      <c r="A617">
        <v>36093</v>
      </c>
      <c r="B617" t="s">
        <v>7</v>
      </c>
      <c r="C617">
        <v>36093</v>
      </c>
      <c r="D617" t="str">
        <f>"36093"</f>
        <v>36093</v>
      </c>
      <c r="E617">
        <v>78.790000000000006</v>
      </c>
    </row>
    <row r="618" spans="1:5" x14ac:dyDescent="0.2">
      <c r="A618">
        <v>36104</v>
      </c>
      <c r="B618" t="s">
        <v>7</v>
      </c>
      <c r="C618">
        <v>36104</v>
      </c>
      <c r="D618" t="str">
        <f>"36104"</f>
        <v>36104</v>
      </c>
      <c r="E618">
        <v>49.81</v>
      </c>
    </row>
    <row r="619" spans="1:5" x14ac:dyDescent="0.2">
      <c r="A619">
        <v>36105</v>
      </c>
      <c r="B619" t="s">
        <v>7</v>
      </c>
      <c r="C619">
        <v>36105</v>
      </c>
      <c r="D619" t="str">
        <f>"36105"</f>
        <v>36105</v>
      </c>
      <c r="E619">
        <v>49.41</v>
      </c>
    </row>
    <row r="620" spans="1:5" x14ac:dyDescent="0.2">
      <c r="A620">
        <v>36106</v>
      </c>
      <c r="B620" t="s">
        <v>7</v>
      </c>
      <c r="C620">
        <v>36106</v>
      </c>
      <c r="D620" t="str">
        <f>"36106"</f>
        <v>36106</v>
      </c>
      <c r="E620">
        <v>71.34</v>
      </c>
    </row>
    <row r="621" spans="1:5" x14ac:dyDescent="0.2">
      <c r="A621">
        <v>36107</v>
      </c>
      <c r="B621" t="s">
        <v>7</v>
      </c>
      <c r="C621">
        <v>36107</v>
      </c>
      <c r="D621" t="str">
        <f>"36107"</f>
        <v>36107</v>
      </c>
      <c r="E621">
        <v>48.29</v>
      </c>
    </row>
    <row r="622" spans="1:5" x14ac:dyDescent="0.2">
      <c r="A622">
        <v>36108</v>
      </c>
      <c r="B622" t="s">
        <v>7</v>
      </c>
      <c r="C622">
        <v>36108</v>
      </c>
      <c r="D622" t="str">
        <f>"36108"</f>
        <v>36108</v>
      </c>
      <c r="E622">
        <v>47.49</v>
      </c>
    </row>
    <row r="623" spans="1:5" x14ac:dyDescent="0.2">
      <c r="A623">
        <v>36109</v>
      </c>
      <c r="B623" t="s">
        <v>7</v>
      </c>
      <c r="C623">
        <v>36109</v>
      </c>
      <c r="D623" t="str">
        <f>"36109"</f>
        <v>36109</v>
      </c>
      <c r="E623">
        <v>69.239999999999995</v>
      </c>
    </row>
    <row r="624" spans="1:5" x14ac:dyDescent="0.2">
      <c r="A624">
        <v>36110</v>
      </c>
      <c r="B624" t="s">
        <v>7</v>
      </c>
      <c r="C624">
        <v>36110</v>
      </c>
      <c r="D624" t="str">
        <f>"36110"</f>
        <v>36110</v>
      </c>
      <c r="E624">
        <v>43.93</v>
      </c>
    </row>
    <row r="625" spans="1:5" x14ac:dyDescent="0.2">
      <c r="A625">
        <v>36111</v>
      </c>
      <c r="B625" t="s">
        <v>7</v>
      </c>
      <c r="C625">
        <v>36111</v>
      </c>
      <c r="D625" t="str">
        <f>"36111"</f>
        <v>36111</v>
      </c>
      <c r="E625">
        <v>60</v>
      </c>
    </row>
    <row r="626" spans="1:5" x14ac:dyDescent="0.2">
      <c r="A626">
        <v>36112</v>
      </c>
      <c r="B626" t="s">
        <v>7</v>
      </c>
      <c r="C626">
        <v>36112</v>
      </c>
      <c r="D626" t="str">
        <f>"36112"</f>
        <v>36112</v>
      </c>
      <c r="E626" t="s">
        <v>6</v>
      </c>
    </row>
    <row r="627" spans="1:5" x14ac:dyDescent="0.2">
      <c r="A627">
        <v>36113</v>
      </c>
      <c r="B627" t="s">
        <v>7</v>
      </c>
      <c r="C627">
        <v>36113</v>
      </c>
      <c r="D627" t="str">
        <f>"36113"</f>
        <v>36113</v>
      </c>
      <c r="E627">
        <v>85.29</v>
      </c>
    </row>
    <row r="628" spans="1:5" x14ac:dyDescent="0.2">
      <c r="A628">
        <v>36114</v>
      </c>
      <c r="B628" t="s">
        <v>7</v>
      </c>
      <c r="C628">
        <v>36114</v>
      </c>
      <c r="D628" t="str">
        <f>"36114"</f>
        <v>36114</v>
      </c>
      <c r="E628" t="s">
        <v>6</v>
      </c>
    </row>
    <row r="629" spans="1:5" x14ac:dyDescent="0.2">
      <c r="A629">
        <v>36115</v>
      </c>
      <c r="B629" t="s">
        <v>7</v>
      </c>
      <c r="C629">
        <v>36115</v>
      </c>
      <c r="D629" t="str">
        <f>"36115"</f>
        <v>36115</v>
      </c>
      <c r="E629">
        <v>76</v>
      </c>
    </row>
    <row r="630" spans="1:5" x14ac:dyDescent="0.2">
      <c r="A630">
        <v>36116</v>
      </c>
      <c r="B630" t="s">
        <v>7</v>
      </c>
      <c r="C630">
        <v>36116</v>
      </c>
      <c r="D630" t="str">
        <f>"36116"</f>
        <v>36116</v>
      </c>
      <c r="E630">
        <v>54.79</v>
      </c>
    </row>
    <row r="631" spans="1:5" x14ac:dyDescent="0.2">
      <c r="A631">
        <v>36117</v>
      </c>
      <c r="B631" t="s">
        <v>7</v>
      </c>
      <c r="C631">
        <v>36117</v>
      </c>
      <c r="D631" t="str">
        <f>"36117"</f>
        <v>36117</v>
      </c>
      <c r="E631">
        <v>71.53</v>
      </c>
    </row>
    <row r="632" spans="1:5" x14ac:dyDescent="0.2">
      <c r="A632">
        <v>36130</v>
      </c>
      <c r="B632" t="s">
        <v>7</v>
      </c>
      <c r="C632">
        <v>36130</v>
      </c>
      <c r="D632" t="str">
        <f>"36130"</f>
        <v>36130</v>
      </c>
      <c r="E632" t="s">
        <v>6</v>
      </c>
    </row>
    <row r="633" spans="1:5" x14ac:dyDescent="0.2">
      <c r="A633">
        <v>36201</v>
      </c>
      <c r="B633" t="s">
        <v>7</v>
      </c>
      <c r="C633">
        <v>36201</v>
      </c>
      <c r="D633" t="str">
        <f>"36201"</f>
        <v>36201</v>
      </c>
      <c r="E633">
        <v>53.45</v>
      </c>
    </row>
    <row r="634" spans="1:5" x14ac:dyDescent="0.2">
      <c r="A634">
        <v>36203</v>
      </c>
      <c r="B634" t="s">
        <v>7</v>
      </c>
      <c r="C634">
        <v>36203</v>
      </c>
      <c r="D634" t="str">
        <f>"36203"</f>
        <v>36203</v>
      </c>
      <c r="E634">
        <v>68.5</v>
      </c>
    </row>
    <row r="635" spans="1:5" x14ac:dyDescent="0.2">
      <c r="A635">
        <v>36205</v>
      </c>
      <c r="B635" t="s">
        <v>7</v>
      </c>
      <c r="C635">
        <v>36205</v>
      </c>
      <c r="D635" t="str">
        <f>"36205"</f>
        <v>36205</v>
      </c>
      <c r="E635">
        <v>57.58</v>
      </c>
    </row>
    <row r="636" spans="1:5" x14ac:dyDescent="0.2">
      <c r="A636">
        <v>36206</v>
      </c>
      <c r="B636" t="s">
        <v>7</v>
      </c>
      <c r="C636">
        <v>36206</v>
      </c>
      <c r="D636" t="str">
        <f>"36206"</f>
        <v>36206</v>
      </c>
      <c r="E636">
        <v>64.239999999999995</v>
      </c>
    </row>
    <row r="637" spans="1:5" x14ac:dyDescent="0.2">
      <c r="A637">
        <v>36207</v>
      </c>
      <c r="B637" t="s">
        <v>7</v>
      </c>
      <c r="C637">
        <v>36207</v>
      </c>
      <c r="D637" t="str">
        <f>"36207"</f>
        <v>36207</v>
      </c>
      <c r="E637">
        <v>69.709999999999994</v>
      </c>
    </row>
    <row r="638" spans="1:5" x14ac:dyDescent="0.2">
      <c r="A638">
        <v>36250</v>
      </c>
      <c r="B638" t="s">
        <v>7</v>
      </c>
      <c r="C638">
        <v>36250</v>
      </c>
      <c r="D638" t="str">
        <f>"36250"</f>
        <v>36250</v>
      </c>
      <c r="E638">
        <v>74.290000000000006</v>
      </c>
    </row>
    <row r="639" spans="1:5" x14ac:dyDescent="0.2">
      <c r="A639">
        <v>36251</v>
      </c>
      <c r="B639" t="s">
        <v>7</v>
      </c>
      <c r="C639">
        <v>36251</v>
      </c>
      <c r="D639" t="str">
        <f>"36251"</f>
        <v>36251</v>
      </c>
      <c r="E639">
        <v>65.7</v>
      </c>
    </row>
    <row r="640" spans="1:5" x14ac:dyDescent="0.2">
      <c r="A640">
        <v>36255</v>
      </c>
      <c r="B640" t="s">
        <v>7</v>
      </c>
      <c r="C640">
        <v>36255</v>
      </c>
      <c r="D640" t="str">
        <f>"36255"</f>
        <v>36255</v>
      </c>
      <c r="E640">
        <v>71.05</v>
      </c>
    </row>
    <row r="641" spans="1:5" x14ac:dyDescent="0.2">
      <c r="A641">
        <v>36256</v>
      </c>
      <c r="B641" t="s">
        <v>7</v>
      </c>
      <c r="C641">
        <v>36256</v>
      </c>
      <c r="D641" t="str">
        <f>"36256"</f>
        <v>36256</v>
      </c>
      <c r="E641">
        <v>68.849999999999994</v>
      </c>
    </row>
    <row r="642" spans="1:5" x14ac:dyDescent="0.2">
      <c r="A642">
        <v>36257</v>
      </c>
      <c r="B642" t="s">
        <v>7</v>
      </c>
      <c r="C642">
        <v>36257</v>
      </c>
      <c r="D642" t="str">
        <f>"36257"</f>
        <v>36257</v>
      </c>
      <c r="E642" t="s">
        <v>6</v>
      </c>
    </row>
    <row r="643" spans="1:5" x14ac:dyDescent="0.2">
      <c r="A643">
        <v>36258</v>
      </c>
      <c r="B643" t="s">
        <v>7</v>
      </c>
      <c r="C643">
        <v>36258</v>
      </c>
      <c r="D643" t="str">
        <f>"36258"</f>
        <v>36258</v>
      </c>
      <c r="E643">
        <v>63.08</v>
      </c>
    </row>
    <row r="644" spans="1:5" x14ac:dyDescent="0.2">
      <c r="A644">
        <v>36260</v>
      </c>
      <c r="B644" t="s">
        <v>7</v>
      </c>
      <c r="C644">
        <v>36260</v>
      </c>
      <c r="D644" t="str">
        <f>"36260"</f>
        <v>36260</v>
      </c>
      <c r="E644">
        <v>67.069999999999993</v>
      </c>
    </row>
    <row r="645" spans="1:5" x14ac:dyDescent="0.2">
      <c r="A645">
        <v>36262</v>
      </c>
      <c r="B645" t="s">
        <v>7</v>
      </c>
      <c r="C645">
        <v>36262</v>
      </c>
      <c r="D645" t="str">
        <f>"36262"</f>
        <v>36262</v>
      </c>
      <c r="E645">
        <v>59.62</v>
      </c>
    </row>
    <row r="646" spans="1:5" x14ac:dyDescent="0.2">
      <c r="A646">
        <v>36263</v>
      </c>
      <c r="B646" t="s">
        <v>7</v>
      </c>
      <c r="C646">
        <v>36263</v>
      </c>
      <c r="D646" t="str">
        <f>"36263"</f>
        <v>36263</v>
      </c>
      <c r="E646">
        <v>65.22</v>
      </c>
    </row>
    <row r="647" spans="1:5" x14ac:dyDescent="0.2">
      <c r="A647">
        <v>36264</v>
      </c>
      <c r="B647" t="s">
        <v>7</v>
      </c>
      <c r="C647">
        <v>36264</v>
      </c>
      <c r="D647" t="str">
        <f>"36264"</f>
        <v>36264</v>
      </c>
      <c r="E647">
        <v>67.459999999999994</v>
      </c>
    </row>
    <row r="648" spans="1:5" x14ac:dyDescent="0.2">
      <c r="A648">
        <v>36265</v>
      </c>
      <c r="B648" t="s">
        <v>7</v>
      </c>
      <c r="C648">
        <v>36265</v>
      </c>
      <c r="D648" t="str">
        <f>"36265"</f>
        <v>36265</v>
      </c>
      <c r="E648">
        <v>67.83</v>
      </c>
    </row>
    <row r="649" spans="1:5" x14ac:dyDescent="0.2">
      <c r="A649">
        <v>36266</v>
      </c>
      <c r="B649" t="s">
        <v>7</v>
      </c>
      <c r="C649">
        <v>36266</v>
      </c>
      <c r="D649" t="str">
        <f>"36266"</f>
        <v>36266</v>
      </c>
      <c r="E649">
        <v>62.1</v>
      </c>
    </row>
    <row r="650" spans="1:5" x14ac:dyDescent="0.2">
      <c r="A650">
        <v>36267</v>
      </c>
      <c r="B650" t="s">
        <v>7</v>
      </c>
      <c r="C650">
        <v>36267</v>
      </c>
      <c r="D650" t="str">
        <f>"36267"</f>
        <v>36267</v>
      </c>
      <c r="E650" t="s">
        <v>6</v>
      </c>
    </row>
    <row r="651" spans="1:5" x14ac:dyDescent="0.2">
      <c r="A651">
        <v>36268</v>
      </c>
      <c r="B651" t="s">
        <v>7</v>
      </c>
      <c r="C651">
        <v>36268</v>
      </c>
      <c r="D651" t="str">
        <f>"36268"</f>
        <v>36268</v>
      </c>
      <c r="E651">
        <v>65.180000000000007</v>
      </c>
    </row>
    <row r="652" spans="1:5" x14ac:dyDescent="0.2">
      <c r="A652">
        <v>36269</v>
      </c>
      <c r="B652" t="s">
        <v>7</v>
      </c>
      <c r="C652">
        <v>36269</v>
      </c>
      <c r="D652" t="str">
        <f>"36269"</f>
        <v>36269</v>
      </c>
      <c r="E652">
        <v>60.87</v>
      </c>
    </row>
    <row r="653" spans="1:5" x14ac:dyDescent="0.2">
      <c r="A653">
        <v>36271</v>
      </c>
      <c r="B653" t="s">
        <v>7</v>
      </c>
      <c r="C653">
        <v>36271</v>
      </c>
      <c r="D653" t="str">
        <f>"36271"</f>
        <v>36271</v>
      </c>
      <c r="E653">
        <v>68.7</v>
      </c>
    </row>
    <row r="654" spans="1:5" x14ac:dyDescent="0.2">
      <c r="A654">
        <v>36272</v>
      </c>
      <c r="B654" t="s">
        <v>7</v>
      </c>
      <c r="C654">
        <v>36272</v>
      </c>
      <c r="D654" t="str">
        <f>"36272"</f>
        <v>36272</v>
      </c>
      <c r="E654">
        <v>63.91</v>
      </c>
    </row>
    <row r="655" spans="1:5" x14ac:dyDescent="0.2">
      <c r="A655">
        <v>36273</v>
      </c>
      <c r="B655" t="s">
        <v>7</v>
      </c>
      <c r="C655">
        <v>36273</v>
      </c>
      <c r="D655" t="str">
        <f>"36273"</f>
        <v>36273</v>
      </c>
      <c r="E655">
        <v>70.48</v>
      </c>
    </row>
    <row r="656" spans="1:5" x14ac:dyDescent="0.2">
      <c r="A656">
        <v>36274</v>
      </c>
      <c r="B656" t="s">
        <v>7</v>
      </c>
      <c r="C656">
        <v>36274</v>
      </c>
      <c r="D656" t="str">
        <f>"36274"</f>
        <v>36274</v>
      </c>
      <c r="E656">
        <v>57.51</v>
      </c>
    </row>
    <row r="657" spans="1:5" x14ac:dyDescent="0.2">
      <c r="A657">
        <v>36276</v>
      </c>
      <c r="B657" t="s">
        <v>7</v>
      </c>
      <c r="C657">
        <v>36276</v>
      </c>
      <c r="D657" t="str">
        <f>"36276"</f>
        <v>36276</v>
      </c>
      <c r="E657">
        <v>62.35</v>
      </c>
    </row>
    <row r="658" spans="1:5" x14ac:dyDescent="0.2">
      <c r="A658">
        <v>36277</v>
      </c>
      <c r="B658" t="s">
        <v>7</v>
      </c>
      <c r="C658">
        <v>36277</v>
      </c>
      <c r="D658" t="str">
        <f>"36277"</f>
        <v>36277</v>
      </c>
      <c r="E658">
        <v>69.959999999999994</v>
      </c>
    </row>
    <row r="659" spans="1:5" x14ac:dyDescent="0.2">
      <c r="A659">
        <v>36278</v>
      </c>
      <c r="B659" t="s">
        <v>7</v>
      </c>
      <c r="C659">
        <v>36278</v>
      </c>
      <c r="D659" t="str">
        <f>"36278"</f>
        <v>36278</v>
      </c>
      <c r="E659">
        <v>64.92</v>
      </c>
    </row>
    <row r="660" spans="1:5" x14ac:dyDescent="0.2">
      <c r="A660">
        <v>36279</v>
      </c>
      <c r="B660" t="s">
        <v>7</v>
      </c>
      <c r="C660">
        <v>36279</v>
      </c>
      <c r="D660" t="str">
        <f>"36279"</f>
        <v>36279</v>
      </c>
      <c r="E660">
        <v>71.150000000000006</v>
      </c>
    </row>
    <row r="661" spans="1:5" x14ac:dyDescent="0.2">
      <c r="A661">
        <v>36280</v>
      </c>
      <c r="B661" t="s">
        <v>7</v>
      </c>
      <c r="C661">
        <v>36280</v>
      </c>
      <c r="D661" t="str">
        <f>"36280"</f>
        <v>36280</v>
      </c>
      <c r="E661">
        <v>65.03</v>
      </c>
    </row>
    <row r="662" spans="1:5" x14ac:dyDescent="0.2">
      <c r="A662">
        <v>36301</v>
      </c>
      <c r="B662" t="s">
        <v>7</v>
      </c>
      <c r="C662">
        <v>36301</v>
      </c>
      <c r="D662" t="str">
        <f>"36301"</f>
        <v>36301</v>
      </c>
      <c r="E662">
        <v>60.94</v>
      </c>
    </row>
    <row r="663" spans="1:5" x14ac:dyDescent="0.2">
      <c r="A663">
        <v>36303</v>
      </c>
      <c r="B663" t="s">
        <v>7</v>
      </c>
      <c r="C663">
        <v>36303</v>
      </c>
      <c r="D663" t="str">
        <f>"36303"</f>
        <v>36303</v>
      </c>
      <c r="E663">
        <v>60.98</v>
      </c>
    </row>
    <row r="664" spans="1:5" x14ac:dyDescent="0.2">
      <c r="A664">
        <v>36305</v>
      </c>
      <c r="B664" t="s">
        <v>7</v>
      </c>
      <c r="C664">
        <v>36305</v>
      </c>
      <c r="D664" t="str">
        <f>"36305"</f>
        <v>36305</v>
      </c>
      <c r="E664">
        <v>74.89</v>
      </c>
    </row>
    <row r="665" spans="1:5" x14ac:dyDescent="0.2">
      <c r="A665">
        <v>36310</v>
      </c>
      <c r="B665" t="s">
        <v>7</v>
      </c>
      <c r="C665">
        <v>36310</v>
      </c>
      <c r="D665" t="str">
        <f>"36310"</f>
        <v>36310</v>
      </c>
      <c r="E665">
        <v>62.61</v>
      </c>
    </row>
    <row r="666" spans="1:5" x14ac:dyDescent="0.2">
      <c r="A666">
        <v>36311</v>
      </c>
      <c r="B666" t="s">
        <v>7</v>
      </c>
      <c r="C666">
        <v>36311</v>
      </c>
      <c r="D666" t="str">
        <f>"36311"</f>
        <v>36311</v>
      </c>
      <c r="E666">
        <v>67.349999999999994</v>
      </c>
    </row>
    <row r="667" spans="1:5" x14ac:dyDescent="0.2">
      <c r="A667">
        <v>36312</v>
      </c>
      <c r="B667" t="s">
        <v>7</v>
      </c>
      <c r="C667">
        <v>36312</v>
      </c>
      <c r="D667" t="str">
        <f>"36312"</f>
        <v>36312</v>
      </c>
      <c r="E667">
        <v>68.09</v>
      </c>
    </row>
    <row r="668" spans="1:5" x14ac:dyDescent="0.2">
      <c r="A668">
        <v>36313</v>
      </c>
      <c r="B668" t="s">
        <v>7</v>
      </c>
      <c r="C668">
        <v>36313</v>
      </c>
      <c r="D668" t="str">
        <f>"36313"</f>
        <v>36313</v>
      </c>
      <c r="E668" t="s">
        <v>6</v>
      </c>
    </row>
    <row r="669" spans="1:5" x14ac:dyDescent="0.2">
      <c r="A669">
        <v>36314</v>
      </c>
      <c r="B669" t="s">
        <v>7</v>
      </c>
      <c r="C669">
        <v>36314</v>
      </c>
      <c r="D669" t="str">
        <f>"36314"</f>
        <v>36314</v>
      </c>
      <c r="E669">
        <v>59.09</v>
      </c>
    </row>
    <row r="670" spans="1:5" x14ac:dyDescent="0.2">
      <c r="A670">
        <v>36316</v>
      </c>
      <c r="B670" t="s">
        <v>7</v>
      </c>
      <c r="C670">
        <v>36316</v>
      </c>
      <c r="D670" t="str">
        <f>"36316"</f>
        <v>36316</v>
      </c>
      <c r="E670">
        <v>73.97</v>
      </c>
    </row>
    <row r="671" spans="1:5" x14ac:dyDescent="0.2">
      <c r="A671">
        <v>36317</v>
      </c>
      <c r="B671" t="s">
        <v>7</v>
      </c>
      <c r="C671">
        <v>36317</v>
      </c>
      <c r="D671" t="str">
        <f>"36317"</f>
        <v>36317</v>
      </c>
      <c r="E671">
        <v>64.709999999999994</v>
      </c>
    </row>
    <row r="672" spans="1:5" x14ac:dyDescent="0.2">
      <c r="A672">
        <v>36318</v>
      </c>
      <c r="B672" t="s">
        <v>7</v>
      </c>
      <c r="C672">
        <v>36318</v>
      </c>
      <c r="D672" t="str">
        <f>"36318"</f>
        <v>36318</v>
      </c>
      <c r="E672">
        <v>72</v>
      </c>
    </row>
    <row r="673" spans="1:5" x14ac:dyDescent="0.2">
      <c r="A673">
        <v>36319</v>
      </c>
      <c r="B673" t="s">
        <v>7</v>
      </c>
      <c r="C673">
        <v>36319</v>
      </c>
      <c r="D673" t="str">
        <f>"36319"</f>
        <v>36319</v>
      </c>
      <c r="E673">
        <v>69.23</v>
      </c>
    </row>
    <row r="674" spans="1:5" x14ac:dyDescent="0.2">
      <c r="A674">
        <v>36320</v>
      </c>
      <c r="B674" t="s">
        <v>7</v>
      </c>
      <c r="C674">
        <v>36320</v>
      </c>
      <c r="D674" t="str">
        <f>"36320"</f>
        <v>36320</v>
      </c>
      <c r="E674">
        <v>62.12</v>
      </c>
    </row>
    <row r="675" spans="1:5" x14ac:dyDescent="0.2">
      <c r="A675">
        <v>36321</v>
      </c>
      <c r="B675" t="s">
        <v>7</v>
      </c>
      <c r="C675">
        <v>36321</v>
      </c>
      <c r="D675" t="str">
        <f>"36321"</f>
        <v>36321</v>
      </c>
      <c r="E675">
        <v>65.819999999999993</v>
      </c>
    </row>
    <row r="676" spans="1:5" x14ac:dyDescent="0.2">
      <c r="A676">
        <v>36322</v>
      </c>
      <c r="B676" t="s">
        <v>7</v>
      </c>
      <c r="C676">
        <v>36322</v>
      </c>
      <c r="D676" t="str">
        <f>"36322"</f>
        <v>36322</v>
      </c>
      <c r="E676">
        <v>63.24</v>
      </c>
    </row>
    <row r="677" spans="1:5" x14ac:dyDescent="0.2">
      <c r="A677">
        <v>36323</v>
      </c>
      <c r="B677" t="s">
        <v>7</v>
      </c>
      <c r="C677">
        <v>36323</v>
      </c>
      <c r="D677" t="str">
        <f>"36323"</f>
        <v>36323</v>
      </c>
      <c r="E677">
        <v>63.54</v>
      </c>
    </row>
    <row r="678" spans="1:5" x14ac:dyDescent="0.2">
      <c r="A678">
        <v>36330</v>
      </c>
      <c r="B678" t="s">
        <v>7</v>
      </c>
      <c r="C678">
        <v>36330</v>
      </c>
      <c r="D678" t="str">
        <f>"36330"</f>
        <v>36330</v>
      </c>
      <c r="E678">
        <v>69.63</v>
      </c>
    </row>
    <row r="679" spans="1:5" x14ac:dyDescent="0.2">
      <c r="A679">
        <v>36340</v>
      </c>
      <c r="B679" t="s">
        <v>7</v>
      </c>
      <c r="C679">
        <v>36340</v>
      </c>
      <c r="D679" t="str">
        <f>"36340"</f>
        <v>36340</v>
      </c>
      <c r="E679">
        <v>61.62</v>
      </c>
    </row>
    <row r="680" spans="1:5" x14ac:dyDescent="0.2">
      <c r="A680">
        <v>36343</v>
      </c>
      <c r="B680" t="s">
        <v>7</v>
      </c>
      <c r="C680">
        <v>36343</v>
      </c>
      <c r="D680" t="str">
        <f>"36343"</f>
        <v>36343</v>
      </c>
      <c r="E680">
        <v>57.89</v>
      </c>
    </row>
    <row r="681" spans="1:5" x14ac:dyDescent="0.2">
      <c r="A681">
        <v>36344</v>
      </c>
      <c r="B681" t="s">
        <v>7</v>
      </c>
      <c r="C681">
        <v>36344</v>
      </c>
      <c r="D681" t="str">
        <f>"36344"</f>
        <v>36344</v>
      </c>
      <c r="E681">
        <v>64.150000000000006</v>
      </c>
    </row>
    <row r="682" spans="1:5" x14ac:dyDescent="0.2">
      <c r="A682">
        <v>36345</v>
      </c>
      <c r="B682" t="s">
        <v>7</v>
      </c>
      <c r="C682">
        <v>36345</v>
      </c>
      <c r="D682" t="str">
        <f>"36345"</f>
        <v>36345</v>
      </c>
      <c r="E682">
        <v>67.510000000000005</v>
      </c>
    </row>
    <row r="683" spans="1:5" x14ac:dyDescent="0.2">
      <c r="A683">
        <v>36346</v>
      </c>
      <c r="B683" t="s">
        <v>7</v>
      </c>
      <c r="C683">
        <v>36346</v>
      </c>
      <c r="D683" t="str">
        <f>"36346"</f>
        <v>36346</v>
      </c>
      <c r="E683">
        <v>69.64</v>
      </c>
    </row>
    <row r="684" spans="1:5" x14ac:dyDescent="0.2">
      <c r="A684">
        <v>36350</v>
      </c>
      <c r="B684" t="s">
        <v>7</v>
      </c>
      <c r="C684">
        <v>36350</v>
      </c>
      <c r="D684" t="str">
        <f>"36350"</f>
        <v>36350</v>
      </c>
      <c r="E684">
        <v>64.209999999999994</v>
      </c>
    </row>
    <row r="685" spans="1:5" x14ac:dyDescent="0.2">
      <c r="A685">
        <v>36351</v>
      </c>
      <c r="B685" t="s">
        <v>7</v>
      </c>
      <c r="C685">
        <v>36351</v>
      </c>
      <c r="D685" t="str">
        <f>"36351"</f>
        <v>36351</v>
      </c>
      <c r="E685">
        <v>73.05</v>
      </c>
    </row>
    <row r="686" spans="1:5" x14ac:dyDescent="0.2">
      <c r="A686">
        <v>36352</v>
      </c>
      <c r="B686" t="s">
        <v>7</v>
      </c>
      <c r="C686">
        <v>36352</v>
      </c>
      <c r="D686" t="str">
        <f>"36352"</f>
        <v>36352</v>
      </c>
      <c r="E686">
        <v>69.41</v>
      </c>
    </row>
    <row r="687" spans="1:5" x14ac:dyDescent="0.2">
      <c r="A687">
        <v>36353</v>
      </c>
      <c r="B687" t="s">
        <v>7</v>
      </c>
      <c r="C687">
        <v>36353</v>
      </c>
      <c r="D687" t="str">
        <f>"36353"</f>
        <v>36353</v>
      </c>
      <c r="E687">
        <v>65.06</v>
      </c>
    </row>
    <row r="688" spans="1:5" x14ac:dyDescent="0.2">
      <c r="A688">
        <v>36360</v>
      </c>
      <c r="B688" t="s">
        <v>7</v>
      </c>
      <c r="C688">
        <v>36360</v>
      </c>
      <c r="D688" t="str">
        <f>"36360"</f>
        <v>36360</v>
      </c>
      <c r="E688">
        <v>63.48</v>
      </c>
    </row>
    <row r="689" spans="1:5" x14ac:dyDescent="0.2">
      <c r="A689">
        <v>36362</v>
      </c>
      <c r="B689" t="s">
        <v>7</v>
      </c>
      <c r="C689">
        <v>36362</v>
      </c>
      <c r="D689" t="str">
        <f>"36362"</f>
        <v>36362</v>
      </c>
      <c r="E689">
        <v>70.34</v>
      </c>
    </row>
    <row r="690" spans="1:5" x14ac:dyDescent="0.2">
      <c r="A690">
        <v>36370</v>
      </c>
      <c r="B690" t="s">
        <v>7</v>
      </c>
      <c r="C690">
        <v>36370</v>
      </c>
      <c r="D690" t="str">
        <f>"36370"</f>
        <v>36370</v>
      </c>
      <c r="E690">
        <v>64.099999999999994</v>
      </c>
    </row>
    <row r="691" spans="1:5" x14ac:dyDescent="0.2">
      <c r="A691">
        <v>36373</v>
      </c>
      <c r="B691" t="s">
        <v>7</v>
      </c>
      <c r="C691">
        <v>36373</v>
      </c>
      <c r="D691" t="str">
        <f>"36373"</f>
        <v>36373</v>
      </c>
      <c r="E691">
        <v>54.55</v>
      </c>
    </row>
    <row r="692" spans="1:5" x14ac:dyDescent="0.2">
      <c r="A692">
        <v>36374</v>
      </c>
      <c r="B692" t="s">
        <v>7</v>
      </c>
      <c r="C692">
        <v>36374</v>
      </c>
      <c r="D692" t="str">
        <f>"36374"</f>
        <v>36374</v>
      </c>
      <c r="E692">
        <v>71.430000000000007</v>
      </c>
    </row>
    <row r="693" spans="1:5" x14ac:dyDescent="0.2">
      <c r="A693">
        <v>36375</v>
      </c>
      <c r="B693" t="s">
        <v>7</v>
      </c>
      <c r="C693">
        <v>36375</v>
      </c>
      <c r="D693" t="str">
        <f>"36375"</f>
        <v>36375</v>
      </c>
      <c r="E693">
        <v>63.29</v>
      </c>
    </row>
    <row r="694" spans="1:5" x14ac:dyDescent="0.2">
      <c r="A694">
        <v>36376</v>
      </c>
      <c r="B694" t="s">
        <v>7</v>
      </c>
      <c r="C694">
        <v>36376</v>
      </c>
      <c r="D694" t="str">
        <f>"36376"</f>
        <v>36376</v>
      </c>
      <c r="E694">
        <v>62.35</v>
      </c>
    </row>
    <row r="695" spans="1:5" x14ac:dyDescent="0.2">
      <c r="A695">
        <v>36401</v>
      </c>
      <c r="B695" t="s">
        <v>7</v>
      </c>
      <c r="C695">
        <v>36401</v>
      </c>
      <c r="D695" t="str">
        <f>"36401"</f>
        <v>36401</v>
      </c>
      <c r="E695">
        <v>52.73</v>
      </c>
    </row>
    <row r="696" spans="1:5" x14ac:dyDescent="0.2">
      <c r="A696">
        <v>36420</v>
      </c>
      <c r="B696" t="s">
        <v>7</v>
      </c>
      <c r="C696">
        <v>36420</v>
      </c>
      <c r="D696" t="str">
        <f>"36420"</f>
        <v>36420</v>
      </c>
      <c r="E696">
        <v>62.59</v>
      </c>
    </row>
    <row r="697" spans="1:5" x14ac:dyDescent="0.2">
      <c r="A697">
        <v>36421</v>
      </c>
      <c r="B697" t="s">
        <v>7</v>
      </c>
      <c r="C697">
        <v>36421</v>
      </c>
      <c r="D697" t="str">
        <f>"36421"</f>
        <v>36421</v>
      </c>
      <c r="E697">
        <v>66.099999999999994</v>
      </c>
    </row>
    <row r="698" spans="1:5" x14ac:dyDescent="0.2">
      <c r="A698">
        <v>36425</v>
      </c>
      <c r="B698" t="s">
        <v>7</v>
      </c>
      <c r="C698">
        <v>36425</v>
      </c>
      <c r="D698" t="str">
        <f>"36425"</f>
        <v>36425</v>
      </c>
      <c r="E698">
        <v>48.48</v>
      </c>
    </row>
    <row r="699" spans="1:5" x14ac:dyDescent="0.2">
      <c r="A699">
        <v>36426</v>
      </c>
      <c r="B699" t="s">
        <v>7</v>
      </c>
      <c r="C699">
        <v>36426</v>
      </c>
      <c r="D699" t="str">
        <f>"36426"</f>
        <v>36426</v>
      </c>
      <c r="E699">
        <v>62.19</v>
      </c>
    </row>
    <row r="700" spans="1:5" x14ac:dyDescent="0.2">
      <c r="A700">
        <v>36429</v>
      </c>
      <c r="B700" t="s">
        <v>7</v>
      </c>
      <c r="C700">
        <v>36429</v>
      </c>
      <c r="D700" t="str">
        <f>"36429"</f>
        <v>36429</v>
      </c>
      <c r="E700" t="s">
        <v>6</v>
      </c>
    </row>
    <row r="701" spans="1:5" x14ac:dyDescent="0.2">
      <c r="A701">
        <v>36432</v>
      </c>
      <c r="B701" t="s">
        <v>7</v>
      </c>
      <c r="C701">
        <v>36432</v>
      </c>
      <c r="D701" t="str">
        <f>"36432"</f>
        <v>36432</v>
      </c>
      <c r="E701">
        <v>59.14</v>
      </c>
    </row>
    <row r="702" spans="1:5" x14ac:dyDescent="0.2">
      <c r="A702">
        <v>36435</v>
      </c>
      <c r="B702" t="s">
        <v>7</v>
      </c>
      <c r="C702">
        <v>36435</v>
      </c>
      <c r="D702" t="str">
        <f>"36435"</f>
        <v>36435</v>
      </c>
      <c r="E702">
        <v>50</v>
      </c>
    </row>
    <row r="703" spans="1:5" x14ac:dyDescent="0.2">
      <c r="A703">
        <v>36436</v>
      </c>
      <c r="B703" t="s">
        <v>7</v>
      </c>
      <c r="C703">
        <v>36436</v>
      </c>
      <c r="D703" t="str">
        <f>"36436"</f>
        <v>36436</v>
      </c>
      <c r="E703">
        <v>64.709999999999994</v>
      </c>
    </row>
    <row r="704" spans="1:5" x14ac:dyDescent="0.2">
      <c r="A704">
        <v>36439</v>
      </c>
      <c r="B704" t="s">
        <v>7</v>
      </c>
      <c r="C704">
        <v>36439</v>
      </c>
      <c r="D704" t="str">
        <f>"36439"</f>
        <v>36439</v>
      </c>
      <c r="E704" t="s">
        <v>6</v>
      </c>
    </row>
    <row r="705" spans="1:5" x14ac:dyDescent="0.2">
      <c r="A705">
        <v>36441</v>
      </c>
      <c r="B705" t="s">
        <v>7</v>
      </c>
      <c r="C705">
        <v>36441</v>
      </c>
      <c r="D705" t="str">
        <f>"36441"</f>
        <v>36441</v>
      </c>
      <c r="E705">
        <v>62.94</v>
      </c>
    </row>
    <row r="706" spans="1:5" x14ac:dyDescent="0.2">
      <c r="A706">
        <v>36442</v>
      </c>
      <c r="B706" t="s">
        <v>7</v>
      </c>
      <c r="C706">
        <v>36442</v>
      </c>
      <c r="D706" t="str">
        <f>"36442"</f>
        <v>36442</v>
      </c>
      <c r="E706">
        <v>63.72</v>
      </c>
    </row>
    <row r="707" spans="1:5" x14ac:dyDescent="0.2">
      <c r="A707">
        <v>36444</v>
      </c>
      <c r="B707" t="s">
        <v>7</v>
      </c>
      <c r="C707">
        <v>36444</v>
      </c>
      <c r="D707" t="str">
        <f>"36444"</f>
        <v>36444</v>
      </c>
      <c r="E707">
        <v>59.09</v>
      </c>
    </row>
    <row r="708" spans="1:5" x14ac:dyDescent="0.2">
      <c r="A708">
        <v>36445</v>
      </c>
      <c r="B708" t="s">
        <v>7</v>
      </c>
      <c r="C708">
        <v>36445</v>
      </c>
      <c r="D708" t="str">
        <f>"36445"</f>
        <v>36445</v>
      </c>
      <c r="E708">
        <v>60.53</v>
      </c>
    </row>
    <row r="709" spans="1:5" x14ac:dyDescent="0.2">
      <c r="A709">
        <v>36446</v>
      </c>
      <c r="B709" t="s">
        <v>7</v>
      </c>
      <c r="C709">
        <v>36446</v>
      </c>
      <c r="D709" t="str">
        <f>"36446"</f>
        <v>36446</v>
      </c>
      <c r="E709" t="s">
        <v>6</v>
      </c>
    </row>
    <row r="710" spans="1:5" x14ac:dyDescent="0.2">
      <c r="A710">
        <v>36451</v>
      </c>
      <c r="B710" t="s">
        <v>7</v>
      </c>
      <c r="C710">
        <v>36451</v>
      </c>
      <c r="D710" t="str">
        <f>"36451"</f>
        <v>36451</v>
      </c>
      <c r="E710">
        <v>63.83</v>
      </c>
    </row>
    <row r="711" spans="1:5" x14ac:dyDescent="0.2">
      <c r="A711">
        <v>36453</v>
      </c>
      <c r="B711" t="s">
        <v>7</v>
      </c>
      <c r="C711">
        <v>36453</v>
      </c>
      <c r="D711" t="str">
        <f>"36453"</f>
        <v>36453</v>
      </c>
      <c r="E711">
        <v>67.42</v>
      </c>
    </row>
    <row r="712" spans="1:5" x14ac:dyDescent="0.2">
      <c r="A712">
        <v>36454</v>
      </c>
      <c r="B712" t="s">
        <v>7</v>
      </c>
      <c r="C712">
        <v>36454</v>
      </c>
      <c r="D712" t="str">
        <f>"36454"</f>
        <v>36454</v>
      </c>
      <c r="E712" t="s">
        <v>6</v>
      </c>
    </row>
    <row r="713" spans="1:5" x14ac:dyDescent="0.2">
      <c r="A713">
        <v>36455</v>
      </c>
      <c r="B713" t="s">
        <v>7</v>
      </c>
      <c r="C713">
        <v>36455</v>
      </c>
      <c r="D713" t="str">
        <f>"36455"</f>
        <v>36455</v>
      </c>
      <c r="E713" t="s">
        <v>6</v>
      </c>
    </row>
    <row r="714" spans="1:5" x14ac:dyDescent="0.2">
      <c r="A714">
        <v>36456</v>
      </c>
      <c r="B714" t="s">
        <v>7</v>
      </c>
      <c r="C714">
        <v>36456</v>
      </c>
      <c r="D714" t="str">
        <f>"36456"</f>
        <v>36456</v>
      </c>
      <c r="E714">
        <v>60.29</v>
      </c>
    </row>
    <row r="715" spans="1:5" x14ac:dyDescent="0.2">
      <c r="A715">
        <v>36460</v>
      </c>
      <c r="B715" t="s">
        <v>7</v>
      </c>
      <c r="C715">
        <v>36460</v>
      </c>
      <c r="D715" t="str">
        <f>"36460"</f>
        <v>36460</v>
      </c>
      <c r="E715">
        <v>56.21</v>
      </c>
    </row>
    <row r="716" spans="1:5" x14ac:dyDescent="0.2">
      <c r="A716">
        <v>36467</v>
      </c>
      <c r="B716" t="s">
        <v>7</v>
      </c>
      <c r="C716">
        <v>36467</v>
      </c>
      <c r="D716" t="str">
        <f>"36467"</f>
        <v>36467</v>
      </c>
      <c r="E716">
        <v>60.33</v>
      </c>
    </row>
    <row r="717" spans="1:5" x14ac:dyDescent="0.2">
      <c r="A717">
        <v>36471</v>
      </c>
      <c r="B717" t="s">
        <v>7</v>
      </c>
      <c r="C717">
        <v>36471</v>
      </c>
      <c r="D717" t="str">
        <f>"36471"</f>
        <v>36471</v>
      </c>
      <c r="E717">
        <v>50</v>
      </c>
    </row>
    <row r="718" spans="1:5" x14ac:dyDescent="0.2">
      <c r="A718">
        <v>36473</v>
      </c>
      <c r="B718" t="s">
        <v>7</v>
      </c>
      <c r="C718">
        <v>36473</v>
      </c>
      <c r="D718" t="str">
        <f>"36473"</f>
        <v>36473</v>
      </c>
      <c r="E718" t="s">
        <v>6</v>
      </c>
    </row>
    <row r="719" spans="1:5" x14ac:dyDescent="0.2">
      <c r="A719">
        <v>36474</v>
      </c>
      <c r="B719" t="s">
        <v>7</v>
      </c>
      <c r="C719">
        <v>36474</v>
      </c>
      <c r="D719" t="str">
        <f>"36474"</f>
        <v>36474</v>
      </c>
      <c r="E719">
        <v>63.06</v>
      </c>
    </row>
    <row r="720" spans="1:5" x14ac:dyDescent="0.2">
      <c r="A720">
        <v>36475</v>
      </c>
      <c r="B720" t="s">
        <v>7</v>
      </c>
      <c r="C720">
        <v>36475</v>
      </c>
      <c r="D720" t="str">
        <f>"36475"</f>
        <v>36475</v>
      </c>
      <c r="E720">
        <v>57.53</v>
      </c>
    </row>
    <row r="721" spans="1:5" x14ac:dyDescent="0.2">
      <c r="A721">
        <v>36476</v>
      </c>
      <c r="B721" t="s">
        <v>7</v>
      </c>
      <c r="C721">
        <v>36476</v>
      </c>
      <c r="D721" t="str">
        <f>"36476"</f>
        <v>36476</v>
      </c>
      <c r="E721" t="s">
        <v>6</v>
      </c>
    </row>
    <row r="722" spans="1:5" x14ac:dyDescent="0.2">
      <c r="A722">
        <v>36477</v>
      </c>
      <c r="B722" t="s">
        <v>7</v>
      </c>
      <c r="C722">
        <v>36477</v>
      </c>
      <c r="D722" t="str">
        <f>"36477"</f>
        <v>36477</v>
      </c>
      <c r="E722">
        <v>60.23</v>
      </c>
    </row>
    <row r="723" spans="1:5" x14ac:dyDescent="0.2">
      <c r="A723">
        <v>36480</v>
      </c>
      <c r="B723" t="s">
        <v>7</v>
      </c>
      <c r="C723">
        <v>36480</v>
      </c>
      <c r="D723" t="str">
        <f>"36480"</f>
        <v>36480</v>
      </c>
      <c r="E723">
        <v>67.14</v>
      </c>
    </row>
    <row r="724" spans="1:5" x14ac:dyDescent="0.2">
      <c r="A724">
        <v>36481</v>
      </c>
      <c r="B724" t="s">
        <v>7</v>
      </c>
      <c r="C724">
        <v>36481</v>
      </c>
      <c r="D724" t="str">
        <f>"36481"</f>
        <v>36481</v>
      </c>
      <c r="E724">
        <v>50</v>
      </c>
    </row>
    <row r="725" spans="1:5" x14ac:dyDescent="0.2">
      <c r="A725">
        <v>36482</v>
      </c>
      <c r="B725" t="s">
        <v>7</v>
      </c>
      <c r="C725">
        <v>36482</v>
      </c>
      <c r="D725" t="str">
        <f>"36482"</f>
        <v>36482</v>
      </c>
      <c r="E725">
        <v>58.33</v>
      </c>
    </row>
    <row r="726" spans="1:5" x14ac:dyDescent="0.2">
      <c r="A726">
        <v>36483</v>
      </c>
      <c r="B726" t="s">
        <v>7</v>
      </c>
      <c r="C726">
        <v>36483</v>
      </c>
      <c r="D726" t="str">
        <f>"36483"</f>
        <v>36483</v>
      </c>
      <c r="E726">
        <v>66.67</v>
      </c>
    </row>
    <row r="727" spans="1:5" x14ac:dyDescent="0.2">
      <c r="A727">
        <v>36502</v>
      </c>
      <c r="B727" t="s">
        <v>7</v>
      </c>
      <c r="C727">
        <v>36502</v>
      </c>
      <c r="D727" t="str">
        <f>"36502"</f>
        <v>36502</v>
      </c>
      <c r="E727">
        <v>56.73</v>
      </c>
    </row>
    <row r="728" spans="1:5" x14ac:dyDescent="0.2">
      <c r="A728">
        <v>36505</v>
      </c>
      <c r="B728" t="s">
        <v>7</v>
      </c>
      <c r="C728">
        <v>36505</v>
      </c>
      <c r="D728" t="str">
        <f>"36505"</f>
        <v>36505</v>
      </c>
      <c r="E728">
        <v>67.739999999999995</v>
      </c>
    </row>
    <row r="729" spans="1:5" x14ac:dyDescent="0.2">
      <c r="A729">
        <v>36507</v>
      </c>
      <c r="B729" t="s">
        <v>7</v>
      </c>
      <c r="C729">
        <v>36507</v>
      </c>
      <c r="D729" t="str">
        <f>"36507"</f>
        <v>36507</v>
      </c>
      <c r="E729">
        <v>64.650000000000006</v>
      </c>
    </row>
    <row r="730" spans="1:5" x14ac:dyDescent="0.2">
      <c r="A730">
        <v>36509</v>
      </c>
      <c r="B730" t="s">
        <v>7</v>
      </c>
      <c r="C730">
        <v>36509</v>
      </c>
      <c r="D730" t="str">
        <f>"36509"</f>
        <v>36509</v>
      </c>
      <c r="E730">
        <v>49.37</v>
      </c>
    </row>
    <row r="731" spans="1:5" x14ac:dyDescent="0.2">
      <c r="A731">
        <v>36511</v>
      </c>
      <c r="B731" t="s">
        <v>7</v>
      </c>
      <c r="C731">
        <v>36511</v>
      </c>
      <c r="D731" t="str">
        <f>"36511"</f>
        <v>36511</v>
      </c>
      <c r="E731">
        <v>58.33</v>
      </c>
    </row>
    <row r="732" spans="1:5" x14ac:dyDescent="0.2">
      <c r="A732">
        <v>36512</v>
      </c>
      <c r="B732" t="s">
        <v>7</v>
      </c>
      <c r="C732">
        <v>36512</v>
      </c>
      <c r="D732" t="str">
        <f>"36512"</f>
        <v>36512</v>
      </c>
      <c r="E732" t="s">
        <v>6</v>
      </c>
    </row>
    <row r="733" spans="1:5" x14ac:dyDescent="0.2">
      <c r="A733">
        <v>36513</v>
      </c>
      <c r="B733" t="s">
        <v>7</v>
      </c>
      <c r="C733">
        <v>36513</v>
      </c>
      <c r="D733" t="str">
        <f>"36513"</f>
        <v>36513</v>
      </c>
      <c r="E733" t="s">
        <v>6</v>
      </c>
    </row>
    <row r="734" spans="1:5" x14ac:dyDescent="0.2">
      <c r="A734">
        <v>36518</v>
      </c>
      <c r="B734" t="s">
        <v>7</v>
      </c>
      <c r="C734">
        <v>36518</v>
      </c>
      <c r="D734" t="str">
        <f>"36518"</f>
        <v>36518</v>
      </c>
      <c r="E734">
        <v>69.7</v>
      </c>
    </row>
    <row r="735" spans="1:5" x14ac:dyDescent="0.2">
      <c r="A735">
        <v>36521</v>
      </c>
      <c r="B735" t="s">
        <v>7</v>
      </c>
      <c r="C735">
        <v>36521</v>
      </c>
      <c r="D735" t="str">
        <f>"36521"</f>
        <v>36521</v>
      </c>
      <c r="E735">
        <v>65.17</v>
      </c>
    </row>
    <row r="736" spans="1:5" x14ac:dyDescent="0.2">
      <c r="A736">
        <v>36522</v>
      </c>
      <c r="B736" t="s">
        <v>7</v>
      </c>
      <c r="C736">
        <v>36522</v>
      </c>
      <c r="D736" t="str">
        <f>"36522"</f>
        <v>36522</v>
      </c>
      <c r="E736">
        <v>60.58</v>
      </c>
    </row>
    <row r="737" spans="1:5" x14ac:dyDescent="0.2">
      <c r="A737">
        <v>36523</v>
      </c>
      <c r="B737" t="s">
        <v>7</v>
      </c>
      <c r="C737">
        <v>36523</v>
      </c>
      <c r="D737" t="str">
        <f>"36523"</f>
        <v>36523</v>
      </c>
      <c r="E737">
        <v>59.8</v>
      </c>
    </row>
    <row r="738" spans="1:5" x14ac:dyDescent="0.2">
      <c r="A738">
        <v>36524</v>
      </c>
      <c r="B738" t="s">
        <v>7</v>
      </c>
      <c r="C738">
        <v>36524</v>
      </c>
      <c r="D738" t="str">
        <f>"36524"</f>
        <v>36524</v>
      </c>
      <c r="E738">
        <v>57.78</v>
      </c>
    </row>
    <row r="739" spans="1:5" x14ac:dyDescent="0.2">
      <c r="A739">
        <v>36525</v>
      </c>
      <c r="B739" t="s">
        <v>7</v>
      </c>
      <c r="C739">
        <v>36525</v>
      </c>
      <c r="D739" t="str">
        <f>"36525"</f>
        <v>36525</v>
      </c>
      <c r="E739">
        <v>66.67</v>
      </c>
    </row>
    <row r="740" spans="1:5" x14ac:dyDescent="0.2">
      <c r="A740">
        <v>36526</v>
      </c>
      <c r="B740" t="s">
        <v>7</v>
      </c>
      <c r="C740">
        <v>36526</v>
      </c>
      <c r="D740" t="str">
        <f>"36526"</f>
        <v>36526</v>
      </c>
      <c r="E740">
        <v>75.709999999999994</v>
      </c>
    </row>
    <row r="741" spans="1:5" x14ac:dyDescent="0.2">
      <c r="A741">
        <v>36527</v>
      </c>
      <c r="B741" t="s">
        <v>7</v>
      </c>
      <c r="C741">
        <v>36527</v>
      </c>
      <c r="D741" t="str">
        <f>"36527"</f>
        <v>36527</v>
      </c>
      <c r="E741">
        <v>80.260000000000005</v>
      </c>
    </row>
    <row r="742" spans="1:5" x14ac:dyDescent="0.2">
      <c r="A742">
        <v>36528</v>
      </c>
      <c r="B742" t="s">
        <v>7</v>
      </c>
      <c r="C742">
        <v>36528</v>
      </c>
      <c r="D742" t="str">
        <f>"36528"</f>
        <v>36528</v>
      </c>
      <c r="E742">
        <v>77.92</v>
      </c>
    </row>
    <row r="743" spans="1:5" x14ac:dyDescent="0.2">
      <c r="A743">
        <v>36529</v>
      </c>
      <c r="B743" t="s">
        <v>7</v>
      </c>
      <c r="C743">
        <v>36529</v>
      </c>
      <c r="D743" t="str">
        <f>"36529"</f>
        <v>36529</v>
      </c>
      <c r="E743">
        <v>63.64</v>
      </c>
    </row>
    <row r="744" spans="1:5" x14ac:dyDescent="0.2">
      <c r="A744">
        <v>36530</v>
      </c>
      <c r="B744" t="s">
        <v>7</v>
      </c>
      <c r="C744">
        <v>36530</v>
      </c>
      <c r="D744" t="str">
        <f>"36530"</f>
        <v>36530</v>
      </c>
      <c r="E744">
        <v>68.55</v>
      </c>
    </row>
    <row r="745" spans="1:5" x14ac:dyDescent="0.2">
      <c r="A745">
        <v>36532</v>
      </c>
      <c r="B745" t="s">
        <v>7</v>
      </c>
      <c r="C745">
        <v>36532</v>
      </c>
      <c r="D745" t="str">
        <f>"36532"</f>
        <v>36532</v>
      </c>
      <c r="E745">
        <v>75</v>
      </c>
    </row>
    <row r="746" spans="1:5" x14ac:dyDescent="0.2">
      <c r="A746">
        <v>36535</v>
      </c>
      <c r="B746" t="s">
        <v>7</v>
      </c>
      <c r="C746">
        <v>36535</v>
      </c>
      <c r="D746" t="str">
        <f>"36535"</f>
        <v>36535</v>
      </c>
      <c r="E746">
        <v>64.819999999999993</v>
      </c>
    </row>
    <row r="747" spans="1:5" x14ac:dyDescent="0.2">
      <c r="A747">
        <v>36538</v>
      </c>
      <c r="B747" t="s">
        <v>7</v>
      </c>
      <c r="C747">
        <v>36538</v>
      </c>
      <c r="D747" t="str">
        <f>"36538"</f>
        <v>36538</v>
      </c>
      <c r="E747">
        <v>57.14</v>
      </c>
    </row>
    <row r="748" spans="1:5" x14ac:dyDescent="0.2">
      <c r="A748">
        <v>36539</v>
      </c>
      <c r="B748" t="s">
        <v>7</v>
      </c>
      <c r="C748">
        <v>36539</v>
      </c>
      <c r="D748" t="str">
        <f>"36539"</f>
        <v>36539</v>
      </c>
      <c r="E748">
        <v>70.37</v>
      </c>
    </row>
    <row r="749" spans="1:5" x14ac:dyDescent="0.2">
      <c r="A749">
        <v>36540</v>
      </c>
      <c r="B749" t="s">
        <v>7</v>
      </c>
      <c r="C749">
        <v>36540</v>
      </c>
      <c r="D749" t="str">
        <f>"36540"</f>
        <v>36540</v>
      </c>
      <c r="E749">
        <v>45.95</v>
      </c>
    </row>
    <row r="750" spans="1:5" x14ac:dyDescent="0.2">
      <c r="A750">
        <v>36541</v>
      </c>
      <c r="B750" t="s">
        <v>7</v>
      </c>
      <c r="C750">
        <v>36541</v>
      </c>
      <c r="D750" t="str">
        <f>"36541"</f>
        <v>36541</v>
      </c>
      <c r="E750">
        <v>64.19</v>
      </c>
    </row>
    <row r="751" spans="1:5" x14ac:dyDescent="0.2">
      <c r="A751">
        <v>36542</v>
      </c>
      <c r="B751" t="s">
        <v>7</v>
      </c>
      <c r="C751">
        <v>36542</v>
      </c>
      <c r="D751" t="str">
        <f>"36542"</f>
        <v>36542</v>
      </c>
      <c r="E751">
        <v>71.75</v>
      </c>
    </row>
    <row r="752" spans="1:5" x14ac:dyDescent="0.2">
      <c r="A752">
        <v>36544</v>
      </c>
      <c r="B752" t="s">
        <v>7</v>
      </c>
      <c r="C752">
        <v>36544</v>
      </c>
      <c r="D752" t="str">
        <f>"36544"</f>
        <v>36544</v>
      </c>
      <c r="E752">
        <v>58.33</v>
      </c>
    </row>
    <row r="753" spans="1:5" x14ac:dyDescent="0.2">
      <c r="A753">
        <v>36545</v>
      </c>
      <c r="B753" t="s">
        <v>7</v>
      </c>
      <c r="C753">
        <v>36545</v>
      </c>
      <c r="D753" t="str">
        <f>"36545"</f>
        <v>36545</v>
      </c>
      <c r="E753">
        <v>61.67</v>
      </c>
    </row>
    <row r="754" spans="1:5" x14ac:dyDescent="0.2">
      <c r="A754">
        <v>36548</v>
      </c>
      <c r="B754" t="s">
        <v>7</v>
      </c>
      <c r="C754">
        <v>36548</v>
      </c>
      <c r="D754" t="str">
        <f>"36548"</f>
        <v>36548</v>
      </c>
      <c r="E754">
        <v>70.209999999999994</v>
      </c>
    </row>
    <row r="755" spans="1:5" x14ac:dyDescent="0.2">
      <c r="A755">
        <v>36549</v>
      </c>
      <c r="B755" t="s">
        <v>7</v>
      </c>
      <c r="C755">
        <v>36549</v>
      </c>
      <c r="D755" t="str">
        <f>"36549"</f>
        <v>36549</v>
      </c>
      <c r="E755">
        <v>71.430000000000007</v>
      </c>
    </row>
    <row r="756" spans="1:5" x14ac:dyDescent="0.2">
      <c r="A756">
        <v>36550</v>
      </c>
      <c r="B756" t="s">
        <v>7</v>
      </c>
      <c r="C756">
        <v>36550</v>
      </c>
      <c r="D756" t="str">
        <f>"36550"</f>
        <v>36550</v>
      </c>
      <c r="E756" t="s">
        <v>6</v>
      </c>
    </row>
    <row r="757" spans="1:5" x14ac:dyDescent="0.2">
      <c r="A757">
        <v>36551</v>
      </c>
      <c r="B757" t="s">
        <v>7</v>
      </c>
      <c r="C757">
        <v>36551</v>
      </c>
      <c r="D757" t="str">
        <f>"36551"</f>
        <v>36551</v>
      </c>
      <c r="E757">
        <v>68.61</v>
      </c>
    </row>
    <row r="758" spans="1:5" x14ac:dyDescent="0.2">
      <c r="A758">
        <v>36553</v>
      </c>
      <c r="B758" t="s">
        <v>7</v>
      </c>
      <c r="C758">
        <v>36553</v>
      </c>
      <c r="D758" t="str">
        <f>"36553"</f>
        <v>36553</v>
      </c>
      <c r="E758">
        <v>53.66</v>
      </c>
    </row>
    <row r="759" spans="1:5" x14ac:dyDescent="0.2">
      <c r="A759">
        <v>36555</v>
      </c>
      <c r="B759" t="s">
        <v>7</v>
      </c>
      <c r="C759">
        <v>36555</v>
      </c>
      <c r="D759" t="str">
        <f>"36555"</f>
        <v>36555</v>
      </c>
      <c r="E759">
        <v>73.77</v>
      </c>
    </row>
    <row r="760" spans="1:5" x14ac:dyDescent="0.2">
      <c r="A760">
        <v>36558</v>
      </c>
      <c r="B760" t="s">
        <v>7</v>
      </c>
      <c r="C760">
        <v>36558</v>
      </c>
      <c r="D760" t="str">
        <f>"36558"</f>
        <v>36558</v>
      </c>
      <c r="E760">
        <v>66.67</v>
      </c>
    </row>
    <row r="761" spans="1:5" x14ac:dyDescent="0.2">
      <c r="A761">
        <v>36559</v>
      </c>
      <c r="B761" t="s">
        <v>7</v>
      </c>
      <c r="C761">
        <v>36559</v>
      </c>
      <c r="D761" t="str">
        <f>"36559"</f>
        <v>36559</v>
      </c>
      <c r="E761" t="s">
        <v>6</v>
      </c>
    </row>
    <row r="762" spans="1:5" x14ac:dyDescent="0.2">
      <c r="A762">
        <v>36560</v>
      </c>
      <c r="B762" t="s">
        <v>7</v>
      </c>
      <c r="C762">
        <v>36560</v>
      </c>
      <c r="D762" t="str">
        <f>"36560"</f>
        <v>36560</v>
      </c>
      <c r="E762">
        <v>52.31</v>
      </c>
    </row>
    <row r="763" spans="1:5" x14ac:dyDescent="0.2">
      <c r="A763">
        <v>36561</v>
      </c>
      <c r="B763" t="s">
        <v>7</v>
      </c>
      <c r="C763">
        <v>36561</v>
      </c>
      <c r="D763" t="str">
        <f>"36561"</f>
        <v>36561</v>
      </c>
      <c r="E763">
        <v>78.33</v>
      </c>
    </row>
    <row r="764" spans="1:5" x14ac:dyDescent="0.2">
      <c r="A764">
        <v>36562</v>
      </c>
      <c r="B764" t="s">
        <v>7</v>
      </c>
      <c r="C764">
        <v>36562</v>
      </c>
      <c r="D764" t="str">
        <f>"36562"</f>
        <v>36562</v>
      </c>
      <c r="E764">
        <v>61.33</v>
      </c>
    </row>
    <row r="765" spans="1:5" x14ac:dyDescent="0.2">
      <c r="A765">
        <v>36567</v>
      </c>
      <c r="B765" t="s">
        <v>7</v>
      </c>
      <c r="C765">
        <v>36567</v>
      </c>
      <c r="D765" t="str">
        <f>"36567"</f>
        <v>36567</v>
      </c>
      <c r="E765">
        <v>65.739999999999995</v>
      </c>
    </row>
    <row r="766" spans="1:5" x14ac:dyDescent="0.2">
      <c r="A766">
        <v>36569</v>
      </c>
      <c r="B766" t="s">
        <v>7</v>
      </c>
      <c r="C766">
        <v>36569</v>
      </c>
      <c r="D766" t="str">
        <f>"36569"</f>
        <v>36569</v>
      </c>
      <c r="E766">
        <v>68.75</v>
      </c>
    </row>
    <row r="767" spans="1:5" x14ac:dyDescent="0.2">
      <c r="A767">
        <v>36571</v>
      </c>
      <c r="B767" t="s">
        <v>7</v>
      </c>
      <c r="C767">
        <v>36571</v>
      </c>
      <c r="D767" t="str">
        <f>"36571"</f>
        <v>36571</v>
      </c>
      <c r="E767">
        <v>70.47</v>
      </c>
    </row>
    <row r="768" spans="1:5" x14ac:dyDescent="0.2">
      <c r="A768">
        <v>36572</v>
      </c>
      <c r="B768" t="s">
        <v>7</v>
      </c>
      <c r="C768">
        <v>36572</v>
      </c>
      <c r="D768" t="str">
        <f>"36572"</f>
        <v>36572</v>
      </c>
      <c r="E768">
        <v>75.42</v>
      </c>
    </row>
    <row r="769" spans="1:5" x14ac:dyDescent="0.2">
      <c r="A769">
        <v>36574</v>
      </c>
      <c r="B769" t="s">
        <v>7</v>
      </c>
      <c r="C769">
        <v>36574</v>
      </c>
      <c r="D769" t="str">
        <f>"36574"</f>
        <v>36574</v>
      </c>
      <c r="E769">
        <v>66.67</v>
      </c>
    </row>
    <row r="770" spans="1:5" x14ac:dyDescent="0.2">
      <c r="A770">
        <v>36575</v>
      </c>
      <c r="B770" t="s">
        <v>7</v>
      </c>
      <c r="C770">
        <v>36575</v>
      </c>
      <c r="D770" t="str">
        <f>"36575"</f>
        <v>36575</v>
      </c>
      <c r="E770">
        <v>69.25</v>
      </c>
    </row>
    <row r="771" spans="1:5" x14ac:dyDescent="0.2">
      <c r="A771">
        <v>36576</v>
      </c>
      <c r="B771" t="s">
        <v>7</v>
      </c>
      <c r="C771">
        <v>36576</v>
      </c>
      <c r="D771" t="str">
        <f>"36576"</f>
        <v>36576</v>
      </c>
      <c r="E771">
        <v>68.27</v>
      </c>
    </row>
    <row r="772" spans="1:5" x14ac:dyDescent="0.2">
      <c r="A772">
        <v>36578</v>
      </c>
      <c r="B772" t="s">
        <v>7</v>
      </c>
      <c r="C772">
        <v>36578</v>
      </c>
      <c r="D772" t="str">
        <f>"36578"</f>
        <v>36578</v>
      </c>
      <c r="E772">
        <v>74.7</v>
      </c>
    </row>
    <row r="773" spans="1:5" x14ac:dyDescent="0.2">
      <c r="A773">
        <v>36579</v>
      </c>
      <c r="B773" t="s">
        <v>7</v>
      </c>
      <c r="C773">
        <v>36579</v>
      </c>
      <c r="D773" t="str">
        <f>"36579"</f>
        <v>36579</v>
      </c>
      <c r="E773">
        <v>64.180000000000007</v>
      </c>
    </row>
    <row r="774" spans="1:5" x14ac:dyDescent="0.2">
      <c r="A774">
        <v>36580</v>
      </c>
      <c r="B774" t="s">
        <v>7</v>
      </c>
      <c r="C774">
        <v>36580</v>
      </c>
      <c r="D774" t="str">
        <f>"36580"</f>
        <v>36580</v>
      </c>
      <c r="E774">
        <v>64.89</v>
      </c>
    </row>
    <row r="775" spans="1:5" x14ac:dyDescent="0.2">
      <c r="A775">
        <v>36581</v>
      </c>
      <c r="B775" t="s">
        <v>7</v>
      </c>
      <c r="C775">
        <v>36581</v>
      </c>
      <c r="D775" t="str">
        <f>"36581"</f>
        <v>36581</v>
      </c>
      <c r="E775" t="s">
        <v>6</v>
      </c>
    </row>
    <row r="776" spans="1:5" x14ac:dyDescent="0.2">
      <c r="A776">
        <v>36582</v>
      </c>
      <c r="B776" t="s">
        <v>7</v>
      </c>
      <c r="C776">
        <v>36582</v>
      </c>
      <c r="D776" t="str">
        <f>"36582"</f>
        <v>36582</v>
      </c>
      <c r="E776">
        <v>62.69</v>
      </c>
    </row>
    <row r="777" spans="1:5" x14ac:dyDescent="0.2">
      <c r="A777">
        <v>36583</v>
      </c>
      <c r="B777" t="s">
        <v>7</v>
      </c>
      <c r="C777">
        <v>36583</v>
      </c>
      <c r="D777" t="str">
        <f>"36583"</f>
        <v>36583</v>
      </c>
      <c r="E777">
        <v>79.17</v>
      </c>
    </row>
    <row r="778" spans="1:5" x14ac:dyDescent="0.2">
      <c r="A778">
        <v>36584</v>
      </c>
      <c r="B778" t="s">
        <v>7</v>
      </c>
      <c r="C778">
        <v>36584</v>
      </c>
      <c r="D778" t="str">
        <f>"36584"</f>
        <v>36584</v>
      </c>
      <c r="E778">
        <v>62.96</v>
      </c>
    </row>
    <row r="779" spans="1:5" x14ac:dyDescent="0.2">
      <c r="A779">
        <v>36585</v>
      </c>
      <c r="B779" t="s">
        <v>7</v>
      </c>
      <c r="C779">
        <v>36585</v>
      </c>
      <c r="D779" t="str">
        <f>"36585"</f>
        <v>36585</v>
      </c>
      <c r="E779">
        <v>70.27</v>
      </c>
    </row>
    <row r="780" spans="1:5" x14ac:dyDescent="0.2">
      <c r="A780">
        <v>36587</v>
      </c>
      <c r="B780" t="s">
        <v>7</v>
      </c>
      <c r="C780">
        <v>36587</v>
      </c>
      <c r="D780" t="str">
        <f>"36587"</f>
        <v>36587</v>
      </c>
      <c r="E780">
        <v>61.79</v>
      </c>
    </row>
    <row r="781" spans="1:5" x14ac:dyDescent="0.2">
      <c r="A781">
        <v>36602</v>
      </c>
      <c r="B781" t="s">
        <v>7</v>
      </c>
      <c r="C781">
        <v>36602</v>
      </c>
      <c r="D781" t="str">
        <f>"36602"</f>
        <v>36602</v>
      </c>
      <c r="E781">
        <v>80.95</v>
      </c>
    </row>
    <row r="782" spans="1:5" x14ac:dyDescent="0.2">
      <c r="A782">
        <v>36603</v>
      </c>
      <c r="B782" t="s">
        <v>7</v>
      </c>
      <c r="C782">
        <v>36603</v>
      </c>
      <c r="D782" t="str">
        <f>"36603"</f>
        <v>36603</v>
      </c>
      <c r="E782">
        <v>41.94</v>
      </c>
    </row>
    <row r="783" spans="1:5" x14ac:dyDescent="0.2">
      <c r="A783">
        <v>36604</v>
      </c>
      <c r="B783" t="s">
        <v>7</v>
      </c>
      <c r="C783">
        <v>36604</v>
      </c>
      <c r="D783" t="str">
        <f>"36604"</f>
        <v>36604</v>
      </c>
      <c r="E783">
        <v>67.91</v>
      </c>
    </row>
    <row r="784" spans="1:5" x14ac:dyDescent="0.2">
      <c r="A784">
        <v>36605</v>
      </c>
      <c r="B784" t="s">
        <v>7</v>
      </c>
      <c r="C784">
        <v>36605</v>
      </c>
      <c r="D784" t="str">
        <f>"36605"</f>
        <v>36605</v>
      </c>
      <c r="E784">
        <v>46.5</v>
      </c>
    </row>
    <row r="785" spans="1:5" x14ac:dyDescent="0.2">
      <c r="A785">
        <v>36606</v>
      </c>
      <c r="B785" t="s">
        <v>7</v>
      </c>
      <c r="C785">
        <v>36606</v>
      </c>
      <c r="D785" t="str">
        <f>"36606"</f>
        <v>36606</v>
      </c>
      <c r="E785">
        <v>56.52</v>
      </c>
    </row>
    <row r="786" spans="1:5" x14ac:dyDescent="0.2">
      <c r="A786">
        <v>36607</v>
      </c>
      <c r="B786" t="s">
        <v>7</v>
      </c>
      <c r="C786">
        <v>36607</v>
      </c>
      <c r="D786" t="str">
        <f>"36607"</f>
        <v>36607</v>
      </c>
      <c r="E786">
        <v>59.69</v>
      </c>
    </row>
    <row r="787" spans="1:5" x14ac:dyDescent="0.2">
      <c r="A787">
        <v>36608</v>
      </c>
      <c r="B787" t="s">
        <v>7</v>
      </c>
      <c r="C787">
        <v>36608</v>
      </c>
      <c r="D787" t="str">
        <f>"36608"</f>
        <v>36608</v>
      </c>
      <c r="E787">
        <v>65.459999999999994</v>
      </c>
    </row>
    <row r="788" spans="1:5" x14ac:dyDescent="0.2">
      <c r="A788">
        <v>36609</v>
      </c>
      <c r="B788" t="s">
        <v>7</v>
      </c>
      <c r="C788">
        <v>36609</v>
      </c>
      <c r="D788" t="str">
        <f>"36609"</f>
        <v>36609</v>
      </c>
      <c r="E788">
        <v>62.34</v>
      </c>
    </row>
    <row r="789" spans="1:5" x14ac:dyDescent="0.2">
      <c r="A789">
        <v>36610</v>
      </c>
      <c r="B789" t="s">
        <v>7</v>
      </c>
      <c r="C789">
        <v>36610</v>
      </c>
      <c r="D789" t="str">
        <f>"36610"</f>
        <v>36610</v>
      </c>
      <c r="E789">
        <v>37</v>
      </c>
    </row>
    <row r="790" spans="1:5" x14ac:dyDescent="0.2">
      <c r="A790">
        <v>36611</v>
      </c>
      <c r="B790" t="s">
        <v>7</v>
      </c>
      <c r="C790">
        <v>36611</v>
      </c>
      <c r="D790" t="str">
        <f>"36611"</f>
        <v>36611</v>
      </c>
      <c r="E790">
        <v>50.83</v>
      </c>
    </row>
    <row r="791" spans="1:5" x14ac:dyDescent="0.2">
      <c r="A791">
        <v>36612</v>
      </c>
      <c r="B791" t="s">
        <v>7</v>
      </c>
      <c r="C791">
        <v>36612</v>
      </c>
      <c r="D791" t="str">
        <f>"36612"</f>
        <v>36612</v>
      </c>
      <c r="E791">
        <v>39.75</v>
      </c>
    </row>
    <row r="792" spans="1:5" x14ac:dyDescent="0.2">
      <c r="A792">
        <v>36613</v>
      </c>
      <c r="B792" t="s">
        <v>7</v>
      </c>
      <c r="C792">
        <v>36613</v>
      </c>
      <c r="D792" t="str">
        <f>"36613"</f>
        <v>36613</v>
      </c>
      <c r="E792">
        <v>56.63</v>
      </c>
    </row>
    <row r="793" spans="1:5" x14ac:dyDescent="0.2">
      <c r="A793">
        <v>36615</v>
      </c>
      <c r="B793" t="s">
        <v>7</v>
      </c>
      <c r="C793">
        <v>36615</v>
      </c>
      <c r="D793" t="str">
        <f>"36615"</f>
        <v>36615</v>
      </c>
      <c r="E793" t="s">
        <v>6</v>
      </c>
    </row>
    <row r="794" spans="1:5" x14ac:dyDescent="0.2">
      <c r="A794">
        <v>36617</v>
      </c>
      <c r="B794" t="s">
        <v>7</v>
      </c>
      <c r="C794">
        <v>36617</v>
      </c>
      <c r="D794" t="str">
        <f>"36617"</f>
        <v>36617</v>
      </c>
      <c r="E794">
        <v>46.25</v>
      </c>
    </row>
    <row r="795" spans="1:5" x14ac:dyDescent="0.2">
      <c r="A795">
        <v>36618</v>
      </c>
      <c r="B795" t="s">
        <v>7</v>
      </c>
      <c r="C795">
        <v>36618</v>
      </c>
      <c r="D795" t="str">
        <f>"36618"</f>
        <v>36618</v>
      </c>
      <c r="E795">
        <v>58.13</v>
      </c>
    </row>
    <row r="796" spans="1:5" x14ac:dyDescent="0.2">
      <c r="A796">
        <v>36619</v>
      </c>
      <c r="B796" t="s">
        <v>7</v>
      </c>
      <c r="C796">
        <v>36619</v>
      </c>
      <c r="D796" t="str">
        <f>"36619"</f>
        <v>36619</v>
      </c>
      <c r="E796">
        <v>67.7</v>
      </c>
    </row>
    <row r="797" spans="1:5" x14ac:dyDescent="0.2">
      <c r="A797">
        <v>36633</v>
      </c>
      <c r="B797" t="s">
        <v>7</v>
      </c>
      <c r="C797">
        <v>36633</v>
      </c>
      <c r="D797" t="str">
        <f>"36633"</f>
        <v>36633</v>
      </c>
      <c r="E797" t="s">
        <v>6</v>
      </c>
    </row>
    <row r="798" spans="1:5" x14ac:dyDescent="0.2">
      <c r="A798">
        <v>36693</v>
      </c>
      <c r="B798" t="s">
        <v>7</v>
      </c>
      <c r="C798">
        <v>36693</v>
      </c>
      <c r="D798" t="str">
        <f>"36693"</f>
        <v>36693</v>
      </c>
      <c r="E798">
        <v>69.78</v>
      </c>
    </row>
    <row r="799" spans="1:5" x14ac:dyDescent="0.2">
      <c r="A799">
        <v>36695</v>
      </c>
      <c r="B799" t="s">
        <v>7</v>
      </c>
      <c r="C799">
        <v>36695</v>
      </c>
      <c r="D799" t="str">
        <f>"36695"</f>
        <v>36695</v>
      </c>
      <c r="E799">
        <v>72.900000000000006</v>
      </c>
    </row>
    <row r="800" spans="1:5" x14ac:dyDescent="0.2">
      <c r="A800">
        <v>36701</v>
      </c>
      <c r="B800" t="s">
        <v>7</v>
      </c>
      <c r="C800">
        <v>36701</v>
      </c>
      <c r="D800" t="str">
        <f>"36701"</f>
        <v>36701</v>
      </c>
      <c r="E800">
        <v>53.18</v>
      </c>
    </row>
    <row r="801" spans="1:5" x14ac:dyDescent="0.2">
      <c r="A801">
        <v>36703</v>
      </c>
      <c r="B801" t="s">
        <v>7</v>
      </c>
      <c r="C801">
        <v>36703</v>
      </c>
      <c r="D801" t="str">
        <f>"36703"</f>
        <v>36703</v>
      </c>
      <c r="E801">
        <v>43.94</v>
      </c>
    </row>
    <row r="802" spans="1:5" x14ac:dyDescent="0.2">
      <c r="A802">
        <v>36720</v>
      </c>
      <c r="B802" t="s">
        <v>7</v>
      </c>
      <c r="C802">
        <v>36720</v>
      </c>
      <c r="D802" t="str">
        <f>"36720"</f>
        <v>36720</v>
      </c>
      <c r="E802">
        <v>33.33</v>
      </c>
    </row>
    <row r="803" spans="1:5" x14ac:dyDescent="0.2">
      <c r="A803">
        <v>36722</v>
      </c>
      <c r="B803" t="s">
        <v>7</v>
      </c>
      <c r="C803">
        <v>36722</v>
      </c>
      <c r="D803" t="str">
        <f>"36722"</f>
        <v>36722</v>
      </c>
      <c r="E803">
        <v>46.67</v>
      </c>
    </row>
    <row r="804" spans="1:5" x14ac:dyDescent="0.2">
      <c r="A804">
        <v>36723</v>
      </c>
      <c r="B804" t="s">
        <v>7</v>
      </c>
      <c r="C804">
        <v>36723</v>
      </c>
      <c r="D804" t="str">
        <f>"36723"</f>
        <v>36723</v>
      </c>
      <c r="E804" t="s">
        <v>6</v>
      </c>
    </row>
    <row r="805" spans="1:5" x14ac:dyDescent="0.2">
      <c r="A805">
        <v>36726</v>
      </c>
      <c r="B805" t="s">
        <v>7</v>
      </c>
      <c r="C805">
        <v>36726</v>
      </c>
      <c r="D805" t="str">
        <f>"36726"</f>
        <v>36726</v>
      </c>
      <c r="E805">
        <v>52.78</v>
      </c>
    </row>
    <row r="806" spans="1:5" x14ac:dyDescent="0.2">
      <c r="A806">
        <v>36727</v>
      </c>
      <c r="B806" t="s">
        <v>7</v>
      </c>
      <c r="C806">
        <v>36727</v>
      </c>
      <c r="D806" t="str">
        <f>"36727"</f>
        <v>36727</v>
      </c>
      <c r="E806" t="s">
        <v>6</v>
      </c>
    </row>
    <row r="807" spans="1:5" x14ac:dyDescent="0.2">
      <c r="A807">
        <v>36728</v>
      </c>
      <c r="B807" t="s">
        <v>7</v>
      </c>
      <c r="C807">
        <v>36728</v>
      </c>
      <c r="D807" t="str">
        <f>"36728"</f>
        <v>36728</v>
      </c>
      <c r="E807">
        <v>45.83</v>
      </c>
    </row>
    <row r="808" spans="1:5" x14ac:dyDescent="0.2">
      <c r="A808">
        <v>36732</v>
      </c>
      <c r="B808" t="s">
        <v>7</v>
      </c>
      <c r="C808">
        <v>36732</v>
      </c>
      <c r="D808" t="str">
        <f>"36732"</f>
        <v>36732</v>
      </c>
      <c r="E808">
        <v>60.23</v>
      </c>
    </row>
    <row r="809" spans="1:5" x14ac:dyDescent="0.2">
      <c r="A809">
        <v>36736</v>
      </c>
      <c r="B809" t="s">
        <v>7</v>
      </c>
      <c r="C809">
        <v>36736</v>
      </c>
      <c r="D809" t="str">
        <f>"36736"</f>
        <v>36736</v>
      </c>
      <c r="E809">
        <v>52.08</v>
      </c>
    </row>
    <row r="810" spans="1:5" x14ac:dyDescent="0.2">
      <c r="A810">
        <v>36738</v>
      </c>
      <c r="B810" t="s">
        <v>7</v>
      </c>
      <c r="C810">
        <v>36738</v>
      </c>
      <c r="D810" t="str">
        <f>"36738"</f>
        <v>36738</v>
      </c>
      <c r="E810">
        <v>45.95</v>
      </c>
    </row>
    <row r="811" spans="1:5" x14ac:dyDescent="0.2">
      <c r="A811">
        <v>36740</v>
      </c>
      <c r="B811" t="s">
        <v>7</v>
      </c>
      <c r="C811">
        <v>36740</v>
      </c>
      <c r="D811" t="str">
        <f>"36740"</f>
        <v>36740</v>
      </c>
      <c r="E811">
        <v>53.19</v>
      </c>
    </row>
    <row r="812" spans="1:5" x14ac:dyDescent="0.2">
      <c r="A812">
        <v>36742</v>
      </c>
      <c r="B812" t="s">
        <v>7</v>
      </c>
      <c r="C812">
        <v>36742</v>
      </c>
      <c r="D812" t="str">
        <f>"36742"</f>
        <v>36742</v>
      </c>
      <c r="E812">
        <v>64.52</v>
      </c>
    </row>
    <row r="813" spans="1:5" x14ac:dyDescent="0.2">
      <c r="A813">
        <v>36744</v>
      </c>
      <c r="B813" t="s">
        <v>7</v>
      </c>
      <c r="C813">
        <v>36744</v>
      </c>
      <c r="D813" t="str">
        <f>"36744"</f>
        <v>36744</v>
      </c>
      <c r="E813">
        <v>54.3</v>
      </c>
    </row>
    <row r="814" spans="1:5" x14ac:dyDescent="0.2">
      <c r="A814">
        <v>36745</v>
      </c>
      <c r="B814" t="s">
        <v>7</v>
      </c>
      <c r="C814">
        <v>36745</v>
      </c>
      <c r="D814" t="str">
        <f>"36745"</f>
        <v>36745</v>
      </c>
      <c r="E814" t="s">
        <v>6</v>
      </c>
    </row>
    <row r="815" spans="1:5" x14ac:dyDescent="0.2">
      <c r="A815">
        <v>36748</v>
      </c>
      <c r="B815" t="s">
        <v>7</v>
      </c>
      <c r="C815">
        <v>36748</v>
      </c>
      <c r="D815" t="str">
        <f>"36748"</f>
        <v>36748</v>
      </c>
      <c r="E815">
        <v>61.79</v>
      </c>
    </row>
    <row r="816" spans="1:5" x14ac:dyDescent="0.2">
      <c r="A816">
        <v>36749</v>
      </c>
      <c r="B816" t="s">
        <v>7</v>
      </c>
      <c r="C816">
        <v>36749</v>
      </c>
      <c r="D816" t="str">
        <f>"36749"</f>
        <v>36749</v>
      </c>
      <c r="E816">
        <v>63.16</v>
      </c>
    </row>
    <row r="817" spans="1:5" x14ac:dyDescent="0.2">
      <c r="A817">
        <v>36750</v>
      </c>
      <c r="B817" t="s">
        <v>7</v>
      </c>
      <c r="C817">
        <v>36750</v>
      </c>
      <c r="D817" t="str">
        <f>"36750"</f>
        <v>36750</v>
      </c>
      <c r="E817">
        <v>64.349999999999994</v>
      </c>
    </row>
    <row r="818" spans="1:5" x14ac:dyDescent="0.2">
      <c r="A818">
        <v>36751</v>
      </c>
      <c r="B818" t="s">
        <v>7</v>
      </c>
      <c r="C818">
        <v>36751</v>
      </c>
      <c r="D818" t="str">
        <f>"36751"</f>
        <v>36751</v>
      </c>
      <c r="E818">
        <v>41.94</v>
      </c>
    </row>
    <row r="819" spans="1:5" x14ac:dyDescent="0.2">
      <c r="A819">
        <v>36752</v>
      </c>
      <c r="B819" t="s">
        <v>7</v>
      </c>
      <c r="C819">
        <v>36752</v>
      </c>
      <c r="D819" t="str">
        <f>"36752"</f>
        <v>36752</v>
      </c>
      <c r="E819">
        <v>64.180000000000007</v>
      </c>
    </row>
    <row r="820" spans="1:5" x14ac:dyDescent="0.2">
      <c r="A820">
        <v>36753</v>
      </c>
      <c r="B820" t="s">
        <v>7</v>
      </c>
      <c r="C820">
        <v>36753</v>
      </c>
      <c r="D820" t="str">
        <f>"36753"</f>
        <v>36753</v>
      </c>
      <c r="E820" t="s">
        <v>6</v>
      </c>
    </row>
    <row r="821" spans="1:5" x14ac:dyDescent="0.2">
      <c r="A821">
        <v>36754</v>
      </c>
      <c r="B821" t="s">
        <v>7</v>
      </c>
      <c r="C821">
        <v>36754</v>
      </c>
      <c r="D821" t="str">
        <f>"36754"</f>
        <v>36754</v>
      </c>
      <c r="E821">
        <v>70</v>
      </c>
    </row>
    <row r="822" spans="1:5" x14ac:dyDescent="0.2">
      <c r="A822">
        <v>36756</v>
      </c>
      <c r="B822" t="s">
        <v>7</v>
      </c>
      <c r="C822">
        <v>36756</v>
      </c>
      <c r="D822" t="str">
        <f>"36756"</f>
        <v>36756</v>
      </c>
      <c r="E822">
        <v>49.49</v>
      </c>
    </row>
    <row r="823" spans="1:5" x14ac:dyDescent="0.2">
      <c r="A823">
        <v>36758</v>
      </c>
      <c r="B823" t="s">
        <v>7</v>
      </c>
      <c r="C823">
        <v>36758</v>
      </c>
      <c r="D823" t="str">
        <f>"36758"</f>
        <v>36758</v>
      </c>
      <c r="E823">
        <v>65.31</v>
      </c>
    </row>
    <row r="824" spans="1:5" x14ac:dyDescent="0.2">
      <c r="A824">
        <v>36759</v>
      </c>
      <c r="B824" t="s">
        <v>7</v>
      </c>
      <c r="C824">
        <v>36759</v>
      </c>
      <c r="D824" t="str">
        <f>"36759"</f>
        <v>36759</v>
      </c>
      <c r="E824">
        <v>55</v>
      </c>
    </row>
    <row r="825" spans="1:5" x14ac:dyDescent="0.2">
      <c r="A825">
        <v>36761</v>
      </c>
      <c r="B825" t="s">
        <v>7</v>
      </c>
      <c r="C825">
        <v>36761</v>
      </c>
      <c r="D825" t="str">
        <f>"36761"</f>
        <v>36761</v>
      </c>
      <c r="E825">
        <v>55.26</v>
      </c>
    </row>
    <row r="826" spans="1:5" x14ac:dyDescent="0.2">
      <c r="A826">
        <v>36763</v>
      </c>
      <c r="B826" t="s">
        <v>7</v>
      </c>
      <c r="C826">
        <v>36763</v>
      </c>
      <c r="D826" t="str">
        <f>"36763"</f>
        <v>36763</v>
      </c>
      <c r="E826" t="s">
        <v>6</v>
      </c>
    </row>
    <row r="827" spans="1:5" x14ac:dyDescent="0.2">
      <c r="A827">
        <v>36765</v>
      </c>
      <c r="B827" t="s">
        <v>7</v>
      </c>
      <c r="C827">
        <v>36765</v>
      </c>
      <c r="D827" t="str">
        <f>"36765"</f>
        <v>36765</v>
      </c>
      <c r="E827">
        <v>50</v>
      </c>
    </row>
    <row r="828" spans="1:5" x14ac:dyDescent="0.2">
      <c r="A828">
        <v>36766</v>
      </c>
      <c r="B828" t="s">
        <v>7</v>
      </c>
      <c r="C828">
        <v>36766</v>
      </c>
      <c r="D828" t="str">
        <f>"36766"</f>
        <v>36766</v>
      </c>
      <c r="E828" t="s">
        <v>6</v>
      </c>
    </row>
    <row r="829" spans="1:5" x14ac:dyDescent="0.2">
      <c r="A829">
        <v>36767</v>
      </c>
      <c r="B829" t="s">
        <v>7</v>
      </c>
      <c r="C829">
        <v>36767</v>
      </c>
      <c r="D829" t="str">
        <f>"36767"</f>
        <v>36767</v>
      </c>
      <c r="E829">
        <v>42.03</v>
      </c>
    </row>
    <row r="830" spans="1:5" x14ac:dyDescent="0.2">
      <c r="A830">
        <v>36768</v>
      </c>
      <c r="B830" t="s">
        <v>7</v>
      </c>
      <c r="C830">
        <v>36768</v>
      </c>
      <c r="D830" t="str">
        <f>"36768"</f>
        <v>36768</v>
      </c>
      <c r="E830">
        <v>53.85</v>
      </c>
    </row>
    <row r="831" spans="1:5" x14ac:dyDescent="0.2">
      <c r="A831">
        <v>36769</v>
      </c>
      <c r="B831" t="s">
        <v>7</v>
      </c>
      <c r="C831">
        <v>36769</v>
      </c>
      <c r="D831" t="str">
        <f>"36769"</f>
        <v>36769</v>
      </c>
      <c r="E831">
        <v>52.25</v>
      </c>
    </row>
    <row r="832" spans="1:5" x14ac:dyDescent="0.2">
      <c r="A832">
        <v>36773</v>
      </c>
      <c r="B832" t="s">
        <v>7</v>
      </c>
      <c r="C832">
        <v>36773</v>
      </c>
      <c r="D832" t="str">
        <f>"36773"</f>
        <v>36773</v>
      </c>
      <c r="E832">
        <v>46.67</v>
      </c>
    </row>
    <row r="833" spans="1:5" x14ac:dyDescent="0.2">
      <c r="A833">
        <v>36775</v>
      </c>
      <c r="B833" t="s">
        <v>7</v>
      </c>
      <c r="C833">
        <v>36775</v>
      </c>
      <c r="D833" t="str">
        <f>"36775"</f>
        <v>36775</v>
      </c>
      <c r="E833">
        <v>51.61</v>
      </c>
    </row>
    <row r="834" spans="1:5" x14ac:dyDescent="0.2">
      <c r="A834">
        <v>36776</v>
      </c>
      <c r="B834" t="s">
        <v>7</v>
      </c>
      <c r="C834">
        <v>36776</v>
      </c>
      <c r="D834" t="str">
        <f>"36776"</f>
        <v>36776</v>
      </c>
      <c r="E834">
        <v>44.83</v>
      </c>
    </row>
    <row r="835" spans="1:5" x14ac:dyDescent="0.2">
      <c r="A835">
        <v>36782</v>
      </c>
      <c r="B835" t="s">
        <v>7</v>
      </c>
      <c r="C835">
        <v>36782</v>
      </c>
      <c r="D835" t="str">
        <f>"36782"</f>
        <v>36782</v>
      </c>
      <c r="E835">
        <v>64.290000000000006</v>
      </c>
    </row>
    <row r="836" spans="1:5" x14ac:dyDescent="0.2">
      <c r="A836">
        <v>36783</v>
      </c>
      <c r="B836" t="s">
        <v>7</v>
      </c>
      <c r="C836">
        <v>36783</v>
      </c>
      <c r="D836" t="str">
        <f>"36783"</f>
        <v>36783</v>
      </c>
      <c r="E836">
        <v>60.61</v>
      </c>
    </row>
    <row r="837" spans="1:5" x14ac:dyDescent="0.2">
      <c r="A837">
        <v>36784</v>
      </c>
      <c r="B837" t="s">
        <v>7</v>
      </c>
      <c r="C837">
        <v>36784</v>
      </c>
      <c r="D837" t="str">
        <f>"36784"</f>
        <v>36784</v>
      </c>
      <c r="E837">
        <v>62.09</v>
      </c>
    </row>
    <row r="838" spans="1:5" x14ac:dyDescent="0.2">
      <c r="A838">
        <v>36785</v>
      </c>
      <c r="B838" t="s">
        <v>7</v>
      </c>
      <c r="C838">
        <v>36785</v>
      </c>
      <c r="D838" t="str">
        <f>"36785"</f>
        <v>36785</v>
      </c>
      <c r="E838">
        <v>55.1</v>
      </c>
    </row>
    <row r="839" spans="1:5" x14ac:dyDescent="0.2">
      <c r="A839">
        <v>36786</v>
      </c>
      <c r="B839" t="s">
        <v>7</v>
      </c>
      <c r="C839">
        <v>36786</v>
      </c>
      <c r="D839" t="str">
        <f>"36786"</f>
        <v>36786</v>
      </c>
      <c r="E839">
        <v>37.5</v>
      </c>
    </row>
    <row r="840" spans="1:5" x14ac:dyDescent="0.2">
      <c r="A840">
        <v>36790</v>
      </c>
      <c r="B840" t="s">
        <v>7</v>
      </c>
      <c r="C840">
        <v>36790</v>
      </c>
      <c r="D840" t="str">
        <f>"36790"</f>
        <v>36790</v>
      </c>
      <c r="E840" t="s">
        <v>6</v>
      </c>
    </row>
    <row r="841" spans="1:5" x14ac:dyDescent="0.2">
      <c r="A841">
        <v>36792</v>
      </c>
      <c r="B841" t="s">
        <v>7</v>
      </c>
      <c r="C841">
        <v>36792</v>
      </c>
      <c r="D841" t="str">
        <f>"36792"</f>
        <v>36792</v>
      </c>
      <c r="E841">
        <v>65.959999999999994</v>
      </c>
    </row>
    <row r="842" spans="1:5" x14ac:dyDescent="0.2">
      <c r="A842">
        <v>36793</v>
      </c>
      <c r="B842" t="s">
        <v>7</v>
      </c>
      <c r="C842">
        <v>36793</v>
      </c>
      <c r="D842" t="str">
        <f>"36793"</f>
        <v>36793</v>
      </c>
      <c r="E842">
        <v>65</v>
      </c>
    </row>
    <row r="843" spans="1:5" x14ac:dyDescent="0.2">
      <c r="A843">
        <v>36801</v>
      </c>
      <c r="B843" t="s">
        <v>7</v>
      </c>
      <c r="C843">
        <v>36801</v>
      </c>
      <c r="D843" t="str">
        <f>"36801"</f>
        <v>36801</v>
      </c>
      <c r="E843">
        <v>63.48</v>
      </c>
    </row>
    <row r="844" spans="1:5" x14ac:dyDescent="0.2">
      <c r="A844">
        <v>36804</v>
      </c>
      <c r="B844" t="s">
        <v>7</v>
      </c>
      <c r="C844">
        <v>36804</v>
      </c>
      <c r="D844" t="str">
        <f>"36804"</f>
        <v>36804</v>
      </c>
      <c r="E844">
        <v>65.22</v>
      </c>
    </row>
    <row r="845" spans="1:5" x14ac:dyDescent="0.2">
      <c r="A845">
        <v>36830</v>
      </c>
      <c r="B845" t="s">
        <v>7</v>
      </c>
      <c r="C845">
        <v>36830</v>
      </c>
      <c r="D845" t="str">
        <f>"36830"</f>
        <v>36830</v>
      </c>
      <c r="E845">
        <v>73.989999999999995</v>
      </c>
    </row>
    <row r="846" spans="1:5" x14ac:dyDescent="0.2">
      <c r="A846">
        <v>36832</v>
      </c>
      <c r="B846" t="s">
        <v>7</v>
      </c>
      <c r="C846">
        <v>36832</v>
      </c>
      <c r="D846" t="str">
        <f>"36832"</f>
        <v>36832</v>
      </c>
      <c r="E846">
        <v>61.18</v>
      </c>
    </row>
    <row r="847" spans="1:5" x14ac:dyDescent="0.2">
      <c r="A847">
        <v>36849</v>
      </c>
      <c r="B847" t="s">
        <v>7</v>
      </c>
      <c r="C847">
        <v>36849</v>
      </c>
      <c r="D847" t="str">
        <f>"36849"</f>
        <v>36849</v>
      </c>
      <c r="E847" t="s">
        <v>6</v>
      </c>
    </row>
    <row r="848" spans="1:5" x14ac:dyDescent="0.2">
      <c r="A848">
        <v>36850</v>
      </c>
      <c r="B848" t="s">
        <v>7</v>
      </c>
      <c r="C848">
        <v>36850</v>
      </c>
      <c r="D848" t="str">
        <f>"36850"</f>
        <v>36850</v>
      </c>
      <c r="E848">
        <v>54.81</v>
      </c>
    </row>
    <row r="849" spans="1:5" x14ac:dyDescent="0.2">
      <c r="A849">
        <v>36851</v>
      </c>
      <c r="B849" t="s">
        <v>7</v>
      </c>
      <c r="C849">
        <v>36851</v>
      </c>
      <c r="D849" t="str">
        <f>"36851"</f>
        <v>36851</v>
      </c>
      <c r="E849" t="s">
        <v>6</v>
      </c>
    </row>
    <row r="850" spans="1:5" x14ac:dyDescent="0.2">
      <c r="A850">
        <v>36852</v>
      </c>
      <c r="B850" t="s">
        <v>7</v>
      </c>
      <c r="C850">
        <v>36852</v>
      </c>
      <c r="D850" t="str">
        <f>"36852"</f>
        <v>36852</v>
      </c>
      <c r="E850">
        <v>60.64</v>
      </c>
    </row>
    <row r="851" spans="1:5" x14ac:dyDescent="0.2">
      <c r="A851">
        <v>36853</v>
      </c>
      <c r="B851" t="s">
        <v>7</v>
      </c>
      <c r="C851">
        <v>36853</v>
      </c>
      <c r="D851" t="str">
        <f>"36853"</f>
        <v>36853</v>
      </c>
      <c r="E851">
        <v>67.5</v>
      </c>
    </row>
    <row r="852" spans="1:5" x14ac:dyDescent="0.2">
      <c r="A852">
        <v>36854</v>
      </c>
      <c r="B852" t="s">
        <v>7</v>
      </c>
      <c r="C852">
        <v>36854</v>
      </c>
      <c r="D852" t="str">
        <f>"36854"</f>
        <v>36854</v>
      </c>
      <c r="E852">
        <v>60.6</v>
      </c>
    </row>
    <row r="853" spans="1:5" x14ac:dyDescent="0.2">
      <c r="A853">
        <v>36855</v>
      </c>
      <c r="B853" t="s">
        <v>7</v>
      </c>
      <c r="C853">
        <v>36855</v>
      </c>
      <c r="D853" t="str">
        <f>"36855"</f>
        <v>36855</v>
      </c>
      <c r="E853">
        <v>63.64</v>
      </c>
    </row>
    <row r="854" spans="1:5" x14ac:dyDescent="0.2">
      <c r="A854">
        <v>36856</v>
      </c>
      <c r="B854" t="s">
        <v>7</v>
      </c>
      <c r="C854">
        <v>36856</v>
      </c>
      <c r="D854" t="str">
        <f>"36856"</f>
        <v>36856</v>
      </c>
      <c r="E854">
        <v>60.96</v>
      </c>
    </row>
    <row r="855" spans="1:5" x14ac:dyDescent="0.2">
      <c r="A855">
        <v>36858</v>
      </c>
      <c r="B855" t="s">
        <v>7</v>
      </c>
      <c r="C855">
        <v>36858</v>
      </c>
      <c r="D855" t="str">
        <f>"36858"</f>
        <v>36858</v>
      </c>
      <c r="E855">
        <v>63.16</v>
      </c>
    </row>
    <row r="856" spans="1:5" x14ac:dyDescent="0.2">
      <c r="A856">
        <v>36860</v>
      </c>
      <c r="B856" t="s">
        <v>7</v>
      </c>
      <c r="C856">
        <v>36860</v>
      </c>
      <c r="D856" t="str">
        <f>"36860"</f>
        <v>36860</v>
      </c>
      <c r="E856">
        <v>53.23</v>
      </c>
    </row>
    <row r="857" spans="1:5" x14ac:dyDescent="0.2">
      <c r="A857">
        <v>36861</v>
      </c>
      <c r="B857" t="s">
        <v>7</v>
      </c>
      <c r="C857">
        <v>36861</v>
      </c>
      <c r="D857" t="str">
        <f>"36861"</f>
        <v>36861</v>
      </c>
      <c r="E857">
        <v>68.459999999999994</v>
      </c>
    </row>
    <row r="858" spans="1:5" x14ac:dyDescent="0.2">
      <c r="A858">
        <v>36862</v>
      </c>
      <c r="B858" t="s">
        <v>7</v>
      </c>
      <c r="C858">
        <v>36862</v>
      </c>
      <c r="D858" t="str">
        <f>"36862"</f>
        <v>36862</v>
      </c>
      <c r="E858">
        <v>57.51</v>
      </c>
    </row>
    <row r="859" spans="1:5" x14ac:dyDescent="0.2">
      <c r="A859">
        <v>36863</v>
      </c>
      <c r="B859" t="s">
        <v>7</v>
      </c>
      <c r="C859">
        <v>36863</v>
      </c>
      <c r="D859" t="str">
        <f>"36863"</f>
        <v>36863</v>
      </c>
      <c r="E859">
        <v>52</v>
      </c>
    </row>
    <row r="860" spans="1:5" x14ac:dyDescent="0.2">
      <c r="A860">
        <v>36866</v>
      </c>
      <c r="B860" t="s">
        <v>7</v>
      </c>
      <c r="C860">
        <v>36866</v>
      </c>
      <c r="D860" t="str">
        <f>"36866"</f>
        <v>36866</v>
      </c>
      <c r="E860">
        <v>63.13</v>
      </c>
    </row>
    <row r="861" spans="1:5" x14ac:dyDescent="0.2">
      <c r="A861">
        <v>36867</v>
      </c>
      <c r="B861" t="s">
        <v>7</v>
      </c>
      <c r="C861">
        <v>36867</v>
      </c>
      <c r="D861" t="str">
        <f>"36867"</f>
        <v>36867</v>
      </c>
      <c r="E861">
        <v>61.52</v>
      </c>
    </row>
    <row r="862" spans="1:5" x14ac:dyDescent="0.2">
      <c r="A862">
        <v>36869</v>
      </c>
      <c r="B862" t="s">
        <v>7</v>
      </c>
      <c r="C862">
        <v>36869</v>
      </c>
      <c r="D862" t="str">
        <f>"36869"</f>
        <v>36869</v>
      </c>
      <c r="E862">
        <v>53.49</v>
      </c>
    </row>
    <row r="863" spans="1:5" x14ac:dyDescent="0.2">
      <c r="A863">
        <v>36870</v>
      </c>
      <c r="B863" t="s">
        <v>7</v>
      </c>
      <c r="C863">
        <v>36870</v>
      </c>
      <c r="D863" t="str">
        <f>"36870"</f>
        <v>36870</v>
      </c>
      <c r="E863">
        <v>65.67</v>
      </c>
    </row>
    <row r="864" spans="1:5" x14ac:dyDescent="0.2">
      <c r="A864">
        <v>36871</v>
      </c>
      <c r="B864" t="s">
        <v>7</v>
      </c>
      <c r="C864">
        <v>36871</v>
      </c>
      <c r="D864" t="str">
        <f>"36871"</f>
        <v>36871</v>
      </c>
      <c r="E864">
        <v>60</v>
      </c>
    </row>
    <row r="865" spans="1:5" x14ac:dyDescent="0.2">
      <c r="A865">
        <v>36874</v>
      </c>
      <c r="B865" t="s">
        <v>7</v>
      </c>
      <c r="C865">
        <v>36874</v>
      </c>
      <c r="D865" t="str">
        <f>"36874"</f>
        <v>36874</v>
      </c>
      <c r="E865">
        <v>69.23</v>
      </c>
    </row>
    <row r="866" spans="1:5" x14ac:dyDescent="0.2">
      <c r="A866">
        <v>36875</v>
      </c>
      <c r="B866" t="s">
        <v>7</v>
      </c>
      <c r="C866">
        <v>36875</v>
      </c>
      <c r="D866" t="str">
        <f>"36875"</f>
        <v>36875</v>
      </c>
      <c r="E866">
        <v>64.709999999999994</v>
      </c>
    </row>
    <row r="867" spans="1:5" x14ac:dyDescent="0.2">
      <c r="A867">
        <v>36877</v>
      </c>
      <c r="B867" t="s">
        <v>7</v>
      </c>
      <c r="C867">
        <v>36877</v>
      </c>
      <c r="D867" t="str">
        <f>"36877"</f>
        <v>36877</v>
      </c>
      <c r="E867">
        <v>67.58</v>
      </c>
    </row>
    <row r="868" spans="1:5" x14ac:dyDescent="0.2">
      <c r="A868">
        <v>36879</v>
      </c>
      <c r="B868" t="s">
        <v>7</v>
      </c>
      <c r="C868">
        <v>36879</v>
      </c>
      <c r="D868" t="str">
        <f>"36879"</f>
        <v>36879</v>
      </c>
      <c r="E868">
        <v>76.19</v>
      </c>
    </row>
    <row r="869" spans="1:5" x14ac:dyDescent="0.2">
      <c r="A869">
        <v>36901</v>
      </c>
      <c r="B869" t="s">
        <v>7</v>
      </c>
      <c r="C869">
        <v>36901</v>
      </c>
      <c r="D869" t="str">
        <f>"36901"</f>
        <v>36901</v>
      </c>
      <c r="E869" t="s">
        <v>6</v>
      </c>
    </row>
    <row r="870" spans="1:5" x14ac:dyDescent="0.2">
      <c r="A870">
        <v>36904</v>
      </c>
      <c r="B870" t="s">
        <v>7</v>
      </c>
      <c r="C870">
        <v>36904</v>
      </c>
      <c r="D870" t="str">
        <f>"36904"</f>
        <v>36904</v>
      </c>
      <c r="E870">
        <v>65.989999999999995</v>
      </c>
    </row>
    <row r="871" spans="1:5" x14ac:dyDescent="0.2">
      <c r="A871">
        <v>36907</v>
      </c>
      <c r="B871" t="s">
        <v>7</v>
      </c>
      <c r="C871">
        <v>36907</v>
      </c>
      <c r="D871" t="str">
        <f>"36907"</f>
        <v>36907</v>
      </c>
      <c r="E871">
        <v>53.23</v>
      </c>
    </row>
    <row r="872" spans="1:5" x14ac:dyDescent="0.2">
      <c r="A872">
        <v>36908</v>
      </c>
      <c r="B872" t="s">
        <v>7</v>
      </c>
      <c r="C872">
        <v>36908</v>
      </c>
      <c r="D872" t="str">
        <f>"36908"</f>
        <v>36908</v>
      </c>
      <c r="E872">
        <v>71.91</v>
      </c>
    </row>
    <row r="873" spans="1:5" x14ac:dyDescent="0.2">
      <c r="A873">
        <v>36910</v>
      </c>
      <c r="B873" t="s">
        <v>7</v>
      </c>
      <c r="C873">
        <v>36910</v>
      </c>
      <c r="D873" t="str">
        <f>"36910"</f>
        <v>36910</v>
      </c>
      <c r="E873" t="s">
        <v>6</v>
      </c>
    </row>
    <row r="874" spans="1:5" x14ac:dyDescent="0.2">
      <c r="A874">
        <v>36912</v>
      </c>
      <c r="B874" t="s">
        <v>7</v>
      </c>
      <c r="C874">
        <v>36912</v>
      </c>
      <c r="D874" t="str">
        <f>"36912"</f>
        <v>36912</v>
      </c>
      <c r="E874">
        <v>55.88</v>
      </c>
    </row>
    <row r="875" spans="1:5" x14ac:dyDescent="0.2">
      <c r="A875">
        <v>36913</v>
      </c>
      <c r="B875" t="s">
        <v>7</v>
      </c>
      <c r="C875">
        <v>36913</v>
      </c>
      <c r="D875" t="str">
        <f>"36913"</f>
        <v>36913</v>
      </c>
      <c r="E875" t="s">
        <v>6</v>
      </c>
    </row>
    <row r="876" spans="1:5" x14ac:dyDescent="0.2">
      <c r="A876">
        <v>36915</v>
      </c>
      <c r="B876" t="s">
        <v>7</v>
      </c>
      <c r="C876">
        <v>36915</v>
      </c>
      <c r="D876" t="str">
        <f>"36915"</f>
        <v>36915</v>
      </c>
      <c r="E876">
        <v>68.180000000000007</v>
      </c>
    </row>
    <row r="877" spans="1:5" x14ac:dyDescent="0.2">
      <c r="A877">
        <v>36916</v>
      </c>
      <c r="B877" t="s">
        <v>7</v>
      </c>
      <c r="C877">
        <v>36916</v>
      </c>
      <c r="D877" t="str">
        <f>"36916"</f>
        <v>36916</v>
      </c>
      <c r="E877">
        <v>65.22</v>
      </c>
    </row>
    <row r="878" spans="1:5" x14ac:dyDescent="0.2">
      <c r="A878">
        <v>36919</v>
      </c>
      <c r="B878" t="s">
        <v>7</v>
      </c>
      <c r="C878">
        <v>36919</v>
      </c>
      <c r="D878" t="str">
        <f>"36919"</f>
        <v>36919</v>
      </c>
      <c r="E878">
        <v>60.56</v>
      </c>
    </row>
    <row r="879" spans="1:5" x14ac:dyDescent="0.2">
      <c r="A879">
        <v>36921</v>
      </c>
      <c r="B879" t="s">
        <v>7</v>
      </c>
      <c r="C879">
        <v>36921</v>
      </c>
      <c r="D879" t="str">
        <f>"36921"</f>
        <v>36921</v>
      </c>
      <c r="E879">
        <v>65</v>
      </c>
    </row>
    <row r="880" spans="1:5" x14ac:dyDescent="0.2">
      <c r="A880">
        <v>36922</v>
      </c>
      <c r="B880" t="s">
        <v>7</v>
      </c>
      <c r="C880">
        <v>36922</v>
      </c>
      <c r="D880" t="str">
        <f>"36922"</f>
        <v>36922</v>
      </c>
      <c r="E880">
        <v>59.09</v>
      </c>
    </row>
    <row r="881" spans="1:5" x14ac:dyDescent="0.2">
      <c r="A881">
        <v>36925</v>
      </c>
      <c r="B881" t="s">
        <v>7</v>
      </c>
      <c r="C881">
        <v>36925</v>
      </c>
      <c r="D881" t="str">
        <f>"36925"</f>
        <v>36925</v>
      </c>
      <c r="E881">
        <v>44.83</v>
      </c>
    </row>
    <row r="882" spans="1:5" x14ac:dyDescent="0.2">
      <c r="A882">
        <v>71601</v>
      </c>
      <c r="B882" t="s">
        <v>8</v>
      </c>
      <c r="C882">
        <v>71601</v>
      </c>
      <c r="D882" t="str">
        <f>"71601"</f>
        <v>71601</v>
      </c>
      <c r="E882">
        <v>49.42</v>
      </c>
    </row>
    <row r="883" spans="1:5" x14ac:dyDescent="0.2">
      <c r="A883">
        <v>71602</v>
      </c>
      <c r="B883" t="s">
        <v>8</v>
      </c>
      <c r="C883">
        <v>71602</v>
      </c>
      <c r="D883" t="str">
        <f>"71602"</f>
        <v>71602</v>
      </c>
      <c r="E883">
        <v>66.209999999999994</v>
      </c>
    </row>
    <row r="884" spans="1:5" x14ac:dyDescent="0.2">
      <c r="A884">
        <v>71603</v>
      </c>
      <c r="B884" t="s">
        <v>8</v>
      </c>
      <c r="C884">
        <v>71603</v>
      </c>
      <c r="D884" t="str">
        <f>"71603"</f>
        <v>71603</v>
      </c>
      <c r="E884">
        <v>61.68</v>
      </c>
    </row>
    <row r="885" spans="1:5" x14ac:dyDescent="0.2">
      <c r="A885">
        <v>71630</v>
      </c>
      <c r="B885" t="s">
        <v>8</v>
      </c>
      <c r="C885">
        <v>71630</v>
      </c>
      <c r="D885" t="str">
        <f>"71630"</f>
        <v>71630</v>
      </c>
      <c r="E885" t="s">
        <v>6</v>
      </c>
    </row>
    <row r="886" spans="1:5" x14ac:dyDescent="0.2">
      <c r="A886">
        <v>71631</v>
      </c>
      <c r="B886" t="s">
        <v>8</v>
      </c>
      <c r="C886">
        <v>71631</v>
      </c>
      <c r="D886" t="str">
        <f>"71631"</f>
        <v>71631</v>
      </c>
      <c r="E886">
        <v>54.55</v>
      </c>
    </row>
    <row r="887" spans="1:5" x14ac:dyDescent="0.2">
      <c r="A887">
        <v>71635</v>
      </c>
      <c r="B887" t="s">
        <v>8</v>
      </c>
      <c r="C887">
        <v>71635</v>
      </c>
      <c r="D887" t="str">
        <f>"71635"</f>
        <v>71635</v>
      </c>
      <c r="E887">
        <v>63.82</v>
      </c>
    </row>
    <row r="888" spans="1:5" x14ac:dyDescent="0.2">
      <c r="A888">
        <v>71638</v>
      </c>
      <c r="B888" t="s">
        <v>8</v>
      </c>
      <c r="C888">
        <v>71638</v>
      </c>
      <c r="D888" t="str">
        <f>"71638"</f>
        <v>71638</v>
      </c>
      <c r="E888">
        <v>52.29</v>
      </c>
    </row>
    <row r="889" spans="1:5" x14ac:dyDescent="0.2">
      <c r="A889">
        <v>71639</v>
      </c>
      <c r="B889" t="s">
        <v>8</v>
      </c>
      <c r="C889">
        <v>71639</v>
      </c>
      <c r="D889" t="str">
        <f>"71639"</f>
        <v>71639</v>
      </c>
      <c r="E889">
        <v>56.96</v>
      </c>
    </row>
    <row r="890" spans="1:5" x14ac:dyDescent="0.2">
      <c r="A890">
        <v>71640</v>
      </c>
      <c r="B890" t="s">
        <v>8</v>
      </c>
      <c r="C890">
        <v>71640</v>
      </c>
      <c r="D890" t="str">
        <f>"71640"</f>
        <v>71640</v>
      </c>
      <c r="E890">
        <v>49.48</v>
      </c>
    </row>
    <row r="891" spans="1:5" x14ac:dyDescent="0.2">
      <c r="A891">
        <v>71642</v>
      </c>
      <c r="B891" t="s">
        <v>8</v>
      </c>
      <c r="C891">
        <v>71642</v>
      </c>
      <c r="D891" t="str">
        <f>"71642"</f>
        <v>71642</v>
      </c>
      <c r="E891">
        <v>65</v>
      </c>
    </row>
    <row r="892" spans="1:5" x14ac:dyDescent="0.2">
      <c r="A892">
        <v>71643</v>
      </c>
      <c r="B892" t="s">
        <v>8</v>
      </c>
      <c r="C892">
        <v>71643</v>
      </c>
      <c r="D892" t="str">
        <f>"71643"</f>
        <v>71643</v>
      </c>
      <c r="E892">
        <v>53.49</v>
      </c>
    </row>
    <row r="893" spans="1:5" x14ac:dyDescent="0.2">
      <c r="A893">
        <v>71644</v>
      </c>
      <c r="B893" t="s">
        <v>8</v>
      </c>
      <c r="C893">
        <v>71644</v>
      </c>
      <c r="D893" t="str">
        <f>"71644"</f>
        <v>71644</v>
      </c>
      <c r="E893">
        <v>58.06</v>
      </c>
    </row>
    <row r="894" spans="1:5" x14ac:dyDescent="0.2">
      <c r="A894">
        <v>71646</v>
      </c>
      <c r="B894" t="s">
        <v>8</v>
      </c>
      <c r="C894">
        <v>71646</v>
      </c>
      <c r="D894" t="str">
        <f>"71646"</f>
        <v>71646</v>
      </c>
      <c r="E894">
        <v>66.95</v>
      </c>
    </row>
    <row r="895" spans="1:5" x14ac:dyDescent="0.2">
      <c r="A895">
        <v>71647</v>
      </c>
      <c r="B895" t="s">
        <v>8</v>
      </c>
      <c r="C895">
        <v>71647</v>
      </c>
      <c r="D895" t="str">
        <f>"71647"</f>
        <v>71647</v>
      </c>
      <c r="E895">
        <v>58.33</v>
      </c>
    </row>
    <row r="896" spans="1:5" x14ac:dyDescent="0.2">
      <c r="A896">
        <v>71651</v>
      </c>
      <c r="B896" t="s">
        <v>8</v>
      </c>
      <c r="C896">
        <v>71651</v>
      </c>
      <c r="D896" t="str">
        <f>"71651"</f>
        <v>71651</v>
      </c>
      <c r="E896" t="s">
        <v>6</v>
      </c>
    </row>
    <row r="897" spans="1:5" x14ac:dyDescent="0.2">
      <c r="A897">
        <v>71652</v>
      </c>
      <c r="B897" t="s">
        <v>8</v>
      </c>
      <c r="C897">
        <v>71652</v>
      </c>
      <c r="D897" t="str">
        <f>"71652"</f>
        <v>71652</v>
      </c>
      <c r="E897">
        <v>63.16</v>
      </c>
    </row>
    <row r="898" spans="1:5" x14ac:dyDescent="0.2">
      <c r="A898">
        <v>71653</v>
      </c>
      <c r="B898" t="s">
        <v>8</v>
      </c>
      <c r="C898">
        <v>71653</v>
      </c>
      <c r="D898" t="str">
        <f>"71653"</f>
        <v>71653</v>
      </c>
      <c r="E898">
        <v>59.14</v>
      </c>
    </row>
    <row r="899" spans="1:5" x14ac:dyDescent="0.2">
      <c r="A899">
        <v>71654</v>
      </c>
      <c r="B899" t="s">
        <v>8</v>
      </c>
      <c r="C899">
        <v>71654</v>
      </c>
      <c r="D899" t="str">
        <f>"71654"</f>
        <v>71654</v>
      </c>
      <c r="E899">
        <v>57.4</v>
      </c>
    </row>
    <row r="900" spans="1:5" x14ac:dyDescent="0.2">
      <c r="A900">
        <v>71655</v>
      </c>
      <c r="B900" t="s">
        <v>8</v>
      </c>
      <c r="C900">
        <v>71655</v>
      </c>
      <c r="D900" t="str">
        <f>"71655"</f>
        <v>71655</v>
      </c>
      <c r="E900">
        <v>63.03</v>
      </c>
    </row>
    <row r="901" spans="1:5" x14ac:dyDescent="0.2">
      <c r="A901">
        <v>71658</v>
      </c>
      <c r="B901" t="s">
        <v>8</v>
      </c>
      <c r="C901">
        <v>71658</v>
      </c>
      <c r="D901" t="str">
        <f>"71658"</f>
        <v>71658</v>
      </c>
      <c r="E901">
        <v>52.38</v>
      </c>
    </row>
    <row r="902" spans="1:5" x14ac:dyDescent="0.2">
      <c r="A902">
        <v>71660</v>
      </c>
      <c r="B902" t="s">
        <v>8</v>
      </c>
      <c r="C902">
        <v>71660</v>
      </c>
      <c r="D902" t="str">
        <f>"71660"</f>
        <v>71660</v>
      </c>
      <c r="E902">
        <v>73.53</v>
      </c>
    </row>
    <row r="903" spans="1:5" x14ac:dyDescent="0.2">
      <c r="A903">
        <v>71661</v>
      </c>
      <c r="B903" t="s">
        <v>8</v>
      </c>
      <c r="C903">
        <v>71661</v>
      </c>
      <c r="D903" t="str">
        <f>"71661"</f>
        <v>71661</v>
      </c>
      <c r="E903" t="s">
        <v>6</v>
      </c>
    </row>
    <row r="904" spans="1:5" x14ac:dyDescent="0.2">
      <c r="A904">
        <v>71662</v>
      </c>
      <c r="B904" t="s">
        <v>8</v>
      </c>
      <c r="C904">
        <v>71662</v>
      </c>
      <c r="D904" t="str">
        <f>"71662"</f>
        <v>71662</v>
      </c>
      <c r="E904" t="s">
        <v>6</v>
      </c>
    </row>
    <row r="905" spans="1:5" x14ac:dyDescent="0.2">
      <c r="A905">
        <v>71663</v>
      </c>
      <c r="B905" t="s">
        <v>8</v>
      </c>
      <c r="C905">
        <v>71663</v>
      </c>
      <c r="D905" t="str">
        <f>"71663"</f>
        <v>71663</v>
      </c>
      <c r="E905">
        <v>65.38</v>
      </c>
    </row>
    <row r="906" spans="1:5" x14ac:dyDescent="0.2">
      <c r="A906">
        <v>71665</v>
      </c>
      <c r="B906" t="s">
        <v>8</v>
      </c>
      <c r="C906">
        <v>71665</v>
      </c>
      <c r="D906" t="str">
        <f>"71665"</f>
        <v>71665</v>
      </c>
      <c r="E906">
        <v>70.37</v>
      </c>
    </row>
    <row r="907" spans="1:5" x14ac:dyDescent="0.2">
      <c r="A907">
        <v>71667</v>
      </c>
      <c r="B907" t="s">
        <v>8</v>
      </c>
      <c r="C907">
        <v>71667</v>
      </c>
      <c r="D907" t="str">
        <f>"71667"</f>
        <v>71667</v>
      </c>
      <c r="E907">
        <v>67.5</v>
      </c>
    </row>
    <row r="908" spans="1:5" x14ac:dyDescent="0.2">
      <c r="A908">
        <v>71670</v>
      </c>
      <c r="B908" t="s">
        <v>8</v>
      </c>
      <c r="C908">
        <v>71670</v>
      </c>
      <c r="D908" t="str">
        <f>"71670"</f>
        <v>71670</v>
      </c>
      <c r="E908">
        <v>65.22</v>
      </c>
    </row>
    <row r="909" spans="1:5" x14ac:dyDescent="0.2">
      <c r="A909">
        <v>71671</v>
      </c>
      <c r="B909" t="s">
        <v>8</v>
      </c>
      <c r="C909">
        <v>71671</v>
      </c>
      <c r="D909" t="str">
        <f>"71671"</f>
        <v>71671</v>
      </c>
      <c r="E909">
        <v>57.49</v>
      </c>
    </row>
    <row r="910" spans="1:5" x14ac:dyDescent="0.2">
      <c r="A910">
        <v>71674</v>
      </c>
      <c r="B910" t="s">
        <v>8</v>
      </c>
      <c r="C910">
        <v>71674</v>
      </c>
      <c r="D910" t="str">
        <f>"71674"</f>
        <v>71674</v>
      </c>
      <c r="E910">
        <v>62.5</v>
      </c>
    </row>
    <row r="911" spans="1:5" x14ac:dyDescent="0.2">
      <c r="A911">
        <v>71675</v>
      </c>
      <c r="B911" t="s">
        <v>8</v>
      </c>
      <c r="C911">
        <v>71675</v>
      </c>
      <c r="D911" t="str">
        <f>"71675"</f>
        <v>71675</v>
      </c>
      <c r="E911">
        <v>65.22</v>
      </c>
    </row>
    <row r="912" spans="1:5" x14ac:dyDescent="0.2">
      <c r="A912">
        <v>71676</v>
      </c>
      <c r="B912" t="s">
        <v>8</v>
      </c>
      <c r="C912">
        <v>71676</v>
      </c>
      <c r="D912" t="str">
        <f>"71676"</f>
        <v>71676</v>
      </c>
      <c r="E912">
        <v>55</v>
      </c>
    </row>
    <row r="913" spans="1:5" x14ac:dyDescent="0.2">
      <c r="A913">
        <v>71677</v>
      </c>
      <c r="B913" t="s">
        <v>8</v>
      </c>
      <c r="C913">
        <v>71677</v>
      </c>
      <c r="D913" t="str">
        <f>"71677"</f>
        <v>71677</v>
      </c>
      <c r="E913" t="s">
        <v>6</v>
      </c>
    </row>
    <row r="914" spans="1:5" x14ac:dyDescent="0.2">
      <c r="A914">
        <v>71701</v>
      </c>
      <c r="B914" t="s">
        <v>8</v>
      </c>
      <c r="C914">
        <v>71701</v>
      </c>
      <c r="D914" t="str">
        <f>"71701"</f>
        <v>71701</v>
      </c>
      <c r="E914">
        <v>64.06</v>
      </c>
    </row>
    <row r="915" spans="1:5" x14ac:dyDescent="0.2">
      <c r="A915">
        <v>71720</v>
      </c>
      <c r="B915" t="s">
        <v>8</v>
      </c>
      <c r="C915">
        <v>71720</v>
      </c>
      <c r="D915" t="str">
        <f>"71720"</f>
        <v>71720</v>
      </c>
      <c r="E915">
        <v>65.59</v>
      </c>
    </row>
    <row r="916" spans="1:5" x14ac:dyDescent="0.2">
      <c r="A916">
        <v>71722</v>
      </c>
      <c r="B916" t="s">
        <v>8</v>
      </c>
      <c r="C916">
        <v>71722</v>
      </c>
      <c r="D916" t="str">
        <f>"71722"</f>
        <v>71722</v>
      </c>
      <c r="E916" t="s">
        <v>6</v>
      </c>
    </row>
    <row r="917" spans="1:5" x14ac:dyDescent="0.2">
      <c r="A917">
        <v>71724</v>
      </c>
      <c r="B917" t="s">
        <v>8</v>
      </c>
      <c r="C917">
        <v>71724</v>
      </c>
      <c r="D917" t="str">
        <f>"71724"</f>
        <v>71724</v>
      </c>
      <c r="E917" t="s">
        <v>6</v>
      </c>
    </row>
    <row r="918" spans="1:5" x14ac:dyDescent="0.2">
      <c r="A918">
        <v>71725</v>
      </c>
      <c r="B918" t="s">
        <v>8</v>
      </c>
      <c r="C918">
        <v>71725</v>
      </c>
      <c r="D918" t="str">
        <f>"71725"</f>
        <v>71725</v>
      </c>
      <c r="E918">
        <v>65</v>
      </c>
    </row>
    <row r="919" spans="1:5" x14ac:dyDescent="0.2">
      <c r="A919">
        <v>71726</v>
      </c>
      <c r="B919" t="s">
        <v>8</v>
      </c>
      <c r="C919">
        <v>71726</v>
      </c>
      <c r="D919" t="str">
        <f>"71726"</f>
        <v>71726</v>
      </c>
      <c r="E919">
        <v>62.5</v>
      </c>
    </row>
    <row r="920" spans="1:5" x14ac:dyDescent="0.2">
      <c r="A920">
        <v>71730</v>
      </c>
      <c r="B920" t="s">
        <v>8</v>
      </c>
      <c r="C920">
        <v>71730</v>
      </c>
      <c r="D920" t="str">
        <f>"71730"</f>
        <v>71730</v>
      </c>
      <c r="E920">
        <v>63.39</v>
      </c>
    </row>
    <row r="921" spans="1:5" x14ac:dyDescent="0.2">
      <c r="A921">
        <v>71740</v>
      </c>
      <c r="B921" t="s">
        <v>8</v>
      </c>
      <c r="C921">
        <v>71740</v>
      </c>
      <c r="D921" t="str">
        <f>"71740"</f>
        <v>71740</v>
      </c>
      <c r="E921">
        <v>69.489999999999995</v>
      </c>
    </row>
    <row r="922" spans="1:5" x14ac:dyDescent="0.2">
      <c r="A922">
        <v>71742</v>
      </c>
      <c r="B922" t="s">
        <v>8</v>
      </c>
      <c r="C922">
        <v>71742</v>
      </c>
      <c r="D922" t="str">
        <f>"71742"</f>
        <v>71742</v>
      </c>
      <c r="E922">
        <v>60</v>
      </c>
    </row>
    <row r="923" spans="1:5" x14ac:dyDescent="0.2">
      <c r="A923">
        <v>71743</v>
      </c>
      <c r="B923" t="s">
        <v>8</v>
      </c>
      <c r="C923">
        <v>71743</v>
      </c>
      <c r="D923" t="str">
        <f>"71743"</f>
        <v>71743</v>
      </c>
      <c r="E923">
        <v>61.07</v>
      </c>
    </row>
    <row r="924" spans="1:5" x14ac:dyDescent="0.2">
      <c r="A924">
        <v>71744</v>
      </c>
      <c r="B924" t="s">
        <v>8</v>
      </c>
      <c r="C924">
        <v>71744</v>
      </c>
      <c r="D924" t="str">
        <f>"71744"</f>
        <v>71744</v>
      </c>
      <c r="E924">
        <v>70.69</v>
      </c>
    </row>
    <row r="925" spans="1:5" x14ac:dyDescent="0.2">
      <c r="A925">
        <v>71745</v>
      </c>
      <c r="B925" t="s">
        <v>8</v>
      </c>
      <c r="C925">
        <v>71745</v>
      </c>
      <c r="D925" t="str">
        <f>"71745"</f>
        <v>71745</v>
      </c>
      <c r="E925" t="s">
        <v>6</v>
      </c>
    </row>
    <row r="926" spans="1:5" x14ac:dyDescent="0.2">
      <c r="A926">
        <v>71747</v>
      </c>
      <c r="B926" t="s">
        <v>8</v>
      </c>
      <c r="C926">
        <v>71747</v>
      </c>
      <c r="D926" t="str">
        <f>"71747"</f>
        <v>71747</v>
      </c>
      <c r="E926">
        <v>57.58</v>
      </c>
    </row>
    <row r="927" spans="1:5" x14ac:dyDescent="0.2">
      <c r="A927">
        <v>71748</v>
      </c>
      <c r="B927" t="s">
        <v>8</v>
      </c>
      <c r="C927">
        <v>71748</v>
      </c>
      <c r="D927" t="str">
        <f>"71748"</f>
        <v>71748</v>
      </c>
      <c r="E927" t="s">
        <v>6</v>
      </c>
    </row>
    <row r="928" spans="1:5" x14ac:dyDescent="0.2">
      <c r="A928">
        <v>71749</v>
      </c>
      <c r="B928" t="s">
        <v>8</v>
      </c>
      <c r="C928">
        <v>71749</v>
      </c>
      <c r="D928" t="str">
        <f>"71749"</f>
        <v>71749</v>
      </c>
      <c r="E928">
        <v>65.69</v>
      </c>
    </row>
    <row r="929" spans="1:5" x14ac:dyDescent="0.2">
      <c r="A929">
        <v>71751</v>
      </c>
      <c r="B929" t="s">
        <v>8</v>
      </c>
      <c r="C929">
        <v>71751</v>
      </c>
      <c r="D929" t="str">
        <f>"71751"</f>
        <v>71751</v>
      </c>
      <c r="E929">
        <v>65.63</v>
      </c>
    </row>
    <row r="930" spans="1:5" x14ac:dyDescent="0.2">
      <c r="A930">
        <v>71752</v>
      </c>
      <c r="B930" t="s">
        <v>8</v>
      </c>
      <c r="C930">
        <v>71752</v>
      </c>
      <c r="D930" t="str">
        <f>"71752"</f>
        <v>71752</v>
      </c>
      <c r="E930">
        <v>52.94</v>
      </c>
    </row>
    <row r="931" spans="1:5" x14ac:dyDescent="0.2">
      <c r="A931">
        <v>71753</v>
      </c>
      <c r="B931" t="s">
        <v>8</v>
      </c>
      <c r="C931">
        <v>71753</v>
      </c>
      <c r="D931" t="str">
        <f>"71753"</f>
        <v>71753</v>
      </c>
      <c r="E931">
        <v>62.89</v>
      </c>
    </row>
    <row r="932" spans="1:5" x14ac:dyDescent="0.2">
      <c r="A932">
        <v>71758</v>
      </c>
      <c r="B932" t="s">
        <v>8</v>
      </c>
      <c r="C932">
        <v>71758</v>
      </c>
      <c r="D932" t="str">
        <f>"71758"</f>
        <v>71758</v>
      </c>
      <c r="E932">
        <v>80</v>
      </c>
    </row>
    <row r="933" spans="1:5" x14ac:dyDescent="0.2">
      <c r="A933">
        <v>71759</v>
      </c>
      <c r="B933" t="s">
        <v>8</v>
      </c>
      <c r="C933">
        <v>71759</v>
      </c>
      <c r="D933" t="str">
        <f>"71759"</f>
        <v>71759</v>
      </c>
      <c r="E933" t="s">
        <v>6</v>
      </c>
    </row>
    <row r="934" spans="1:5" x14ac:dyDescent="0.2">
      <c r="A934">
        <v>71762</v>
      </c>
      <c r="B934" t="s">
        <v>8</v>
      </c>
      <c r="C934">
        <v>71762</v>
      </c>
      <c r="D934" t="str">
        <f>"71762"</f>
        <v>71762</v>
      </c>
      <c r="E934">
        <v>66.34</v>
      </c>
    </row>
    <row r="935" spans="1:5" x14ac:dyDescent="0.2">
      <c r="A935">
        <v>71763</v>
      </c>
      <c r="B935" t="s">
        <v>8</v>
      </c>
      <c r="C935">
        <v>71763</v>
      </c>
      <c r="D935" t="str">
        <f>"71763"</f>
        <v>71763</v>
      </c>
      <c r="E935">
        <v>74.14</v>
      </c>
    </row>
    <row r="936" spans="1:5" x14ac:dyDescent="0.2">
      <c r="A936">
        <v>71764</v>
      </c>
      <c r="B936" t="s">
        <v>8</v>
      </c>
      <c r="C936">
        <v>71764</v>
      </c>
      <c r="D936" t="str">
        <f>"71764"</f>
        <v>71764</v>
      </c>
      <c r="E936">
        <v>62.12</v>
      </c>
    </row>
    <row r="937" spans="1:5" x14ac:dyDescent="0.2">
      <c r="A937">
        <v>71765</v>
      </c>
      <c r="B937" t="s">
        <v>8</v>
      </c>
      <c r="C937">
        <v>71765</v>
      </c>
      <c r="D937" t="str">
        <f>"71765"</f>
        <v>71765</v>
      </c>
      <c r="E937">
        <v>61.25</v>
      </c>
    </row>
    <row r="938" spans="1:5" x14ac:dyDescent="0.2">
      <c r="A938">
        <v>71766</v>
      </c>
      <c r="B938" t="s">
        <v>8</v>
      </c>
      <c r="C938">
        <v>71766</v>
      </c>
      <c r="D938" t="str">
        <f>"71766"</f>
        <v>71766</v>
      </c>
      <c r="E938">
        <v>69.569999999999993</v>
      </c>
    </row>
    <row r="939" spans="1:5" x14ac:dyDescent="0.2">
      <c r="A939">
        <v>71770</v>
      </c>
      <c r="B939" t="s">
        <v>8</v>
      </c>
      <c r="C939">
        <v>71770</v>
      </c>
      <c r="D939" t="str">
        <f>"71770"</f>
        <v>71770</v>
      </c>
      <c r="E939">
        <v>57.38</v>
      </c>
    </row>
    <row r="940" spans="1:5" x14ac:dyDescent="0.2">
      <c r="A940">
        <v>71772</v>
      </c>
      <c r="B940" t="s">
        <v>8</v>
      </c>
      <c r="C940">
        <v>71772</v>
      </c>
      <c r="D940" t="str">
        <f>"71772"</f>
        <v>71772</v>
      </c>
      <c r="E940" t="s">
        <v>6</v>
      </c>
    </row>
    <row r="941" spans="1:5" x14ac:dyDescent="0.2">
      <c r="A941">
        <v>71801</v>
      </c>
      <c r="B941" t="s">
        <v>8</v>
      </c>
      <c r="C941">
        <v>71801</v>
      </c>
      <c r="D941" t="str">
        <f>"71801"</f>
        <v>71801</v>
      </c>
      <c r="E941">
        <v>56.38</v>
      </c>
    </row>
    <row r="942" spans="1:5" x14ac:dyDescent="0.2">
      <c r="A942">
        <v>71820</v>
      </c>
      <c r="B942" t="s">
        <v>8</v>
      </c>
      <c r="C942">
        <v>71820</v>
      </c>
      <c r="D942" t="str">
        <f>"71820"</f>
        <v>71820</v>
      </c>
      <c r="E942" t="s">
        <v>6</v>
      </c>
    </row>
    <row r="943" spans="1:5" x14ac:dyDescent="0.2">
      <c r="A943">
        <v>71822</v>
      </c>
      <c r="B943" t="s">
        <v>8</v>
      </c>
      <c r="C943">
        <v>71822</v>
      </c>
      <c r="D943" t="str">
        <f>"71822"</f>
        <v>71822</v>
      </c>
      <c r="E943">
        <v>65.849999999999994</v>
      </c>
    </row>
    <row r="944" spans="1:5" x14ac:dyDescent="0.2">
      <c r="A944">
        <v>71825</v>
      </c>
      <c r="B944" t="s">
        <v>8</v>
      </c>
      <c r="C944">
        <v>71825</v>
      </c>
      <c r="D944" t="str">
        <f>"71825"</f>
        <v>71825</v>
      </c>
      <c r="E944">
        <v>54.17</v>
      </c>
    </row>
    <row r="945" spans="1:5" x14ac:dyDescent="0.2">
      <c r="A945">
        <v>71826</v>
      </c>
      <c r="B945" t="s">
        <v>8</v>
      </c>
      <c r="C945">
        <v>71826</v>
      </c>
      <c r="D945" t="str">
        <f>"71826"</f>
        <v>71826</v>
      </c>
      <c r="E945">
        <v>57.14</v>
      </c>
    </row>
    <row r="946" spans="1:5" x14ac:dyDescent="0.2">
      <c r="A946">
        <v>71827</v>
      </c>
      <c r="B946" t="s">
        <v>8</v>
      </c>
      <c r="C946">
        <v>71827</v>
      </c>
      <c r="D946" t="str">
        <f>"71827"</f>
        <v>71827</v>
      </c>
      <c r="E946">
        <v>64.290000000000006</v>
      </c>
    </row>
    <row r="947" spans="1:5" x14ac:dyDescent="0.2">
      <c r="A947">
        <v>71831</v>
      </c>
      <c r="B947" t="s">
        <v>8</v>
      </c>
      <c r="C947">
        <v>71831</v>
      </c>
      <c r="D947" t="str">
        <f>"71831"</f>
        <v>71831</v>
      </c>
      <c r="E947" t="s">
        <v>6</v>
      </c>
    </row>
    <row r="948" spans="1:5" x14ac:dyDescent="0.2">
      <c r="A948">
        <v>71832</v>
      </c>
      <c r="B948" t="s">
        <v>8</v>
      </c>
      <c r="C948">
        <v>71832</v>
      </c>
      <c r="D948" t="str">
        <f>"71832"</f>
        <v>71832</v>
      </c>
      <c r="E948">
        <v>57.32</v>
      </c>
    </row>
    <row r="949" spans="1:5" x14ac:dyDescent="0.2">
      <c r="A949">
        <v>71833</v>
      </c>
      <c r="B949" t="s">
        <v>8</v>
      </c>
      <c r="C949">
        <v>71833</v>
      </c>
      <c r="D949" t="str">
        <f>"71833"</f>
        <v>71833</v>
      </c>
      <c r="E949">
        <v>71.790000000000006</v>
      </c>
    </row>
    <row r="950" spans="1:5" x14ac:dyDescent="0.2">
      <c r="A950">
        <v>71834</v>
      </c>
      <c r="B950" t="s">
        <v>8</v>
      </c>
      <c r="C950">
        <v>71834</v>
      </c>
      <c r="D950" t="str">
        <f>"71834"</f>
        <v>71834</v>
      </c>
      <c r="E950">
        <v>63.04</v>
      </c>
    </row>
    <row r="951" spans="1:5" x14ac:dyDescent="0.2">
      <c r="A951">
        <v>71835</v>
      </c>
      <c r="B951" t="s">
        <v>8</v>
      </c>
      <c r="C951">
        <v>71835</v>
      </c>
      <c r="D951" t="str">
        <f>"71835"</f>
        <v>71835</v>
      </c>
      <c r="E951">
        <v>62.5</v>
      </c>
    </row>
    <row r="952" spans="1:5" x14ac:dyDescent="0.2">
      <c r="A952">
        <v>71836</v>
      </c>
      <c r="B952" t="s">
        <v>8</v>
      </c>
      <c r="C952">
        <v>71836</v>
      </c>
      <c r="D952" t="str">
        <f>"71836"</f>
        <v>71836</v>
      </c>
      <c r="E952">
        <v>67.27</v>
      </c>
    </row>
    <row r="953" spans="1:5" x14ac:dyDescent="0.2">
      <c r="A953">
        <v>71837</v>
      </c>
      <c r="B953" t="s">
        <v>8</v>
      </c>
      <c r="C953">
        <v>71837</v>
      </c>
      <c r="D953" t="str">
        <f>"71837"</f>
        <v>71837</v>
      </c>
      <c r="E953">
        <v>63.21</v>
      </c>
    </row>
    <row r="954" spans="1:5" x14ac:dyDescent="0.2">
      <c r="A954">
        <v>71838</v>
      </c>
      <c r="B954" t="s">
        <v>8</v>
      </c>
      <c r="C954">
        <v>71838</v>
      </c>
      <c r="D954" t="str">
        <f>"71838"</f>
        <v>71838</v>
      </c>
      <c r="E954">
        <v>55.56</v>
      </c>
    </row>
    <row r="955" spans="1:5" x14ac:dyDescent="0.2">
      <c r="A955">
        <v>71839</v>
      </c>
      <c r="B955" t="s">
        <v>8</v>
      </c>
      <c r="C955">
        <v>71839</v>
      </c>
      <c r="D955" t="str">
        <f>"71839"</f>
        <v>71839</v>
      </c>
      <c r="E955" t="s">
        <v>6</v>
      </c>
    </row>
    <row r="956" spans="1:5" x14ac:dyDescent="0.2">
      <c r="A956">
        <v>71841</v>
      </c>
      <c r="B956" t="s">
        <v>8</v>
      </c>
      <c r="C956">
        <v>71841</v>
      </c>
      <c r="D956" t="str">
        <f>"71841"</f>
        <v>71841</v>
      </c>
      <c r="E956">
        <v>62.07</v>
      </c>
    </row>
    <row r="957" spans="1:5" x14ac:dyDescent="0.2">
      <c r="A957">
        <v>71842</v>
      </c>
      <c r="B957" t="s">
        <v>8</v>
      </c>
      <c r="C957">
        <v>71842</v>
      </c>
      <c r="D957" t="str">
        <f>"71842"</f>
        <v>71842</v>
      </c>
      <c r="E957">
        <v>60</v>
      </c>
    </row>
    <row r="958" spans="1:5" x14ac:dyDescent="0.2">
      <c r="A958">
        <v>71845</v>
      </c>
      <c r="B958" t="s">
        <v>8</v>
      </c>
      <c r="C958">
        <v>71845</v>
      </c>
      <c r="D958" t="str">
        <f>"71845"</f>
        <v>71845</v>
      </c>
      <c r="E958">
        <v>60.53</v>
      </c>
    </row>
    <row r="959" spans="1:5" x14ac:dyDescent="0.2">
      <c r="A959">
        <v>71846</v>
      </c>
      <c r="B959" t="s">
        <v>8</v>
      </c>
      <c r="C959">
        <v>71846</v>
      </c>
      <c r="D959" t="str">
        <f>"71846"</f>
        <v>71846</v>
      </c>
      <c r="E959">
        <v>64.52</v>
      </c>
    </row>
    <row r="960" spans="1:5" x14ac:dyDescent="0.2">
      <c r="A960">
        <v>71847</v>
      </c>
      <c r="B960" t="s">
        <v>8</v>
      </c>
      <c r="C960">
        <v>71847</v>
      </c>
      <c r="D960" t="str">
        <f>"71847"</f>
        <v>71847</v>
      </c>
      <c r="E960">
        <v>70.83</v>
      </c>
    </row>
    <row r="961" spans="1:5" x14ac:dyDescent="0.2">
      <c r="A961">
        <v>71851</v>
      </c>
      <c r="B961" t="s">
        <v>8</v>
      </c>
      <c r="C961">
        <v>71851</v>
      </c>
      <c r="D961" t="str">
        <f>"71851"</f>
        <v>71851</v>
      </c>
      <c r="E961">
        <v>59.04</v>
      </c>
    </row>
    <row r="962" spans="1:5" x14ac:dyDescent="0.2">
      <c r="A962">
        <v>71852</v>
      </c>
      <c r="B962" t="s">
        <v>8</v>
      </c>
      <c r="C962">
        <v>71852</v>
      </c>
      <c r="D962" t="str">
        <f>"71852"</f>
        <v>71852</v>
      </c>
      <c r="E962">
        <v>59.31</v>
      </c>
    </row>
    <row r="963" spans="1:5" x14ac:dyDescent="0.2">
      <c r="A963">
        <v>71853</v>
      </c>
      <c r="B963" t="s">
        <v>8</v>
      </c>
      <c r="C963">
        <v>71853</v>
      </c>
      <c r="D963" t="str">
        <f>"71853"</f>
        <v>71853</v>
      </c>
      <c r="E963">
        <v>72.22</v>
      </c>
    </row>
    <row r="964" spans="1:5" x14ac:dyDescent="0.2">
      <c r="A964">
        <v>71854</v>
      </c>
      <c r="B964" t="s">
        <v>8</v>
      </c>
      <c r="C964">
        <v>71854</v>
      </c>
      <c r="D964" t="str">
        <f>"71854"</f>
        <v>71854</v>
      </c>
      <c r="E964">
        <v>63.26</v>
      </c>
    </row>
    <row r="965" spans="1:5" x14ac:dyDescent="0.2">
      <c r="A965">
        <v>71855</v>
      </c>
      <c r="B965" t="s">
        <v>8</v>
      </c>
      <c r="C965">
        <v>71855</v>
      </c>
      <c r="D965" t="str">
        <f>"71855"</f>
        <v>71855</v>
      </c>
      <c r="E965">
        <v>61.54</v>
      </c>
    </row>
    <row r="966" spans="1:5" x14ac:dyDescent="0.2">
      <c r="A966">
        <v>71857</v>
      </c>
      <c r="B966" t="s">
        <v>8</v>
      </c>
      <c r="C966">
        <v>71857</v>
      </c>
      <c r="D966" t="str">
        <f>"71857"</f>
        <v>71857</v>
      </c>
      <c r="E966">
        <v>59.73</v>
      </c>
    </row>
    <row r="967" spans="1:5" x14ac:dyDescent="0.2">
      <c r="A967">
        <v>71858</v>
      </c>
      <c r="B967" t="s">
        <v>8</v>
      </c>
      <c r="C967">
        <v>71858</v>
      </c>
      <c r="D967" t="str">
        <f>"71858"</f>
        <v>71858</v>
      </c>
      <c r="E967">
        <v>62.5</v>
      </c>
    </row>
    <row r="968" spans="1:5" x14ac:dyDescent="0.2">
      <c r="A968">
        <v>71859</v>
      </c>
      <c r="B968" t="s">
        <v>8</v>
      </c>
      <c r="C968">
        <v>71859</v>
      </c>
      <c r="D968" t="str">
        <f>"71859"</f>
        <v>71859</v>
      </c>
      <c r="E968">
        <v>66.67</v>
      </c>
    </row>
    <row r="969" spans="1:5" x14ac:dyDescent="0.2">
      <c r="A969">
        <v>71860</v>
      </c>
      <c r="B969" t="s">
        <v>8</v>
      </c>
      <c r="C969">
        <v>71860</v>
      </c>
      <c r="D969" t="str">
        <f>"71860"</f>
        <v>71860</v>
      </c>
      <c r="E969">
        <v>63.53</v>
      </c>
    </row>
    <row r="970" spans="1:5" x14ac:dyDescent="0.2">
      <c r="A970">
        <v>71861</v>
      </c>
      <c r="B970" t="s">
        <v>8</v>
      </c>
      <c r="C970">
        <v>71861</v>
      </c>
      <c r="D970" t="str">
        <f>"71861"</f>
        <v>71861</v>
      </c>
      <c r="E970">
        <v>73.75</v>
      </c>
    </row>
    <row r="971" spans="1:5" x14ac:dyDescent="0.2">
      <c r="A971">
        <v>71862</v>
      </c>
      <c r="B971" t="s">
        <v>8</v>
      </c>
      <c r="C971">
        <v>71862</v>
      </c>
      <c r="D971" t="str">
        <f>"71862"</f>
        <v>71862</v>
      </c>
      <c r="E971">
        <v>65.38</v>
      </c>
    </row>
    <row r="972" spans="1:5" x14ac:dyDescent="0.2">
      <c r="A972">
        <v>71865</v>
      </c>
      <c r="B972" t="s">
        <v>8</v>
      </c>
      <c r="C972">
        <v>71865</v>
      </c>
      <c r="D972" t="str">
        <f>"71865"</f>
        <v>71865</v>
      </c>
      <c r="E972" t="s">
        <v>6</v>
      </c>
    </row>
    <row r="973" spans="1:5" x14ac:dyDescent="0.2">
      <c r="A973">
        <v>71866</v>
      </c>
      <c r="B973" t="s">
        <v>8</v>
      </c>
      <c r="C973">
        <v>71866</v>
      </c>
      <c r="D973" t="str">
        <f>"71866"</f>
        <v>71866</v>
      </c>
      <c r="E973">
        <v>60.87</v>
      </c>
    </row>
    <row r="974" spans="1:5" x14ac:dyDescent="0.2">
      <c r="A974">
        <v>71901</v>
      </c>
      <c r="B974" t="s">
        <v>8</v>
      </c>
      <c r="C974">
        <v>71901</v>
      </c>
      <c r="D974" t="str">
        <f>"71901"</f>
        <v>71901</v>
      </c>
      <c r="E974">
        <v>62.41</v>
      </c>
    </row>
    <row r="975" spans="1:5" x14ac:dyDescent="0.2">
      <c r="A975">
        <v>71909</v>
      </c>
      <c r="B975" t="s">
        <v>8</v>
      </c>
      <c r="C975">
        <v>71909</v>
      </c>
      <c r="D975" t="str">
        <f>"71909"</f>
        <v>71909</v>
      </c>
      <c r="E975">
        <v>75.61</v>
      </c>
    </row>
    <row r="976" spans="1:5" x14ac:dyDescent="0.2">
      <c r="A976">
        <v>71913</v>
      </c>
      <c r="B976" t="s">
        <v>8</v>
      </c>
      <c r="C976">
        <v>71913</v>
      </c>
      <c r="D976" t="str">
        <f>"71913"</f>
        <v>71913</v>
      </c>
      <c r="E976">
        <v>65.27</v>
      </c>
    </row>
    <row r="977" spans="1:5" x14ac:dyDescent="0.2">
      <c r="A977">
        <v>71921</v>
      </c>
      <c r="B977" t="s">
        <v>8</v>
      </c>
      <c r="C977">
        <v>71921</v>
      </c>
      <c r="D977" t="str">
        <f>"71921"</f>
        <v>71921</v>
      </c>
      <c r="E977">
        <v>59.13</v>
      </c>
    </row>
    <row r="978" spans="1:5" x14ac:dyDescent="0.2">
      <c r="A978">
        <v>71922</v>
      </c>
      <c r="B978" t="s">
        <v>8</v>
      </c>
      <c r="C978">
        <v>71922</v>
      </c>
      <c r="D978" t="str">
        <f>"71922"</f>
        <v>71922</v>
      </c>
      <c r="E978" t="s">
        <v>6</v>
      </c>
    </row>
    <row r="979" spans="1:5" x14ac:dyDescent="0.2">
      <c r="A979">
        <v>71923</v>
      </c>
      <c r="B979" t="s">
        <v>8</v>
      </c>
      <c r="C979">
        <v>71923</v>
      </c>
      <c r="D979" t="str">
        <f>"71923"</f>
        <v>71923</v>
      </c>
      <c r="E979">
        <v>67.72</v>
      </c>
    </row>
    <row r="980" spans="1:5" x14ac:dyDescent="0.2">
      <c r="A980">
        <v>71929</v>
      </c>
      <c r="B980" t="s">
        <v>8</v>
      </c>
      <c r="C980">
        <v>71929</v>
      </c>
      <c r="D980" t="str">
        <f>"71929"</f>
        <v>71929</v>
      </c>
      <c r="E980">
        <v>67.709999999999994</v>
      </c>
    </row>
    <row r="981" spans="1:5" x14ac:dyDescent="0.2">
      <c r="A981">
        <v>71933</v>
      </c>
      <c r="B981" t="s">
        <v>8</v>
      </c>
      <c r="C981">
        <v>71933</v>
      </c>
      <c r="D981" t="str">
        <f>"71933"</f>
        <v>71933</v>
      </c>
      <c r="E981">
        <v>63.46</v>
      </c>
    </row>
    <row r="982" spans="1:5" x14ac:dyDescent="0.2">
      <c r="A982">
        <v>71935</v>
      </c>
      <c r="B982" t="s">
        <v>8</v>
      </c>
      <c r="C982">
        <v>71935</v>
      </c>
      <c r="D982" t="str">
        <f>"71935"</f>
        <v>71935</v>
      </c>
      <c r="E982">
        <v>54.55</v>
      </c>
    </row>
    <row r="983" spans="1:5" x14ac:dyDescent="0.2">
      <c r="A983">
        <v>71937</v>
      </c>
      <c r="B983" t="s">
        <v>8</v>
      </c>
      <c r="C983">
        <v>71937</v>
      </c>
      <c r="D983" t="str">
        <f>"71937"</f>
        <v>71937</v>
      </c>
      <c r="E983">
        <v>56.06</v>
      </c>
    </row>
    <row r="984" spans="1:5" x14ac:dyDescent="0.2">
      <c r="A984">
        <v>71940</v>
      </c>
      <c r="B984" t="s">
        <v>8</v>
      </c>
      <c r="C984">
        <v>71940</v>
      </c>
      <c r="D984" t="str">
        <f>"71940"</f>
        <v>71940</v>
      </c>
      <c r="E984">
        <v>65.45</v>
      </c>
    </row>
    <row r="985" spans="1:5" x14ac:dyDescent="0.2">
      <c r="A985">
        <v>71941</v>
      </c>
      <c r="B985" t="s">
        <v>8</v>
      </c>
      <c r="C985">
        <v>71941</v>
      </c>
      <c r="D985" t="str">
        <f>"71941"</f>
        <v>71941</v>
      </c>
      <c r="E985">
        <v>66.22</v>
      </c>
    </row>
    <row r="986" spans="1:5" x14ac:dyDescent="0.2">
      <c r="A986">
        <v>71943</v>
      </c>
      <c r="B986" t="s">
        <v>8</v>
      </c>
      <c r="C986">
        <v>71943</v>
      </c>
      <c r="D986" t="str">
        <f>"71943"</f>
        <v>71943</v>
      </c>
      <c r="E986">
        <v>57.56</v>
      </c>
    </row>
    <row r="987" spans="1:5" x14ac:dyDescent="0.2">
      <c r="A987">
        <v>71944</v>
      </c>
      <c r="B987" t="s">
        <v>8</v>
      </c>
      <c r="C987">
        <v>71944</v>
      </c>
      <c r="D987" t="str">
        <f>"71944"</f>
        <v>71944</v>
      </c>
      <c r="E987">
        <v>62.5</v>
      </c>
    </row>
    <row r="988" spans="1:5" x14ac:dyDescent="0.2">
      <c r="A988">
        <v>71945</v>
      </c>
      <c r="B988" t="s">
        <v>8</v>
      </c>
      <c r="C988">
        <v>71945</v>
      </c>
      <c r="D988" t="str">
        <f>"71945"</f>
        <v>71945</v>
      </c>
      <c r="E988">
        <v>56.52</v>
      </c>
    </row>
    <row r="989" spans="1:5" x14ac:dyDescent="0.2">
      <c r="A989">
        <v>71949</v>
      </c>
      <c r="B989" t="s">
        <v>8</v>
      </c>
      <c r="C989">
        <v>71949</v>
      </c>
      <c r="D989" t="str">
        <f>"71949"</f>
        <v>71949</v>
      </c>
      <c r="E989">
        <v>60.87</v>
      </c>
    </row>
    <row r="990" spans="1:5" x14ac:dyDescent="0.2">
      <c r="A990">
        <v>71950</v>
      </c>
      <c r="B990" t="s">
        <v>8</v>
      </c>
      <c r="C990">
        <v>71950</v>
      </c>
      <c r="D990" t="str">
        <f>"71950"</f>
        <v>71950</v>
      </c>
      <c r="E990">
        <v>57.58</v>
      </c>
    </row>
    <row r="991" spans="1:5" x14ac:dyDescent="0.2">
      <c r="A991">
        <v>71952</v>
      </c>
      <c r="B991" t="s">
        <v>8</v>
      </c>
      <c r="C991">
        <v>71952</v>
      </c>
      <c r="D991" t="str">
        <f>"71952"</f>
        <v>71952</v>
      </c>
      <c r="E991" t="s">
        <v>6</v>
      </c>
    </row>
    <row r="992" spans="1:5" x14ac:dyDescent="0.2">
      <c r="A992">
        <v>71953</v>
      </c>
      <c r="B992" t="s">
        <v>8</v>
      </c>
      <c r="C992">
        <v>71953</v>
      </c>
      <c r="D992" t="str">
        <f>"71953"</f>
        <v>71953</v>
      </c>
      <c r="E992">
        <v>60.75</v>
      </c>
    </row>
    <row r="993" spans="1:5" x14ac:dyDescent="0.2">
      <c r="A993">
        <v>71956</v>
      </c>
      <c r="B993" t="s">
        <v>8</v>
      </c>
      <c r="C993">
        <v>71956</v>
      </c>
      <c r="D993" t="str">
        <f>"71956"</f>
        <v>71956</v>
      </c>
      <c r="E993">
        <v>58.57</v>
      </c>
    </row>
    <row r="994" spans="1:5" x14ac:dyDescent="0.2">
      <c r="A994">
        <v>71957</v>
      </c>
      <c r="B994" t="s">
        <v>8</v>
      </c>
      <c r="C994">
        <v>71957</v>
      </c>
      <c r="D994" t="str">
        <f>"71957"</f>
        <v>71957</v>
      </c>
      <c r="E994">
        <v>64.75</v>
      </c>
    </row>
    <row r="995" spans="1:5" x14ac:dyDescent="0.2">
      <c r="A995">
        <v>71958</v>
      </c>
      <c r="B995" t="s">
        <v>8</v>
      </c>
      <c r="C995">
        <v>71958</v>
      </c>
      <c r="D995" t="str">
        <f>"71958"</f>
        <v>71958</v>
      </c>
      <c r="E995">
        <v>67.010000000000005</v>
      </c>
    </row>
    <row r="996" spans="1:5" x14ac:dyDescent="0.2">
      <c r="A996">
        <v>71959</v>
      </c>
      <c r="B996" t="s">
        <v>8</v>
      </c>
      <c r="C996">
        <v>71959</v>
      </c>
      <c r="D996" t="str">
        <f>"71959"</f>
        <v>71959</v>
      </c>
      <c r="E996">
        <v>57.69</v>
      </c>
    </row>
    <row r="997" spans="1:5" x14ac:dyDescent="0.2">
      <c r="A997">
        <v>71960</v>
      </c>
      <c r="B997" t="s">
        <v>8</v>
      </c>
      <c r="C997">
        <v>71960</v>
      </c>
      <c r="D997" t="str">
        <f>"71960"</f>
        <v>71960</v>
      </c>
      <c r="E997">
        <v>63.04</v>
      </c>
    </row>
    <row r="998" spans="1:5" x14ac:dyDescent="0.2">
      <c r="A998">
        <v>71961</v>
      </c>
      <c r="B998" t="s">
        <v>8</v>
      </c>
      <c r="C998">
        <v>71961</v>
      </c>
      <c r="D998" t="str">
        <f>"71961"</f>
        <v>71961</v>
      </c>
      <c r="E998">
        <v>58.82</v>
      </c>
    </row>
    <row r="999" spans="1:5" x14ac:dyDescent="0.2">
      <c r="A999">
        <v>71962</v>
      </c>
      <c r="B999" t="s">
        <v>8</v>
      </c>
      <c r="C999">
        <v>71962</v>
      </c>
      <c r="D999" t="str">
        <f>"71962"</f>
        <v>71962</v>
      </c>
      <c r="E999">
        <v>68.97</v>
      </c>
    </row>
    <row r="1000" spans="1:5" x14ac:dyDescent="0.2">
      <c r="A1000">
        <v>71964</v>
      </c>
      <c r="B1000" t="s">
        <v>8</v>
      </c>
      <c r="C1000">
        <v>71964</v>
      </c>
      <c r="D1000" t="str">
        <f>"71964"</f>
        <v>71964</v>
      </c>
      <c r="E1000">
        <v>64.599999999999994</v>
      </c>
    </row>
    <row r="1001" spans="1:5" x14ac:dyDescent="0.2">
      <c r="A1001">
        <v>71965</v>
      </c>
      <c r="B1001" t="s">
        <v>8</v>
      </c>
      <c r="C1001">
        <v>71965</v>
      </c>
      <c r="D1001" t="str">
        <f>"71965"</f>
        <v>71965</v>
      </c>
      <c r="E1001">
        <v>53.85</v>
      </c>
    </row>
    <row r="1002" spans="1:5" x14ac:dyDescent="0.2">
      <c r="A1002">
        <v>71968</v>
      </c>
      <c r="B1002" t="s">
        <v>8</v>
      </c>
      <c r="C1002">
        <v>71968</v>
      </c>
      <c r="D1002" t="str">
        <f>"71968"</f>
        <v>71968</v>
      </c>
      <c r="E1002">
        <v>67.38</v>
      </c>
    </row>
    <row r="1003" spans="1:5" x14ac:dyDescent="0.2">
      <c r="A1003">
        <v>71969</v>
      </c>
      <c r="B1003" t="s">
        <v>8</v>
      </c>
      <c r="C1003">
        <v>71969</v>
      </c>
      <c r="D1003" t="str">
        <f>"71969"</f>
        <v>71969</v>
      </c>
      <c r="E1003">
        <v>58.33</v>
      </c>
    </row>
    <row r="1004" spans="1:5" x14ac:dyDescent="0.2">
      <c r="A1004">
        <v>71970</v>
      </c>
      <c r="B1004" t="s">
        <v>8</v>
      </c>
      <c r="C1004">
        <v>71970</v>
      </c>
      <c r="D1004" t="str">
        <f>"71970"</f>
        <v>71970</v>
      </c>
      <c r="E1004">
        <v>60</v>
      </c>
    </row>
    <row r="1005" spans="1:5" x14ac:dyDescent="0.2">
      <c r="A1005">
        <v>71971</v>
      </c>
      <c r="B1005" t="s">
        <v>8</v>
      </c>
      <c r="C1005">
        <v>71971</v>
      </c>
      <c r="D1005" t="str">
        <f>"71971"</f>
        <v>71971</v>
      </c>
      <c r="E1005">
        <v>56.25</v>
      </c>
    </row>
    <row r="1006" spans="1:5" x14ac:dyDescent="0.2">
      <c r="A1006">
        <v>71972</v>
      </c>
      <c r="B1006" t="s">
        <v>8</v>
      </c>
      <c r="C1006">
        <v>71972</v>
      </c>
      <c r="D1006" t="str">
        <f>"71972"</f>
        <v>71972</v>
      </c>
      <c r="E1006">
        <v>64.290000000000006</v>
      </c>
    </row>
    <row r="1007" spans="1:5" x14ac:dyDescent="0.2">
      <c r="A1007">
        <v>71973</v>
      </c>
      <c r="B1007" t="s">
        <v>8</v>
      </c>
      <c r="C1007">
        <v>71973</v>
      </c>
      <c r="D1007" t="str">
        <f>"71973"</f>
        <v>71973</v>
      </c>
      <c r="E1007">
        <v>52.08</v>
      </c>
    </row>
    <row r="1008" spans="1:5" x14ac:dyDescent="0.2">
      <c r="A1008">
        <v>72001</v>
      </c>
      <c r="B1008" t="s">
        <v>8</v>
      </c>
      <c r="C1008">
        <v>72001</v>
      </c>
      <c r="D1008" t="str">
        <f>"72001"</f>
        <v>72001</v>
      </c>
      <c r="E1008">
        <v>64.709999999999994</v>
      </c>
    </row>
    <row r="1009" spans="1:5" x14ac:dyDescent="0.2">
      <c r="A1009">
        <v>72002</v>
      </c>
      <c r="B1009" t="s">
        <v>8</v>
      </c>
      <c r="C1009">
        <v>72002</v>
      </c>
      <c r="D1009" t="str">
        <f>"72002"</f>
        <v>72002</v>
      </c>
      <c r="E1009">
        <v>71.39</v>
      </c>
    </row>
    <row r="1010" spans="1:5" x14ac:dyDescent="0.2">
      <c r="A1010">
        <v>72003</v>
      </c>
      <c r="B1010" t="s">
        <v>8</v>
      </c>
      <c r="C1010">
        <v>72003</v>
      </c>
      <c r="D1010" t="str">
        <f>"72003"</f>
        <v>72003</v>
      </c>
      <c r="E1010">
        <v>68.97</v>
      </c>
    </row>
    <row r="1011" spans="1:5" x14ac:dyDescent="0.2">
      <c r="A1011">
        <v>72004</v>
      </c>
      <c r="B1011" t="s">
        <v>8</v>
      </c>
      <c r="C1011">
        <v>72004</v>
      </c>
      <c r="D1011" t="str">
        <f>"72004"</f>
        <v>72004</v>
      </c>
      <c r="E1011">
        <v>60.47</v>
      </c>
    </row>
    <row r="1012" spans="1:5" x14ac:dyDescent="0.2">
      <c r="A1012">
        <v>72005</v>
      </c>
      <c r="B1012" t="s">
        <v>8</v>
      </c>
      <c r="C1012">
        <v>72005</v>
      </c>
      <c r="D1012" t="str">
        <f>"72005"</f>
        <v>72005</v>
      </c>
      <c r="E1012" t="s">
        <v>6</v>
      </c>
    </row>
    <row r="1013" spans="1:5" x14ac:dyDescent="0.2">
      <c r="A1013">
        <v>72006</v>
      </c>
      <c r="B1013" t="s">
        <v>8</v>
      </c>
      <c r="C1013">
        <v>72006</v>
      </c>
      <c r="D1013" t="str">
        <f>"72006"</f>
        <v>72006</v>
      </c>
      <c r="E1013">
        <v>62.35</v>
      </c>
    </row>
    <row r="1014" spans="1:5" x14ac:dyDescent="0.2">
      <c r="A1014">
        <v>72007</v>
      </c>
      <c r="B1014" t="s">
        <v>8</v>
      </c>
      <c r="C1014">
        <v>72007</v>
      </c>
      <c r="D1014" t="str">
        <f>"72007"</f>
        <v>72007</v>
      </c>
      <c r="E1014">
        <v>73.64</v>
      </c>
    </row>
    <row r="1015" spans="1:5" x14ac:dyDescent="0.2">
      <c r="A1015">
        <v>72010</v>
      </c>
      <c r="B1015" t="s">
        <v>8</v>
      </c>
      <c r="C1015">
        <v>72010</v>
      </c>
      <c r="D1015" t="str">
        <f>"72010"</f>
        <v>72010</v>
      </c>
      <c r="E1015">
        <v>63.32</v>
      </c>
    </row>
    <row r="1016" spans="1:5" x14ac:dyDescent="0.2">
      <c r="A1016">
        <v>72011</v>
      </c>
      <c r="B1016" t="s">
        <v>8</v>
      </c>
      <c r="C1016">
        <v>72011</v>
      </c>
      <c r="D1016" t="str">
        <f>"72011"</f>
        <v>72011</v>
      </c>
      <c r="E1016">
        <v>70.05</v>
      </c>
    </row>
    <row r="1017" spans="1:5" x14ac:dyDescent="0.2">
      <c r="A1017">
        <v>72012</v>
      </c>
      <c r="B1017" t="s">
        <v>8</v>
      </c>
      <c r="C1017">
        <v>72012</v>
      </c>
      <c r="D1017" t="str">
        <f>"72012"</f>
        <v>72012</v>
      </c>
      <c r="E1017">
        <v>68.010000000000005</v>
      </c>
    </row>
    <row r="1018" spans="1:5" x14ac:dyDescent="0.2">
      <c r="A1018">
        <v>72013</v>
      </c>
      <c r="B1018" t="s">
        <v>8</v>
      </c>
      <c r="C1018">
        <v>72013</v>
      </c>
      <c r="D1018" t="str">
        <f>"72013"</f>
        <v>72013</v>
      </c>
      <c r="E1018">
        <v>63.64</v>
      </c>
    </row>
    <row r="1019" spans="1:5" x14ac:dyDescent="0.2">
      <c r="A1019">
        <v>72014</v>
      </c>
      <c r="B1019" t="s">
        <v>8</v>
      </c>
      <c r="C1019">
        <v>72014</v>
      </c>
      <c r="D1019" t="str">
        <f>"72014"</f>
        <v>72014</v>
      </c>
      <c r="E1019" t="s">
        <v>6</v>
      </c>
    </row>
    <row r="1020" spans="1:5" x14ac:dyDescent="0.2">
      <c r="A1020">
        <v>72015</v>
      </c>
      <c r="B1020" t="s">
        <v>8</v>
      </c>
      <c r="C1020">
        <v>72015</v>
      </c>
      <c r="D1020" t="str">
        <f>"72015"</f>
        <v>72015</v>
      </c>
      <c r="E1020">
        <v>69.430000000000007</v>
      </c>
    </row>
    <row r="1021" spans="1:5" x14ac:dyDescent="0.2">
      <c r="A1021">
        <v>72016</v>
      </c>
      <c r="B1021" t="s">
        <v>8</v>
      </c>
      <c r="C1021">
        <v>72016</v>
      </c>
      <c r="D1021" t="str">
        <f>"72016"</f>
        <v>72016</v>
      </c>
      <c r="E1021">
        <v>70.94</v>
      </c>
    </row>
    <row r="1022" spans="1:5" x14ac:dyDescent="0.2">
      <c r="A1022">
        <v>72017</v>
      </c>
      <c r="B1022" t="s">
        <v>8</v>
      </c>
      <c r="C1022">
        <v>72017</v>
      </c>
      <c r="D1022" t="str">
        <f>"72017"</f>
        <v>72017</v>
      </c>
      <c r="E1022">
        <v>68</v>
      </c>
    </row>
    <row r="1023" spans="1:5" x14ac:dyDescent="0.2">
      <c r="A1023">
        <v>72019</v>
      </c>
      <c r="B1023" t="s">
        <v>8</v>
      </c>
      <c r="C1023">
        <v>72019</v>
      </c>
      <c r="D1023" t="str">
        <f>"72019"</f>
        <v>72019</v>
      </c>
      <c r="E1023">
        <v>76.459999999999994</v>
      </c>
    </row>
    <row r="1024" spans="1:5" x14ac:dyDescent="0.2">
      <c r="A1024">
        <v>72020</v>
      </c>
      <c r="B1024" t="s">
        <v>8</v>
      </c>
      <c r="C1024">
        <v>72020</v>
      </c>
      <c r="D1024" t="str">
        <f>"72020"</f>
        <v>72020</v>
      </c>
      <c r="E1024">
        <v>63.91</v>
      </c>
    </row>
    <row r="1025" spans="1:5" x14ac:dyDescent="0.2">
      <c r="A1025">
        <v>72021</v>
      </c>
      <c r="B1025" t="s">
        <v>8</v>
      </c>
      <c r="C1025">
        <v>72021</v>
      </c>
      <c r="D1025" t="str">
        <f>"72021"</f>
        <v>72021</v>
      </c>
      <c r="E1025">
        <v>57.42</v>
      </c>
    </row>
    <row r="1026" spans="1:5" x14ac:dyDescent="0.2">
      <c r="A1026">
        <v>72022</v>
      </c>
      <c r="B1026" t="s">
        <v>8</v>
      </c>
      <c r="C1026">
        <v>72022</v>
      </c>
      <c r="D1026" t="str">
        <f>"72022"</f>
        <v>72022</v>
      </c>
      <c r="E1026">
        <v>75.260000000000005</v>
      </c>
    </row>
    <row r="1027" spans="1:5" x14ac:dyDescent="0.2">
      <c r="A1027">
        <v>72023</v>
      </c>
      <c r="B1027" t="s">
        <v>8</v>
      </c>
      <c r="C1027">
        <v>72023</v>
      </c>
      <c r="D1027" t="str">
        <f>"72023"</f>
        <v>72023</v>
      </c>
      <c r="E1027">
        <v>73.099999999999994</v>
      </c>
    </row>
    <row r="1028" spans="1:5" x14ac:dyDescent="0.2">
      <c r="A1028">
        <v>72024</v>
      </c>
      <c r="B1028" t="s">
        <v>8</v>
      </c>
      <c r="C1028">
        <v>72024</v>
      </c>
      <c r="D1028" t="str">
        <f>"72024"</f>
        <v>72024</v>
      </c>
      <c r="E1028">
        <v>70.290000000000006</v>
      </c>
    </row>
    <row r="1029" spans="1:5" x14ac:dyDescent="0.2">
      <c r="A1029">
        <v>72025</v>
      </c>
      <c r="B1029" t="s">
        <v>8</v>
      </c>
      <c r="C1029">
        <v>72025</v>
      </c>
      <c r="D1029" t="str">
        <f>"72025"</f>
        <v>72025</v>
      </c>
      <c r="E1029">
        <v>62.5</v>
      </c>
    </row>
    <row r="1030" spans="1:5" x14ac:dyDescent="0.2">
      <c r="A1030">
        <v>72026</v>
      </c>
      <c r="B1030" t="s">
        <v>8</v>
      </c>
      <c r="C1030">
        <v>72026</v>
      </c>
      <c r="D1030" t="str">
        <f>"72026"</f>
        <v>72026</v>
      </c>
      <c r="E1030">
        <v>76.92</v>
      </c>
    </row>
    <row r="1031" spans="1:5" x14ac:dyDescent="0.2">
      <c r="A1031">
        <v>72027</v>
      </c>
      <c r="B1031" t="s">
        <v>8</v>
      </c>
      <c r="C1031">
        <v>72027</v>
      </c>
      <c r="D1031" t="str">
        <f>"72027"</f>
        <v>72027</v>
      </c>
      <c r="E1031">
        <v>65.38</v>
      </c>
    </row>
    <row r="1032" spans="1:5" x14ac:dyDescent="0.2">
      <c r="A1032">
        <v>72029</v>
      </c>
      <c r="B1032" t="s">
        <v>8</v>
      </c>
      <c r="C1032">
        <v>72029</v>
      </c>
      <c r="D1032" t="str">
        <f>"72029"</f>
        <v>72029</v>
      </c>
      <c r="E1032">
        <v>57.97</v>
      </c>
    </row>
    <row r="1033" spans="1:5" x14ac:dyDescent="0.2">
      <c r="A1033">
        <v>72030</v>
      </c>
      <c r="B1033" t="s">
        <v>8</v>
      </c>
      <c r="C1033">
        <v>72030</v>
      </c>
      <c r="D1033" t="str">
        <f>"72030"</f>
        <v>72030</v>
      </c>
      <c r="E1033">
        <v>64</v>
      </c>
    </row>
    <row r="1034" spans="1:5" x14ac:dyDescent="0.2">
      <c r="A1034">
        <v>72031</v>
      </c>
      <c r="B1034" t="s">
        <v>8</v>
      </c>
      <c r="C1034">
        <v>72031</v>
      </c>
      <c r="D1034" t="str">
        <f>"72031"</f>
        <v>72031</v>
      </c>
      <c r="E1034">
        <v>61.4</v>
      </c>
    </row>
    <row r="1035" spans="1:5" x14ac:dyDescent="0.2">
      <c r="A1035">
        <v>72032</v>
      </c>
      <c r="B1035" t="s">
        <v>8</v>
      </c>
      <c r="C1035">
        <v>72032</v>
      </c>
      <c r="D1035" t="str">
        <f>"72032"</f>
        <v>72032</v>
      </c>
      <c r="E1035">
        <v>65.83</v>
      </c>
    </row>
    <row r="1036" spans="1:5" x14ac:dyDescent="0.2">
      <c r="A1036">
        <v>72034</v>
      </c>
      <c r="B1036" t="s">
        <v>8</v>
      </c>
      <c r="C1036">
        <v>72034</v>
      </c>
      <c r="D1036" t="str">
        <f>"72034"</f>
        <v>72034</v>
      </c>
      <c r="E1036">
        <v>71.17</v>
      </c>
    </row>
    <row r="1037" spans="1:5" x14ac:dyDescent="0.2">
      <c r="A1037">
        <v>72036</v>
      </c>
      <c r="B1037" t="s">
        <v>8</v>
      </c>
      <c r="C1037">
        <v>72036</v>
      </c>
      <c r="D1037" t="str">
        <f>"72036"</f>
        <v>72036</v>
      </c>
      <c r="E1037">
        <v>46.15</v>
      </c>
    </row>
    <row r="1038" spans="1:5" x14ac:dyDescent="0.2">
      <c r="A1038">
        <v>72037</v>
      </c>
      <c r="B1038" t="s">
        <v>8</v>
      </c>
      <c r="C1038">
        <v>72037</v>
      </c>
      <c r="D1038" t="str">
        <f>"72037"</f>
        <v>72037</v>
      </c>
      <c r="E1038" t="s">
        <v>6</v>
      </c>
    </row>
    <row r="1039" spans="1:5" x14ac:dyDescent="0.2">
      <c r="A1039">
        <v>72038</v>
      </c>
      <c r="B1039" t="s">
        <v>8</v>
      </c>
      <c r="C1039">
        <v>72038</v>
      </c>
      <c r="D1039" t="str">
        <f>"72038"</f>
        <v>72038</v>
      </c>
      <c r="E1039" t="s">
        <v>6</v>
      </c>
    </row>
    <row r="1040" spans="1:5" x14ac:dyDescent="0.2">
      <c r="A1040">
        <v>72039</v>
      </c>
      <c r="B1040" t="s">
        <v>8</v>
      </c>
      <c r="C1040">
        <v>72039</v>
      </c>
      <c r="D1040" t="str">
        <f>"72039"</f>
        <v>72039</v>
      </c>
      <c r="E1040">
        <v>64.290000000000006</v>
      </c>
    </row>
    <row r="1041" spans="1:5" x14ac:dyDescent="0.2">
      <c r="A1041">
        <v>72040</v>
      </c>
      <c r="B1041" t="s">
        <v>8</v>
      </c>
      <c r="C1041">
        <v>72040</v>
      </c>
      <c r="D1041" t="str">
        <f>"72040"</f>
        <v>72040</v>
      </c>
      <c r="E1041">
        <v>66.349999999999994</v>
      </c>
    </row>
    <row r="1042" spans="1:5" x14ac:dyDescent="0.2">
      <c r="A1042">
        <v>72041</v>
      </c>
      <c r="B1042" t="s">
        <v>8</v>
      </c>
      <c r="C1042">
        <v>72041</v>
      </c>
      <c r="D1042" t="str">
        <f>"72041"</f>
        <v>72041</v>
      </c>
      <c r="E1042">
        <v>65.31</v>
      </c>
    </row>
    <row r="1043" spans="1:5" x14ac:dyDescent="0.2">
      <c r="A1043">
        <v>72042</v>
      </c>
      <c r="B1043" t="s">
        <v>8</v>
      </c>
      <c r="C1043">
        <v>72042</v>
      </c>
      <c r="D1043" t="str">
        <f>"72042"</f>
        <v>72042</v>
      </c>
      <c r="E1043">
        <v>63.08</v>
      </c>
    </row>
    <row r="1044" spans="1:5" x14ac:dyDescent="0.2">
      <c r="A1044">
        <v>72044</v>
      </c>
      <c r="B1044" t="s">
        <v>8</v>
      </c>
      <c r="C1044">
        <v>72044</v>
      </c>
      <c r="D1044" t="str">
        <f>"72044"</f>
        <v>72044</v>
      </c>
      <c r="E1044">
        <v>68.569999999999993</v>
      </c>
    </row>
    <row r="1045" spans="1:5" x14ac:dyDescent="0.2">
      <c r="A1045">
        <v>72045</v>
      </c>
      <c r="B1045" t="s">
        <v>8</v>
      </c>
      <c r="C1045">
        <v>72045</v>
      </c>
      <c r="D1045" t="str">
        <f>"72045"</f>
        <v>72045</v>
      </c>
      <c r="E1045">
        <v>70.83</v>
      </c>
    </row>
    <row r="1046" spans="1:5" x14ac:dyDescent="0.2">
      <c r="A1046">
        <v>72046</v>
      </c>
      <c r="B1046" t="s">
        <v>8</v>
      </c>
      <c r="C1046">
        <v>72046</v>
      </c>
      <c r="D1046" t="str">
        <f>"72046"</f>
        <v>72046</v>
      </c>
      <c r="E1046">
        <v>62.65</v>
      </c>
    </row>
    <row r="1047" spans="1:5" x14ac:dyDescent="0.2">
      <c r="A1047">
        <v>72047</v>
      </c>
      <c r="B1047" t="s">
        <v>8</v>
      </c>
      <c r="C1047">
        <v>72047</v>
      </c>
      <c r="D1047" t="str">
        <f>"72047"</f>
        <v>72047</v>
      </c>
      <c r="E1047">
        <v>68.290000000000006</v>
      </c>
    </row>
    <row r="1048" spans="1:5" x14ac:dyDescent="0.2">
      <c r="A1048">
        <v>72048</v>
      </c>
      <c r="B1048" t="s">
        <v>8</v>
      </c>
      <c r="C1048">
        <v>72048</v>
      </c>
      <c r="D1048" t="str">
        <f>"72048"</f>
        <v>72048</v>
      </c>
      <c r="E1048" t="s">
        <v>6</v>
      </c>
    </row>
    <row r="1049" spans="1:5" x14ac:dyDescent="0.2">
      <c r="A1049">
        <v>72051</v>
      </c>
      <c r="B1049" t="s">
        <v>8</v>
      </c>
      <c r="C1049">
        <v>72051</v>
      </c>
      <c r="D1049" t="str">
        <f>"72051"</f>
        <v>72051</v>
      </c>
      <c r="E1049">
        <v>55</v>
      </c>
    </row>
    <row r="1050" spans="1:5" x14ac:dyDescent="0.2">
      <c r="A1050">
        <v>72055</v>
      </c>
      <c r="B1050" t="s">
        <v>8</v>
      </c>
      <c r="C1050">
        <v>72055</v>
      </c>
      <c r="D1050" t="str">
        <f>"72055"</f>
        <v>72055</v>
      </c>
      <c r="E1050">
        <v>69.7</v>
      </c>
    </row>
    <row r="1051" spans="1:5" x14ac:dyDescent="0.2">
      <c r="A1051">
        <v>72057</v>
      </c>
      <c r="B1051" t="s">
        <v>8</v>
      </c>
      <c r="C1051">
        <v>72057</v>
      </c>
      <c r="D1051" t="str">
        <f>"72057"</f>
        <v>72057</v>
      </c>
      <c r="E1051">
        <v>72.5</v>
      </c>
    </row>
    <row r="1052" spans="1:5" x14ac:dyDescent="0.2">
      <c r="A1052">
        <v>72058</v>
      </c>
      <c r="B1052" t="s">
        <v>8</v>
      </c>
      <c r="C1052">
        <v>72058</v>
      </c>
      <c r="D1052" t="str">
        <f>"72058"</f>
        <v>72058</v>
      </c>
      <c r="E1052">
        <v>72.36</v>
      </c>
    </row>
    <row r="1053" spans="1:5" x14ac:dyDescent="0.2">
      <c r="A1053">
        <v>72060</v>
      </c>
      <c r="B1053" t="s">
        <v>8</v>
      </c>
      <c r="C1053">
        <v>72060</v>
      </c>
      <c r="D1053" t="str">
        <f>"72060"</f>
        <v>72060</v>
      </c>
      <c r="E1053">
        <v>60.87</v>
      </c>
    </row>
    <row r="1054" spans="1:5" x14ac:dyDescent="0.2">
      <c r="A1054">
        <v>72061</v>
      </c>
      <c r="B1054" t="s">
        <v>8</v>
      </c>
      <c r="C1054">
        <v>72061</v>
      </c>
      <c r="D1054" t="str">
        <f>"72061"</f>
        <v>72061</v>
      </c>
      <c r="E1054">
        <v>72.22</v>
      </c>
    </row>
    <row r="1055" spans="1:5" x14ac:dyDescent="0.2">
      <c r="A1055">
        <v>72063</v>
      </c>
      <c r="B1055" t="s">
        <v>8</v>
      </c>
      <c r="C1055">
        <v>72063</v>
      </c>
      <c r="D1055" t="str">
        <f>"72063"</f>
        <v>72063</v>
      </c>
      <c r="E1055">
        <v>65.569999999999993</v>
      </c>
    </row>
    <row r="1056" spans="1:5" x14ac:dyDescent="0.2">
      <c r="A1056">
        <v>72064</v>
      </c>
      <c r="B1056" t="s">
        <v>8</v>
      </c>
      <c r="C1056">
        <v>72064</v>
      </c>
      <c r="D1056" t="str">
        <f>"72064"</f>
        <v>72064</v>
      </c>
      <c r="E1056">
        <v>70.099999999999994</v>
      </c>
    </row>
    <row r="1057" spans="1:5" x14ac:dyDescent="0.2">
      <c r="A1057">
        <v>72065</v>
      </c>
      <c r="B1057" t="s">
        <v>8</v>
      </c>
      <c r="C1057">
        <v>72065</v>
      </c>
      <c r="D1057" t="str">
        <f>"72065"</f>
        <v>72065</v>
      </c>
      <c r="E1057">
        <v>74.19</v>
      </c>
    </row>
    <row r="1058" spans="1:5" x14ac:dyDescent="0.2">
      <c r="A1058">
        <v>72067</v>
      </c>
      <c r="B1058" t="s">
        <v>8</v>
      </c>
      <c r="C1058">
        <v>72067</v>
      </c>
      <c r="D1058" t="str">
        <f>"72067"</f>
        <v>72067</v>
      </c>
      <c r="E1058">
        <v>65.09</v>
      </c>
    </row>
    <row r="1059" spans="1:5" x14ac:dyDescent="0.2">
      <c r="A1059">
        <v>72068</v>
      </c>
      <c r="B1059" t="s">
        <v>8</v>
      </c>
      <c r="C1059">
        <v>72068</v>
      </c>
      <c r="D1059" t="str">
        <f>"72068"</f>
        <v>72068</v>
      </c>
      <c r="E1059">
        <v>55</v>
      </c>
    </row>
    <row r="1060" spans="1:5" x14ac:dyDescent="0.2">
      <c r="A1060">
        <v>72069</v>
      </c>
      <c r="B1060" t="s">
        <v>8</v>
      </c>
      <c r="C1060">
        <v>72069</v>
      </c>
      <c r="D1060" t="str">
        <f>"72069"</f>
        <v>72069</v>
      </c>
      <c r="E1060">
        <v>57.45</v>
      </c>
    </row>
    <row r="1061" spans="1:5" x14ac:dyDescent="0.2">
      <c r="A1061">
        <v>72070</v>
      </c>
      <c r="B1061" t="s">
        <v>8</v>
      </c>
      <c r="C1061">
        <v>72070</v>
      </c>
      <c r="D1061" t="str">
        <f>"72070"</f>
        <v>72070</v>
      </c>
      <c r="E1061">
        <v>66.67</v>
      </c>
    </row>
    <row r="1062" spans="1:5" x14ac:dyDescent="0.2">
      <c r="A1062">
        <v>72072</v>
      </c>
      <c r="B1062" t="s">
        <v>8</v>
      </c>
      <c r="C1062">
        <v>72072</v>
      </c>
      <c r="D1062" t="str">
        <f>"72072"</f>
        <v>72072</v>
      </c>
      <c r="E1062">
        <v>58.82</v>
      </c>
    </row>
    <row r="1063" spans="1:5" x14ac:dyDescent="0.2">
      <c r="A1063">
        <v>72073</v>
      </c>
      <c r="B1063" t="s">
        <v>8</v>
      </c>
      <c r="C1063">
        <v>72073</v>
      </c>
      <c r="D1063" t="str">
        <f>"72073"</f>
        <v>72073</v>
      </c>
      <c r="E1063">
        <v>70.209999999999994</v>
      </c>
    </row>
    <row r="1064" spans="1:5" x14ac:dyDescent="0.2">
      <c r="A1064">
        <v>72074</v>
      </c>
      <c r="B1064" t="s">
        <v>8</v>
      </c>
      <c r="C1064">
        <v>72074</v>
      </c>
      <c r="D1064" t="str">
        <f>"72074"</f>
        <v>72074</v>
      </c>
      <c r="E1064" t="s">
        <v>6</v>
      </c>
    </row>
    <row r="1065" spans="1:5" x14ac:dyDescent="0.2">
      <c r="A1065">
        <v>72075</v>
      </c>
      <c r="B1065" t="s">
        <v>8</v>
      </c>
      <c r="C1065">
        <v>72075</v>
      </c>
      <c r="D1065" t="str">
        <f>"72075"</f>
        <v>72075</v>
      </c>
      <c r="E1065" t="s">
        <v>6</v>
      </c>
    </row>
    <row r="1066" spans="1:5" x14ac:dyDescent="0.2">
      <c r="A1066">
        <v>72076</v>
      </c>
      <c r="B1066" t="s">
        <v>8</v>
      </c>
      <c r="C1066">
        <v>72076</v>
      </c>
      <c r="D1066" t="str">
        <f>"72076"</f>
        <v>72076</v>
      </c>
      <c r="E1066">
        <v>62.78</v>
      </c>
    </row>
    <row r="1067" spans="1:5" x14ac:dyDescent="0.2">
      <c r="A1067">
        <v>72079</v>
      </c>
      <c r="B1067" t="s">
        <v>8</v>
      </c>
      <c r="C1067">
        <v>72079</v>
      </c>
      <c r="D1067" t="str">
        <f>"72079"</f>
        <v>72079</v>
      </c>
      <c r="E1067">
        <v>73.53</v>
      </c>
    </row>
    <row r="1068" spans="1:5" x14ac:dyDescent="0.2">
      <c r="A1068">
        <v>72080</v>
      </c>
      <c r="B1068" t="s">
        <v>8</v>
      </c>
      <c r="C1068">
        <v>72080</v>
      </c>
      <c r="D1068" t="str">
        <f>"72080"</f>
        <v>72080</v>
      </c>
      <c r="E1068">
        <v>56.52</v>
      </c>
    </row>
    <row r="1069" spans="1:5" x14ac:dyDescent="0.2">
      <c r="A1069">
        <v>72081</v>
      </c>
      <c r="B1069" t="s">
        <v>8</v>
      </c>
      <c r="C1069">
        <v>72081</v>
      </c>
      <c r="D1069" t="str">
        <f>"72081"</f>
        <v>72081</v>
      </c>
      <c r="E1069">
        <v>61.09</v>
      </c>
    </row>
    <row r="1070" spans="1:5" x14ac:dyDescent="0.2">
      <c r="A1070">
        <v>72082</v>
      </c>
      <c r="B1070" t="s">
        <v>8</v>
      </c>
      <c r="C1070">
        <v>72082</v>
      </c>
      <c r="D1070" t="str">
        <f>"72082"</f>
        <v>72082</v>
      </c>
      <c r="E1070">
        <v>53.23</v>
      </c>
    </row>
    <row r="1071" spans="1:5" x14ac:dyDescent="0.2">
      <c r="A1071">
        <v>72083</v>
      </c>
      <c r="B1071" t="s">
        <v>8</v>
      </c>
      <c r="C1071">
        <v>72083</v>
      </c>
      <c r="D1071" t="str">
        <f>"72083"</f>
        <v>72083</v>
      </c>
      <c r="E1071" t="s">
        <v>6</v>
      </c>
    </row>
    <row r="1072" spans="1:5" x14ac:dyDescent="0.2">
      <c r="A1072">
        <v>72084</v>
      </c>
      <c r="B1072" t="s">
        <v>8</v>
      </c>
      <c r="C1072">
        <v>72084</v>
      </c>
      <c r="D1072" t="str">
        <f>"72084"</f>
        <v>72084</v>
      </c>
      <c r="E1072">
        <v>66.67</v>
      </c>
    </row>
    <row r="1073" spans="1:5" x14ac:dyDescent="0.2">
      <c r="A1073">
        <v>72085</v>
      </c>
      <c r="B1073" t="s">
        <v>8</v>
      </c>
      <c r="C1073">
        <v>72085</v>
      </c>
      <c r="D1073" t="str">
        <f>"72085"</f>
        <v>72085</v>
      </c>
      <c r="E1073" t="s">
        <v>6</v>
      </c>
    </row>
    <row r="1074" spans="1:5" x14ac:dyDescent="0.2">
      <c r="A1074">
        <v>72086</v>
      </c>
      <c r="B1074" t="s">
        <v>8</v>
      </c>
      <c r="C1074">
        <v>72086</v>
      </c>
      <c r="D1074" t="str">
        <f>"72086"</f>
        <v>72086</v>
      </c>
      <c r="E1074">
        <v>68.2</v>
      </c>
    </row>
    <row r="1075" spans="1:5" x14ac:dyDescent="0.2">
      <c r="A1075">
        <v>72087</v>
      </c>
      <c r="B1075" t="s">
        <v>8</v>
      </c>
      <c r="C1075">
        <v>72087</v>
      </c>
      <c r="D1075" t="str">
        <f>"72087"</f>
        <v>72087</v>
      </c>
      <c r="E1075">
        <v>69.7</v>
      </c>
    </row>
    <row r="1076" spans="1:5" x14ac:dyDescent="0.2">
      <c r="A1076">
        <v>72088</v>
      </c>
      <c r="B1076" t="s">
        <v>8</v>
      </c>
      <c r="C1076">
        <v>72088</v>
      </c>
      <c r="D1076" t="str">
        <f>"72088"</f>
        <v>72088</v>
      </c>
      <c r="E1076">
        <v>68.48</v>
      </c>
    </row>
    <row r="1077" spans="1:5" x14ac:dyDescent="0.2">
      <c r="A1077">
        <v>72099</v>
      </c>
      <c r="B1077" t="s">
        <v>8</v>
      </c>
      <c r="C1077">
        <v>72099</v>
      </c>
      <c r="D1077" t="str">
        <f>"72099"</f>
        <v>72099</v>
      </c>
      <c r="E1077" t="s">
        <v>6</v>
      </c>
    </row>
    <row r="1078" spans="1:5" x14ac:dyDescent="0.2">
      <c r="A1078">
        <v>72101</v>
      </c>
      <c r="B1078" t="s">
        <v>8</v>
      </c>
      <c r="C1078">
        <v>72101</v>
      </c>
      <c r="D1078" t="str">
        <f>"72101"</f>
        <v>72101</v>
      </c>
      <c r="E1078">
        <v>66.13</v>
      </c>
    </row>
    <row r="1079" spans="1:5" x14ac:dyDescent="0.2">
      <c r="A1079">
        <v>72102</v>
      </c>
      <c r="B1079" t="s">
        <v>8</v>
      </c>
      <c r="C1079">
        <v>72102</v>
      </c>
      <c r="D1079" t="str">
        <f>"72102"</f>
        <v>72102</v>
      </c>
      <c r="E1079">
        <v>63.73</v>
      </c>
    </row>
    <row r="1080" spans="1:5" x14ac:dyDescent="0.2">
      <c r="A1080">
        <v>72103</v>
      </c>
      <c r="B1080" t="s">
        <v>8</v>
      </c>
      <c r="C1080">
        <v>72103</v>
      </c>
      <c r="D1080" t="str">
        <f>"72103"</f>
        <v>72103</v>
      </c>
      <c r="E1080">
        <v>64.180000000000007</v>
      </c>
    </row>
    <row r="1081" spans="1:5" x14ac:dyDescent="0.2">
      <c r="A1081">
        <v>72104</v>
      </c>
      <c r="B1081" t="s">
        <v>8</v>
      </c>
      <c r="C1081">
        <v>72104</v>
      </c>
      <c r="D1081" t="str">
        <f>"72104"</f>
        <v>72104</v>
      </c>
      <c r="E1081">
        <v>63.72</v>
      </c>
    </row>
    <row r="1082" spans="1:5" x14ac:dyDescent="0.2">
      <c r="A1082">
        <v>72106</v>
      </c>
      <c r="B1082" t="s">
        <v>8</v>
      </c>
      <c r="C1082">
        <v>72106</v>
      </c>
      <c r="D1082" t="str">
        <f>"72106"</f>
        <v>72106</v>
      </c>
      <c r="E1082">
        <v>70.349999999999994</v>
      </c>
    </row>
    <row r="1083" spans="1:5" x14ac:dyDescent="0.2">
      <c r="A1083">
        <v>72110</v>
      </c>
      <c r="B1083" t="s">
        <v>8</v>
      </c>
      <c r="C1083">
        <v>72110</v>
      </c>
      <c r="D1083" t="str">
        <f>"72110"</f>
        <v>72110</v>
      </c>
      <c r="E1083">
        <v>65.62</v>
      </c>
    </row>
    <row r="1084" spans="1:5" x14ac:dyDescent="0.2">
      <c r="A1084">
        <v>72111</v>
      </c>
      <c r="B1084" t="s">
        <v>8</v>
      </c>
      <c r="C1084">
        <v>72111</v>
      </c>
      <c r="D1084" t="str">
        <f>"72111"</f>
        <v>72111</v>
      </c>
      <c r="E1084">
        <v>66.67</v>
      </c>
    </row>
    <row r="1085" spans="1:5" x14ac:dyDescent="0.2">
      <c r="A1085">
        <v>72112</v>
      </c>
      <c r="B1085" t="s">
        <v>8</v>
      </c>
      <c r="C1085">
        <v>72112</v>
      </c>
      <c r="D1085" t="str">
        <f>"72112"</f>
        <v>72112</v>
      </c>
      <c r="E1085">
        <v>60.18</v>
      </c>
    </row>
    <row r="1086" spans="1:5" x14ac:dyDescent="0.2">
      <c r="A1086">
        <v>72113</v>
      </c>
      <c r="B1086" t="s">
        <v>8</v>
      </c>
      <c r="C1086">
        <v>72113</v>
      </c>
      <c r="D1086" t="str">
        <f>"72113"</f>
        <v>72113</v>
      </c>
      <c r="E1086">
        <v>75.930000000000007</v>
      </c>
    </row>
    <row r="1087" spans="1:5" x14ac:dyDescent="0.2">
      <c r="A1087">
        <v>72114</v>
      </c>
      <c r="B1087" t="s">
        <v>8</v>
      </c>
      <c r="C1087">
        <v>72114</v>
      </c>
      <c r="D1087" t="str">
        <f>"72114"</f>
        <v>72114</v>
      </c>
      <c r="E1087">
        <v>48.99</v>
      </c>
    </row>
    <row r="1088" spans="1:5" x14ac:dyDescent="0.2">
      <c r="A1088">
        <v>72116</v>
      </c>
      <c r="B1088" t="s">
        <v>8</v>
      </c>
      <c r="C1088">
        <v>72116</v>
      </c>
      <c r="D1088" t="str">
        <f>"72116"</f>
        <v>72116</v>
      </c>
      <c r="E1088">
        <v>77.7</v>
      </c>
    </row>
    <row r="1089" spans="1:5" x14ac:dyDescent="0.2">
      <c r="A1089">
        <v>72117</v>
      </c>
      <c r="B1089" t="s">
        <v>8</v>
      </c>
      <c r="C1089">
        <v>72117</v>
      </c>
      <c r="D1089" t="str">
        <f>"72117"</f>
        <v>72117</v>
      </c>
      <c r="E1089">
        <v>56.15</v>
      </c>
    </row>
    <row r="1090" spans="1:5" x14ac:dyDescent="0.2">
      <c r="A1090">
        <v>72118</v>
      </c>
      <c r="B1090" t="s">
        <v>8</v>
      </c>
      <c r="C1090">
        <v>72118</v>
      </c>
      <c r="D1090" t="str">
        <f>"72118"</f>
        <v>72118</v>
      </c>
      <c r="E1090">
        <v>61.39</v>
      </c>
    </row>
    <row r="1091" spans="1:5" x14ac:dyDescent="0.2">
      <c r="A1091">
        <v>72120</v>
      </c>
      <c r="B1091" t="s">
        <v>8</v>
      </c>
      <c r="C1091">
        <v>72120</v>
      </c>
      <c r="D1091" t="str">
        <f>"72120"</f>
        <v>72120</v>
      </c>
      <c r="E1091">
        <v>74.709999999999994</v>
      </c>
    </row>
    <row r="1092" spans="1:5" x14ac:dyDescent="0.2">
      <c r="A1092">
        <v>72121</v>
      </c>
      <c r="B1092" t="s">
        <v>8</v>
      </c>
      <c r="C1092">
        <v>72121</v>
      </c>
      <c r="D1092" t="str">
        <f>"72121"</f>
        <v>72121</v>
      </c>
      <c r="E1092">
        <v>66</v>
      </c>
    </row>
    <row r="1093" spans="1:5" x14ac:dyDescent="0.2">
      <c r="A1093">
        <v>72122</v>
      </c>
      <c r="B1093" t="s">
        <v>8</v>
      </c>
      <c r="C1093">
        <v>72122</v>
      </c>
      <c r="D1093" t="str">
        <f>"72122"</f>
        <v>72122</v>
      </c>
      <c r="E1093">
        <v>73.08</v>
      </c>
    </row>
    <row r="1094" spans="1:5" x14ac:dyDescent="0.2">
      <c r="A1094">
        <v>72123</v>
      </c>
      <c r="B1094" t="s">
        <v>8</v>
      </c>
      <c r="C1094">
        <v>72123</v>
      </c>
      <c r="D1094" t="str">
        <f>"72123"</f>
        <v>72123</v>
      </c>
      <c r="E1094" t="s">
        <v>6</v>
      </c>
    </row>
    <row r="1095" spans="1:5" x14ac:dyDescent="0.2">
      <c r="A1095">
        <v>72125</v>
      </c>
      <c r="B1095" t="s">
        <v>8</v>
      </c>
      <c r="C1095">
        <v>72125</v>
      </c>
      <c r="D1095" t="str">
        <f>"72125"</f>
        <v>72125</v>
      </c>
      <c r="E1095">
        <v>59.38</v>
      </c>
    </row>
    <row r="1096" spans="1:5" x14ac:dyDescent="0.2">
      <c r="A1096">
        <v>72126</v>
      </c>
      <c r="B1096" t="s">
        <v>8</v>
      </c>
      <c r="C1096">
        <v>72126</v>
      </c>
      <c r="D1096" t="str">
        <f>"72126"</f>
        <v>72126</v>
      </c>
      <c r="E1096">
        <v>69.72</v>
      </c>
    </row>
    <row r="1097" spans="1:5" x14ac:dyDescent="0.2">
      <c r="A1097">
        <v>72127</v>
      </c>
      <c r="B1097" t="s">
        <v>8</v>
      </c>
      <c r="C1097">
        <v>72127</v>
      </c>
      <c r="D1097" t="str">
        <f>"72127"</f>
        <v>72127</v>
      </c>
      <c r="E1097">
        <v>70</v>
      </c>
    </row>
    <row r="1098" spans="1:5" x14ac:dyDescent="0.2">
      <c r="A1098">
        <v>72128</v>
      </c>
      <c r="B1098" t="s">
        <v>8</v>
      </c>
      <c r="C1098">
        <v>72128</v>
      </c>
      <c r="D1098" t="str">
        <f>"72128"</f>
        <v>72128</v>
      </c>
      <c r="E1098">
        <v>70.59</v>
      </c>
    </row>
    <row r="1099" spans="1:5" x14ac:dyDescent="0.2">
      <c r="A1099">
        <v>72129</v>
      </c>
      <c r="B1099" t="s">
        <v>8</v>
      </c>
      <c r="C1099">
        <v>72129</v>
      </c>
      <c r="D1099" t="str">
        <f>"72129"</f>
        <v>72129</v>
      </c>
      <c r="E1099">
        <v>72.22</v>
      </c>
    </row>
    <row r="1100" spans="1:5" x14ac:dyDescent="0.2">
      <c r="A1100">
        <v>72130</v>
      </c>
      <c r="B1100" t="s">
        <v>8</v>
      </c>
      <c r="C1100">
        <v>72130</v>
      </c>
      <c r="D1100" t="str">
        <f>"72130"</f>
        <v>72130</v>
      </c>
      <c r="E1100">
        <v>62.5</v>
      </c>
    </row>
    <row r="1101" spans="1:5" x14ac:dyDescent="0.2">
      <c r="A1101">
        <v>72131</v>
      </c>
      <c r="B1101" t="s">
        <v>8</v>
      </c>
      <c r="C1101">
        <v>72131</v>
      </c>
      <c r="D1101" t="str">
        <f>"72131"</f>
        <v>72131</v>
      </c>
      <c r="E1101">
        <v>67.819999999999993</v>
      </c>
    </row>
    <row r="1102" spans="1:5" x14ac:dyDescent="0.2">
      <c r="A1102">
        <v>72132</v>
      </c>
      <c r="B1102" t="s">
        <v>8</v>
      </c>
      <c r="C1102">
        <v>72132</v>
      </c>
      <c r="D1102" t="str">
        <f>"72132"</f>
        <v>72132</v>
      </c>
      <c r="E1102">
        <v>72.11</v>
      </c>
    </row>
    <row r="1103" spans="1:5" x14ac:dyDescent="0.2">
      <c r="A1103">
        <v>72134</v>
      </c>
      <c r="B1103" t="s">
        <v>8</v>
      </c>
      <c r="C1103">
        <v>72134</v>
      </c>
      <c r="D1103" t="str">
        <f>"72134"</f>
        <v>72134</v>
      </c>
      <c r="E1103">
        <v>78.569999999999993</v>
      </c>
    </row>
    <row r="1104" spans="1:5" x14ac:dyDescent="0.2">
      <c r="A1104">
        <v>72135</v>
      </c>
      <c r="B1104" t="s">
        <v>8</v>
      </c>
      <c r="C1104">
        <v>72135</v>
      </c>
      <c r="D1104" t="str">
        <f>"72135"</f>
        <v>72135</v>
      </c>
      <c r="E1104">
        <v>73.39</v>
      </c>
    </row>
    <row r="1105" spans="1:5" x14ac:dyDescent="0.2">
      <c r="A1105">
        <v>72136</v>
      </c>
      <c r="B1105" t="s">
        <v>8</v>
      </c>
      <c r="C1105">
        <v>72136</v>
      </c>
      <c r="D1105" t="str">
        <f>"72136"</f>
        <v>72136</v>
      </c>
      <c r="E1105">
        <v>66.67</v>
      </c>
    </row>
    <row r="1106" spans="1:5" x14ac:dyDescent="0.2">
      <c r="A1106">
        <v>72137</v>
      </c>
      <c r="B1106" t="s">
        <v>8</v>
      </c>
      <c r="C1106">
        <v>72137</v>
      </c>
      <c r="D1106" t="str">
        <f>"72137"</f>
        <v>72137</v>
      </c>
      <c r="E1106">
        <v>63.16</v>
      </c>
    </row>
    <row r="1107" spans="1:5" x14ac:dyDescent="0.2">
      <c r="A1107">
        <v>72139</v>
      </c>
      <c r="B1107" t="s">
        <v>8</v>
      </c>
      <c r="C1107">
        <v>72139</v>
      </c>
      <c r="D1107" t="str">
        <f>"72139"</f>
        <v>72139</v>
      </c>
      <c r="E1107" t="s">
        <v>6</v>
      </c>
    </row>
    <row r="1108" spans="1:5" x14ac:dyDescent="0.2">
      <c r="A1108">
        <v>72140</v>
      </c>
      <c r="B1108" t="s">
        <v>8</v>
      </c>
      <c r="C1108">
        <v>72140</v>
      </c>
      <c r="D1108" t="str">
        <f>"72140"</f>
        <v>72140</v>
      </c>
      <c r="E1108">
        <v>72.73</v>
      </c>
    </row>
    <row r="1109" spans="1:5" x14ac:dyDescent="0.2">
      <c r="A1109">
        <v>72141</v>
      </c>
      <c r="B1109" t="s">
        <v>8</v>
      </c>
      <c r="C1109">
        <v>72141</v>
      </c>
      <c r="D1109" t="str">
        <f>"72141"</f>
        <v>72141</v>
      </c>
      <c r="E1109">
        <v>50</v>
      </c>
    </row>
    <row r="1110" spans="1:5" x14ac:dyDescent="0.2">
      <c r="A1110">
        <v>72142</v>
      </c>
      <c r="B1110" t="s">
        <v>8</v>
      </c>
      <c r="C1110">
        <v>72142</v>
      </c>
      <c r="D1110" t="str">
        <f>"72142"</f>
        <v>72142</v>
      </c>
      <c r="E1110">
        <v>72.319999999999993</v>
      </c>
    </row>
    <row r="1111" spans="1:5" x14ac:dyDescent="0.2">
      <c r="A1111">
        <v>72143</v>
      </c>
      <c r="B1111" t="s">
        <v>8</v>
      </c>
      <c r="C1111">
        <v>72143</v>
      </c>
      <c r="D1111" t="str">
        <f>"72143"</f>
        <v>72143</v>
      </c>
      <c r="E1111">
        <v>66.430000000000007</v>
      </c>
    </row>
    <row r="1112" spans="1:5" x14ac:dyDescent="0.2">
      <c r="A1112">
        <v>72150</v>
      </c>
      <c r="B1112" t="s">
        <v>8</v>
      </c>
      <c r="C1112">
        <v>72150</v>
      </c>
      <c r="D1112" t="str">
        <f>"72150"</f>
        <v>72150</v>
      </c>
      <c r="E1112">
        <v>72.98</v>
      </c>
    </row>
    <row r="1113" spans="1:5" x14ac:dyDescent="0.2">
      <c r="A1113">
        <v>72152</v>
      </c>
      <c r="B1113" t="s">
        <v>8</v>
      </c>
      <c r="C1113">
        <v>72152</v>
      </c>
      <c r="D1113" t="str">
        <f>"72152"</f>
        <v>72152</v>
      </c>
      <c r="E1113">
        <v>56.25</v>
      </c>
    </row>
    <row r="1114" spans="1:5" x14ac:dyDescent="0.2">
      <c r="A1114">
        <v>72153</v>
      </c>
      <c r="B1114" t="s">
        <v>8</v>
      </c>
      <c r="C1114">
        <v>72153</v>
      </c>
      <c r="D1114" t="str">
        <f>"72153"</f>
        <v>72153</v>
      </c>
      <c r="E1114">
        <v>60</v>
      </c>
    </row>
    <row r="1115" spans="1:5" x14ac:dyDescent="0.2">
      <c r="A1115">
        <v>72156</v>
      </c>
      <c r="B1115" t="s">
        <v>8</v>
      </c>
      <c r="C1115">
        <v>72156</v>
      </c>
      <c r="D1115" t="str">
        <f>"72156"</f>
        <v>72156</v>
      </c>
      <c r="E1115">
        <v>66.67</v>
      </c>
    </row>
    <row r="1116" spans="1:5" x14ac:dyDescent="0.2">
      <c r="A1116">
        <v>72157</v>
      </c>
      <c r="B1116" t="s">
        <v>8</v>
      </c>
      <c r="C1116">
        <v>72157</v>
      </c>
      <c r="D1116" t="str">
        <f>"72157"</f>
        <v>72157</v>
      </c>
      <c r="E1116">
        <v>67.239999999999995</v>
      </c>
    </row>
    <row r="1117" spans="1:5" x14ac:dyDescent="0.2">
      <c r="A1117">
        <v>72160</v>
      </c>
      <c r="B1117" t="s">
        <v>8</v>
      </c>
      <c r="C1117">
        <v>72160</v>
      </c>
      <c r="D1117" t="str">
        <f>"72160"</f>
        <v>72160</v>
      </c>
      <c r="E1117">
        <v>64.290000000000006</v>
      </c>
    </row>
    <row r="1118" spans="1:5" x14ac:dyDescent="0.2">
      <c r="A1118">
        <v>72165</v>
      </c>
      <c r="B1118" t="s">
        <v>8</v>
      </c>
      <c r="C1118">
        <v>72165</v>
      </c>
      <c r="D1118" t="str">
        <f>"72165"</f>
        <v>72165</v>
      </c>
      <c r="E1118" t="s">
        <v>6</v>
      </c>
    </row>
    <row r="1119" spans="1:5" x14ac:dyDescent="0.2">
      <c r="A1119">
        <v>72166</v>
      </c>
      <c r="B1119" t="s">
        <v>8</v>
      </c>
      <c r="C1119">
        <v>72166</v>
      </c>
      <c r="D1119" t="str">
        <f>"72166"</f>
        <v>72166</v>
      </c>
      <c r="E1119">
        <v>66.67</v>
      </c>
    </row>
    <row r="1120" spans="1:5" x14ac:dyDescent="0.2">
      <c r="A1120">
        <v>72167</v>
      </c>
      <c r="B1120" t="s">
        <v>8</v>
      </c>
      <c r="C1120">
        <v>72167</v>
      </c>
      <c r="D1120" t="str">
        <f>"72167"</f>
        <v>72167</v>
      </c>
      <c r="E1120">
        <v>69.12</v>
      </c>
    </row>
    <row r="1121" spans="1:5" x14ac:dyDescent="0.2">
      <c r="A1121">
        <v>72168</v>
      </c>
      <c r="B1121" t="s">
        <v>8</v>
      </c>
      <c r="C1121">
        <v>72168</v>
      </c>
      <c r="D1121" t="str">
        <f>"72168"</f>
        <v>72168</v>
      </c>
      <c r="E1121">
        <v>57.14</v>
      </c>
    </row>
    <row r="1122" spans="1:5" x14ac:dyDescent="0.2">
      <c r="A1122">
        <v>72170</v>
      </c>
      <c r="B1122" t="s">
        <v>8</v>
      </c>
      <c r="C1122">
        <v>72170</v>
      </c>
      <c r="D1122" t="str">
        <f>"72170"</f>
        <v>72170</v>
      </c>
      <c r="E1122" t="s">
        <v>6</v>
      </c>
    </row>
    <row r="1123" spans="1:5" x14ac:dyDescent="0.2">
      <c r="A1123">
        <v>72173</v>
      </c>
      <c r="B1123" t="s">
        <v>8</v>
      </c>
      <c r="C1123">
        <v>72173</v>
      </c>
      <c r="D1123" t="str">
        <f>"72173"</f>
        <v>72173</v>
      </c>
      <c r="E1123">
        <v>71.83</v>
      </c>
    </row>
    <row r="1124" spans="1:5" x14ac:dyDescent="0.2">
      <c r="A1124">
        <v>72175</v>
      </c>
      <c r="B1124" t="s">
        <v>8</v>
      </c>
      <c r="C1124">
        <v>72175</v>
      </c>
      <c r="D1124" t="str">
        <f>"72175"</f>
        <v>72175</v>
      </c>
      <c r="E1124">
        <v>53.85</v>
      </c>
    </row>
    <row r="1125" spans="1:5" x14ac:dyDescent="0.2">
      <c r="A1125">
        <v>72176</v>
      </c>
      <c r="B1125" t="s">
        <v>8</v>
      </c>
      <c r="C1125">
        <v>72176</v>
      </c>
      <c r="D1125" t="str">
        <f>"72176"</f>
        <v>72176</v>
      </c>
      <c r="E1125">
        <v>67.41</v>
      </c>
    </row>
    <row r="1126" spans="1:5" x14ac:dyDescent="0.2">
      <c r="A1126">
        <v>72179</v>
      </c>
      <c r="B1126" t="s">
        <v>8</v>
      </c>
      <c r="C1126">
        <v>72179</v>
      </c>
      <c r="D1126" t="str">
        <f>"72179"</f>
        <v>72179</v>
      </c>
      <c r="E1126">
        <v>61.9</v>
      </c>
    </row>
    <row r="1127" spans="1:5" x14ac:dyDescent="0.2">
      <c r="A1127">
        <v>72181</v>
      </c>
      <c r="B1127" t="s">
        <v>8</v>
      </c>
      <c r="C1127">
        <v>72181</v>
      </c>
      <c r="D1127" t="str">
        <f>"72181"</f>
        <v>72181</v>
      </c>
      <c r="E1127">
        <v>75</v>
      </c>
    </row>
    <row r="1128" spans="1:5" x14ac:dyDescent="0.2">
      <c r="A1128">
        <v>72199</v>
      </c>
      <c r="B1128" t="s">
        <v>8</v>
      </c>
      <c r="C1128">
        <v>72199</v>
      </c>
      <c r="D1128" t="str">
        <f>"72199"</f>
        <v>72199</v>
      </c>
      <c r="E1128" t="s">
        <v>6</v>
      </c>
    </row>
    <row r="1129" spans="1:5" x14ac:dyDescent="0.2">
      <c r="A1129">
        <v>72201</v>
      </c>
      <c r="B1129" t="s">
        <v>8</v>
      </c>
      <c r="C1129">
        <v>72201</v>
      </c>
      <c r="D1129" t="str">
        <f>"72201"</f>
        <v>72201</v>
      </c>
      <c r="E1129">
        <v>80</v>
      </c>
    </row>
    <row r="1130" spans="1:5" x14ac:dyDescent="0.2">
      <c r="A1130">
        <v>72202</v>
      </c>
      <c r="B1130" t="s">
        <v>8</v>
      </c>
      <c r="C1130">
        <v>72202</v>
      </c>
      <c r="D1130" t="str">
        <f>"72202"</f>
        <v>72202</v>
      </c>
      <c r="E1130">
        <v>69.06</v>
      </c>
    </row>
    <row r="1131" spans="1:5" x14ac:dyDescent="0.2">
      <c r="A1131">
        <v>72204</v>
      </c>
      <c r="B1131" t="s">
        <v>8</v>
      </c>
      <c r="C1131">
        <v>72204</v>
      </c>
      <c r="D1131" t="str">
        <f>"72204"</f>
        <v>72204</v>
      </c>
      <c r="E1131">
        <v>55.13</v>
      </c>
    </row>
    <row r="1132" spans="1:5" x14ac:dyDescent="0.2">
      <c r="A1132">
        <v>72205</v>
      </c>
      <c r="B1132" t="s">
        <v>8</v>
      </c>
      <c r="C1132">
        <v>72205</v>
      </c>
      <c r="D1132" t="str">
        <f>"72205"</f>
        <v>72205</v>
      </c>
      <c r="E1132">
        <v>75.38</v>
      </c>
    </row>
    <row r="1133" spans="1:5" x14ac:dyDescent="0.2">
      <c r="A1133">
        <v>72206</v>
      </c>
      <c r="B1133" t="s">
        <v>8</v>
      </c>
      <c r="C1133">
        <v>72206</v>
      </c>
      <c r="D1133" t="str">
        <f>"72206"</f>
        <v>72206</v>
      </c>
      <c r="E1133">
        <v>60.89</v>
      </c>
    </row>
    <row r="1134" spans="1:5" x14ac:dyDescent="0.2">
      <c r="A1134">
        <v>72207</v>
      </c>
      <c r="B1134" t="s">
        <v>8</v>
      </c>
      <c r="C1134">
        <v>72207</v>
      </c>
      <c r="D1134" t="str">
        <f>"72207"</f>
        <v>72207</v>
      </c>
      <c r="E1134">
        <v>81.31</v>
      </c>
    </row>
    <row r="1135" spans="1:5" x14ac:dyDescent="0.2">
      <c r="A1135">
        <v>72209</v>
      </c>
      <c r="B1135" t="s">
        <v>8</v>
      </c>
      <c r="C1135">
        <v>72209</v>
      </c>
      <c r="D1135" t="str">
        <f>"72209"</f>
        <v>72209</v>
      </c>
      <c r="E1135">
        <v>46.34</v>
      </c>
    </row>
    <row r="1136" spans="1:5" x14ac:dyDescent="0.2">
      <c r="A1136">
        <v>72210</v>
      </c>
      <c r="B1136" t="s">
        <v>8</v>
      </c>
      <c r="C1136">
        <v>72210</v>
      </c>
      <c r="D1136" t="str">
        <f>"72210"</f>
        <v>72210</v>
      </c>
      <c r="E1136">
        <v>68.180000000000007</v>
      </c>
    </row>
    <row r="1137" spans="1:5" x14ac:dyDescent="0.2">
      <c r="A1137">
        <v>72211</v>
      </c>
      <c r="B1137" t="s">
        <v>8</v>
      </c>
      <c r="C1137">
        <v>72211</v>
      </c>
      <c r="D1137" t="str">
        <f>"72211"</f>
        <v>72211</v>
      </c>
      <c r="E1137">
        <v>77.34</v>
      </c>
    </row>
    <row r="1138" spans="1:5" x14ac:dyDescent="0.2">
      <c r="A1138">
        <v>72212</v>
      </c>
      <c r="B1138" t="s">
        <v>8</v>
      </c>
      <c r="C1138">
        <v>72212</v>
      </c>
      <c r="D1138" t="str">
        <f>"72212"</f>
        <v>72212</v>
      </c>
      <c r="E1138">
        <v>81.900000000000006</v>
      </c>
    </row>
    <row r="1139" spans="1:5" x14ac:dyDescent="0.2">
      <c r="A1139">
        <v>72223</v>
      </c>
      <c r="B1139" t="s">
        <v>8</v>
      </c>
      <c r="C1139">
        <v>72223</v>
      </c>
      <c r="D1139" t="str">
        <f>"72223"</f>
        <v>72223</v>
      </c>
      <c r="E1139">
        <v>79.930000000000007</v>
      </c>
    </row>
    <row r="1140" spans="1:5" x14ac:dyDescent="0.2">
      <c r="A1140">
        <v>72227</v>
      </c>
      <c r="B1140" t="s">
        <v>8</v>
      </c>
      <c r="C1140">
        <v>72227</v>
      </c>
      <c r="D1140" t="str">
        <f>"72227"</f>
        <v>72227</v>
      </c>
      <c r="E1140">
        <v>73.89</v>
      </c>
    </row>
    <row r="1141" spans="1:5" x14ac:dyDescent="0.2">
      <c r="A1141">
        <v>72301</v>
      </c>
      <c r="B1141" t="s">
        <v>8</v>
      </c>
      <c r="C1141">
        <v>72301</v>
      </c>
      <c r="D1141" t="str">
        <f>"72301"</f>
        <v>72301</v>
      </c>
      <c r="E1141">
        <v>48.67</v>
      </c>
    </row>
    <row r="1142" spans="1:5" x14ac:dyDescent="0.2">
      <c r="A1142">
        <v>72310</v>
      </c>
      <c r="B1142" t="s">
        <v>8</v>
      </c>
      <c r="C1142">
        <v>72310</v>
      </c>
      <c r="D1142" t="str">
        <f>"72310"</f>
        <v>72310</v>
      </c>
      <c r="E1142" t="s">
        <v>6</v>
      </c>
    </row>
    <row r="1143" spans="1:5" x14ac:dyDescent="0.2">
      <c r="A1143">
        <v>72313</v>
      </c>
      <c r="B1143" t="s">
        <v>8</v>
      </c>
      <c r="C1143">
        <v>72313</v>
      </c>
      <c r="D1143" t="str">
        <f>"72313"</f>
        <v>72313</v>
      </c>
      <c r="E1143" t="s">
        <v>6</v>
      </c>
    </row>
    <row r="1144" spans="1:5" x14ac:dyDescent="0.2">
      <c r="A1144">
        <v>72315</v>
      </c>
      <c r="B1144" t="s">
        <v>8</v>
      </c>
      <c r="C1144">
        <v>72315</v>
      </c>
      <c r="D1144" t="str">
        <f>"72315"</f>
        <v>72315</v>
      </c>
      <c r="E1144">
        <v>57.07</v>
      </c>
    </row>
    <row r="1145" spans="1:5" x14ac:dyDescent="0.2">
      <c r="A1145">
        <v>72320</v>
      </c>
      <c r="B1145" t="s">
        <v>8</v>
      </c>
      <c r="C1145">
        <v>72320</v>
      </c>
      <c r="D1145" t="str">
        <f>"72320"</f>
        <v>72320</v>
      </c>
      <c r="E1145" t="s">
        <v>6</v>
      </c>
    </row>
    <row r="1146" spans="1:5" x14ac:dyDescent="0.2">
      <c r="A1146">
        <v>72321</v>
      </c>
      <c r="B1146" t="s">
        <v>8</v>
      </c>
      <c r="C1146">
        <v>72321</v>
      </c>
      <c r="D1146" t="str">
        <f>"72321"</f>
        <v>72321</v>
      </c>
      <c r="E1146" t="s">
        <v>6</v>
      </c>
    </row>
    <row r="1147" spans="1:5" x14ac:dyDescent="0.2">
      <c r="A1147">
        <v>72324</v>
      </c>
      <c r="B1147" t="s">
        <v>8</v>
      </c>
      <c r="C1147">
        <v>72324</v>
      </c>
      <c r="D1147" t="str">
        <f>"72324"</f>
        <v>72324</v>
      </c>
      <c r="E1147">
        <v>61.04</v>
      </c>
    </row>
    <row r="1148" spans="1:5" x14ac:dyDescent="0.2">
      <c r="A1148">
        <v>72325</v>
      </c>
      <c r="B1148" t="s">
        <v>8</v>
      </c>
      <c r="C1148">
        <v>72325</v>
      </c>
      <c r="D1148" t="str">
        <f>"72325"</f>
        <v>72325</v>
      </c>
      <c r="E1148" t="s">
        <v>6</v>
      </c>
    </row>
    <row r="1149" spans="1:5" x14ac:dyDescent="0.2">
      <c r="A1149">
        <v>72326</v>
      </c>
      <c r="B1149" t="s">
        <v>8</v>
      </c>
      <c r="C1149">
        <v>72326</v>
      </c>
      <c r="D1149" t="str">
        <f>"72326"</f>
        <v>72326</v>
      </c>
      <c r="E1149">
        <v>60.87</v>
      </c>
    </row>
    <row r="1150" spans="1:5" x14ac:dyDescent="0.2">
      <c r="A1150">
        <v>72327</v>
      </c>
      <c r="B1150" t="s">
        <v>8</v>
      </c>
      <c r="C1150">
        <v>72327</v>
      </c>
      <c r="D1150" t="str">
        <f>"72327"</f>
        <v>72327</v>
      </c>
      <c r="E1150">
        <v>62.9</v>
      </c>
    </row>
    <row r="1151" spans="1:5" x14ac:dyDescent="0.2">
      <c r="A1151">
        <v>72328</v>
      </c>
      <c r="B1151" t="s">
        <v>8</v>
      </c>
      <c r="C1151">
        <v>72328</v>
      </c>
      <c r="D1151" t="str">
        <f>"72328"</f>
        <v>72328</v>
      </c>
      <c r="E1151" t="s">
        <v>6</v>
      </c>
    </row>
    <row r="1152" spans="1:5" x14ac:dyDescent="0.2">
      <c r="A1152">
        <v>72330</v>
      </c>
      <c r="B1152" t="s">
        <v>8</v>
      </c>
      <c r="C1152">
        <v>72330</v>
      </c>
      <c r="D1152" t="str">
        <f>"72330"</f>
        <v>72330</v>
      </c>
      <c r="E1152">
        <v>55</v>
      </c>
    </row>
    <row r="1153" spans="1:5" x14ac:dyDescent="0.2">
      <c r="A1153">
        <v>72331</v>
      </c>
      <c r="B1153" t="s">
        <v>8</v>
      </c>
      <c r="C1153">
        <v>72331</v>
      </c>
      <c r="D1153" t="str">
        <f>"72331"</f>
        <v>72331</v>
      </c>
      <c r="E1153">
        <v>43.48</v>
      </c>
    </row>
    <row r="1154" spans="1:5" x14ac:dyDescent="0.2">
      <c r="A1154">
        <v>72332</v>
      </c>
      <c r="B1154" t="s">
        <v>8</v>
      </c>
      <c r="C1154">
        <v>72332</v>
      </c>
      <c r="D1154" t="str">
        <f>"72332"</f>
        <v>72332</v>
      </c>
      <c r="E1154" t="s">
        <v>6</v>
      </c>
    </row>
    <row r="1155" spans="1:5" x14ac:dyDescent="0.2">
      <c r="A1155">
        <v>72333</v>
      </c>
      <c r="B1155" t="s">
        <v>8</v>
      </c>
      <c r="C1155">
        <v>72333</v>
      </c>
      <c r="D1155" t="str">
        <f>"72333"</f>
        <v>72333</v>
      </c>
      <c r="E1155">
        <v>54.84</v>
      </c>
    </row>
    <row r="1156" spans="1:5" x14ac:dyDescent="0.2">
      <c r="A1156">
        <v>72335</v>
      </c>
      <c r="B1156" t="s">
        <v>8</v>
      </c>
      <c r="C1156">
        <v>72335</v>
      </c>
      <c r="D1156" t="str">
        <f>"72335"</f>
        <v>72335</v>
      </c>
      <c r="E1156">
        <v>48.28</v>
      </c>
    </row>
    <row r="1157" spans="1:5" x14ac:dyDescent="0.2">
      <c r="A1157">
        <v>72338</v>
      </c>
      <c r="B1157" t="s">
        <v>8</v>
      </c>
      <c r="C1157">
        <v>72338</v>
      </c>
      <c r="D1157" t="str">
        <f>"72338"</f>
        <v>72338</v>
      </c>
      <c r="E1157" t="s">
        <v>6</v>
      </c>
    </row>
    <row r="1158" spans="1:5" x14ac:dyDescent="0.2">
      <c r="A1158">
        <v>72339</v>
      </c>
      <c r="B1158" t="s">
        <v>8</v>
      </c>
      <c r="C1158">
        <v>72339</v>
      </c>
      <c r="D1158" t="str">
        <f>"72339"</f>
        <v>72339</v>
      </c>
      <c r="E1158" t="s">
        <v>6</v>
      </c>
    </row>
    <row r="1159" spans="1:5" x14ac:dyDescent="0.2">
      <c r="A1159">
        <v>72340</v>
      </c>
      <c r="B1159" t="s">
        <v>8</v>
      </c>
      <c r="C1159">
        <v>72340</v>
      </c>
      <c r="D1159" t="str">
        <f>"72340"</f>
        <v>72340</v>
      </c>
      <c r="E1159" t="s">
        <v>6</v>
      </c>
    </row>
    <row r="1160" spans="1:5" x14ac:dyDescent="0.2">
      <c r="A1160">
        <v>72341</v>
      </c>
      <c r="B1160" t="s">
        <v>8</v>
      </c>
      <c r="C1160">
        <v>72341</v>
      </c>
      <c r="D1160" t="str">
        <f>"72341"</f>
        <v>72341</v>
      </c>
      <c r="E1160" t="s">
        <v>6</v>
      </c>
    </row>
    <row r="1161" spans="1:5" x14ac:dyDescent="0.2">
      <c r="A1161">
        <v>72342</v>
      </c>
      <c r="B1161" t="s">
        <v>8</v>
      </c>
      <c r="C1161">
        <v>72342</v>
      </c>
      <c r="D1161" t="str">
        <f>"72342"</f>
        <v>72342</v>
      </c>
      <c r="E1161">
        <v>51.72</v>
      </c>
    </row>
    <row r="1162" spans="1:5" x14ac:dyDescent="0.2">
      <c r="A1162">
        <v>72346</v>
      </c>
      <c r="B1162" t="s">
        <v>8</v>
      </c>
      <c r="C1162">
        <v>72346</v>
      </c>
      <c r="D1162" t="str">
        <f>"72346"</f>
        <v>72346</v>
      </c>
      <c r="E1162">
        <v>60</v>
      </c>
    </row>
    <row r="1163" spans="1:5" x14ac:dyDescent="0.2">
      <c r="A1163">
        <v>72347</v>
      </c>
      <c r="B1163" t="s">
        <v>8</v>
      </c>
      <c r="C1163">
        <v>72347</v>
      </c>
      <c r="D1163" t="str">
        <f>"72347"</f>
        <v>72347</v>
      </c>
      <c r="E1163">
        <v>64</v>
      </c>
    </row>
    <row r="1164" spans="1:5" x14ac:dyDescent="0.2">
      <c r="A1164">
        <v>72348</v>
      </c>
      <c r="B1164" t="s">
        <v>8</v>
      </c>
      <c r="C1164">
        <v>72348</v>
      </c>
      <c r="D1164" t="str">
        <f>"72348"</f>
        <v>72348</v>
      </c>
      <c r="E1164">
        <v>52.56</v>
      </c>
    </row>
    <row r="1165" spans="1:5" x14ac:dyDescent="0.2">
      <c r="A1165">
        <v>72350</v>
      </c>
      <c r="B1165" t="s">
        <v>8</v>
      </c>
      <c r="C1165">
        <v>72350</v>
      </c>
      <c r="D1165" t="str">
        <f>"72350"</f>
        <v>72350</v>
      </c>
      <c r="E1165">
        <v>57.58</v>
      </c>
    </row>
    <row r="1166" spans="1:5" x14ac:dyDescent="0.2">
      <c r="A1166">
        <v>72351</v>
      </c>
      <c r="B1166" t="s">
        <v>8</v>
      </c>
      <c r="C1166">
        <v>72351</v>
      </c>
      <c r="D1166" t="str">
        <f>"72351"</f>
        <v>72351</v>
      </c>
      <c r="E1166" t="s">
        <v>6</v>
      </c>
    </row>
    <row r="1167" spans="1:5" x14ac:dyDescent="0.2">
      <c r="A1167">
        <v>72352</v>
      </c>
      <c r="B1167" t="s">
        <v>8</v>
      </c>
      <c r="C1167">
        <v>72352</v>
      </c>
      <c r="D1167" t="str">
        <f>"72352"</f>
        <v>72352</v>
      </c>
      <c r="E1167" t="s">
        <v>6</v>
      </c>
    </row>
    <row r="1168" spans="1:5" x14ac:dyDescent="0.2">
      <c r="A1168">
        <v>72354</v>
      </c>
      <c r="B1168" t="s">
        <v>8</v>
      </c>
      <c r="C1168">
        <v>72354</v>
      </c>
      <c r="D1168" t="str">
        <f>"72354"</f>
        <v>72354</v>
      </c>
      <c r="E1168">
        <v>59.52</v>
      </c>
    </row>
    <row r="1169" spans="1:5" x14ac:dyDescent="0.2">
      <c r="A1169">
        <v>72355</v>
      </c>
      <c r="B1169" t="s">
        <v>8</v>
      </c>
      <c r="C1169">
        <v>72355</v>
      </c>
      <c r="D1169" t="str">
        <f>"72355"</f>
        <v>72355</v>
      </c>
      <c r="E1169">
        <v>61.18</v>
      </c>
    </row>
    <row r="1170" spans="1:5" x14ac:dyDescent="0.2">
      <c r="A1170">
        <v>72358</v>
      </c>
      <c r="B1170" t="s">
        <v>8</v>
      </c>
      <c r="C1170">
        <v>72358</v>
      </c>
      <c r="D1170" t="str">
        <f>"72358"</f>
        <v>72358</v>
      </c>
      <c r="E1170">
        <v>45.45</v>
      </c>
    </row>
    <row r="1171" spans="1:5" x14ac:dyDescent="0.2">
      <c r="A1171">
        <v>72359</v>
      </c>
      <c r="B1171" t="s">
        <v>8</v>
      </c>
      <c r="C1171">
        <v>72359</v>
      </c>
      <c r="D1171" t="str">
        <f>"72359"</f>
        <v>72359</v>
      </c>
      <c r="E1171" t="s">
        <v>6</v>
      </c>
    </row>
    <row r="1172" spans="1:5" x14ac:dyDescent="0.2">
      <c r="A1172">
        <v>72360</v>
      </c>
      <c r="B1172" t="s">
        <v>8</v>
      </c>
      <c r="C1172">
        <v>72360</v>
      </c>
      <c r="D1172" t="str">
        <f>"72360"</f>
        <v>72360</v>
      </c>
      <c r="E1172">
        <v>47.8</v>
      </c>
    </row>
    <row r="1173" spans="1:5" x14ac:dyDescent="0.2">
      <c r="A1173">
        <v>72364</v>
      </c>
      <c r="B1173" t="s">
        <v>8</v>
      </c>
      <c r="C1173">
        <v>72364</v>
      </c>
      <c r="D1173" t="str">
        <f>"72364"</f>
        <v>72364</v>
      </c>
      <c r="E1173">
        <v>65.989999999999995</v>
      </c>
    </row>
    <row r="1174" spans="1:5" x14ac:dyDescent="0.2">
      <c r="A1174">
        <v>72365</v>
      </c>
      <c r="B1174" t="s">
        <v>8</v>
      </c>
      <c r="C1174">
        <v>72365</v>
      </c>
      <c r="D1174" t="str">
        <f>"72365"</f>
        <v>72365</v>
      </c>
      <c r="E1174">
        <v>59.09</v>
      </c>
    </row>
    <row r="1175" spans="1:5" x14ac:dyDescent="0.2">
      <c r="A1175">
        <v>72366</v>
      </c>
      <c r="B1175" t="s">
        <v>8</v>
      </c>
      <c r="C1175">
        <v>72366</v>
      </c>
      <c r="D1175" t="str">
        <f>"72366"</f>
        <v>72366</v>
      </c>
      <c r="E1175">
        <v>56.34</v>
      </c>
    </row>
    <row r="1176" spans="1:5" x14ac:dyDescent="0.2">
      <c r="A1176">
        <v>72367</v>
      </c>
      <c r="B1176" t="s">
        <v>8</v>
      </c>
      <c r="C1176">
        <v>72367</v>
      </c>
      <c r="D1176" t="str">
        <f>"72367"</f>
        <v>72367</v>
      </c>
      <c r="E1176" t="s">
        <v>6</v>
      </c>
    </row>
    <row r="1177" spans="1:5" x14ac:dyDescent="0.2">
      <c r="A1177">
        <v>72368</v>
      </c>
      <c r="B1177" t="s">
        <v>8</v>
      </c>
      <c r="C1177">
        <v>72368</v>
      </c>
      <c r="D1177" t="str">
        <f>"72368"</f>
        <v>72368</v>
      </c>
      <c r="E1177">
        <v>71.05</v>
      </c>
    </row>
    <row r="1178" spans="1:5" x14ac:dyDescent="0.2">
      <c r="A1178">
        <v>72369</v>
      </c>
      <c r="B1178" t="s">
        <v>8</v>
      </c>
      <c r="C1178">
        <v>72369</v>
      </c>
      <c r="D1178" t="str">
        <f>"72369"</f>
        <v>72369</v>
      </c>
      <c r="E1178" t="s">
        <v>6</v>
      </c>
    </row>
    <row r="1179" spans="1:5" x14ac:dyDescent="0.2">
      <c r="A1179">
        <v>72370</v>
      </c>
      <c r="B1179" t="s">
        <v>8</v>
      </c>
      <c r="C1179">
        <v>72370</v>
      </c>
      <c r="D1179" t="str">
        <f>"72370"</f>
        <v>72370</v>
      </c>
      <c r="E1179">
        <v>52.45</v>
      </c>
    </row>
    <row r="1180" spans="1:5" x14ac:dyDescent="0.2">
      <c r="A1180">
        <v>72372</v>
      </c>
      <c r="B1180" t="s">
        <v>8</v>
      </c>
      <c r="C1180">
        <v>72372</v>
      </c>
      <c r="D1180" t="str">
        <f>"72372"</f>
        <v>72372</v>
      </c>
      <c r="E1180">
        <v>60.29</v>
      </c>
    </row>
    <row r="1181" spans="1:5" x14ac:dyDescent="0.2">
      <c r="A1181">
        <v>72373</v>
      </c>
      <c r="B1181" t="s">
        <v>8</v>
      </c>
      <c r="C1181">
        <v>72373</v>
      </c>
      <c r="D1181" t="str">
        <f>"72373"</f>
        <v>72373</v>
      </c>
      <c r="E1181">
        <v>52.38</v>
      </c>
    </row>
    <row r="1182" spans="1:5" x14ac:dyDescent="0.2">
      <c r="A1182">
        <v>72374</v>
      </c>
      <c r="B1182" t="s">
        <v>8</v>
      </c>
      <c r="C1182">
        <v>72374</v>
      </c>
      <c r="D1182" t="str">
        <f>"72374"</f>
        <v>72374</v>
      </c>
      <c r="E1182">
        <v>62.96</v>
      </c>
    </row>
    <row r="1183" spans="1:5" x14ac:dyDescent="0.2">
      <c r="A1183">
        <v>72376</v>
      </c>
      <c r="B1183" t="s">
        <v>8</v>
      </c>
      <c r="C1183">
        <v>72376</v>
      </c>
      <c r="D1183" t="str">
        <f>"72376"</f>
        <v>72376</v>
      </c>
      <c r="E1183">
        <v>64.62</v>
      </c>
    </row>
    <row r="1184" spans="1:5" x14ac:dyDescent="0.2">
      <c r="A1184">
        <v>72379</v>
      </c>
      <c r="B1184" t="s">
        <v>8</v>
      </c>
      <c r="C1184">
        <v>72379</v>
      </c>
      <c r="D1184" t="str">
        <f>"72379"</f>
        <v>72379</v>
      </c>
      <c r="E1184" t="s">
        <v>6</v>
      </c>
    </row>
    <row r="1185" spans="1:5" x14ac:dyDescent="0.2">
      <c r="A1185">
        <v>72384</v>
      </c>
      <c r="B1185" t="s">
        <v>8</v>
      </c>
      <c r="C1185">
        <v>72384</v>
      </c>
      <c r="D1185" t="str">
        <f>"72384"</f>
        <v>72384</v>
      </c>
      <c r="E1185">
        <v>48.39</v>
      </c>
    </row>
    <row r="1186" spans="1:5" x14ac:dyDescent="0.2">
      <c r="A1186">
        <v>72386</v>
      </c>
      <c r="B1186" t="s">
        <v>8</v>
      </c>
      <c r="C1186">
        <v>72386</v>
      </c>
      <c r="D1186" t="str">
        <f>"72386"</f>
        <v>72386</v>
      </c>
      <c r="E1186">
        <v>65.569999999999993</v>
      </c>
    </row>
    <row r="1187" spans="1:5" x14ac:dyDescent="0.2">
      <c r="A1187">
        <v>72389</v>
      </c>
      <c r="B1187" t="s">
        <v>8</v>
      </c>
      <c r="C1187">
        <v>72389</v>
      </c>
      <c r="D1187" t="str">
        <f>"72389"</f>
        <v>72389</v>
      </c>
      <c r="E1187" t="s">
        <v>6</v>
      </c>
    </row>
    <row r="1188" spans="1:5" x14ac:dyDescent="0.2">
      <c r="A1188">
        <v>72390</v>
      </c>
      <c r="B1188" t="s">
        <v>8</v>
      </c>
      <c r="C1188">
        <v>72390</v>
      </c>
      <c r="D1188" t="str">
        <f>"72390"</f>
        <v>72390</v>
      </c>
      <c r="E1188">
        <v>45.3</v>
      </c>
    </row>
    <row r="1189" spans="1:5" x14ac:dyDescent="0.2">
      <c r="A1189">
        <v>72392</v>
      </c>
      <c r="B1189" t="s">
        <v>8</v>
      </c>
      <c r="C1189">
        <v>72392</v>
      </c>
      <c r="D1189" t="str">
        <f>"72392"</f>
        <v>72392</v>
      </c>
      <c r="E1189">
        <v>66.67</v>
      </c>
    </row>
    <row r="1190" spans="1:5" x14ac:dyDescent="0.2">
      <c r="A1190">
        <v>72394</v>
      </c>
      <c r="B1190" t="s">
        <v>8</v>
      </c>
      <c r="C1190">
        <v>72394</v>
      </c>
      <c r="D1190" t="str">
        <f>"72394"</f>
        <v>72394</v>
      </c>
      <c r="E1190">
        <v>44.44</v>
      </c>
    </row>
    <row r="1191" spans="1:5" x14ac:dyDescent="0.2">
      <c r="A1191">
        <v>72395</v>
      </c>
      <c r="B1191" t="s">
        <v>8</v>
      </c>
      <c r="C1191">
        <v>72395</v>
      </c>
      <c r="D1191" t="str">
        <f>"72395"</f>
        <v>72395</v>
      </c>
      <c r="E1191">
        <v>69.23</v>
      </c>
    </row>
    <row r="1192" spans="1:5" x14ac:dyDescent="0.2">
      <c r="A1192">
        <v>72396</v>
      </c>
      <c r="B1192" t="s">
        <v>8</v>
      </c>
      <c r="C1192">
        <v>72396</v>
      </c>
      <c r="D1192" t="str">
        <f>"72396"</f>
        <v>72396</v>
      </c>
      <c r="E1192">
        <v>61.66</v>
      </c>
    </row>
    <row r="1193" spans="1:5" x14ac:dyDescent="0.2">
      <c r="A1193">
        <v>72401</v>
      </c>
      <c r="B1193" t="s">
        <v>8</v>
      </c>
      <c r="C1193">
        <v>72401</v>
      </c>
      <c r="D1193" t="str">
        <f>"72401"</f>
        <v>72401</v>
      </c>
      <c r="E1193">
        <v>62.19</v>
      </c>
    </row>
    <row r="1194" spans="1:5" x14ac:dyDescent="0.2">
      <c r="A1194">
        <v>72404</v>
      </c>
      <c r="B1194" t="s">
        <v>8</v>
      </c>
      <c r="C1194">
        <v>72404</v>
      </c>
      <c r="D1194" t="str">
        <f>"72404"</f>
        <v>72404</v>
      </c>
      <c r="E1194">
        <v>72.28</v>
      </c>
    </row>
    <row r="1195" spans="1:5" x14ac:dyDescent="0.2">
      <c r="A1195">
        <v>72405</v>
      </c>
      <c r="B1195" t="s">
        <v>8</v>
      </c>
      <c r="C1195">
        <v>72405</v>
      </c>
      <c r="D1195" t="str">
        <f>"72405"</f>
        <v>72405</v>
      </c>
      <c r="E1195" t="s">
        <v>6</v>
      </c>
    </row>
    <row r="1196" spans="1:5" x14ac:dyDescent="0.2">
      <c r="A1196">
        <v>72410</v>
      </c>
      <c r="B1196" t="s">
        <v>8</v>
      </c>
      <c r="C1196">
        <v>72410</v>
      </c>
      <c r="D1196" t="str">
        <f>"72410"</f>
        <v>72410</v>
      </c>
      <c r="E1196">
        <v>56.25</v>
      </c>
    </row>
    <row r="1197" spans="1:5" x14ac:dyDescent="0.2">
      <c r="A1197">
        <v>72411</v>
      </c>
      <c r="B1197" t="s">
        <v>8</v>
      </c>
      <c r="C1197">
        <v>72411</v>
      </c>
      <c r="D1197" t="str">
        <f>"72411"</f>
        <v>72411</v>
      </c>
      <c r="E1197">
        <v>64.44</v>
      </c>
    </row>
    <row r="1198" spans="1:5" x14ac:dyDescent="0.2">
      <c r="A1198">
        <v>72412</v>
      </c>
      <c r="B1198" t="s">
        <v>8</v>
      </c>
      <c r="C1198">
        <v>72412</v>
      </c>
      <c r="D1198" t="str">
        <f>"72412"</f>
        <v>72412</v>
      </c>
      <c r="E1198">
        <v>57.14</v>
      </c>
    </row>
    <row r="1199" spans="1:5" x14ac:dyDescent="0.2">
      <c r="A1199">
        <v>72413</v>
      </c>
      <c r="B1199" t="s">
        <v>8</v>
      </c>
      <c r="C1199">
        <v>72413</v>
      </c>
      <c r="D1199" t="str">
        <f>"72413"</f>
        <v>72413</v>
      </c>
      <c r="E1199">
        <v>65</v>
      </c>
    </row>
    <row r="1200" spans="1:5" x14ac:dyDescent="0.2">
      <c r="A1200">
        <v>72414</v>
      </c>
      <c r="B1200" t="s">
        <v>8</v>
      </c>
      <c r="C1200">
        <v>72414</v>
      </c>
      <c r="D1200" t="str">
        <f>"72414"</f>
        <v>72414</v>
      </c>
      <c r="E1200">
        <v>73.33</v>
      </c>
    </row>
    <row r="1201" spans="1:5" x14ac:dyDescent="0.2">
      <c r="A1201">
        <v>72415</v>
      </c>
      <c r="B1201" t="s">
        <v>8</v>
      </c>
      <c r="C1201">
        <v>72415</v>
      </c>
      <c r="D1201" t="str">
        <f>"72415"</f>
        <v>72415</v>
      </c>
      <c r="E1201">
        <v>60.38</v>
      </c>
    </row>
    <row r="1202" spans="1:5" x14ac:dyDescent="0.2">
      <c r="A1202">
        <v>72416</v>
      </c>
      <c r="B1202" t="s">
        <v>8</v>
      </c>
      <c r="C1202">
        <v>72416</v>
      </c>
      <c r="D1202" t="str">
        <f>"72416"</f>
        <v>72416</v>
      </c>
      <c r="E1202">
        <v>69.64</v>
      </c>
    </row>
    <row r="1203" spans="1:5" x14ac:dyDescent="0.2">
      <c r="A1203">
        <v>72417</v>
      </c>
      <c r="B1203" t="s">
        <v>8</v>
      </c>
      <c r="C1203">
        <v>72417</v>
      </c>
      <c r="D1203" t="str">
        <f>"72417"</f>
        <v>72417</v>
      </c>
      <c r="E1203">
        <v>69.010000000000005</v>
      </c>
    </row>
    <row r="1204" spans="1:5" x14ac:dyDescent="0.2">
      <c r="A1204">
        <v>72419</v>
      </c>
      <c r="B1204" t="s">
        <v>8</v>
      </c>
      <c r="C1204">
        <v>72419</v>
      </c>
      <c r="D1204" t="str">
        <f>"72419"</f>
        <v>72419</v>
      </c>
      <c r="E1204">
        <v>62.5</v>
      </c>
    </row>
    <row r="1205" spans="1:5" x14ac:dyDescent="0.2">
      <c r="A1205">
        <v>72421</v>
      </c>
      <c r="B1205" t="s">
        <v>8</v>
      </c>
      <c r="C1205">
        <v>72421</v>
      </c>
      <c r="D1205" t="str">
        <f>"72421"</f>
        <v>72421</v>
      </c>
      <c r="E1205">
        <v>52.17</v>
      </c>
    </row>
    <row r="1206" spans="1:5" x14ac:dyDescent="0.2">
      <c r="A1206">
        <v>72422</v>
      </c>
      <c r="B1206" t="s">
        <v>8</v>
      </c>
      <c r="C1206">
        <v>72422</v>
      </c>
      <c r="D1206" t="str">
        <f>"72422"</f>
        <v>72422</v>
      </c>
      <c r="E1206">
        <v>62.13</v>
      </c>
    </row>
    <row r="1207" spans="1:5" x14ac:dyDescent="0.2">
      <c r="A1207">
        <v>72424</v>
      </c>
      <c r="B1207" t="s">
        <v>8</v>
      </c>
      <c r="C1207">
        <v>72424</v>
      </c>
      <c r="D1207" t="str">
        <f>"72424"</f>
        <v>72424</v>
      </c>
      <c r="E1207" t="s">
        <v>6</v>
      </c>
    </row>
    <row r="1208" spans="1:5" x14ac:dyDescent="0.2">
      <c r="A1208">
        <v>72425</v>
      </c>
      <c r="B1208" t="s">
        <v>8</v>
      </c>
      <c r="C1208">
        <v>72425</v>
      </c>
      <c r="D1208" t="str">
        <f>"72425"</f>
        <v>72425</v>
      </c>
      <c r="E1208">
        <v>60</v>
      </c>
    </row>
    <row r="1209" spans="1:5" x14ac:dyDescent="0.2">
      <c r="A1209">
        <v>72426</v>
      </c>
      <c r="B1209" t="s">
        <v>8</v>
      </c>
      <c r="C1209">
        <v>72426</v>
      </c>
      <c r="D1209" t="str">
        <f>"72426"</f>
        <v>72426</v>
      </c>
      <c r="E1209" t="s">
        <v>6</v>
      </c>
    </row>
    <row r="1210" spans="1:5" x14ac:dyDescent="0.2">
      <c r="A1210">
        <v>72428</v>
      </c>
      <c r="B1210" t="s">
        <v>8</v>
      </c>
      <c r="C1210">
        <v>72428</v>
      </c>
      <c r="D1210" t="str">
        <f>"72428"</f>
        <v>72428</v>
      </c>
      <c r="E1210" t="s">
        <v>6</v>
      </c>
    </row>
    <row r="1211" spans="1:5" x14ac:dyDescent="0.2">
      <c r="A1211">
        <v>72429</v>
      </c>
      <c r="B1211" t="s">
        <v>8</v>
      </c>
      <c r="C1211">
        <v>72429</v>
      </c>
      <c r="D1211" t="str">
        <f>"72429"</f>
        <v>72429</v>
      </c>
      <c r="E1211">
        <v>66.67</v>
      </c>
    </row>
    <row r="1212" spans="1:5" x14ac:dyDescent="0.2">
      <c r="A1212">
        <v>72430</v>
      </c>
      <c r="B1212" t="s">
        <v>8</v>
      </c>
      <c r="C1212">
        <v>72430</v>
      </c>
      <c r="D1212" t="str">
        <f>"72430"</f>
        <v>72430</v>
      </c>
      <c r="E1212">
        <v>66.67</v>
      </c>
    </row>
    <row r="1213" spans="1:5" x14ac:dyDescent="0.2">
      <c r="A1213">
        <v>72431</v>
      </c>
      <c r="B1213" t="s">
        <v>8</v>
      </c>
      <c r="C1213">
        <v>72431</v>
      </c>
      <c r="D1213" t="str">
        <f>"72431"</f>
        <v>72431</v>
      </c>
      <c r="E1213" t="s">
        <v>6</v>
      </c>
    </row>
    <row r="1214" spans="1:5" x14ac:dyDescent="0.2">
      <c r="A1214">
        <v>72432</v>
      </c>
      <c r="B1214" t="s">
        <v>8</v>
      </c>
      <c r="C1214">
        <v>72432</v>
      </c>
      <c r="D1214" t="str">
        <f>"72432"</f>
        <v>72432</v>
      </c>
      <c r="E1214">
        <v>62.56</v>
      </c>
    </row>
    <row r="1215" spans="1:5" x14ac:dyDescent="0.2">
      <c r="A1215">
        <v>72433</v>
      </c>
      <c r="B1215" t="s">
        <v>8</v>
      </c>
      <c r="C1215">
        <v>72433</v>
      </c>
      <c r="D1215" t="str">
        <f>"72433"</f>
        <v>72433</v>
      </c>
      <c r="E1215">
        <v>61.7</v>
      </c>
    </row>
    <row r="1216" spans="1:5" x14ac:dyDescent="0.2">
      <c r="A1216">
        <v>72434</v>
      </c>
      <c r="B1216" t="s">
        <v>8</v>
      </c>
      <c r="C1216">
        <v>72434</v>
      </c>
      <c r="D1216" t="str">
        <f>"72434"</f>
        <v>72434</v>
      </c>
      <c r="E1216">
        <v>60.76</v>
      </c>
    </row>
    <row r="1217" spans="1:5" x14ac:dyDescent="0.2">
      <c r="A1217">
        <v>72435</v>
      </c>
      <c r="B1217" t="s">
        <v>8</v>
      </c>
      <c r="C1217">
        <v>72435</v>
      </c>
      <c r="D1217" t="str">
        <f>"72435"</f>
        <v>72435</v>
      </c>
      <c r="E1217">
        <v>64.290000000000006</v>
      </c>
    </row>
    <row r="1218" spans="1:5" x14ac:dyDescent="0.2">
      <c r="A1218">
        <v>72436</v>
      </c>
      <c r="B1218" t="s">
        <v>8</v>
      </c>
      <c r="C1218">
        <v>72436</v>
      </c>
      <c r="D1218" t="str">
        <f>"72436"</f>
        <v>72436</v>
      </c>
      <c r="E1218">
        <v>63.41</v>
      </c>
    </row>
    <row r="1219" spans="1:5" x14ac:dyDescent="0.2">
      <c r="A1219">
        <v>72437</v>
      </c>
      <c r="B1219" t="s">
        <v>8</v>
      </c>
      <c r="C1219">
        <v>72437</v>
      </c>
      <c r="D1219" t="str">
        <f>"72437"</f>
        <v>72437</v>
      </c>
      <c r="E1219">
        <v>66.41</v>
      </c>
    </row>
    <row r="1220" spans="1:5" x14ac:dyDescent="0.2">
      <c r="A1220">
        <v>72438</v>
      </c>
      <c r="B1220" t="s">
        <v>8</v>
      </c>
      <c r="C1220">
        <v>72438</v>
      </c>
      <c r="D1220" t="str">
        <f>"72438"</f>
        <v>72438</v>
      </c>
      <c r="E1220">
        <v>65.48</v>
      </c>
    </row>
    <row r="1221" spans="1:5" x14ac:dyDescent="0.2">
      <c r="A1221">
        <v>72440</v>
      </c>
      <c r="B1221" t="s">
        <v>8</v>
      </c>
      <c r="C1221">
        <v>72440</v>
      </c>
      <c r="D1221" t="str">
        <f>"72440"</f>
        <v>72440</v>
      </c>
      <c r="E1221">
        <v>64.290000000000006</v>
      </c>
    </row>
    <row r="1222" spans="1:5" x14ac:dyDescent="0.2">
      <c r="A1222">
        <v>72441</v>
      </c>
      <c r="B1222" t="s">
        <v>8</v>
      </c>
      <c r="C1222">
        <v>72441</v>
      </c>
      <c r="D1222" t="str">
        <f>"72441"</f>
        <v>72441</v>
      </c>
      <c r="E1222" t="s">
        <v>6</v>
      </c>
    </row>
    <row r="1223" spans="1:5" x14ac:dyDescent="0.2">
      <c r="A1223">
        <v>72442</v>
      </c>
      <c r="B1223" t="s">
        <v>8</v>
      </c>
      <c r="C1223">
        <v>72442</v>
      </c>
      <c r="D1223" t="str">
        <f>"72442"</f>
        <v>72442</v>
      </c>
      <c r="E1223">
        <v>69.489999999999995</v>
      </c>
    </row>
    <row r="1224" spans="1:5" x14ac:dyDescent="0.2">
      <c r="A1224">
        <v>72443</v>
      </c>
      <c r="B1224" t="s">
        <v>8</v>
      </c>
      <c r="C1224">
        <v>72443</v>
      </c>
      <c r="D1224" t="str">
        <f>"72443"</f>
        <v>72443</v>
      </c>
      <c r="E1224">
        <v>63.55</v>
      </c>
    </row>
    <row r="1225" spans="1:5" x14ac:dyDescent="0.2">
      <c r="A1225">
        <v>72444</v>
      </c>
      <c r="B1225" t="s">
        <v>8</v>
      </c>
      <c r="C1225">
        <v>72444</v>
      </c>
      <c r="D1225" t="str">
        <f>"72444"</f>
        <v>72444</v>
      </c>
      <c r="E1225">
        <v>58.46</v>
      </c>
    </row>
    <row r="1226" spans="1:5" x14ac:dyDescent="0.2">
      <c r="A1226">
        <v>72447</v>
      </c>
      <c r="B1226" t="s">
        <v>8</v>
      </c>
      <c r="C1226">
        <v>72447</v>
      </c>
      <c r="D1226" t="str">
        <f>"72447"</f>
        <v>72447</v>
      </c>
      <c r="E1226">
        <v>70.42</v>
      </c>
    </row>
    <row r="1227" spans="1:5" x14ac:dyDescent="0.2">
      <c r="A1227">
        <v>72449</v>
      </c>
      <c r="B1227" t="s">
        <v>8</v>
      </c>
      <c r="C1227">
        <v>72449</v>
      </c>
      <c r="D1227" t="str">
        <f>"72449"</f>
        <v>72449</v>
      </c>
      <c r="E1227" t="s">
        <v>6</v>
      </c>
    </row>
    <row r="1228" spans="1:5" x14ac:dyDescent="0.2">
      <c r="A1228">
        <v>72450</v>
      </c>
      <c r="B1228" t="s">
        <v>8</v>
      </c>
      <c r="C1228">
        <v>72450</v>
      </c>
      <c r="D1228" t="str">
        <f>"72450"</f>
        <v>72450</v>
      </c>
      <c r="E1228">
        <v>67.349999999999994</v>
      </c>
    </row>
    <row r="1229" spans="1:5" x14ac:dyDescent="0.2">
      <c r="A1229">
        <v>72453</v>
      </c>
      <c r="B1229" t="s">
        <v>8</v>
      </c>
      <c r="C1229">
        <v>72453</v>
      </c>
      <c r="D1229" t="str">
        <f>"72453"</f>
        <v>72453</v>
      </c>
      <c r="E1229" t="s">
        <v>6</v>
      </c>
    </row>
    <row r="1230" spans="1:5" x14ac:dyDescent="0.2">
      <c r="A1230">
        <v>72454</v>
      </c>
      <c r="B1230" t="s">
        <v>8</v>
      </c>
      <c r="C1230">
        <v>72454</v>
      </c>
      <c r="D1230" t="str">
        <f>"72454"</f>
        <v>72454</v>
      </c>
      <c r="E1230">
        <v>65.45</v>
      </c>
    </row>
    <row r="1231" spans="1:5" x14ac:dyDescent="0.2">
      <c r="A1231">
        <v>72455</v>
      </c>
      <c r="B1231" t="s">
        <v>8</v>
      </c>
      <c r="C1231">
        <v>72455</v>
      </c>
      <c r="D1231" t="str">
        <f>"72455"</f>
        <v>72455</v>
      </c>
      <c r="E1231">
        <v>62.25</v>
      </c>
    </row>
    <row r="1232" spans="1:5" x14ac:dyDescent="0.2">
      <c r="A1232">
        <v>72456</v>
      </c>
      <c r="B1232" t="s">
        <v>8</v>
      </c>
      <c r="C1232">
        <v>72456</v>
      </c>
      <c r="D1232" t="str">
        <f>"72456"</f>
        <v>72456</v>
      </c>
      <c r="E1232">
        <v>66.67</v>
      </c>
    </row>
    <row r="1233" spans="1:5" x14ac:dyDescent="0.2">
      <c r="A1233">
        <v>72458</v>
      </c>
      <c r="B1233" t="s">
        <v>8</v>
      </c>
      <c r="C1233">
        <v>72458</v>
      </c>
      <c r="D1233" t="str">
        <f>"72458"</f>
        <v>72458</v>
      </c>
      <c r="E1233">
        <v>66.67</v>
      </c>
    </row>
    <row r="1234" spans="1:5" x14ac:dyDescent="0.2">
      <c r="A1234">
        <v>72459</v>
      </c>
      <c r="B1234" t="s">
        <v>8</v>
      </c>
      <c r="C1234">
        <v>72459</v>
      </c>
      <c r="D1234" t="str">
        <f>"72459"</f>
        <v>72459</v>
      </c>
      <c r="E1234">
        <v>56.1</v>
      </c>
    </row>
    <row r="1235" spans="1:5" x14ac:dyDescent="0.2">
      <c r="A1235">
        <v>72460</v>
      </c>
      <c r="B1235" t="s">
        <v>8</v>
      </c>
      <c r="C1235">
        <v>72460</v>
      </c>
      <c r="D1235" t="str">
        <f>"72460"</f>
        <v>72460</v>
      </c>
      <c r="E1235">
        <v>60</v>
      </c>
    </row>
    <row r="1236" spans="1:5" x14ac:dyDescent="0.2">
      <c r="A1236">
        <v>72461</v>
      </c>
      <c r="B1236" t="s">
        <v>8</v>
      </c>
      <c r="C1236">
        <v>72461</v>
      </c>
      <c r="D1236" t="str">
        <f>"72461"</f>
        <v>72461</v>
      </c>
      <c r="E1236">
        <v>66.14</v>
      </c>
    </row>
    <row r="1237" spans="1:5" x14ac:dyDescent="0.2">
      <c r="A1237">
        <v>72462</v>
      </c>
      <c r="B1237" t="s">
        <v>8</v>
      </c>
      <c r="C1237">
        <v>72462</v>
      </c>
      <c r="D1237" t="str">
        <f>"72462"</f>
        <v>72462</v>
      </c>
      <c r="E1237" t="s">
        <v>6</v>
      </c>
    </row>
    <row r="1238" spans="1:5" x14ac:dyDescent="0.2">
      <c r="A1238">
        <v>72464</v>
      </c>
      <c r="B1238" t="s">
        <v>8</v>
      </c>
      <c r="C1238">
        <v>72464</v>
      </c>
      <c r="D1238" t="str">
        <f>"72464"</f>
        <v>72464</v>
      </c>
      <c r="E1238" t="s">
        <v>6</v>
      </c>
    </row>
    <row r="1239" spans="1:5" x14ac:dyDescent="0.2">
      <c r="A1239">
        <v>72465</v>
      </c>
      <c r="B1239" t="s">
        <v>8</v>
      </c>
      <c r="C1239">
        <v>72465</v>
      </c>
      <c r="D1239" t="str">
        <f>"72465"</f>
        <v>72465</v>
      </c>
      <c r="E1239" t="s">
        <v>6</v>
      </c>
    </row>
    <row r="1240" spans="1:5" x14ac:dyDescent="0.2">
      <c r="A1240">
        <v>72466</v>
      </c>
      <c r="B1240" t="s">
        <v>8</v>
      </c>
      <c r="C1240">
        <v>72466</v>
      </c>
      <c r="D1240" t="str">
        <f>"72466"</f>
        <v>72466</v>
      </c>
      <c r="E1240">
        <v>65.91</v>
      </c>
    </row>
    <row r="1241" spans="1:5" x14ac:dyDescent="0.2">
      <c r="A1241">
        <v>72467</v>
      </c>
      <c r="B1241" t="s">
        <v>8</v>
      </c>
      <c r="C1241">
        <v>72467</v>
      </c>
      <c r="D1241" t="str">
        <f>"72467"</f>
        <v>72467</v>
      </c>
      <c r="E1241" t="s">
        <v>6</v>
      </c>
    </row>
    <row r="1242" spans="1:5" x14ac:dyDescent="0.2">
      <c r="A1242">
        <v>72469</v>
      </c>
      <c r="B1242" t="s">
        <v>8</v>
      </c>
      <c r="C1242">
        <v>72469</v>
      </c>
      <c r="D1242" t="str">
        <f>"72469"</f>
        <v>72469</v>
      </c>
      <c r="E1242">
        <v>62.86</v>
      </c>
    </row>
    <row r="1243" spans="1:5" x14ac:dyDescent="0.2">
      <c r="A1243">
        <v>72470</v>
      </c>
      <c r="B1243" t="s">
        <v>8</v>
      </c>
      <c r="C1243">
        <v>72470</v>
      </c>
      <c r="D1243" t="str">
        <f>"72470"</f>
        <v>72470</v>
      </c>
      <c r="E1243">
        <v>54.55</v>
      </c>
    </row>
    <row r="1244" spans="1:5" x14ac:dyDescent="0.2">
      <c r="A1244">
        <v>72471</v>
      </c>
      <c r="B1244" t="s">
        <v>8</v>
      </c>
      <c r="C1244">
        <v>72471</v>
      </c>
      <c r="D1244" t="str">
        <f>"72471"</f>
        <v>72471</v>
      </c>
      <c r="E1244">
        <v>61.11</v>
      </c>
    </row>
    <row r="1245" spans="1:5" x14ac:dyDescent="0.2">
      <c r="A1245">
        <v>72472</v>
      </c>
      <c r="B1245" t="s">
        <v>8</v>
      </c>
      <c r="C1245">
        <v>72472</v>
      </c>
      <c r="D1245" t="str">
        <f>"72472"</f>
        <v>72472</v>
      </c>
      <c r="E1245">
        <v>59.7</v>
      </c>
    </row>
    <row r="1246" spans="1:5" x14ac:dyDescent="0.2">
      <c r="A1246">
        <v>72473</v>
      </c>
      <c r="B1246" t="s">
        <v>8</v>
      </c>
      <c r="C1246">
        <v>72473</v>
      </c>
      <c r="D1246" t="str">
        <f>"72473"</f>
        <v>72473</v>
      </c>
      <c r="E1246">
        <v>67.03</v>
      </c>
    </row>
    <row r="1247" spans="1:5" x14ac:dyDescent="0.2">
      <c r="A1247">
        <v>72475</v>
      </c>
      <c r="B1247" t="s">
        <v>8</v>
      </c>
      <c r="C1247">
        <v>72475</v>
      </c>
      <c r="D1247" t="str">
        <f>"72475"</f>
        <v>72475</v>
      </c>
      <c r="E1247" t="s">
        <v>6</v>
      </c>
    </row>
    <row r="1248" spans="1:5" x14ac:dyDescent="0.2">
      <c r="A1248">
        <v>72476</v>
      </c>
      <c r="B1248" t="s">
        <v>8</v>
      </c>
      <c r="C1248">
        <v>72476</v>
      </c>
      <c r="D1248" t="str">
        <f>"72476"</f>
        <v>72476</v>
      </c>
      <c r="E1248">
        <v>64.94</v>
      </c>
    </row>
    <row r="1249" spans="1:5" x14ac:dyDescent="0.2">
      <c r="A1249">
        <v>72478</v>
      </c>
      <c r="B1249" t="s">
        <v>8</v>
      </c>
      <c r="C1249">
        <v>72478</v>
      </c>
      <c r="D1249" t="str">
        <f>"72478"</f>
        <v>72478</v>
      </c>
      <c r="E1249">
        <v>60</v>
      </c>
    </row>
    <row r="1250" spans="1:5" x14ac:dyDescent="0.2">
      <c r="A1250">
        <v>72479</v>
      </c>
      <c r="B1250" t="s">
        <v>8</v>
      </c>
      <c r="C1250">
        <v>72479</v>
      </c>
      <c r="D1250" t="str">
        <f>"72479"</f>
        <v>72479</v>
      </c>
      <c r="E1250">
        <v>68</v>
      </c>
    </row>
    <row r="1251" spans="1:5" x14ac:dyDescent="0.2">
      <c r="A1251">
        <v>72482</v>
      </c>
      <c r="B1251" t="s">
        <v>8</v>
      </c>
      <c r="C1251">
        <v>72482</v>
      </c>
      <c r="D1251" t="str">
        <f>"72482"</f>
        <v>72482</v>
      </c>
      <c r="E1251">
        <v>54.05</v>
      </c>
    </row>
    <row r="1252" spans="1:5" x14ac:dyDescent="0.2">
      <c r="A1252">
        <v>72501</v>
      </c>
      <c r="B1252" t="s">
        <v>8</v>
      </c>
      <c r="C1252">
        <v>72501</v>
      </c>
      <c r="D1252" t="str">
        <f>"72501"</f>
        <v>72501</v>
      </c>
      <c r="E1252">
        <v>65.819999999999993</v>
      </c>
    </row>
    <row r="1253" spans="1:5" x14ac:dyDescent="0.2">
      <c r="A1253">
        <v>72512</v>
      </c>
      <c r="B1253" t="s">
        <v>8</v>
      </c>
      <c r="C1253">
        <v>72512</v>
      </c>
      <c r="D1253" t="str">
        <f>"72512"</f>
        <v>72512</v>
      </c>
      <c r="E1253">
        <v>59.49</v>
      </c>
    </row>
    <row r="1254" spans="1:5" x14ac:dyDescent="0.2">
      <c r="A1254">
        <v>72513</v>
      </c>
      <c r="B1254" t="s">
        <v>8</v>
      </c>
      <c r="C1254">
        <v>72513</v>
      </c>
      <c r="D1254" t="str">
        <f>"72513"</f>
        <v>72513</v>
      </c>
      <c r="E1254">
        <v>63.64</v>
      </c>
    </row>
    <row r="1255" spans="1:5" x14ac:dyDescent="0.2">
      <c r="A1255">
        <v>72515</v>
      </c>
      <c r="B1255" t="s">
        <v>8</v>
      </c>
      <c r="C1255">
        <v>72515</v>
      </c>
      <c r="D1255" t="str">
        <f>"72515"</f>
        <v>72515</v>
      </c>
      <c r="E1255" t="s">
        <v>6</v>
      </c>
    </row>
    <row r="1256" spans="1:5" x14ac:dyDescent="0.2">
      <c r="A1256">
        <v>72517</v>
      </c>
      <c r="B1256" t="s">
        <v>8</v>
      </c>
      <c r="C1256">
        <v>72517</v>
      </c>
      <c r="D1256" t="str">
        <f>"72517"</f>
        <v>72517</v>
      </c>
      <c r="E1256">
        <v>58.33</v>
      </c>
    </row>
    <row r="1257" spans="1:5" x14ac:dyDescent="0.2">
      <c r="A1257">
        <v>72519</v>
      </c>
      <c r="B1257" t="s">
        <v>8</v>
      </c>
      <c r="C1257">
        <v>72519</v>
      </c>
      <c r="D1257" t="str">
        <f>"72519"</f>
        <v>72519</v>
      </c>
      <c r="E1257">
        <v>61.54</v>
      </c>
    </row>
    <row r="1258" spans="1:5" x14ac:dyDescent="0.2">
      <c r="A1258">
        <v>72520</v>
      </c>
      <c r="B1258" t="s">
        <v>8</v>
      </c>
      <c r="C1258">
        <v>72520</v>
      </c>
      <c r="D1258" t="str">
        <f>"72520"</f>
        <v>72520</v>
      </c>
      <c r="E1258">
        <v>60</v>
      </c>
    </row>
    <row r="1259" spans="1:5" x14ac:dyDescent="0.2">
      <c r="A1259">
        <v>72521</v>
      </c>
      <c r="B1259" t="s">
        <v>8</v>
      </c>
      <c r="C1259">
        <v>72521</v>
      </c>
      <c r="D1259" t="str">
        <f>"72521"</f>
        <v>72521</v>
      </c>
      <c r="E1259">
        <v>64.8</v>
      </c>
    </row>
    <row r="1260" spans="1:5" x14ac:dyDescent="0.2">
      <c r="A1260">
        <v>72522</v>
      </c>
      <c r="B1260" t="s">
        <v>8</v>
      </c>
      <c r="C1260">
        <v>72522</v>
      </c>
      <c r="D1260" t="str">
        <f>"72522"</f>
        <v>72522</v>
      </c>
      <c r="E1260">
        <v>68.75</v>
      </c>
    </row>
    <row r="1261" spans="1:5" x14ac:dyDescent="0.2">
      <c r="A1261">
        <v>72523</v>
      </c>
      <c r="B1261" t="s">
        <v>8</v>
      </c>
      <c r="C1261">
        <v>72523</v>
      </c>
      <c r="D1261" t="str">
        <f>"72523"</f>
        <v>72523</v>
      </c>
      <c r="E1261">
        <v>58.82</v>
      </c>
    </row>
    <row r="1262" spans="1:5" x14ac:dyDescent="0.2">
      <c r="A1262">
        <v>72524</v>
      </c>
      <c r="B1262" t="s">
        <v>8</v>
      </c>
      <c r="C1262">
        <v>72524</v>
      </c>
      <c r="D1262" t="str">
        <f>"72524"</f>
        <v>72524</v>
      </c>
      <c r="E1262">
        <v>68.75</v>
      </c>
    </row>
    <row r="1263" spans="1:5" x14ac:dyDescent="0.2">
      <c r="A1263">
        <v>72526</v>
      </c>
      <c r="B1263" t="s">
        <v>8</v>
      </c>
      <c r="C1263">
        <v>72526</v>
      </c>
      <c r="D1263" t="str">
        <f>"72526"</f>
        <v>72526</v>
      </c>
      <c r="E1263" t="s">
        <v>6</v>
      </c>
    </row>
    <row r="1264" spans="1:5" x14ac:dyDescent="0.2">
      <c r="A1264">
        <v>72527</v>
      </c>
      <c r="B1264" t="s">
        <v>8</v>
      </c>
      <c r="C1264">
        <v>72527</v>
      </c>
      <c r="D1264" t="str">
        <f>"72527"</f>
        <v>72527</v>
      </c>
      <c r="E1264">
        <v>69.23</v>
      </c>
    </row>
    <row r="1265" spans="1:5" x14ac:dyDescent="0.2">
      <c r="A1265">
        <v>72528</v>
      </c>
      <c r="B1265" t="s">
        <v>8</v>
      </c>
      <c r="C1265">
        <v>72528</v>
      </c>
      <c r="D1265" t="str">
        <f>"72528"</f>
        <v>72528</v>
      </c>
      <c r="E1265" t="s">
        <v>6</v>
      </c>
    </row>
    <row r="1266" spans="1:5" x14ac:dyDescent="0.2">
      <c r="A1266">
        <v>72529</v>
      </c>
      <c r="B1266" t="s">
        <v>8</v>
      </c>
      <c r="C1266">
        <v>72529</v>
      </c>
      <c r="D1266" t="str">
        <f>"72529"</f>
        <v>72529</v>
      </c>
      <c r="E1266">
        <v>57.32</v>
      </c>
    </row>
    <row r="1267" spans="1:5" x14ac:dyDescent="0.2">
      <c r="A1267">
        <v>72530</v>
      </c>
      <c r="B1267" t="s">
        <v>8</v>
      </c>
      <c r="C1267">
        <v>72530</v>
      </c>
      <c r="D1267" t="str">
        <f>"72530"</f>
        <v>72530</v>
      </c>
      <c r="E1267">
        <v>68.12</v>
      </c>
    </row>
    <row r="1268" spans="1:5" x14ac:dyDescent="0.2">
      <c r="A1268">
        <v>72531</v>
      </c>
      <c r="B1268" t="s">
        <v>8</v>
      </c>
      <c r="C1268">
        <v>72531</v>
      </c>
      <c r="D1268" t="str">
        <f>"72531"</f>
        <v>72531</v>
      </c>
      <c r="E1268">
        <v>64.290000000000006</v>
      </c>
    </row>
    <row r="1269" spans="1:5" x14ac:dyDescent="0.2">
      <c r="A1269">
        <v>72532</v>
      </c>
      <c r="B1269" t="s">
        <v>8</v>
      </c>
      <c r="C1269">
        <v>72532</v>
      </c>
      <c r="D1269" t="str">
        <f>"72532"</f>
        <v>72532</v>
      </c>
      <c r="E1269">
        <v>60.78</v>
      </c>
    </row>
    <row r="1270" spans="1:5" x14ac:dyDescent="0.2">
      <c r="A1270">
        <v>72533</v>
      </c>
      <c r="B1270" t="s">
        <v>8</v>
      </c>
      <c r="C1270">
        <v>72533</v>
      </c>
      <c r="D1270" t="str">
        <f>"72533"</f>
        <v>72533</v>
      </c>
      <c r="E1270">
        <v>58.33</v>
      </c>
    </row>
    <row r="1271" spans="1:5" x14ac:dyDescent="0.2">
      <c r="A1271">
        <v>72534</v>
      </c>
      <c r="B1271" t="s">
        <v>8</v>
      </c>
      <c r="C1271">
        <v>72534</v>
      </c>
      <c r="D1271" t="str">
        <f>"72534"</f>
        <v>72534</v>
      </c>
      <c r="E1271">
        <v>63.04</v>
      </c>
    </row>
    <row r="1272" spans="1:5" x14ac:dyDescent="0.2">
      <c r="A1272">
        <v>72536</v>
      </c>
      <c r="B1272" t="s">
        <v>8</v>
      </c>
      <c r="C1272">
        <v>72536</v>
      </c>
      <c r="D1272" t="str">
        <f>"72536"</f>
        <v>72536</v>
      </c>
      <c r="E1272">
        <v>62.5</v>
      </c>
    </row>
    <row r="1273" spans="1:5" x14ac:dyDescent="0.2">
      <c r="A1273">
        <v>72537</v>
      </c>
      <c r="B1273" t="s">
        <v>8</v>
      </c>
      <c r="C1273">
        <v>72537</v>
      </c>
      <c r="D1273" t="str">
        <f>"72537"</f>
        <v>72537</v>
      </c>
      <c r="E1273">
        <v>67.650000000000006</v>
      </c>
    </row>
    <row r="1274" spans="1:5" x14ac:dyDescent="0.2">
      <c r="A1274">
        <v>72538</v>
      </c>
      <c r="B1274" t="s">
        <v>8</v>
      </c>
      <c r="C1274">
        <v>72538</v>
      </c>
      <c r="D1274" t="str">
        <f>"72538"</f>
        <v>72538</v>
      </c>
      <c r="E1274">
        <v>60</v>
      </c>
    </row>
    <row r="1275" spans="1:5" x14ac:dyDescent="0.2">
      <c r="A1275">
        <v>72539</v>
      </c>
      <c r="B1275" t="s">
        <v>8</v>
      </c>
      <c r="C1275">
        <v>72539</v>
      </c>
      <c r="D1275" t="str">
        <f>"72539"</f>
        <v>72539</v>
      </c>
      <c r="E1275">
        <v>62.5</v>
      </c>
    </row>
    <row r="1276" spans="1:5" x14ac:dyDescent="0.2">
      <c r="A1276">
        <v>72540</v>
      </c>
      <c r="B1276" t="s">
        <v>8</v>
      </c>
      <c r="C1276">
        <v>72540</v>
      </c>
      <c r="D1276" t="str">
        <f>"72540"</f>
        <v>72540</v>
      </c>
      <c r="E1276" t="s">
        <v>6</v>
      </c>
    </row>
    <row r="1277" spans="1:5" x14ac:dyDescent="0.2">
      <c r="A1277">
        <v>72542</v>
      </c>
      <c r="B1277" t="s">
        <v>8</v>
      </c>
      <c r="C1277">
        <v>72542</v>
      </c>
      <c r="D1277" t="str">
        <f>"72542"</f>
        <v>72542</v>
      </c>
      <c r="E1277">
        <v>54.93</v>
      </c>
    </row>
    <row r="1278" spans="1:5" x14ac:dyDescent="0.2">
      <c r="A1278">
        <v>72543</v>
      </c>
      <c r="B1278" t="s">
        <v>8</v>
      </c>
      <c r="C1278">
        <v>72543</v>
      </c>
      <c r="D1278" t="str">
        <f>"72543"</f>
        <v>72543</v>
      </c>
      <c r="E1278">
        <v>66.150000000000006</v>
      </c>
    </row>
    <row r="1279" spans="1:5" x14ac:dyDescent="0.2">
      <c r="A1279">
        <v>72544</v>
      </c>
      <c r="B1279" t="s">
        <v>8</v>
      </c>
      <c r="C1279">
        <v>72544</v>
      </c>
      <c r="D1279" t="str">
        <f>"72544"</f>
        <v>72544</v>
      </c>
      <c r="E1279">
        <v>65.38</v>
      </c>
    </row>
    <row r="1280" spans="1:5" x14ac:dyDescent="0.2">
      <c r="A1280">
        <v>72546</v>
      </c>
      <c r="B1280" t="s">
        <v>8</v>
      </c>
      <c r="C1280">
        <v>72546</v>
      </c>
      <c r="D1280" t="str">
        <f>"72546"</f>
        <v>72546</v>
      </c>
      <c r="E1280" t="s">
        <v>6</v>
      </c>
    </row>
    <row r="1281" spans="1:5" x14ac:dyDescent="0.2">
      <c r="A1281">
        <v>72550</v>
      </c>
      <c r="B1281" t="s">
        <v>8</v>
      </c>
      <c r="C1281">
        <v>72550</v>
      </c>
      <c r="D1281" t="str">
        <f>"72550"</f>
        <v>72550</v>
      </c>
      <c r="E1281">
        <v>67.739999999999995</v>
      </c>
    </row>
    <row r="1282" spans="1:5" x14ac:dyDescent="0.2">
      <c r="A1282">
        <v>72553</v>
      </c>
      <c r="B1282" t="s">
        <v>8</v>
      </c>
      <c r="C1282">
        <v>72553</v>
      </c>
      <c r="D1282" t="str">
        <f>"72553"</f>
        <v>72553</v>
      </c>
      <c r="E1282" t="s">
        <v>6</v>
      </c>
    </row>
    <row r="1283" spans="1:5" x14ac:dyDescent="0.2">
      <c r="A1283">
        <v>72554</v>
      </c>
      <c r="B1283" t="s">
        <v>8</v>
      </c>
      <c r="C1283">
        <v>72554</v>
      </c>
      <c r="D1283" t="str">
        <f>"72554"</f>
        <v>72554</v>
      </c>
      <c r="E1283">
        <v>60.95</v>
      </c>
    </row>
    <row r="1284" spans="1:5" x14ac:dyDescent="0.2">
      <c r="A1284">
        <v>72555</v>
      </c>
      <c r="B1284" t="s">
        <v>8</v>
      </c>
      <c r="C1284">
        <v>72555</v>
      </c>
      <c r="D1284" t="str">
        <f>"72555"</f>
        <v>72555</v>
      </c>
      <c r="E1284" t="s">
        <v>6</v>
      </c>
    </row>
    <row r="1285" spans="1:5" x14ac:dyDescent="0.2">
      <c r="A1285">
        <v>72556</v>
      </c>
      <c r="B1285" t="s">
        <v>8</v>
      </c>
      <c r="C1285">
        <v>72556</v>
      </c>
      <c r="D1285" t="str">
        <f>"72556"</f>
        <v>72556</v>
      </c>
      <c r="E1285">
        <v>65.44</v>
      </c>
    </row>
    <row r="1286" spans="1:5" x14ac:dyDescent="0.2">
      <c r="A1286">
        <v>72560</v>
      </c>
      <c r="B1286" t="s">
        <v>8</v>
      </c>
      <c r="C1286">
        <v>72560</v>
      </c>
      <c r="D1286" t="str">
        <f>"72560"</f>
        <v>72560</v>
      </c>
      <c r="E1286">
        <v>59.28</v>
      </c>
    </row>
    <row r="1287" spans="1:5" x14ac:dyDescent="0.2">
      <c r="A1287">
        <v>72561</v>
      </c>
      <c r="B1287" t="s">
        <v>8</v>
      </c>
      <c r="C1287">
        <v>72561</v>
      </c>
      <c r="D1287" t="str">
        <f>"72561"</f>
        <v>72561</v>
      </c>
      <c r="E1287">
        <v>62.5</v>
      </c>
    </row>
    <row r="1288" spans="1:5" x14ac:dyDescent="0.2">
      <c r="A1288">
        <v>72562</v>
      </c>
      <c r="B1288" t="s">
        <v>8</v>
      </c>
      <c r="C1288">
        <v>72562</v>
      </c>
      <c r="D1288" t="str">
        <f>"72562"</f>
        <v>72562</v>
      </c>
      <c r="E1288">
        <v>65</v>
      </c>
    </row>
    <row r="1289" spans="1:5" x14ac:dyDescent="0.2">
      <c r="A1289">
        <v>72564</v>
      </c>
      <c r="B1289" t="s">
        <v>8</v>
      </c>
      <c r="C1289">
        <v>72564</v>
      </c>
      <c r="D1289" t="str">
        <f>"72564"</f>
        <v>72564</v>
      </c>
      <c r="E1289">
        <v>57.89</v>
      </c>
    </row>
    <row r="1290" spans="1:5" x14ac:dyDescent="0.2">
      <c r="A1290">
        <v>72565</v>
      </c>
      <c r="B1290" t="s">
        <v>8</v>
      </c>
      <c r="C1290">
        <v>72565</v>
      </c>
      <c r="D1290" t="str">
        <f>"72565"</f>
        <v>72565</v>
      </c>
      <c r="E1290">
        <v>58.06</v>
      </c>
    </row>
    <row r="1291" spans="1:5" x14ac:dyDescent="0.2">
      <c r="A1291">
        <v>72566</v>
      </c>
      <c r="B1291" t="s">
        <v>8</v>
      </c>
      <c r="C1291">
        <v>72566</v>
      </c>
      <c r="D1291" t="str">
        <f>"72566"</f>
        <v>72566</v>
      </c>
      <c r="E1291">
        <v>66.67</v>
      </c>
    </row>
    <row r="1292" spans="1:5" x14ac:dyDescent="0.2">
      <c r="A1292">
        <v>72567</v>
      </c>
      <c r="B1292" t="s">
        <v>8</v>
      </c>
      <c r="C1292">
        <v>72567</v>
      </c>
      <c r="D1292" t="str">
        <f>"72567"</f>
        <v>72567</v>
      </c>
      <c r="E1292">
        <v>54.55</v>
      </c>
    </row>
    <row r="1293" spans="1:5" x14ac:dyDescent="0.2">
      <c r="A1293">
        <v>72568</v>
      </c>
      <c r="B1293" t="s">
        <v>8</v>
      </c>
      <c r="C1293">
        <v>72568</v>
      </c>
      <c r="D1293" t="str">
        <f>"72568"</f>
        <v>72568</v>
      </c>
      <c r="E1293">
        <v>64.709999999999994</v>
      </c>
    </row>
    <row r="1294" spans="1:5" x14ac:dyDescent="0.2">
      <c r="A1294">
        <v>72569</v>
      </c>
      <c r="B1294" t="s">
        <v>8</v>
      </c>
      <c r="C1294">
        <v>72569</v>
      </c>
      <c r="D1294" t="str">
        <f>"72569"</f>
        <v>72569</v>
      </c>
      <c r="E1294">
        <v>58.82</v>
      </c>
    </row>
    <row r="1295" spans="1:5" x14ac:dyDescent="0.2">
      <c r="A1295">
        <v>72571</v>
      </c>
      <c r="B1295" t="s">
        <v>8</v>
      </c>
      <c r="C1295">
        <v>72571</v>
      </c>
      <c r="D1295" t="str">
        <f>"72571"</f>
        <v>72571</v>
      </c>
      <c r="E1295">
        <v>76.92</v>
      </c>
    </row>
    <row r="1296" spans="1:5" x14ac:dyDescent="0.2">
      <c r="A1296">
        <v>72572</v>
      </c>
      <c r="B1296" t="s">
        <v>8</v>
      </c>
      <c r="C1296">
        <v>72572</v>
      </c>
      <c r="D1296" t="str">
        <f>"72572"</f>
        <v>72572</v>
      </c>
      <c r="E1296" t="s">
        <v>6</v>
      </c>
    </row>
    <row r="1297" spans="1:5" x14ac:dyDescent="0.2">
      <c r="A1297">
        <v>72573</v>
      </c>
      <c r="B1297" t="s">
        <v>8</v>
      </c>
      <c r="C1297">
        <v>72573</v>
      </c>
      <c r="D1297" t="str">
        <f>"72573"</f>
        <v>72573</v>
      </c>
      <c r="E1297">
        <v>58.33</v>
      </c>
    </row>
    <row r="1298" spans="1:5" x14ac:dyDescent="0.2">
      <c r="A1298">
        <v>72576</v>
      </c>
      <c r="B1298" t="s">
        <v>8</v>
      </c>
      <c r="C1298">
        <v>72576</v>
      </c>
      <c r="D1298" t="str">
        <f>"72576"</f>
        <v>72576</v>
      </c>
      <c r="E1298">
        <v>59.15</v>
      </c>
    </row>
    <row r="1299" spans="1:5" x14ac:dyDescent="0.2">
      <c r="A1299">
        <v>72577</v>
      </c>
      <c r="B1299" t="s">
        <v>8</v>
      </c>
      <c r="C1299">
        <v>72577</v>
      </c>
      <c r="D1299" t="str">
        <f>"72577"</f>
        <v>72577</v>
      </c>
      <c r="E1299">
        <v>66.67</v>
      </c>
    </row>
    <row r="1300" spans="1:5" x14ac:dyDescent="0.2">
      <c r="A1300">
        <v>72578</v>
      </c>
      <c r="B1300" t="s">
        <v>8</v>
      </c>
      <c r="C1300">
        <v>72578</v>
      </c>
      <c r="D1300" t="str">
        <f>"72578"</f>
        <v>72578</v>
      </c>
      <c r="E1300" t="s">
        <v>6</v>
      </c>
    </row>
    <row r="1301" spans="1:5" x14ac:dyDescent="0.2">
      <c r="A1301">
        <v>72579</v>
      </c>
      <c r="B1301" t="s">
        <v>8</v>
      </c>
      <c r="C1301">
        <v>72579</v>
      </c>
      <c r="D1301" t="str">
        <f>"72579"</f>
        <v>72579</v>
      </c>
      <c r="E1301">
        <v>64.91</v>
      </c>
    </row>
    <row r="1302" spans="1:5" x14ac:dyDescent="0.2">
      <c r="A1302">
        <v>72581</v>
      </c>
      <c r="B1302" t="s">
        <v>8</v>
      </c>
      <c r="C1302">
        <v>72581</v>
      </c>
      <c r="D1302" t="str">
        <f>"72581"</f>
        <v>72581</v>
      </c>
      <c r="E1302">
        <v>69.23</v>
      </c>
    </row>
    <row r="1303" spans="1:5" x14ac:dyDescent="0.2">
      <c r="A1303">
        <v>72583</v>
      </c>
      <c r="B1303" t="s">
        <v>8</v>
      </c>
      <c r="C1303">
        <v>72583</v>
      </c>
      <c r="D1303" t="str">
        <f>"72583"</f>
        <v>72583</v>
      </c>
      <c r="E1303">
        <v>55.93</v>
      </c>
    </row>
    <row r="1304" spans="1:5" x14ac:dyDescent="0.2">
      <c r="A1304">
        <v>72584</v>
      </c>
      <c r="B1304" t="s">
        <v>8</v>
      </c>
      <c r="C1304">
        <v>72584</v>
      </c>
      <c r="D1304" t="str">
        <f>"72584"</f>
        <v>72584</v>
      </c>
      <c r="E1304">
        <v>66.67</v>
      </c>
    </row>
    <row r="1305" spans="1:5" x14ac:dyDescent="0.2">
      <c r="A1305">
        <v>72585</v>
      </c>
      <c r="B1305" t="s">
        <v>8</v>
      </c>
      <c r="C1305">
        <v>72585</v>
      </c>
      <c r="D1305" t="str">
        <f>"72585"</f>
        <v>72585</v>
      </c>
      <c r="E1305" t="s">
        <v>6</v>
      </c>
    </row>
    <row r="1306" spans="1:5" x14ac:dyDescent="0.2">
      <c r="A1306">
        <v>72587</v>
      </c>
      <c r="B1306" t="s">
        <v>8</v>
      </c>
      <c r="C1306">
        <v>72587</v>
      </c>
      <c r="D1306" t="str">
        <f>"72587"</f>
        <v>72587</v>
      </c>
      <c r="E1306" t="s">
        <v>6</v>
      </c>
    </row>
    <row r="1307" spans="1:5" x14ac:dyDescent="0.2">
      <c r="A1307">
        <v>72601</v>
      </c>
      <c r="B1307" t="s">
        <v>8</v>
      </c>
      <c r="C1307">
        <v>72601</v>
      </c>
      <c r="D1307" t="str">
        <f>"72601"</f>
        <v>72601</v>
      </c>
      <c r="E1307">
        <v>65.7</v>
      </c>
    </row>
    <row r="1308" spans="1:5" x14ac:dyDescent="0.2">
      <c r="A1308">
        <v>72611</v>
      </c>
      <c r="B1308" t="s">
        <v>8</v>
      </c>
      <c r="C1308">
        <v>72611</v>
      </c>
      <c r="D1308" t="str">
        <f>"72611"</f>
        <v>72611</v>
      </c>
      <c r="E1308">
        <v>59.7</v>
      </c>
    </row>
    <row r="1309" spans="1:5" x14ac:dyDescent="0.2">
      <c r="A1309">
        <v>72616</v>
      </c>
      <c r="B1309" t="s">
        <v>8</v>
      </c>
      <c r="C1309">
        <v>72616</v>
      </c>
      <c r="D1309" t="str">
        <f>"72616"</f>
        <v>72616</v>
      </c>
      <c r="E1309">
        <v>60.82</v>
      </c>
    </row>
    <row r="1310" spans="1:5" x14ac:dyDescent="0.2">
      <c r="A1310">
        <v>72617</v>
      </c>
      <c r="B1310" t="s">
        <v>8</v>
      </c>
      <c r="C1310">
        <v>72617</v>
      </c>
      <c r="D1310" t="str">
        <f>"72617"</f>
        <v>72617</v>
      </c>
      <c r="E1310" t="s">
        <v>6</v>
      </c>
    </row>
    <row r="1311" spans="1:5" x14ac:dyDescent="0.2">
      <c r="A1311">
        <v>72619</v>
      </c>
      <c r="B1311" t="s">
        <v>8</v>
      </c>
      <c r="C1311">
        <v>72619</v>
      </c>
      <c r="D1311" t="str">
        <f>"72619"</f>
        <v>72619</v>
      </c>
      <c r="E1311">
        <v>63.29</v>
      </c>
    </row>
    <row r="1312" spans="1:5" x14ac:dyDescent="0.2">
      <c r="A1312">
        <v>72623</v>
      </c>
      <c r="B1312" t="s">
        <v>8</v>
      </c>
      <c r="C1312">
        <v>72623</v>
      </c>
      <c r="D1312" t="str">
        <f>"72623"</f>
        <v>72623</v>
      </c>
      <c r="E1312">
        <v>65.38</v>
      </c>
    </row>
    <row r="1313" spans="1:5" x14ac:dyDescent="0.2">
      <c r="A1313">
        <v>72624</v>
      </c>
      <c r="B1313" t="s">
        <v>8</v>
      </c>
      <c r="C1313">
        <v>72624</v>
      </c>
      <c r="D1313" t="str">
        <f>"72624"</f>
        <v>72624</v>
      </c>
      <c r="E1313">
        <v>55.56</v>
      </c>
    </row>
    <row r="1314" spans="1:5" x14ac:dyDescent="0.2">
      <c r="A1314">
        <v>72626</v>
      </c>
      <c r="B1314" t="s">
        <v>8</v>
      </c>
      <c r="C1314">
        <v>72626</v>
      </c>
      <c r="D1314" t="str">
        <f>"72626"</f>
        <v>72626</v>
      </c>
      <c r="E1314">
        <v>65.91</v>
      </c>
    </row>
    <row r="1315" spans="1:5" x14ac:dyDescent="0.2">
      <c r="A1315">
        <v>72628</v>
      </c>
      <c r="B1315" t="s">
        <v>8</v>
      </c>
      <c r="C1315">
        <v>72628</v>
      </c>
      <c r="D1315" t="str">
        <f>"72628"</f>
        <v>72628</v>
      </c>
      <c r="E1315">
        <v>60</v>
      </c>
    </row>
    <row r="1316" spans="1:5" x14ac:dyDescent="0.2">
      <c r="A1316">
        <v>72629</v>
      </c>
      <c r="B1316" t="s">
        <v>8</v>
      </c>
      <c r="C1316">
        <v>72629</v>
      </c>
      <c r="D1316" t="str">
        <f>"72629"</f>
        <v>72629</v>
      </c>
      <c r="E1316">
        <v>57.14</v>
      </c>
    </row>
    <row r="1317" spans="1:5" x14ac:dyDescent="0.2">
      <c r="A1317">
        <v>72631</v>
      </c>
      <c r="B1317" t="s">
        <v>8</v>
      </c>
      <c r="C1317">
        <v>72631</v>
      </c>
      <c r="D1317" t="str">
        <f>"72631"</f>
        <v>72631</v>
      </c>
      <c r="E1317">
        <v>67.599999999999994</v>
      </c>
    </row>
    <row r="1318" spans="1:5" x14ac:dyDescent="0.2">
      <c r="A1318">
        <v>72632</v>
      </c>
      <c r="B1318" t="s">
        <v>8</v>
      </c>
      <c r="C1318">
        <v>72632</v>
      </c>
      <c r="D1318" t="str">
        <f>"72632"</f>
        <v>72632</v>
      </c>
      <c r="E1318">
        <v>60.58</v>
      </c>
    </row>
    <row r="1319" spans="1:5" x14ac:dyDescent="0.2">
      <c r="A1319">
        <v>72633</v>
      </c>
      <c r="B1319" t="s">
        <v>8</v>
      </c>
      <c r="C1319">
        <v>72633</v>
      </c>
      <c r="D1319" t="str">
        <f>"72633"</f>
        <v>72633</v>
      </c>
      <c r="E1319">
        <v>62.9</v>
      </c>
    </row>
    <row r="1320" spans="1:5" x14ac:dyDescent="0.2">
      <c r="A1320">
        <v>72634</v>
      </c>
      <c r="B1320" t="s">
        <v>8</v>
      </c>
      <c r="C1320">
        <v>72634</v>
      </c>
      <c r="D1320" t="str">
        <f>"72634"</f>
        <v>72634</v>
      </c>
      <c r="E1320">
        <v>65.099999999999994</v>
      </c>
    </row>
    <row r="1321" spans="1:5" x14ac:dyDescent="0.2">
      <c r="A1321">
        <v>72635</v>
      </c>
      <c r="B1321" t="s">
        <v>8</v>
      </c>
      <c r="C1321">
        <v>72635</v>
      </c>
      <c r="D1321" t="str">
        <f>"72635"</f>
        <v>72635</v>
      </c>
      <c r="E1321">
        <v>62.33</v>
      </c>
    </row>
    <row r="1322" spans="1:5" x14ac:dyDescent="0.2">
      <c r="A1322">
        <v>72636</v>
      </c>
      <c r="B1322" t="s">
        <v>8</v>
      </c>
      <c r="C1322">
        <v>72636</v>
      </c>
      <c r="D1322" t="str">
        <f>"72636"</f>
        <v>72636</v>
      </c>
      <c r="E1322" t="s">
        <v>6</v>
      </c>
    </row>
    <row r="1323" spans="1:5" x14ac:dyDescent="0.2">
      <c r="A1323">
        <v>72638</v>
      </c>
      <c r="B1323" t="s">
        <v>8</v>
      </c>
      <c r="C1323">
        <v>72638</v>
      </c>
      <c r="D1323" t="str">
        <f>"72638"</f>
        <v>72638</v>
      </c>
      <c r="E1323">
        <v>59.39</v>
      </c>
    </row>
    <row r="1324" spans="1:5" x14ac:dyDescent="0.2">
      <c r="A1324">
        <v>72639</v>
      </c>
      <c r="B1324" t="s">
        <v>8</v>
      </c>
      <c r="C1324">
        <v>72639</v>
      </c>
      <c r="D1324" t="str">
        <f>"72639"</f>
        <v>72639</v>
      </c>
      <c r="E1324">
        <v>56.25</v>
      </c>
    </row>
    <row r="1325" spans="1:5" x14ac:dyDescent="0.2">
      <c r="A1325">
        <v>72640</v>
      </c>
      <c r="B1325" t="s">
        <v>8</v>
      </c>
      <c r="C1325">
        <v>72640</v>
      </c>
      <c r="D1325" t="str">
        <f>"72640"</f>
        <v>72640</v>
      </c>
      <c r="E1325">
        <v>69.23</v>
      </c>
    </row>
    <row r="1326" spans="1:5" x14ac:dyDescent="0.2">
      <c r="A1326">
        <v>72641</v>
      </c>
      <c r="B1326" t="s">
        <v>8</v>
      </c>
      <c r="C1326">
        <v>72641</v>
      </c>
      <c r="D1326" t="str">
        <f>"72641"</f>
        <v>72641</v>
      </c>
      <c r="E1326">
        <v>56.99</v>
      </c>
    </row>
    <row r="1327" spans="1:5" x14ac:dyDescent="0.2">
      <c r="A1327">
        <v>72642</v>
      </c>
      <c r="B1327" t="s">
        <v>8</v>
      </c>
      <c r="C1327">
        <v>72642</v>
      </c>
      <c r="D1327" t="str">
        <f>"72642"</f>
        <v>72642</v>
      </c>
      <c r="E1327">
        <v>73.17</v>
      </c>
    </row>
    <row r="1328" spans="1:5" x14ac:dyDescent="0.2">
      <c r="A1328">
        <v>72644</v>
      </c>
      <c r="B1328" t="s">
        <v>8</v>
      </c>
      <c r="C1328">
        <v>72644</v>
      </c>
      <c r="D1328" t="str">
        <f>"72644"</f>
        <v>72644</v>
      </c>
      <c r="E1328">
        <v>63.16</v>
      </c>
    </row>
    <row r="1329" spans="1:5" x14ac:dyDescent="0.2">
      <c r="A1329">
        <v>72645</v>
      </c>
      <c r="B1329" t="s">
        <v>8</v>
      </c>
      <c r="C1329">
        <v>72645</v>
      </c>
      <c r="D1329" t="str">
        <f>"72645"</f>
        <v>72645</v>
      </c>
      <c r="E1329">
        <v>50.82</v>
      </c>
    </row>
    <row r="1330" spans="1:5" x14ac:dyDescent="0.2">
      <c r="A1330">
        <v>72648</v>
      </c>
      <c r="B1330" t="s">
        <v>8</v>
      </c>
      <c r="C1330">
        <v>72648</v>
      </c>
      <c r="D1330" t="str">
        <f>"72648"</f>
        <v>72648</v>
      </c>
      <c r="E1330">
        <v>62.5</v>
      </c>
    </row>
    <row r="1331" spans="1:5" x14ac:dyDescent="0.2">
      <c r="A1331">
        <v>72650</v>
      </c>
      <c r="B1331" t="s">
        <v>8</v>
      </c>
      <c r="C1331">
        <v>72650</v>
      </c>
      <c r="D1331" t="str">
        <f>"72650"</f>
        <v>72650</v>
      </c>
      <c r="E1331">
        <v>52.94</v>
      </c>
    </row>
    <row r="1332" spans="1:5" x14ac:dyDescent="0.2">
      <c r="A1332">
        <v>72651</v>
      </c>
      <c r="B1332" t="s">
        <v>8</v>
      </c>
      <c r="C1332">
        <v>72651</v>
      </c>
      <c r="D1332" t="str">
        <f>"72651"</f>
        <v>72651</v>
      </c>
      <c r="E1332">
        <v>65.22</v>
      </c>
    </row>
    <row r="1333" spans="1:5" x14ac:dyDescent="0.2">
      <c r="A1333">
        <v>72653</v>
      </c>
      <c r="B1333" t="s">
        <v>8</v>
      </c>
      <c r="C1333">
        <v>72653</v>
      </c>
      <c r="D1333" t="str">
        <f>"72653"</f>
        <v>72653</v>
      </c>
      <c r="E1333">
        <v>67</v>
      </c>
    </row>
    <row r="1334" spans="1:5" x14ac:dyDescent="0.2">
      <c r="A1334">
        <v>72655</v>
      </c>
      <c r="B1334" t="s">
        <v>8</v>
      </c>
      <c r="C1334">
        <v>72655</v>
      </c>
      <c r="D1334" t="str">
        <f>"72655"</f>
        <v>72655</v>
      </c>
      <c r="E1334">
        <v>50</v>
      </c>
    </row>
    <row r="1335" spans="1:5" x14ac:dyDescent="0.2">
      <c r="A1335">
        <v>72658</v>
      </c>
      <c r="B1335" t="s">
        <v>8</v>
      </c>
      <c r="C1335">
        <v>72658</v>
      </c>
      <c r="D1335" t="str">
        <f>"72658"</f>
        <v>72658</v>
      </c>
      <c r="E1335">
        <v>63.64</v>
      </c>
    </row>
    <row r="1336" spans="1:5" x14ac:dyDescent="0.2">
      <c r="A1336">
        <v>72660</v>
      </c>
      <c r="B1336" t="s">
        <v>8</v>
      </c>
      <c r="C1336">
        <v>72660</v>
      </c>
      <c r="D1336" t="str">
        <f>"72660"</f>
        <v>72660</v>
      </c>
      <c r="E1336">
        <v>63.16</v>
      </c>
    </row>
    <row r="1337" spans="1:5" x14ac:dyDescent="0.2">
      <c r="A1337">
        <v>72661</v>
      </c>
      <c r="B1337" t="s">
        <v>8</v>
      </c>
      <c r="C1337">
        <v>72661</v>
      </c>
      <c r="D1337" t="str">
        <f>"72661"</f>
        <v>72661</v>
      </c>
      <c r="E1337">
        <v>72.73</v>
      </c>
    </row>
    <row r="1338" spans="1:5" x14ac:dyDescent="0.2">
      <c r="A1338">
        <v>72662</v>
      </c>
      <c r="B1338" t="s">
        <v>8</v>
      </c>
      <c r="C1338">
        <v>72662</v>
      </c>
      <c r="D1338" t="str">
        <f>"72662"</f>
        <v>72662</v>
      </c>
      <c r="E1338">
        <v>60.48</v>
      </c>
    </row>
    <row r="1339" spans="1:5" x14ac:dyDescent="0.2">
      <c r="A1339">
        <v>72663</v>
      </c>
      <c r="B1339" t="s">
        <v>8</v>
      </c>
      <c r="C1339">
        <v>72663</v>
      </c>
      <c r="D1339" t="str">
        <f>"72663"</f>
        <v>72663</v>
      </c>
      <c r="E1339">
        <v>63.64</v>
      </c>
    </row>
    <row r="1340" spans="1:5" x14ac:dyDescent="0.2">
      <c r="A1340">
        <v>72666</v>
      </c>
      <c r="B1340" t="s">
        <v>8</v>
      </c>
      <c r="C1340">
        <v>72666</v>
      </c>
      <c r="D1340" t="str">
        <f>"72666"</f>
        <v>72666</v>
      </c>
      <c r="E1340">
        <v>60</v>
      </c>
    </row>
    <row r="1341" spans="1:5" x14ac:dyDescent="0.2">
      <c r="A1341">
        <v>72668</v>
      </c>
      <c r="B1341" t="s">
        <v>8</v>
      </c>
      <c r="C1341">
        <v>72668</v>
      </c>
      <c r="D1341" t="str">
        <f>"72668"</f>
        <v>72668</v>
      </c>
      <c r="E1341">
        <v>64.709999999999994</v>
      </c>
    </row>
    <row r="1342" spans="1:5" x14ac:dyDescent="0.2">
      <c r="A1342">
        <v>72669</v>
      </c>
      <c r="B1342" t="s">
        <v>8</v>
      </c>
      <c r="C1342">
        <v>72669</v>
      </c>
      <c r="D1342" t="str">
        <f>"72669"</f>
        <v>72669</v>
      </c>
      <c r="E1342" t="s">
        <v>6</v>
      </c>
    </row>
    <row r="1343" spans="1:5" x14ac:dyDescent="0.2">
      <c r="A1343">
        <v>72670</v>
      </c>
      <c r="B1343" t="s">
        <v>8</v>
      </c>
      <c r="C1343">
        <v>72670</v>
      </c>
      <c r="D1343" t="str">
        <f>"72670"</f>
        <v>72670</v>
      </c>
      <c r="E1343" t="s">
        <v>6</v>
      </c>
    </row>
    <row r="1344" spans="1:5" x14ac:dyDescent="0.2">
      <c r="A1344">
        <v>72672</v>
      </c>
      <c r="B1344" t="s">
        <v>8</v>
      </c>
      <c r="C1344">
        <v>72672</v>
      </c>
      <c r="D1344" t="str">
        <f>"72672"</f>
        <v>72672</v>
      </c>
      <c r="E1344" t="s">
        <v>6</v>
      </c>
    </row>
    <row r="1345" spans="1:5" x14ac:dyDescent="0.2">
      <c r="A1345">
        <v>72675</v>
      </c>
      <c r="B1345" t="s">
        <v>8</v>
      </c>
      <c r="C1345">
        <v>72675</v>
      </c>
      <c r="D1345" t="str">
        <f>"72675"</f>
        <v>72675</v>
      </c>
      <c r="E1345">
        <v>58.82</v>
      </c>
    </row>
    <row r="1346" spans="1:5" x14ac:dyDescent="0.2">
      <c r="A1346">
        <v>72677</v>
      </c>
      <c r="B1346" t="s">
        <v>8</v>
      </c>
      <c r="C1346">
        <v>72677</v>
      </c>
      <c r="D1346" t="str">
        <f>"72677"</f>
        <v>72677</v>
      </c>
      <c r="E1346" t="s">
        <v>6</v>
      </c>
    </row>
    <row r="1347" spans="1:5" x14ac:dyDescent="0.2">
      <c r="A1347">
        <v>72679</v>
      </c>
      <c r="B1347" t="s">
        <v>8</v>
      </c>
      <c r="C1347">
        <v>72679</v>
      </c>
      <c r="D1347" t="str">
        <f>"72679"</f>
        <v>72679</v>
      </c>
      <c r="E1347">
        <v>26.92</v>
      </c>
    </row>
    <row r="1348" spans="1:5" x14ac:dyDescent="0.2">
      <c r="A1348">
        <v>72680</v>
      </c>
      <c r="B1348" t="s">
        <v>8</v>
      </c>
      <c r="C1348">
        <v>72680</v>
      </c>
      <c r="D1348" t="str">
        <f>"72680"</f>
        <v>72680</v>
      </c>
      <c r="E1348">
        <v>55.56</v>
      </c>
    </row>
    <row r="1349" spans="1:5" x14ac:dyDescent="0.2">
      <c r="A1349">
        <v>72682</v>
      </c>
      <c r="B1349" t="s">
        <v>8</v>
      </c>
      <c r="C1349">
        <v>72682</v>
      </c>
      <c r="D1349" t="str">
        <f>"72682"</f>
        <v>72682</v>
      </c>
      <c r="E1349">
        <v>57.14</v>
      </c>
    </row>
    <row r="1350" spans="1:5" x14ac:dyDescent="0.2">
      <c r="A1350">
        <v>72683</v>
      </c>
      <c r="B1350" t="s">
        <v>8</v>
      </c>
      <c r="C1350">
        <v>72683</v>
      </c>
      <c r="D1350" t="str">
        <f>"72683"</f>
        <v>72683</v>
      </c>
      <c r="E1350">
        <v>54.55</v>
      </c>
    </row>
    <row r="1351" spans="1:5" x14ac:dyDescent="0.2">
      <c r="A1351">
        <v>72685</v>
      </c>
      <c r="B1351" t="s">
        <v>8</v>
      </c>
      <c r="C1351">
        <v>72685</v>
      </c>
      <c r="D1351" t="str">
        <f>"72685"</f>
        <v>72685</v>
      </c>
      <c r="E1351">
        <v>61.22</v>
      </c>
    </row>
    <row r="1352" spans="1:5" x14ac:dyDescent="0.2">
      <c r="A1352">
        <v>72686</v>
      </c>
      <c r="B1352" t="s">
        <v>8</v>
      </c>
      <c r="C1352">
        <v>72686</v>
      </c>
      <c r="D1352" t="str">
        <f>"72686"</f>
        <v>72686</v>
      </c>
      <c r="E1352" t="s">
        <v>6</v>
      </c>
    </row>
    <row r="1353" spans="1:5" x14ac:dyDescent="0.2">
      <c r="A1353">
        <v>72687</v>
      </c>
      <c r="B1353" t="s">
        <v>8</v>
      </c>
      <c r="C1353">
        <v>72687</v>
      </c>
      <c r="D1353" t="str">
        <f>"72687"</f>
        <v>72687</v>
      </c>
      <c r="E1353">
        <v>62.45</v>
      </c>
    </row>
    <row r="1354" spans="1:5" x14ac:dyDescent="0.2">
      <c r="A1354">
        <v>72701</v>
      </c>
      <c r="B1354" t="s">
        <v>8</v>
      </c>
      <c r="C1354">
        <v>72701</v>
      </c>
      <c r="D1354" t="str">
        <f>"72701"</f>
        <v>72701</v>
      </c>
      <c r="E1354">
        <v>70.3</v>
      </c>
    </row>
    <row r="1355" spans="1:5" x14ac:dyDescent="0.2">
      <c r="A1355">
        <v>72703</v>
      </c>
      <c r="B1355" t="s">
        <v>8</v>
      </c>
      <c r="C1355">
        <v>72703</v>
      </c>
      <c r="D1355" t="str">
        <f>"72703"</f>
        <v>72703</v>
      </c>
      <c r="E1355">
        <v>74.02</v>
      </c>
    </row>
    <row r="1356" spans="1:5" x14ac:dyDescent="0.2">
      <c r="A1356">
        <v>72704</v>
      </c>
      <c r="B1356" t="s">
        <v>8</v>
      </c>
      <c r="C1356">
        <v>72704</v>
      </c>
      <c r="D1356" t="str">
        <f>"72704"</f>
        <v>72704</v>
      </c>
      <c r="E1356">
        <v>76.430000000000007</v>
      </c>
    </row>
    <row r="1357" spans="1:5" x14ac:dyDescent="0.2">
      <c r="A1357">
        <v>72712</v>
      </c>
      <c r="B1357" t="s">
        <v>8</v>
      </c>
      <c r="C1357">
        <v>72712</v>
      </c>
      <c r="D1357" t="str">
        <f>"72712"</f>
        <v>72712</v>
      </c>
      <c r="E1357">
        <v>79.099999999999994</v>
      </c>
    </row>
    <row r="1358" spans="1:5" x14ac:dyDescent="0.2">
      <c r="A1358">
        <v>72713</v>
      </c>
      <c r="B1358" t="s">
        <v>8</v>
      </c>
      <c r="C1358">
        <v>72713</v>
      </c>
      <c r="D1358" t="str">
        <f>"72713"</f>
        <v>72713</v>
      </c>
      <c r="E1358" t="s">
        <v>6</v>
      </c>
    </row>
    <row r="1359" spans="1:5" x14ac:dyDescent="0.2">
      <c r="A1359">
        <v>72714</v>
      </c>
      <c r="B1359" t="s">
        <v>8</v>
      </c>
      <c r="C1359">
        <v>72714</v>
      </c>
      <c r="D1359" t="str">
        <f>"72714"</f>
        <v>72714</v>
      </c>
      <c r="E1359">
        <v>79.239999999999995</v>
      </c>
    </row>
    <row r="1360" spans="1:5" x14ac:dyDescent="0.2">
      <c r="A1360">
        <v>72715</v>
      </c>
      <c r="B1360" t="s">
        <v>8</v>
      </c>
      <c r="C1360">
        <v>72715</v>
      </c>
      <c r="D1360" t="str">
        <f>"72715"</f>
        <v>72715</v>
      </c>
      <c r="E1360">
        <v>78.86</v>
      </c>
    </row>
    <row r="1361" spans="1:5" x14ac:dyDescent="0.2">
      <c r="A1361">
        <v>72717</v>
      </c>
      <c r="B1361" t="s">
        <v>8</v>
      </c>
      <c r="C1361">
        <v>72717</v>
      </c>
      <c r="D1361" t="str">
        <f>"72717"</f>
        <v>72717</v>
      </c>
      <c r="E1361">
        <v>58.62</v>
      </c>
    </row>
    <row r="1362" spans="1:5" x14ac:dyDescent="0.2">
      <c r="A1362">
        <v>72718</v>
      </c>
      <c r="B1362" t="s">
        <v>8</v>
      </c>
      <c r="C1362">
        <v>72718</v>
      </c>
      <c r="D1362" t="str">
        <f>"72718"</f>
        <v>72718</v>
      </c>
      <c r="E1362">
        <v>84.53</v>
      </c>
    </row>
    <row r="1363" spans="1:5" x14ac:dyDescent="0.2">
      <c r="A1363">
        <v>72719</v>
      </c>
      <c r="B1363" t="s">
        <v>8</v>
      </c>
      <c r="C1363">
        <v>72719</v>
      </c>
      <c r="D1363" t="str">
        <f>"72719"</f>
        <v>72719</v>
      </c>
      <c r="E1363">
        <v>77.22</v>
      </c>
    </row>
    <row r="1364" spans="1:5" x14ac:dyDescent="0.2">
      <c r="A1364">
        <v>72721</v>
      </c>
      <c r="B1364" t="s">
        <v>8</v>
      </c>
      <c r="C1364">
        <v>72721</v>
      </c>
      <c r="D1364" t="str">
        <f>"72721"</f>
        <v>72721</v>
      </c>
      <c r="E1364">
        <v>64.290000000000006</v>
      </c>
    </row>
    <row r="1365" spans="1:5" x14ac:dyDescent="0.2">
      <c r="A1365">
        <v>72722</v>
      </c>
      <c r="B1365" t="s">
        <v>8</v>
      </c>
      <c r="C1365">
        <v>72722</v>
      </c>
      <c r="D1365" t="str">
        <f>"72722"</f>
        <v>72722</v>
      </c>
      <c r="E1365">
        <v>59.68</v>
      </c>
    </row>
    <row r="1366" spans="1:5" x14ac:dyDescent="0.2">
      <c r="A1366">
        <v>72727</v>
      </c>
      <c r="B1366" t="s">
        <v>8</v>
      </c>
      <c r="C1366">
        <v>72727</v>
      </c>
      <c r="D1366" t="str">
        <f>"72727"</f>
        <v>72727</v>
      </c>
      <c r="E1366">
        <v>69.510000000000005</v>
      </c>
    </row>
    <row r="1367" spans="1:5" x14ac:dyDescent="0.2">
      <c r="A1367">
        <v>72729</v>
      </c>
      <c r="B1367" t="s">
        <v>8</v>
      </c>
      <c r="C1367">
        <v>72729</v>
      </c>
      <c r="D1367" t="str">
        <f>"72729"</f>
        <v>72729</v>
      </c>
      <c r="E1367">
        <v>54.55</v>
      </c>
    </row>
    <row r="1368" spans="1:5" x14ac:dyDescent="0.2">
      <c r="A1368">
        <v>72730</v>
      </c>
      <c r="B1368" t="s">
        <v>8</v>
      </c>
      <c r="C1368">
        <v>72730</v>
      </c>
      <c r="D1368" t="str">
        <f>"72730"</f>
        <v>72730</v>
      </c>
      <c r="E1368">
        <v>73.790000000000006</v>
      </c>
    </row>
    <row r="1369" spans="1:5" x14ac:dyDescent="0.2">
      <c r="A1369">
        <v>72732</v>
      </c>
      <c r="B1369" t="s">
        <v>8</v>
      </c>
      <c r="C1369">
        <v>72732</v>
      </c>
      <c r="D1369" t="str">
        <f>"72732"</f>
        <v>72732</v>
      </c>
      <c r="E1369">
        <v>68.91</v>
      </c>
    </row>
    <row r="1370" spans="1:5" x14ac:dyDescent="0.2">
      <c r="A1370">
        <v>72734</v>
      </c>
      <c r="B1370" t="s">
        <v>8</v>
      </c>
      <c r="C1370">
        <v>72734</v>
      </c>
      <c r="D1370" t="str">
        <f>"72734"</f>
        <v>72734</v>
      </c>
      <c r="E1370">
        <v>66.77</v>
      </c>
    </row>
    <row r="1371" spans="1:5" x14ac:dyDescent="0.2">
      <c r="A1371">
        <v>72736</v>
      </c>
      <c r="B1371" t="s">
        <v>8</v>
      </c>
      <c r="C1371">
        <v>72736</v>
      </c>
      <c r="D1371" t="str">
        <f>"72736"</f>
        <v>72736</v>
      </c>
      <c r="E1371">
        <v>69.2</v>
      </c>
    </row>
    <row r="1372" spans="1:5" x14ac:dyDescent="0.2">
      <c r="A1372">
        <v>72738</v>
      </c>
      <c r="B1372" t="s">
        <v>8</v>
      </c>
      <c r="C1372">
        <v>72738</v>
      </c>
      <c r="D1372" t="str">
        <f>"72738"</f>
        <v>72738</v>
      </c>
      <c r="E1372">
        <v>68.63</v>
      </c>
    </row>
    <row r="1373" spans="1:5" x14ac:dyDescent="0.2">
      <c r="A1373">
        <v>72739</v>
      </c>
      <c r="B1373" t="s">
        <v>8</v>
      </c>
      <c r="C1373">
        <v>72739</v>
      </c>
      <c r="D1373" t="str">
        <f>"72739"</f>
        <v>72739</v>
      </c>
      <c r="E1373">
        <v>65</v>
      </c>
    </row>
    <row r="1374" spans="1:5" x14ac:dyDescent="0.2">
      <c r="A1374">
        <v>72740</v>
      </c>
      <c r="B1374" t="s">
        <v>8</v>
      </c>
      <c r="C1374">
        <v>72740</v>
      </c>
      <c r="D1374" t="str">
        <f>"72740"</f>
        <v>72740</v>
      </c>
      <c r="E1374">
        <v>63.05</v>
      </c>
    </row>
    <row r="1375" spans="1:5" x14ac:dyDescent="0.2">
      <c r="A1375">
        <v>72742</v>
      </c>
      <c r="B1375" t="s">
        <v>8</v>
      </c>
      <c r="C1375">
        <v>72742</v>
      </c>
      <c r="D1375" t="str">
        <f>"72742"</f>
        <v>72742</v>
      </c>
      <c r="E1375">
        <v>54.55</v>
      </c>
    </row>
    <row r="1376" spans="1:5" x14ac:dyDescent="0.2">
      <c r="A1376">
        <v>72744</v>
      </c>
      <c r="B1376" t="s">
        <v>8</v>
      </c>
      <c r="C1376">
        <v>72744</v>
      </c>
      <c r="D1376" t="str">
        <f>"72744"</f>
        <v>72744</v>
      </c>
      <c r="E1376">
        <v>62.19</v>
      </c>
    </row>
    <row r="1377" spans="1:5" x14ac:dyDescent="0.2">
      <c r="A1377">
        <v>72745</v>
      </c>
      <c r="B1377" t="s">
        <v>8</v>
      </c>
      <c r="C1377">
        <v>72745</v>
      </c>
      <c r="D1377" t="str">
        <f>"72745"</f>
        <v>72745</v>
      </c>
      <c r="E1377">
        <v>72.989999999999995</v>
      </c>
    </row>
    <row r="1378" spans="1:5" x14ac:dyDescent="0.2">
      <c r="A1378">
        <v>72747</v>
      </c>
      <c r="B1378" t="s">
        <v>8</v>
      </c>
      <c r="C1378">
        <v>72747</v>
      </c>
      <c r="D1378" t="str">
        <f>"72747"</f>
        <v>72747</v>
      </c>
      <c r="E1378">
        <v>60</v>
      </c>
    </row>
    <row r="1379" spans="1:5" x14ac:dyDescent="0.2">
      <c r="A1379">
        <v>72749</v>
      </c>
      <c r="B1379" t="s">
        <v>8</v>
      </c>
      <c r="C1379">
        <v>72749</v>
      </c>
      <c r="D1379" t="str">
        <f>"72749"</f>
        <v>72749</v>
      </c>
      <c r="E1379" t="s">
        <v>6</v>
      </c>
    </row>
    <row r="1380" spans="1:5" x14ac:dyDescent="0.2">
      <c r="A1380">
        <v>72751</v>
      </c>
      <c r="B1380" t="s">
        <v>8</v>
      </c>
      <c r="C1380">
        <v>72751</v>
      </c>
      <c r="D1380" t="str">
        <f>"72751"</f>
        <v>72751</v>
      </c>
      <c r="E1380">
        <v>72.59</v>
      </c>
    </row>
    <row r="1381" spans="1:5" x14ac:dyDescent="0.2">
      <c r="A1381">
        <v>72752</v>
      </c>
      <c r="B1381" t="s">
        <v>8</v>
      </c>
      <c r="C1381">
        <v>72752</v>
      </c>
      <c r="D1381" t="str">
        <f>"72752"</f>
        <v>72752</v>
      </c>
      <c r="E1381">
        <v>54.55</v>
      </c>
    </row>
    <row r="1382" spans="1:5" x14ac:dyDescent="0.2">
      <c r="A1382">
        <v>72753</v>
      </c>
      <c r="B1382" t="s">
        <v>8</v>
      </c>
      <c r="C1382">
        <v>72753</v>
      </c>
      <c r="D1382" t="str">
        <f>"72753"</f>
        <v>72753</v>
      </c>
      <c r="E1382">
        <v>70.42</v>
      </c>
    </row>
    <row r="1383" spans="1:5" x14ac:dyDescent="0.2">
      <c r="A1383">
        <v>72756</v>
      </c>
      <c r="B1383" t="s">
        <v>8</v>
      </c>
      <c r="C1383">
        <v>72756</v>
      </c>
      <c r="D1383" t="str">
        <f>"72756"</f>
        <v>72756</v>
      </c>
      <c r="E1383">
        <v>67.290000000000006</v>
      </c>
    </row>
    <row r="1384" spans="1:5" x14ac:dyDescent="0.2">
      <c r="A1384">
        <v>72758</v>
      </c>
      <c r="B1384" t="s">
        <v>8</v>
      </c>
      <c r="C1384">
        <v>72758</v>
      </c>
      <c r="D1384" t="str">
        <f>"72758"</f>
        <v>72758</v>
      </c>
      <c r="E1384">
        <v>73.95</v>
      </c>
    </row>
    <row r="1385" spans="1:5" x14ac:dyDescent="0.2">
      <c r="A1385">
        <v>72760</v>
      </c>
      <c r="B1385" t="s">
        <v>8</v>
      </c>
      <c r="C1385">
        <v>72760</v>
      </c>
      <c r="D1385" t="str">
        <f>"72760"</f>
        <v>72760</v>
      </c>
      <c r="E1385">
        <v>50</v>
      </c>
    </row>
    <row r="1386" spans="1:5" x14ac:dyDescent="0.2">
      <c r="A1386">
        <v>72761</v>
      </c>
      <c r="B1386" t="s">
        <v>8</v>
      </c>
      <c r="C1386">
        <v>72761</v>
      </c>
      <c r="D1386" t="str">
        <f>"72761"</f>
        <v>72761</v>
      </c>
      <c r="E1386">
        <v>64.2</v>
      </c>
    </row>
    <row r="1387" spans="1:5" x14ac:dyDescent="0.2">
      <c r="A1387">
        <v>72762</v>
      </c>
      <c r="B1387" t="s">
        <v>8</v>
      </c>
      <c r="C1387">
        <v>72762</v>
      </c>
      <c r="D1387" t="str">
        <f>"72762"</f>
        <v>72762</v>
      </c>
      <c r="E1387">
        <v>70.23</v>
      </c>
    </row>
    <row r="1388" spans="1:5" x14ac:dyDescent="0.2">
      <c r="A1388">
        <v>72764</v>
      </c>
      <c r="B1388" t="s">
        <v>8</v>
      </c>
      <c r="C1388">
        <v>72764</v>
      </c>
      <c r="D1388" t="str">
        <f>"72764"</f>
        <v>72764</v>
      </c>
      <c r="E1388">
        <v>57.39</v>
      </c>
    </row>
    <row r="1389" spans="1:5" x14ac:dyDescent="0.2">
      <c r="A1389">
        <v>72768</v>
      </c>
      <c r="B1389" t="s">
        <v>8</v>
      </c>
      <c r="C1389">
        <v>72768</v>
      </c>
      <c r="D1389" t="str">
        <f>"72768"</f>
        <v>72768</v>
      </c>
      <c r="E1389">
        <v>55.81</v>
      </c>
    </row>
    <row r="1390" spans="1:5" x14ac:dyDescent="0.2">
      <c r="A1390">
        <v>72769</v>
      </c>
      <c r="B1390" t="s">
        <v>8</v>
      </c>
      <c r="C1390">
        <v>72769</v>
      </c>
      <c r="D1390" t="str">
        <f>"72769"</f>
        <v>72769</v>
      </c>
      <c r="E1390">
        <v>66.67</v>
      </c>
    </row>
    <row r="1391" spans="1:5" x14ac:dyDescent="0.2">
      <c r="A1391">
        <v>72773</v>
      </c>
      <c r="B1391" t="s">
        <v>8</v>
      </c>
      <c r="C1391">
        <v>72773</v>
      </c>
      <c r="D1391" t="str">
        <f>"72773"</f>
        <v>72773</v>
      </c>
      <c r="E1391">
        <v>61.9</v>
      </c>
    </row>
    <row r="1392" spans="1:5" x14ac:dyDescent="0.2">
      <c r="A1392">
        <v>72774</v>
      </c>
      <c r="B1392" t="s">
        <v>8</v>
      </c>
      <c r="C1392">
        <v>72774</v>
      </c>
      <c r="D1392" t="str">
        <f>"72774"</f>
        <v>72774</v>
      </c>
      <c r="E1392">
        <v>69.31</v>
      </c>
    </row>
    <row r="1393" spans="1:5" x14ac:dyDescent="0.2">
      <c r="A1393">
        <v>72776</v>
      </c>
      <c r="B1393" t="s">
        <v>8</v>
      </c>
      <c r="C1393">
        <v>72776</v>
      </c>
      <c r="D1393" t="str">
        <f>"72776"</f>
        <v>72776</v>
      </c>
      <c r="E1393">
        <v>52.38</v>
      </c>
    </row>
    <row r="1394" spans="1:5" x14ac:dyDescent="0.2">
      <c r="A1394">
        <v>72801</v>
      </c>
      <c r="B1394" t="s">
        <v>8</v>
      </c>
      <c r="C1394">
        <v>72801</v>
      </c>
      <c r="D1394" t="str">
        <f>"72801"</f>
        <v>72801</v>
      </c>
      <c r="E1394">
        <v>61.58</v>
      </c>
    </row>
    <row r="1395" spans="1:5" x14ac:dyDescent="0.2">
      <c r="A1395">
        <v>72802</v>
      </c>
      <c r="B1395" t="s">
        <v>8</v>
      </c>
      <c r="C1395">
        <v>72802</v>
      </c>
      <c r="D1395" t="str">
        <f>"72802"</f>
        <v>72802</v>
      </c>
      <c r="E1395">
        <v>70.06</v>
      </c>
    </row>
    <row r="1396" spans="1:5" x14ac:dyDescent="0.2">
      <c r="A1396">
        <v>72821</v>
      </c>
      <c r="B1396" t="s">
        <v>8</v>
      </c>
      <c r="C1396">
        <v>72821</v>
      </c>
      <c r="D1396" t="str">
        <f>"72821"</f>
        <v>72821</v>
      </c>
      <c r="E1396">
        <v>62.9</v>
      </c>
    </row>
    <row r="1397" spans="1:5" x14ac:dyDescent="0.2">
      <c r="A1397">
        <v>72823</v>
      </c>
      <c r="B1397" t="s">
        <v>8</v>
      </c>
      <c r="C1397">
        <v>72823</v>
      </c>
      <c r="D1397" t="str">
        <f>"72823"</f>
        <v>72823</v>
      </c>
      <c r="E1397">
        <v>65.040000000000006</v>
      </c>
    </row>
    <row r="1398" spans="1:5" x14ac:dyDescent="0.2">
      <c r="A1398">
        <v>72824</v>
      </c>
      <c r="B1398" t="s">
        <v>8</v>
      </c>
      <c r="C1398">
        <v>72824</v>
      </c>
      <c r="D1398" t="str">
        <f>"72824"</f>
        <v>72824</v>
      </c>
      <c r="E1398">
        <v>62.07</v>
      </c>
    </row>
    <row r="1399" spans="1:5" x14ac:dyDescent="0.2">
      <c r="A1399">
        <v>72826</v>
      </c>
      <c r="B1399" t="s">
        <v>8</v>
      </c>
      <c r="C1399">
        <v>72826</v>
      </c>
      <c r="D1399" t="str">
        <f>"72826"</f>
        <v>72826</v>
      </c>
      <c r="E1399" t="s">
        <v>6</v>
      </c>
    </row>
    <row r="1400" spans="1:5" x14ac:dyDescent="0.2">
      <c r="A1400">
        <v>72827</v>
      </c>
      <c r="B1400" t="s">
        <v>8</v>
      </c>
      <c r="C1400">
        <v>72827</v>
      </c>
      <c r="D1400" t="str">
        <f>"72827"</f>
        <v>72827</v>
      </c>
      <c r="E1400" t="s">
        <v>6</v>
      </c>
    </row>
    <row r="1401" spans="1:5" x14ac:dyDescent="0.2">
      <c r="A1401">
        <v>72828</v>
      </c>
      <c r="B1401" t="s">
        <v>8</v>
      </c>
      <c r="C1401">
        <v>72828</v>
      </c>
      <c r="D1401" t="str">
        <f>"72828"</f>
        <v>72828</v>
      </c>
      <c r="E1401" t="s">
        <v>6</v>
      </c>
    </row>
    <row r="1402" spans="1:5" x14ac:dyDescent="0.2">
      <c r="A1402">
        <v>72830</v>
      </c>
      <c r="B1402" t="s">
        <v>8</v>
      </c>
      <c r="C1402">
        <v>72830</v>
      </c>
      <c r="D1402" t="str">
        <f>"72830"</f>
        <v>72830</v>
      </c>
      <c r="E1402">
        <v>60.03</v>
      </c>
    </row>
    <row r="1403" spans="1:5" x14ac:dyDescent="0.2">
      <c r="A1403">
        <v>72832</v>
      </c>
      <c r="B1403" t="s">
        <v>8</v>
      </c>
      <c r="C1403">
        <v>72832</v>
      </c>
      <c r="D1403" t="str">
        <f>"72832"</f>
        <v>72832</v>
      </c>
      <c r="E1403">
        <v>54.55</v>
      </c>
    </row>
    <row r="1404" spans="1:5" x14ac:dyDescent="0.2">
      <c r="A1404">
        <v>72833</v>
      </c>
      <c r="B1404" t="s">
        <v>8</v>
      </c>
      <c r="C1404">
        <v>72833</v>
      </c>
      <c r="D1404" t="str">
        <f>"72833"</f>
        <v>72833</v>
      </c>
      <c r="E1404">
        <v>55.87</v>
      </c>
    </row>
    <row r="1405" spans="1:5" x14ac:dyDescent="0.2">
      <c r="A1405">
        <v>72834</v>
      </c>
      <c r="B1405" t="s">
        <v>8</v>
      </c>
      <c r="C1405">
        <v>72834</v>
      </c>
      <c r="D1405" t="str">
        <f>"72834"</f>
        <v>72834</v>
      </c>
      <c r="E1405">
        <v>62.31</v>
      </c>
    </row>
    <row r="1406" spans="1:5" x14ac:dyDescent="0.2">
      <c r="A1406">
        <v>72835</v>
      </c>
      <c r="B1406" t="s">
        <v>8</v>
      </c>
      <c r="C1406">
        <v>72835</v>
      </c>
      <c r="D1406" t="str">
        <f>"72835"</f>
        <v>72835</v>
      </c>
      <c r="E1406">
        <v>64.52</v>
      </c>
    </row>
    <row r="1407" spans="1:5" x14ac:dyDescent="0.2">
      <c r="A1407">
        <v>72837</v>
      </c>
      <c r="B1407" t="s">
        <v>8</v>
      </c>
      <c r="C1407">
        <v>72837</v>
      </c>
      <c r="D1407" t="str">
        <f>"72837"</f>
        <v>72837</v>
      </c>
      <c r="E1407">
        <v>66.67</v>
      </c>
    </row>
    <row r="1408" spans="1:5" x14ac:dyDescent="0.2">
      <c r="A1408">
        <v>72838</v>
      </c>
      <c r="B1408" t="s">
        <v>8</v>
      </c>
      <c r="C1408">
        <v>72838</v>
      </c>
      <c r="D1408" t="str">
        <f>"72838"</f>
        <v>72838</v>
      </c>
      <c r="E1408" t="s">
        <v>6</v>
      </c>
    </row>
    <row r="1409" spans="1:5" x14ac:dyDescent="0.2">
      <c r="A1409">
        <v>72839</v>
      </c>
      <c r="B1409" t="s">
        <v>8</v>
      </c>
      <c r="C1409">
        <v>72839</v>
      </c>
      <c r="D1409" t="str">
        <f>"72839"</f>
        <v>72839</v>
      </c>
      <c r="E1409" t="s">
        <v>6</v>
      </c>
    </row>
    <row r="1410" spans="1:5" x14ac:dyDescent="0.2">
      <c r="A1410">
        <v>72840</v>
      </c>
      <c r="B1410" t="s">
        <v>8</v>
      </c>
      <c r="C1410">
        <v>72840</v>
      </c>
      <c r="D1410" t="str">
        <f>"72840"</f>
        <v>72840</v>
      </c>
      <c r="E1410">
        <v>56</v>
      </c>
    </row>
    <row r="1411" spans="1:5" x14ac:dyDescent="0.2">
      <c r="A1411">
        <v>72841</v>
      </c>
      <c r="B1411" t="s">
        <v>8</v>
      </c>
      <c r="C1411">
        <v>72841</v>
      </c>
      <c r="D1411" t="str">
        <f>"72841"</f>
        <v>72841</v>
      </c>
      <c r="E1411" t="s">
        <v>6</v>
      </c>
    </row>
    <row r="1412" spans="1:5" x14ac:dyDescent="0.2">
      <c r="A1412">
        <v>72842</v>
      </c>
      <c r="B1412" t="s">
        <v>8</v>
      </c>
      <c r="C1412">
        <v>72842</v>
      </c>
      <c r="D1412" t="str">
        <f>"72842"</f>
        <v>72842</v>
      </c>
      <c r="E1412">
        <v>60</v>
      </c>
    </row>
    <row r="1413" spans="1:5" x14ac:dyDescent="0.2">
      <c r="A1413">
        <v>72843</v>
      </c>
      <c r="B1413" t="s">
        <v>8</v>
      </c>
      <c r="C1413">
        <v>72843</v>
      </c>
      <c r="D1413" t="str">
        <f>"72843"</f>
        <v>72843</v>
      </c>
      <c r="E1413">
        <v>64.099999999999994</v>
      </c>
    </row>
    <row r="1414" spans="1:5" x14ac:dyDescent="0.2">
      <c r="A1414">
        <v>72845</v>
      </c>
      <c r="B1414" t="s">
        <v>8</v>
      </c>
      <c r="C1414">
        <v>72845</v>
      </c>
      <c r="D1414" t="str">
        <f>"72845"</f>
        <v>72845</v>
      </c>
      <c r="E1414">
        <v>68.89</v>
      </c>
    </row>
    <row r="1415" spans="1:5" x14ac:dyDescent="0.2">
      <c r="A1415">
        <v>72846</v>
      </c>
      <c r="B1415" t="s">
        <v>8</v>
      </c>
      <c r="C1415">
        <v>72846</v>
      </c>
      <c r="D1415" t="str">
        <f>"72846"</f>
        <v>72846</v>
      </c>
      <c r="E1415">
        <v>63.76</v>
      </c>
    </row>
    <row r="1416" spans="1:5" x14ac:dyDescent="0.2">
      <c r="A1416">
        <v>72847</v>
      </c>
      <c r="B1416" t="s">
        <v>8</v>
      </c>
      <c r="C1416">
        <v>72847</v>
      </c>
      <c r="D1416" t="str">
        <f>"72847"</f>
        <v>72847</v>
      </c>
      <c r="E1416">
        <v>67.62</v>
      </c>
    </row>
    <row r="1417" spans="1:5" x14ac:dyDescent="0.2">
      <c r="A1417">
        <v>72851</v>
      </c>
      <c r="B1417" t="s">
        <v>8</v>
      </c>
      <c r="C1417">
        <v>72851</v>
      </c>
      <c r="D1417" t="str">
        <f>"72851"</f>
        <v>72851</v>
      </c>
      <c r="E1417">
        <v>60.71</v>
      </c>
    </row>
    <row r="1418" spans="1:5" x14ac:dyDescent="0.2">
      <c r="A1418">
        <v>72852</v>
      </c>
      <c r="B1418" t="s">
        <v>8</v>
      </c>
      <c r="C1418">
        <v>72852</v>
      </c>
      <c r="D1418" t="str">
        <f>"72852"</f>
        <v>72852</v>
      </c>
      <c r="E1418">
        <v>54.55</v>
      </c>
    </row>
    <row r="1419" spans="1:5" x14ac:dyDescent="0.2">
      <c r="A1419">
        <v>72853</v>
      </c>
      <c r="B1419" t="s">
        <v>8</v>
      </c>
      <c r="C1419">
        <v>72853</v>
      </c>
      <c r="D1419" t="str">
        <f>"72853"</f>
        <v>72853</v>
      </c>
      <c r="E1419">
        <v>60.61</v>
      </c>
    </row>
    <row r="1420" spans="1:5" x14ac:dyDescent="0.2">
      <c r="A1420">
        <v>72854</v>
      </c>
      <c r="B1420" t="s">
        <v>8</v>
      </c>
      <c r="C1420">
        <v>72854</v>
      </c>
      <c r="D1420" t="str">
        <f>"72854"</f>
        <v>72854</v>
      </c>
      <c r="E1420">
        <v>58.33</v>
      </c>
    </row>
    <row r="1421" spans="1:5" x14ac:dyDescent="0.2">
      <c r="A1421">
        <v>72855</v>
      </c>
      <c r="B1421" t="s">
        <v>8</v>
      </c>
      <c r="C1421">
        <v>72855</v>
      </c>
      <c r="D1421" t="str">
        <f>"72855"</f>
        <v>72855</v>
      </c>
      <c r="E1421">
        <v>65.69</v>
      </c>
    </row>
    <row r="1422" spans="1:5" x14ac:dyDescent="0.2">
      <c r="A1422">
        <v>72856</v>
      </c>
      <c r="B1422" t="s">
        <v>8</v>
      </c>
      <c r="C1422">
        <v>72856</v>
      </c>
      <c r="D1422" t="str">
        <f>"72856"</f>
        <v>72856</v>
      </c>
      <c r="E1422">
        <v>50</v>
      </c>
    </row>
    <row r="1423" spans="1:5" x14ac:dyDescent="0.2">
      <c r="A1423">
        <v>72857</v>
      </c>
      <c r="B1423" t="s">
        <v>8</v>
      </c>
      <c r="C1423">
        <v>72857</v>
      </c>
      <c r="D1423" t="str">
        <f>"72857"</f>
        <v>72857</v>
      </c>
      <c r="E1423">
        <v>65.959999999999994</v>
      </c>
    </row>
    <row r="1424" spans="1:5" x14ac:dyDescent="0.2">
      <c r="A1424">
        <v>72858</v>
      </c>
      <c r="B1424" t="s">
        <v>8</v>
      </c>
      <c r="C1424">
        <v>72858</v>
      </c>
      <c r="D1424" t="str">
        <f>"72858"</f>
        <v>72858</v>
      </c>
      <c r="E1424">
        <v>69.23</v>
      </c>
    </row>
    <row r="1425" spans="1:5" x14ac:dyDescent="0.2">
      <c r="A1425">
        <v>72860</v>
      </c>
      <c r="B1425" t="s">
        <v>8</v>
      </c>
      <c r="C1425">
        <v>72860</v>
      </c>
      <c r="D1425" t="str">
        <f>"72860"</f>
        <v>72860</v>
      </c>
      <c r="E1425">
        <v>71.430000000000007</v>
      </c>
    </row>
    <row r="1426" spans="1:5" x14ac:dyDescent="0.2">
      <c r="A1426">
        <v>72863</v>
      </c>
      <c r="B1426" t="s">
        <v>8</v>
      </c>
      <c r="C1426">
        <v>72863</v>
      </c>
      <c r="D1426" t="str">
        <f>"72863"</f>
        <v>72863</v>
      </c>
      <c r="E1426">
        <v>69.12</v>
      </c>
    </row>
    <row r="1427" spans="1:5" x14ac:dyDescent="0.2">
      <c r="A1427">
        <v>72865</v>
      </c>
      <c r="B1427" t="s">
        <v>8</v>
      </c>
      <c r="C1427">
        <v>72865</v>
      </c>
      <c r="D1427" t="str">
        <f>"72865"</f>
        <v>72865</v>
      </c>
      <c r="E1427">
        <v>68.09</v>
      </c>
    </row>
    <row r="1428" spans="1:5" x14ac:dyDescent="0.2">
      <c r="A1428">
        <v>72901</v>
      </c>
      <c r="B1428" t="s">
        <v>8</v>
      </c>
      <c r="C1428">
        <v>72901</v>
      </c>
      <c r="D1428" t="str">
        <f>"72901"</f>
        <v>72901</v>
      </c>
      <c r="E1428">
        <v>58.02</v>
      </c>
    </row>
    <row r="1429" spans="1:5" x14ac:dyDescent="0.2">
      <c r="A1429">
        <v>72903</v>
      </c>
      <c r="B1429" t="s">
        <v>8</v>
      </c>
      <c r="C1429">
        <v>72903</v>
      </c>
      <c r="D1429" t="str">
        <f>"72903"</f>
        <v>72903</v>
      </c>
      <c r="E1429">
        <v>68.650000000000006</v>
      </c>
    </row>
    <row r="1430" spans="1:5" x14ac:dyDescent="0.2">
      <c r="A1430">
        <v>72904</v>
      </c>
      <c r="B1430" t="s">
        <v>8</v>
      </c>
      <c r="C1430">
        <v>72904</v>
      </c>
      <c r="D1430" t="str">
        <f>"72904"</f>
        <v>72904</v>
      </c>
      <c r="E1430">
        <v>48.5</v>
      </c>
    </row>
    <row r="1431" spans="1:5" x14ac:dyDescent="0.2">
      <c r="A1431">
        <v>72908</v>
      </c>
      <c r="B1431" t="s">
        <v>8</v>
      </c>
      <c r="C1431">
        <v>72908</v>
      </c>
      <c r="D1431" t="str">
        <f>"72908"</f>
        <v>72908</v>
      </c>
      <c r="E1431">
        <v>68.349999999999994</v>
      </c>
    </row>
    <row r="1432" spans="1:5" x14ac:dyDescent="0.2">
      <c r="A1432">
        <v>72916</v>
      </c>
      <c r="B1432" t="s">
        <v>8</v>
      </c>
      <c r="C1432">
        <v>72916</v>
      </c>
      <c r="D1432" t="str">
        <f>"72916"</f>
        <v>72916</v>
      </c>
      <c r="E1432">
        <v>77.13</v>
      </c>
    </row>
    <row r="1433" spans="1:5" x14ac:dyDescent="0.2">
      <c r="A1433">
        <v>72921</v>
      </c>
      <c r="B1433" t="s">
        <v>8</v>
      </c>
      <c r="C1433">
        <v>72921</v>
      </c>
      <c r="D1433" t="str">
        <f>"72921"</f>
        <v>72921</v>
      </c>
      <c r="E1433">
        <v>66.61</v>
      </c>
    </row>
    <row r="1434" spans="1:5" x14ac:dyDescent="0.2">
      <c r="A1434">
        <v>72923</v>
      </c>
      <c r="B1434" t="s">
        <v>8</v>
      </c>
      <c r="C1434">
        <v>72923</v>
      </c>
      <c r="D1434" t="str">
        <f>"72923"</f>
        <v>72923</v>
      </c>
      <c r="E1434">
        <v>64.58</v>
      </c>
    </row>
    <row r="1435" spans="1:5" x14ac:dyDescent="0.2">
      <c r="A1435">
        <v>72926</v>
      </c>
      <c r="B1435" t="s">
        <v>8</v>
      </c>
      <c r="C1435">
        <v>72926</v>
      </c>
      <c r="D1435" t="str">
        <f>"72926"</f>
        <v>72926</v>
      </c>
      <c r="E1435">
        <v>56.25</v>
      </c>
    </row>
    <row r="1436" spans="1:5" x14ac:dyDescent="0.2">
      <c r="A1436">
        <v>72927</v>
      </c>
      <c r="B1436" t="s">
        <v>8</v>
      </c>
      <c r="C1436">
        <v>72927</v>
      </c>
      <c r="D1436" t="str">
        <f>"72927"</f>
        <v>72927</v>
      </c>
      <c r="E1436">
        <v>59.35</v>
      </c>
    </row>
    <row r="1437" spans="1:5" x14ac:dyDescent="0.2">
      <c r="A1437">
        <v>72928</v>
      </c>
      <c r="B1437" t="s">
        <v>8</v>
      </c>
      <c r="C1437">
        <v>72928</v>
      </c>
      <c r="D1437" t="str">
        <f>"72928"</f>
        <v>72928</v>
      </c>
      <c r="E1437">
        <v>55.56</v>
      </c>
    </row>
    <row r="1438" spans="1:5" x14ac:dyDescent="0.2">
      <c r="A1438">
        <v>72930</v>
      </c>
      <c r="B1438" t="s">
        <v>8</v>
      </c>
      <c r="C1438">
        <v>72930</v>
      </c>
      <c r="D1438" t="str">
        <f>"72930"</f>
        <v>72930</v>
      </c>
      <c r="E1438">
        <v>68.42</v>
      </c>
    </row>
    <row r="1439" spans="1:5" x14ac:dyDescent="0.2">
      <c r="A1439">
        <v>72932</v>
      </c>
      <c r="B1439" t="s">
        <v>8</v>
      </c>
      <c r="C1439">
        <v>72932</v>
      </c>
      <c r="D1439" t="str">
        <f>"72932"</f>
        <v>72932</v>
      </c>
      <c r="E1439">
        <v>59.68</v>
      </c>
    </row>
    <row r="1440" spans="1:5" x14ac:dyDescent="0.2">
      <c r="A1440">
        <v>72933</v>
      </c>
      <c r="B1440" t="s">
        <v>8</v>
      </c>
      <c r="C1440">
        <v>72933</v>
      </c>
      <c r="D1440" t="str">
        <f>"72933"</f>
        <v>72933</v>
      </c>
      <c r="E1440">
        <v>69.73</v>
      </c>
    </row>
    <row r="1441" spans="1:5" x14ac:dyDescent="0.2">
      <c r="A1441">
        <v>72934</v>
      </c>
      <c r="B1441" t="s">
        <v>8</v>
      </c>
      <c r="C1441">
        <v>72934</v>
      </c>
      <c r="D1441" t="str">
        <f>"72934"</f>
        <v>72934</v>
      </c>
      <c r="E1441">
        <v>62.07</v>
      </c>
    </row>
    <row r="1442" spans="1:5" x14ac:dyDescent="0.2">
      <c r="A1442">
        <v>72935</v>
      </c>
      <c r="B1442" t="s">
        <v>8</v>
      </c>
      <c r="C1442">
        <v>72935</v>
      </c>
      <c r="D1442" t="str">
        <f>"72935"</f>
        <v>72935</v>
      </c>
      <c r="E1442" t="s">
        <v>6</v>
      </c>
    </row>
    <row r="1443" spans="1:5" x14ac:dyDescent="0.2">
      <c r="A1443">
        <v>72936</v>
      </c>
      <c r="B1443" t="s">
        <v>8</v>
      </c>
      <c r="C1443">
        <v>72936</v>
      </c>
      <c r="D1443" t="str">
        <f>"72936"</f>
        <v>72936</v>
      </c>
      <c r="E1443">
        <v>70.62</v>
      </c>
    </row>
    <row r="1444" spans="1:5" x14ac:dyDescent="0.2">
      <c r="A1444">
        <v>72937</v>
      </c>
      <c r="B1444" t="s">
        <v>8</v>
      </c>
      <c r="C1444">
        <v>72937</v>
      </c>
      <c r="D1444" t="str">
        <f>"72937"</f>
        <v>72937</v>
      </c>
      <c r="E1444">
        <v>65.959999999999994</v>
      </c>
    </row>
    <row r="1445" spans="1:5" x14ac:dyDescent="0.2">
      <c r="A1445">
        <v>72938</v>
      </c>
      <c r="B1445" t="s">
        <v>8</v>
      </c>
      <c r="C1445">
        <v>72938</v>
      </c>
      <c r="D1445" t="str">
        <f>"72938"</f>
        <v>72938</v>
      </c>
      <c r="E1445">
        <v>64.290000000000006</v>
      </c>
    </row>
    <row r="1446" spans="1:5" x14ac:dyDescent="0.2">
      <c r="A1446">
        <v>72940</v>
      </c>
      <c r="B1446" t="s">
        <v>8</v>
      </c>
      <c r="C1446">
        <v>72940</v>
      </c>
      <c r="D1446" t="str">
        <f>"72940"</f>
        <v>72940</v>
      </c>
      <c r="E1446">
        <v>66.3</v>
      </c>
    </row>
    <row r="1447" spans="1:5" x14ac:dyDescent="0.2">
      <c r="A1447">
        <v>72941</v>
      </c>
      <c r="B1447" t="s">
        <v>8</v>
      </c>
      <c r="C1447">
        <v>72941</v>
      </c>
      <c r="D1447" t="str">
        <f>"72941"</f>
        <v>72941</v>
      </c>
      <c r="E1447">
        <v>70.97</v>
      </c>
    </row>
    <row r="1448" spans="1:5" x14ac:dyDescent="0.2">
      <c r="A1448">
        <v>72943</v>
      </c>
      <c r="B1448" t="s">
        <v>8</v>
      </c>
      <c r="C1448">
        <v>72943</v>
      </c>
      <c r="D1448" t="str">
        <f>"72943"</f>
        <v>72943</v>
      </c>
      <c r="E1448">
        <v>59.14</v>
      </c>
    </row>
    <row r="1449" spans="1:5" x14ac:dyDescent="0.2">
      <c r="A1449">
        <v>72944</v>
      </c>
      <c r="B1449" t="s">
        <v>8</v>
      </c>
      <c r="C1449">
        <v>72944</v>
      </c>
      <c r="D1449" t="str">
        <f>"72944"</f>
        <v>72944</v>
      </c>
      <c r="E1449">
        <v>67.62</v>
      </c>
    </row>
    <row r="1450" spans="1:5" x14ac:dyDescent="0.2">
      <c r="A1450">
        <v>72945</v>
      </c>
      <c r="B1450" t="s">
        <v>8</v>
      </c>
      <c r="C1450">
        <v>72945</v>
      </c>
      <c r="D1450" t="str">
        <f>"72945"</f>
        <v>72945</v>
      </c>
      <c r="E1450" t="s">
        <v>6</v>
      </c>
    </row>
    <row r="1451" spans="1:5" x14ac:dyDescent="0.2">
      <c r="A1451">
        <v>72946</v>
      </c>
      <c r="B1451" t="s">
        <v>8</v>
      </c>
      <c r="C1451">
        <v>72946</v>
      </c>
      <c r="D1451" t="str">
        <f>"72946"</f>
        <v>72946</v>
      </c>
      <c r="E1451">
        <v>65.650000000000006</v>
      </c>
    </row>
    <row r="1452" spans="1:5" x14ac:dyDescent="0.2">
      <c r="A1452">
        <v>72947</v>
      </c>
      <c r="B1452" t="s">
        <v>8</v>
      </c>
      <c r="C1452">
        <v>72947</v>
      </c>
      <c r="D1452" t="str">
        <f>"72947"</f>
        <v>72947</v>
      </c>
      <c r="E1452">
        <v>64.790000000000006</v>
      </c>
    </row>
    <row r="1453" spans="1:5" x14ac:dyDescent="0.2">
      <c r="A1453">
        <v>72948</v>
      </c>
      <c r="B1453" t="s">
        <v>8</v>
      </c>
      <c r="C1453">
        <v>72948</v>
      </c>
      <c r="D1453" t="str">
        <f>"72948"</f>
        <v>72948</v>
      </c>
      <c r="E1453">
        <v>56.25</v>
      </c>
    </row>
    <row r="1454" spans="1:5" x14ac:dyDescent="0.2">
      <c r="A1454">
        <v>72949</v>
      </c>
      <c r="B1454" t="s">
        <v>8</v>
      </c>
      <c r="C1454">
        <v>72949</v>
      </c>
      <c r="D1454" t="str">
        <f>"72949"</f>
        <v>72949</v>
      </c>
      <c r="E1454">
        <v>64.78</v>
      </c>
    </row>
    <row r="1455" spans="1:5" x14ac:dyDescent="0.2">
      <c r="A1455">
        <v>72950</v>
      </c>
      <c r="B1455" t="s">
        <v>8</v>
      </c>
      <c r="C1455">
        <v>72950</v>
      </c>
      <c r="D1455" t="str">
        <f>"72950"</f>
        <v>72950</v>
      </c>
      <c r="E1455">
        <v>66.67</v>
      </c>
    </row>
    <row r="1456" spans="1:5" x14ac:dyDescent="0.2">
      <c r="A1456">
        <v>72951</v>
      </c>
      <c r="B1456" t="s">
        <v>8</v>
      </c>
      <c r="C1456">
        <v>72951</v>
      </c>
      <c r="D1456" t="str">
        <f>"72951"</f>
        <v>72951</v>
      </c>
      <c r="E1456">
        <v>63.41</v>
      </c>
    </row>
    <row r="1457" spans="1:5" x14ac:dyDescent="0.2">
      <c r="A1457">
        <v>72952</v>
      </c>
      <c r="B1457" t="s">
        <v>8</v>
      </c>
      <c r="C1457">
        <v>72952</v>
      </c>
      <c r="D1457" t="str">
        <f>"72952"</f>
        <v>72952</v>
      </c>
      <c r="E1457">
        <v>65.98</v>
      </c>
    </row>
    <row r="1458" spans="1:5" x14ac:dyDescent="0.2">
      <c r="A1458">
        <v>72955</v>
      </c>
      <c r="B1458" t="s">
        <v>8</v>
      </c>
      <c r="C1458">
        <v>72955</v>
      </c>
      <c r="D1458" t="str">
        <f>"72955"</f>
        <v>72955</v>
      </c>
      <c r="E1458">
        <v>68.42</v>
      </c>
    </row>
    <row r="1459" spans="1:5" x14ac:dyDescent="0.2">
      <c r="A1459">
        <v>72956</v>
      </c>
      <c r="B1459" t="s">
        <v>8</v>
      </c>
      <c r="C1459">
        <v>72956</v>
      </c>
      <c r="D1459" t="str">
        <f>"72956"</f>
        <v>72956</v>
      </c>
      <c r="E1459">
        <v>64.67</v>
      </c>
    </row>
    <row r="1460" spans="1:5" x14ac:dyDescent="0.2">
      <c r="A1460">
        <v>72958</v>
      </c>
      <c r="B1460" t="s">
        <v>8</v>
      </c>
      <c r="C1460">
        <v>72958</v>
      </c>
      <c r="D1460" t="str">
        <f>"72958"</f>
        <v>72958</v>
      </c>
      <c r="E1460">
        <v>55.77</v>
      </c>
    </row>
    <row r="1461" spans="1:5" x14ac:dyDescent="0.2">
      <c r="A1461">
        <v>72959</v>
      </c>
      <c r="B1461" t="s">
        <v>8</v>
      </c>
      <c r="C1461">
        <v>72959</v>
      </c>
      <c r="D1461" t="str">
        <f>"72959"</f>
        <v>72959</v>
      </c>
      <c r="E1461">
        <v>66.67</v>
      </c>
    </row>
    <row r="1462" spans="1:5" x14ac:dyDescent="0.2">
      <c r="A1462">
        <v>85003</v>
      </c>
      <c r="B1462" t="s">
        <v>9</v>
      </c>
      <c r="C1462">
        <v>85003</v>
      </c>
      <c r="D1462" t="str">
        <f>"85003"</f>
        <v>85003</v>
      </c>
      <c r="E1462">
        <v>75.930000000000007</v>
      </c>
    </row>
    <row r="1463" spans="1:5" x14ac:dyDescent="0.2">
      <c r="A1463">
        <v>85004</v>
      </c>
      <c r="B1463" t="s">
        <v>9</v>
      </c>
      <c r="C1463">
        <v>85004</v>
      </c>
      <c r="D1463" t="str">
        <f>"85004"</f>
        <v>85004</v>
      </c>
      <c r="E1463">
        <v>77.489999999999995</v>
      </c>
    </row>
    <row r="1464" spans="1:5" x14ac:dyDescent="0.2">
      <c r="A1464">
        <v>85006</v>
      </c>
      <c r="B1464" t="s">
        <v>9</v>
      </c>
      <c r="C1464">
        <v>85006</v>
      </c>
      <c r="D1464" t="str">
        <f>"85006"</f>
        <v>85006</v>
      </c>
      <c r="E1464">
        <v>59.94</v>
      </c>
    </row>
    <row r="1465" spans="1:5" x14ac:dyDescent="0.2">
      <c r="A1465">
        <v>85007</v>
      </c>
      <c r="B1465" t="s">
        <v>9</v>
      </c>
      <c r="C1465">
        <v>85007</v>
      </c>
      <c r="D1465" t="str">
        <f>"85007"</f>
        <v>85007</v>
      </c>
      <c r="E1465">
        <v>59.19</v>
      </c>
    </row>
    <row r="1466" spans="1:5" x14ac:dyDescent="0.2">
      <c r="A1466">
        <v>85008</v>
      </c>
      <c r="B1466" t="s">
        <v>9</v>
      </c>
      <c r="C1466">
        <v>85008</v>
      </c>
      <c r="D1466" t="str">
        <f>"85008"</f>
        <v>85008</v>
      </c>
      <c r="E1466">
        <v>59.56</v>
      </c>
    </row>
    <row r="1467" spans="1:5" x14ac:dyDescent="0.2">
      <c r="A1467">
        <v>85009</v>
      </c>
      <c r="B1467" t="s">
        <v>9</v>
      </c>
      <c r="C1467">
        <v>85009</v>
      </c>
      <c r="D1467" t="str">
        <f>"85009"</f>
        <v>85009</v>
      </c>
      <c r="E1467">
        <v>43.51</v>
      </c>
    </row>
    <row r="1468" spans="1:5" x14ac:dyDescent="0.2">
      <c r="A1468">
        <v>85012</v>
      </c>
      <c r="B1468" t="s">
        <v>9</v>
      </c>
      <c r="C1468">
        <v>85012</v>
      </c>
      <c r="D1468" t="str">
        <f>"85012"</f>
        <v>85012</v>
      </c>
      <c r="E1468">
        <v>83.21</v>
      </c>
    </row>
    <row r="1469" spans="1:5" x14ac:dyDescent="0.2">
      <c r="A1469">
        <v>85013</v>
      </c>
      <c r="B1469" t="s">
        <v>9</v>
      </c>
      <c r="C1469">
        <v>85013</v>
      </c>
      <c r="D1469" t="str">
        <f>"85013"</f>
        <v>85013</v>
      </c>
      <c r="E1469">
        <v>79.14</v>
      </c>
    </row>
    <row r="1470" spans="1:5" x14ac:dyDescent="0.2">
      <c r="A1470">
        <v>85014</v>
      </c>
      <c r="B1470" t="s">
        <v>9</v>
      </c>
      <c r="C1470">
        <v>85014</v>
      </c>
      <c r="D1470" t="str">
        <f>"85014"</f>
        <v>85014</v>
      </c>
      <c r="E1470">
        <v>75.81</v>
      </c>
    </row>
    <row r="1471" spans="1:5" x14ac:dyDescent="0.2">
      <c r="A1471">
        <v>85015</v>
      </c>
      <c r="B1471" t="s">
        <v>9</v>
      </c>
      <c r="C1471">
        <v>85015</v>
      </c>
      <c r="D1471" t="str">
        <f>"85015"</f>
        <v>85015</v>
      </c>
      <c r="E1471">
        <v>56.99</v>
      </c>
    </row>
    <row r="1472" spans="1:5" x14ac:dyDescent="0.2">
      <c r="A1472">
        <v>85016</v>
      </c>
      <c r="B1472" t="s">
        <v>9</v>
      </c>
      <c r="C1472">
        <v>85016</v>
      </c>
      <c r="D1472" t="str">
        <f>"85016"</f>
        <v>85016</v>
      </c>
      <c r="E1472">
        <v>78.41</v>
      </c>
    </row>
    <row r="1473" spans="1:5" x14ac:dyDescent="0.2">
      <c r="A1473">
        <v>85017</v>
      </c>
      <c r="B1473" t="s">
        <v>9</v>
      </c>
      <c r="C1473">
        <v>85017</v>
      </c>
      <c r="D1473" t="str">
        <f>"85017"</f>
        <v>85017</v>
      </c>
      <c r="E1473">
        <v>45.44</v>
      </c>
    </row>
    <row r="1474" spans="1:5" x14ac:dyDescent="0.2">
      <c r="A1474">
        <v>85018</v>
      </c>
      <c r="B1474" t="s">
        <v>9</v>
      </c>
      <c r="C1474">
        <v>85018</v>
      </c>
      <c r="D1474" t="str">
        <f>"85018"</f>
        <v>85018</v>
      </c>
      <c r="E1474">
        <v>79.61</v>
      </c>
    </row>
    <row r="1475" spans="1:5" x14ac:dyDescent="0.2">
      <c r="A1475">
        <v>85019</v>
      </c>
      <c r="B1475" t="s">
        <v>9</v>
      </c>
      <c r="C1475">
        <v>85019</v>
      </c>
      <c r="D1475" t="str">
        <f>"85019"</f>
        <v>85019</v>
      </c>
      <c r="E1475">
        <v>50</v>
      </c>
    </row>
    <row r="1476" spans="1:5" x14ac:dyDescent="0.2">
      <c r="A1476">
        <v>85020</v>
      </c>
      <c r="B1476" t="s">
        <v>9</v>
      </c>
      <c r="C1476">
        <v>85020</v>
      </c>
      <c r="D1476" t="str">
        <f>"85020"</f>
        <v>85020</v>
      </c>
      <c r="E1476">
        <v>74.28</v>
      </c>
    </row>
    <row r="1477" spans="1:5" x14ac:dyDescent="0.2">
      <c r="A1477">
        <v>85021</v>
      </c>
      <c r="B1477" t="s">
        <v>9</v>
      </c>
      <c r="C1477">
        <v>85021</v>
      </c>
      <c r="D1477" t="str">
        <f>"85021"</f>
        <v>85021</v>
      </c>
      <c r="E1477">
        <v>64.459999999999994</v>
      </c>
    </row>
    <row r="1478" spans="1:5" x14ac:dyDescent="0.2">
      <c r="A1478">
        <v>85022</v>
      </c>
      <c r="B1478" t="s">
        <v>9</v>
      </c>
      <c r="C1478">
        <v>85022</v>
      </c>
      <c r="D1478" t="str">
        <f>"85022"</f>
        <v>85022</v>
      </c>
      <c r="E1478">
        <v>74.97</v>
      </c>
    </row>
    <row r="1479" spans="1:5" x14ac:dyDescent="0.2">
      <c r="A1479">
        <v>85023</v>
      </c>
      <c r="B1479" t="s">
        <v>9</v>
      </c>
      <c r="C1479">
        <v>85023</v>
      </c>
      <c r="D1479" t="str">
        <f>"85023"</f>
        <v>85023</v>
      </c>
      <c r="E1479">
        <v>71.7</v>
      </c>
    </row>
    <row r="1480" spans="1:5" x14ac:dyDescent="0.2">
      <c r="A1480">
        <v>85024</v>
      </c>
      <c r="B1480" t="s">
        <v>9</v>
      </c>
      <c r="C1480">
        <v>85024</v>
      </c>
      <c r="D1480" t="str">
        <f>"85024"</f>
        <v>85024</v>
      </c>
      <c r="E1480">
        <v>80.31</v>
      </c>
    </row>
    <row r="1481" spans="1:5" x14ac:dyDescent="0.2">
      <c r="A1481">
        <v>85027</v>
      </c>
      <c r="B1481" t="s">
        <v>9</v>
      </c>
      <c r="C1481">
        <v>85027</v>
      </c>
      <c r="D1481" t="str">
        <f>"85027"</f>
        <v>85027</v>
      </c>
      <c r="E1481">
        <v>75.72</v>
      </c>
    </row>
    <row r="1482" spans="1:5" x14ac:dyDescent="0.2">
      <c r="A1482">
        <v>85028</v>
      </c>
      <c r="B1482" t="s">
        <v>9</v>
      </c>
      <c r="C1482">
        <v>85028</v>
      </c>
      <c r="D1482" t="str">
        <f>"85028"</f>
        <v>85028</v>
      </c>
      <c r="E1482">
        <v>81.77</v>
      </c>
    </row>
    <row r="1483" spans="1:5" x14ac:dyDescent="0.2">
      <c r="A1483">
        <v>85029</v>
      </c>
      <c r="B1483" t="s">
        <v>9</v>
      </c>
      <c r="C1483">
        <v>85029</v>
      </c>
      <c r="D1483" t="str">
        <f>"85029"</f>
        <v>85029</v>
      </c>
      <c r="E1483">
        <v>64.760000000000005</v>
      </c>
    </row>
    <row r="1484" spans="1:5" x14ac:dyDescent="0.2">
      <c r="A1484">
        <v>85031</v>
      </c>
      <c r="B1484" t="s">
        <v>9</v>
      </c>
      <c r="C1484">
        <v>85031</v>
      </c>
      <c r="D1484" t="str">
        <f>"85031"</f>
        <v>85031</v>
      </c>
      <c r="E1484">
        <v>46.31</v>
      </c>
    </row>
    <row r="1485" spans="1:5" x14ac:dyDescent="0.2">
      <c r="A1485">
        <v>85032</v>
      </c>
      <c r="B1485" t="s">
        <v>9</v>
      </c>
      <c r="C1485">
        <v>85032</v>
      </c>
      <c r="D1485" t="str">
        <f>"85032"</f>
        <v>85032</v>
      </c>
      <c r="E1485">
        <v>72.48</v>
      </c>
    </row>
    <row r="1486" spans="1:5" x14ac:dyDescent="0.2">
      <c r="A1486">
        <v>85033</v>
      </c>
      <c r="B1486" t="s">
        <v>9</v>
      </c>
      <c r="C1486">
        <v>85033</v>
      </c>
      <c r="D1486" t="str">
        <f>"85033"</f>
        <v>85033</v>
      </c>
      <c r="E1486">
        <v>47.79</v>
      </c>
    </row>
    <row r="1487" spans="1:5" x14ac:dyDescent="0.2">
      <c r="A1487">
        <v>85034</v>
      </c>
      <c r="B1487" t="s">
        <v>9</v>
      </c>
      <c r="C1487">
        <v>85034</v>
      </c>
      <c r="D1487" t="str">
        <f>"85034"</f>
        <v>85034</v>
      </c>
      <c r="E1487">
        <v>58.33</v>
      </c>
    </row>
    <row r="1488" spans="1:5" x14ac:dyDescent="0.2">
      <c r="A1488">
        <v>85035</v>
      </c>
      <c r="B1488" t="s">
        <v>9</v>
      </c>
      <c r="C1488">
        <v>85035</v>
      </c>
      <c r="D1488" t="str">
        <f>"85035"</f>
        <v>85035</v>
      </c>
      <c r="E1488">
        <v>48.28</v>
      </c>
    </row>
    <row r="1489" spans="1:5" x14ac:dyDescent="0.2">
      <c r="A1489">
        <v>85037</v>
      </c>
      <c r="B1489" t="s">
        <v>9</v>
      </c>
      <c r="C1489">
        <v>85037</v>
      </c>
      <c r="D1489" t="str">
        <f>"85037"</f>
        <v>85037</v>
      </c>
      <c r="E1489">
        <v>58.13</v>
      </c>
    </row>
    <row r="1490" spans="1:5" x14ac:dyDescent="0.2">
      <c r="A1490">
        <v>85040</v>
      </c>
      <c r="B1490" t="s">
        <v>9</v>
      </c>
      <c r="C1490">
        <v>85040</v>
      </c>
      <c r="D1490" t="str">
        <f>"85040"</f>
        <v>85040</v>
      </c>
      <c r="E1490">
        <v>51.53</v>
      </c>
    </row>
    <row r="1491" spans="1:5" x14ac:dyDescent="0.2">
      <c r="A1491">
        <v>85041</v>
      </c>
      <c r="B1491" t="s">
        <v>9</v>
      </c>
      <c r="C1491">
        <v>85041</v>
      </c>
      <c r="D1491" t="str">
        <f>"85041"</f>
        <v>85041</v>
      </c>
      <c r="E1491">
        <v>57.64</v>
      </c>
    </row>
    <row r="1492" spans="1:5" x14ac:dyDescent="0.2">
      <c r="A1492">
        <v>85042</v>
      </c>
      <c r="B1492" t="s">
        <v>9</v>
      </c>
      <c r="C1492">
        <v>85042</v>
      </c>
      <c r="D1492" t="str">
        <f>"85042"</f>
        <v>85042</v>
      </c>
      <c r="E1492">
        <v>65.39</v>
      </c>
    </row>
    <row r="1493" spans="1:5" x14ac:dyDescent="0.2">
      <c r="A1493">
        <v>85043</v>
      </c>
      <c r="B1493" t="s">
        <v>9</v>
      </c>
      <c r="C1493">
        <v>85043</v>
      </c>
      <c r="D1493" t="str">
        <f>"85043"</f>
        <v>85043</v>
      </c>
      <c r="E1493">
        <v>57.15</v>
      </c>
    </row>
    <row r="1494" spans="1:5" x14ac:dyDescent="0.2">
      <c r="A1494">
        <v>85044</v>
      </c>
      <c r="B1494" t="s">
        <v>9</v>
      </c>
      <c r="C1494">
        <v>85044</v>
      </c>
      <c r="D1494" t="str">
        <f>"85044"</f>
        <v>85044</v>
      </c>
      <c r="E1494">
        <v>81.290000000000006</v>
      </c>
    </row>
    <row r="1495" spans="1:5" x14ac:dyDescent="0.2">
      <c r="A1495">
        <v>85045</v>
      </c>
      <c r="B1495" t="s">
        <v>9</v>
      </c>
      <c r="C1495">
        <v>85045</v>
      </c>
      <c r="D1495" t="str">
        <f>"85045"</f>
        <v>85045</v>
      </c>
      <c r="E1495">
        <v>84.62</v>
      </c>
    </row>
    <row r="1496" spans="1:5" x14ac:dyDescent="0.2">
      <c r="A1496">
        <v>85048</v>
      </c>
      <c r="B1496" t="s">
        <v>9</v>
      </c>
      <c r="C1496">
        <v>85048</v>
      </c>
      <c r="D1496" t="str">
        <f>"85048"</f>
        <v>85048</v>
      </c>
      <c r="E1496">
        <v>82.73</v>
      </c>
    </row>
    <row r="1497" spans="1:5" x14ac:dyDescent="0.2">
      <c r="A1497">
        <v>85050</v>
      </c>
      <c r="B1497" t="s">
        <v>9</v>
      </c>
      <c r="C1497">
        <v>85050</v>
      </c>
      <c r="D1497" t="str">
        <f>"85050"</f>
        <v>85050</v>
      </c>
      <c r="E1497">
        <v>81.96</v>
      </c>
    </row>
    <row r="1498" spans="1:5" x14ac:dyDescent="0.2">
      <c r="A1498">
        <v>85051</v>
      </c>
      <c r="B1498" t="s">
        <v>9</v>
      </c>
      <c r="C1498">
        <v>85051</v>
      </c>
      <c r="D1498" t="str">
        <f>"85051"</f>
        <v>85051</v>
      </c>
      <c r="E1498">
        <v>59.14</v>
      </c>
    </row>
    <row r="1499" spans="1:5" x14ac:dyDescent="0.2">
      <c r="A1499">
        <v>85053</v>
      </c>
      <c r="B1499" t="s">
        <v>9</v>
      </c>
      <c r="C1499">
        <v>85053</v>
      </c>
      <c r="D1499" t="str">
        <f>"85053"</f>
        <v>85053</v>
      </c>
      <c r="E1499">
        <v>70.099999999999994</v>
      </c>
    </row>
    <row r="1500" spans="1:5" x14ac:dyDescent="0.2">
      <c r="A1500">
        <v>85054</v>
      </c>
      <c r="B1500" t="s">
        <v>9</v>
      </c>
      <c r="C1500">
        <v>85054</v>
      </c>
      <c r="D1500" t="str">
        <f>"85054"</f>
        <v>85054</v>
      </c>
      <c r="E1500">
        <v>85.57</v>
      </c>
    </row>
    <row r="1501" spans="1:5" x14ac:dyDescent="0.2">
      <c r="A1501">
        <v>85083</v>
      </c>
      <c r="B1501" t="s">
        <v>9</v>
      </c>
      <c r="C1501">
        <v>85083</v>
      </c>
      <c r="D1501" t="str">
        <f>"85083"</f>
        <v>85083</v>
      </c>
      <c r="E1501">
        <v>82.13</v>
      </c>
    </row>
    <row r="1502" spans="1:5" x14ac:dyDescent="0.2">
      <c r="A1502">
        <v>85085</v>
      </c>
      <c r="B1502" t="s">
        <v>9</v>
      </c>
      <c r="C1502">
        <v>85085</v>
      </c>
      <c r="D1502" t="str">
        <f>"85085"</f>
        <v>85085</v>
      </c>
      <c r="E1502">
        <v>82.85</v>
      </c>
    </row>
    <row r="1503" spans="1:5" x14ac:dyDescent="0.2">
      <c r="A1503">
        <v>85086</v>
      </c>
      <c r="B1503" t="s">
        <v>9</v>
      </c>
      <c r="C1503">
        <v>85086</v>
      </c>
      <c r="D1503" t="str">
        <f>"85086"</f>
        <v>85086</v>
      </c>
      <c r="E1503">
        <v>79.569999999999993</v>
      </c>
    </row>
    <row r="1504" spans="1:5" x14ac:dyDescent="0.2">
      <c r="A1504">
        <v>85087</v>
      </c>
      <c r="B1504" t="s">
        <v>9</v>
      </c>
      <c r="C1504">
        <v>85087</v>
      </c>
      <c r="D1504" t="str">
        <f>"85087"</f>
        <v>85087</v>
      </c>
      <c r="E1504">
        <v>78.430000000000007</v>
      </c>
    </row>
    <row r="1505" spans="1:5" x14ac:dyDescent="0.2">
      <c r="A1505">
        <v>85118</v>
      </c>
      <c r="B1505" t="s">
        <v>9</v>
      </c>
      <c r="C1505">
        <v>85118</v>
      </c>
      <c r="D1505" t="str">
        <f>"85118"</f>
        <v>85118</v>
      </c>
      <c r="E1505">
        <v>79.89</v>
      </c>
    </row>
    <row r="1506" spans="1:5" x14ac:dyDescent="0.2">
      <c r="A1506">
        <v>85119</v>
      </c>
      <c r="B1506" t="s">
        <v>9</v>
      </c>
      <c r="C1506">
        <v>85119</v>
      </c>
      <c r="D1506" t="str">
        <f>"85119"</f>
        <v>85119</v>
      </c>
      <c r="E1506">
        <v>72.06</v>
      </c>
    </row>
    <row r="1507" spans="1:5" x14ac:dyDescent="0.2">
      <c r="A1507">
        <v>85120</v>
      </c>
      <c r="B1507" t="s">
        <v>9</v>
      </c>
      <c r="C1507">
        <v>85120</v>
      </c>
      <c r="D1507" t="str">
        <f>"85120"</f>
        <v>85120</v>
      </c>
      <c r="E1507">
        <v>67.02</v>
      </c>
    </row>
    <row r="1508" spans="1:5" x14ac:dyDescent="0.2">
      <c r="A1508">
        <v>85121</v>
      </c>
      <c r="B1508" t="s">
        <v>9</v>
      </c>
      <c r="C1508">
        <v>85121</v>
      </c>
      <c r="D1508" t="str">
        <f>"85121"</f>
        <v>85121</v>
      </c>
      <c r="E1508" t="s">
        <v>6</v>
      </c>
    </row>
    <row r="1509" spans="1:5" x14ac:dyDescent="0.2">
      <c r="A1509">
        <v>85122</v>
      </c>
      <c r="B1509" t="s">
        <v>9</v>
      </c>
      <c r="C1509">
        <v>85122</v>
      </c>
      <c r="D1509" t="str">
        <f>"85122"</f>
        <v>85122</v>
      </c>
      <c r="E1509">
        <v>64.209999999999994</v>
      </c>
    </row>
    <row r="1510" spans="1:5" x14ac:dyDescent="0.2">
      <c r="A1510">
        <v>85123</v>
      </c>
      <c r="B1510" t="s">
        <v>9</v>
      </c>
      <c r="C1510">
        <v>85123</v>
      </c>
      <c r="D1510" t="str">
        <f>"85123"</f>
        <v>85123</v>
      </c>
      <c r="E1510" t="s">
        <v>6</v>
      </c>
    </row>
    <row r="1511" spans="1:5" x14ac:dyDescent="0.2">
      <c r="A1511">
        <v>85128</v>
      </c>
      <c r="B1511" t="s">
        <v>9</v>
      </c>
      <c r="C1511">
        <v>85128</v>
      </c>
      <c r="D1511" t="str">
        <f>"85128"</f>
        <v>85128</v>
      </c>
      <c r="E1511">
        <v>58.42</v>
      </c>
    </row>
    <row r="1512" spans="1:5" x14ac:dyDescent="0.2">
      <c r="A1512">
        <v>85131</v>
      </c>
      <c r="B1512" t="s">
        <v>9</v>
      </c>
      <c r="C1512">
        <v>85131</v>
      </c>
      <c r="D1512" t="str">
        <f>"85131"</f>
        <v>85131</v>
      </c>
      <c r="E1512">
        <v>53.79</v>
      </c>
    </row>
    <row r="1513" spans="1:5" x14ac:dyDescent="0.2">
      <c r="A1513">
        <v>85132</v>
      </c>
      <c r="B1513" t="s">
        <v>9</v>
      </c>
      <c r="C1513">
        <v>85132</v>
      </c>
      <c r="D1513" t="str">
        <f>"85132"</f>
        <v>85132</v>
      </c>
      <c r="E1513">
        <v>69.260000000000005</v>
      </c>
    </row>
    <row r="1514" spans="1:5" x14ac:dyDescent="0.2">
      <c r="A1514">
        <v>85135</v>
      </c>
      <c r="B1514" t="s">
        <v>9</v>
      </c>
      <c r="C1514">
        <v>85135</v>
      </c>
      <c r="D1514" t="str">
        <f>"85135"</f>
        <v>85135</v>
      </c>
      <c r="E1514" t="s">
        <v>6</v>
      </c>
    </row>
    <row r="1515" spans="1:5" x14ac:dyDescent="0.2">
      <c r="A1515">
        <v>85137</v>
      </c>
      <c r="B1515" t="s">
        <v>9</v>
      </c>
      <c r="C1515">
        <v>85137</v>
      </c>
      <c r="D1515" t="str">
        <f>"85137"</f>
        <v>85137</v>
      </c>
      <c r="E1515">
        <v>70.930000000000007</v>
      </c>
    </row>
    <row r="1516" spans="1:5" x14ac:dyDescent="0.2">
      <c r="A1516">
        <v>85138</v>
      </c>
      <c r="B1516" t="s">
        <v>9</v>
      </c>
      <c r="C1516">
        <v>85138</v>
      </c>
      <c r="D1516" t="str">
        <f>"85138"</f>
        <v>85138</v>
      </c>
      <c r="E1516">
        <v>71.83</v>
      </c>
    </row>
    <row r="1517" spans="1:5" x14ac:dyDescent="0.2">
      <c r="A1517">
        <v>85139</v>
      </c>
      <c r="B1517" t="s">
        <v>9</v>
      </c>
      <c r="C1517">
        <v>85139</v>
      </c>
      <c r="D1517" t="str">
        <f>"85139"</f>
        <v>85139</v>
      </c>
      <c r="E1517">
        <v>67.260000000000005</v>
      </c>
    </row>
    <row r="1518" spans="1:5" x14ac:dyDescent="0.2">
      <c r="A1518">
        <v>85140</v>
      </c>
      <c r="B1518" t="s">
        <v>9</v>
      </c>
      <c r="C1518">
        <v>85140</v>
      </c>
      <c r="D1518" t="str">
        <f>"85140"</f>
        <v>85140</v>
      </c>
      <c r="E1518">
        <v>73.3</v>
      </c>
    </row>
    <row r="1519" spans="1:5" x14ac:dyDescent="0.2">
      <c r="A1519">
        <v>85141</v>
      </c>
      <c r="B1519" t="s">
        <v>9</v>
      </c>
      <c r="C1519">
        <v>85141</v>
      </c>
      <c r="D1519" t="str">
        <f>"85141"</f>
        <v>85141</v>
      </c>
      <c r="E1519" t="s">
        <v>6</v>
      </c>
    </row>
    <row r="1520" spans="1:5" x14ac:dyDescent="0.2">
      <c r="A1520">
        <v>85142</v>
      </c>
      <c r="B1520" t="s">
        <v>9</v>
      </c>
      <c r="C1520">
        <v>85142</v>
      </c>
      <c r="D1520" t="str">
        <f>"85142"</f>
        <v>85142</v>
      </c>
      <c r="E1520">
        <v>76.75</v>
      </c>
    </row>
    <row r="1521" spans="1:5" x14ac:dyDescent="0.2">
      <c r="A1521">
        <v>85143</v>
      </c>
      <c r="B1521" t="s">
        <v>9</v>
      </c>
      <c r="C1521">
        <v>85143</v>
      </c>
      <c r="D1521" t="str">
        <f>"85143"</f>
        <v>85143</v>
      </c>
      <c r="E1521">
        <v>70.61</v>
      </c>
    </row>
    <row r="1522" spans="1:5" x14ac:dyDescent="0.2">
      <c r="A1522">
        <v>85145</v>
      </c>
      <c r="B1522" t="s">
        <v>9</v>
      </c>
      <c r="C1522">
        <v>85145</v>
      </c>
      <c r="D1522" t="str">
        <f>"85145"</f>
        <v>85145</v>
      </c>
      <c r="E1522">
        <v>71.58</v>
      </c>
    </row>
    <row r="1523" spans="1:5" x14ac:dyDescent="0.2">
      <c r="A1523">
        <v>85147</v>
      </c>
      <c r="B1523" t="s">
        <v>9</v>
      </c>
      <c r="C1523">
        <v>85147</v>
      </c>
      <c r="D1523" t="str">
        <f>"85147"</f>
        <v>85147</v>
      </c>
      <c r="E1523" t="s">
        <v>6</v>
      </c>
    </row>
    <row r="1524" spans="1:5" x14ac:dyDescent="0.2">
      <c r="A1524">
        <v>85172</v>
      </c>
      <c r="B1524" t="s">
        <v>9</v>
      </c>
      <c r="C1524">
        <v>85172</v>
      </c>
      <c r="D1524" t="str">
        <f>"85172"</f>
        <v>85172</v>
      </c>
      <c r="E1524">
        <v>52.11</v>
      </c>
    </row>
    <row r="1525" spans="1:5" x14ac:dyDescent="0.2">
      <c r="A1525">
        <v>85173</v>
      </c>
      <c r="B1525" t="s">
        <v>9</v>
      </c>
      <c r="C1525">
        <v>85173</v>
      </c>
      <c r="D1525" t="str">
        <f>"85173"</f>
        <v>85173</v>
      </c>
      <c r="E1525">
        <v>64.36</v>
      </c>
    </row>
    <row r="1526" spans="1:5" x14ac:dyDescent="0.2">
      <c r="A1526">
        <v>85178</v>
      </c>
      <c r="B1526" t="s">
        <v>9</v>
      </c>
      <c r="C1526">
        <v>85178</v>
      </c>
      <c r="D1526" t="str">
        <f>"85178"</f>
        <v>85178</v>
      </c>
      <c r="E1526" t="s">
        <v>6</v>
      </c>
    </row>
    <row r="1527" spans="1:5" x14ac:dyDescent="0.2">
      <c r="A1527">
        <v>85190</v>
      </c>
      <c r="B1527" t="s">
        <v>9</v>
      </c>
      <c r="C1527">
        <v>85190</v>
      </c>
      <c r="D1527" t="str">
        <f>"85190"</f>
        <v>85190</v>
      </c>
      <c r="E1527" t="s">
        <v>6</v>
      </c>
    </row>
    <row r="1528" spans="1:5" x14ac:dyDescent="0.2">
      <c r="A1528">
        <v>85191</v>
      </c>
      <c r="B1528" t="s">
        <v>9</v>
      </c>
      <c r="C1528">
        <v>85191</v>
      </c>
      <c r="D1528" t="str">
        <f>"85191"</f>
        <v>85191</v>
      </c>
      <c r="E1528" t="s">
        <v>6</v>
      </c>
    </row>
    <row r="1529" spans="1:5" x14ac:dyDescent="0.2">
      <c r="A1529">
        <v>85192</v>
      </c>
      <c r="B1529" t="s">
        <v>9</v>
      </c>
      <c r="C1529">
        <v>85192</v>
      </c>
      <c r="D1529" t="str">
        <f>"85192"</f>
        <v>85192</v>
      </c>
      <c r="E1529">
        <v>67.39</v>
      </c>
    </row>
    <row r="1530" spans="1:5" x14ac:dyDescent="0.2">
      <c r="A1530">
        <v>85193</v>
      </c>
      <c r="B1530" t="s">
        <v>9</v>
      </c>
      <c r="C1530">
        <v>85193</v>
      </c>
      <c r="D1530" t="str">
        <f>"85193"</f>
        <v>85193</v>
      </c>
      <c r="E1530">
        <v>55.2</v>
      </c>
    </row>
    <row r="1531" spans="1:5" x14ac:dyDescent="0.2">
      <c r="A1531">
        <v>85194</v>
      </c>
      <c r="B1531" t="s">
        <v>9</v>
      </c>
      <c r="C1531">
        <v>85194</v>
      </c>
      <c r="D1531" t="str">
        <f>"85194"</f>
        <v>85194</v>
      </c>
      <c r="E1531">
        <v>72.650000000000006</v>
      </c>
    </row>
    <row r="1532" spans="1:5" x14ac:dyDescent="0.2">
      <c r="A1532">
        <v>85201</v>
      </c>
      <c r="B1532" t="s">
        <v>9</v>
      </c>
      <c r="C1532">
        <v>85201</v>
      </c>
      <c r="D1532" t="str">
        <f>"85201"</f>
        <v>85201</v>
      </c>
      <c r="E1532">
        <v>63.63</v>
      </c>
    </row>
    <row r="1533" spans="1:5" x14ac:dyDescent="0.2">
      <c r="A1533">
        <v>85202</v>
      </c>
      <c r="B1533" t="s">
        <v>9</v>
      </c>
      <c r="C1533">
        <v>85202</v>
      </c>
      <c r="D1533" t="str">
        <f>"85202"</f>
        <v>85202</v>
      </c>
      <c r="E1533">
        <v>72.02</v>
      </c>
    </row>
    <row r="1534" spans="1:5" x14ac:dyDescent="0.2">
      <c r="A1534">
        <v>85203</v>
      </c>
      <c r="B1534" t="s">
        <v>9</v>
      </c>
      <c r="C1534">
        <v>85203</v>
      </c>
      <c r="D1534" t="str">
        <f>"85203"</f>
        <v>85203</v>
      </c>
      <c r="E1534">
        <v>66.8</v>
      </c>
    </row>
    <row r="1535" spans="1:5" x14ac:dyDescent="0.2">
      <c r="A1535">
        <v>85204</v>
      </c>
      <c r="B1535" t="s">
        <v>9</v>
      </c>
      <c r="C1535">
        <v>85204</v>
      </c>
      <c r="D1535" t="str">
        <f>"85204"</f>
        <v>85204</v>
      </c>
      <c r="E1535">
        <v>63.81</v>
      </c>
    </row>
    <row r="1536" spans="1:5" x14ac:dyDescent="0.2">
      <c r="A1536">
        <v>85205</v>
      </c>
      <c r="B1536" t="s">
        <v>9</v>
      </c>
      <c r="C1536">
        <v>85205</v>
      </c>
      <c r="D1536" t="str">
        <f>"85205"</f>
        <v>85205</v>
      </c>
      <c r="E1536">
        <v>73</v>
      </c>
    </row>
    <row r="1537" spans="1:5" x14ac:dyDescent="0.2">
      <c r="A1537">
        <v>85206</v>
      </c>
      <c r="B1537" t="s">
        <v>9</v>
      </c>
      <c r="C1537">
        <v>85206</v>
      </c>
      <c r="D1537" t="str">
        <f>"85206"</f>
        <v>85206</v>
      </c>
      <c r="E1537">
        <v>74.5</v>
      </c>
    </row>
    <row r="1538" spans="1:5" x14ac:dyDescent="0.2">
      <c r="A1538">
        <v>85207</v>
      </c>
      <c r="B1538" t="s">
        <v>9</v>
      </c>
      <c r="C1538">
        <v>85207</v>
      </c>
      <c r="D1538" t="str">
        <f>"85207"</f>
        <v>85207</v>
      </c>
      <c r="E1538">
        <v>76.87</v>
      </c>
    </row>
    <row r="1539" spans="1:5" x14ac:dyDescent="0.2">
      <c r="A1539">
        <v>85208</v>
      </c>
      <c r="B1539" t="s">
        <v>9</v>
      </c>
      <c r="C1539">
        <v>85208</v>
      </c>
      <c r="D1539" t="str">
        <f>"85208"</f>
        <v>85208</v>
      </c>
      <c r="E1539">
        <v>68.819999999999993</v>
      </c>
    </row>
    <row r="1540" spans="1:5" x14ac:dyDescent="0.2">
      <c r="A1540">
        <v>85209</v>
      </c>
      <c r="B1540" t="s">
        <v>9</v>
      </c>
      <c r="C1540">
        <v>85209</v>
      </c>
      <c r="D1540" t="str">
        <f>"85209"</f>
        <v>85209</v>
      </c>
      <c r="E1540">
        <v>76.89</v>
      </c>
    </row>
    <row r="1541" spans="1:5" x14ac:dyDescent="0.2">
      <c r="A1541">
        <v>85210</v>
      </c>
      <c r="B1541" t="s">
        <v>9</v>
      </c>
      <c r="C1541">
        <v>85210</v>
      </c>
      <c r="D1541" t="str">
        <f>"85210"</f>
        <v>85210</v>
      </c>
      <c r="E1541">
        <v>65.040000000000006</v>
      </c>
    </row>
    <row r="1542" spans="1:5" x14ac:dyDescent="0.2">
      <c r="A1542">
        <v>85212</v>
      </c>
      <c r="B1542" t="s">
        <v>9</v>
      </c>
      <c r="C1542">
        <v>85212</v>
      </c>
      <c r="D1542" t="str">
        <f>"85212"</f>
        <v>85212</v>
      </c>
      <c r="E1542">
        <v>79.31</v>
      </c>
    </row>
    <row r="1543" spans="1:5" x14ac:dyDescent="0.2">
      <c r="A1543">
        <v>85213</v>
      </c>
      <c r="B1543" t="s">
        <v>9</v>
      </c>
      <c r="C1543">
        <v>85213</v>
      </c>
      <c r="D1543" t="str">
        <f>"85213"</f>
        <v>85213</v>
      </c>
      <c r="E1543">
        <v>75.239999999999995</v>
      </c>
    </row>
    <row r="1544" spans="1:5" x14ac:dyDescent="0.2">
      <c r="A1544">
        <v>85215</v>
      </c>
      <c r="B1544" t="s">
        <v>9</v>
      </c>
      <c r="C1544">
        <v>85215</v>
      </c>
      <c r="D1544" t="str">
        <f>"85215"</f>
        <v>85215</v>
      </c>
      <c r="E1544">
        <v>78.77</v>
      </c>
    </row>
    <row r="1545" spans="1:5" x14ac:dyDescent="0.2">
      <c r="A1545">
        <v>85224</v>
      </c>
      <c r="B1545" t="s">
        <v>9</v>
      </c>
      <c r="C1545">
        <v>85224</v>
      </c>
      <c r="D1545" t="str">
        <f>"85224"</f>
        <v>85224</v>
      </c>
      <c r="E1545">
        <v>79.11</v>
      </c>
    </row>
    <row r="1546" spans="1:5" x14ac:dyDescent="0.2">
      <c r="A1546">
        <v>85225</v>
      </c>
      <c r="B1546" t="s">
        <v>9</v>
      </c>
      <c r="C1546">
        <v>85225</v>
      </c>
      <c r="D1546" t="str">
        <f>"85225"</f>
        <v>85225</v>
      </c>
      <c r="E1546">
        <v>71.87</v>
      </c>
    </row>
    <row r="1547" spans="1:5" x14ac:dyDescent="0.2">
      <c r="A1547">
        <v>85226</v>
      </c>
      <c r="B1547" t="s">
        <v>9</v>
      </c>
      <c r="C1547">
        <v>85226</v>
      </c>
      <c r="D1547" t="str">
        <f>"85226"</f>
        <v>85226</v>
      </c>
      <c r="E1547">
        <v>81.760000000000005</v>
      </c>
    </row>
    <row r="1548" spans="1:5" x14ac:dyDescent="0.2">
      <c r="A1548">
        <v>85233</v>
      </c>
      <c r="B1548" t="s">
        <v>9</v>
      </c>
      <c r="C1548">
        <v>85233</v>
      </c>
      <c r="D1548" t="str">
        <f>"85233"</f>
        <v>85233</v>
      </c>
      <c r="E1548">
        <v>80.12</v>
      </c>
    </row>
    <row r="1549" spans="1:5" x14ac:dyDescent="0.2">
      <c r="A1549">
        <v>85234</v>
      </c>
      <c r="B1549" t="s">
        <v>9</v>
      </c>
      <c r="C1549">
        <v>85234</v>
      </c>
      <c r="D1549" t="str">
        <f>"85234"</f>
        <v>85234</v>
      </c>
      <c r="E1549">
        <v>77.84</v>
      </c>
    </row>
    <row r="1550" spans="1:5" x14ac:dyDescent="0.2">
      <c r="A1550">
        <v>85248</v>
      </c>
      <c r="B1550" t="s">
        <v>9</v>
      </c>
      <c r="C1550">
        <v>85248</v>
      </c>
      <c r="D1550" t="str">
        <f>"85248"</f>
        <v>85248</v>
      </c>
      <c r="E1550">
        <v>82.23</v>
      </c>
    </row>
    <row r="1551" spans="1:5" x14ac:dyDescent="0.2">
      <c r="A1551">
        <v>85249</v>
      </c>
      <c r="B1551" t="s">
        <v>9</v>
      </c>
      <c r="C1551">
        <v>85249</v>
      </c>
      <c r="D1551" t="str">
        <f>"85249"</f>
        <v>85249</v>
      </c>
      <c r="E1551">
        <v>82.19</v>
      </c>
    </row>
    <row r="1552" spans="1:5" x14ac:dyDescent="0.2">
      <c r="A1552">
        <v>85250</v>
      </c>
      <c r="B1552" t="s">
        <v>9</v>
      </c>
      <c r="C1552">
        <v>85250</v>
      </c>
      <c r="D1552" t="str">
        <f>"85250"</f>
        <v>85250</v>
      </c>
      <c r="E1552">
        <v>81.709999999999994</v>
      </c>
    </row>
    <row r="1553" spans="1:5" x14ac:dyDescent="0.2">
      <c r="A1553">
        <v>85251</v>
      </c>
      <c r="B1553" t="s">
        <v>9</v>
      </c>
      <c r="C1553">
        <v>85251</v>
      </c>
      <c r="D1553" t="str">
        <f>"85251"</f>
        <v>85251</v>
      </c>
      <c r="E1553">
        <v>80.03</v>
      </c>
    </row>
    <row r="1554" spans="1:5" x14ac:dyDescent="0.2">
      <c r="A1554">
        <v>85253</v>
      </c>
      <c r="B1554" t="s">
        <v>9</v>
      </c>
      <c r="C1554">
        <v>85253</v>
      </c>
      <c r="D1554" t="str">
        <f>"85253"</f>
        <v>85253</v>
      </c>
      <c r="E1554">
        <v>82.37</v>
      </c>
    </row>
    <row r="1555" spans="1:5" x14ac:dyDescent="0.2">
      <c r="A1555">
        <v>85254</v>
      </c>
      <c r="B1555" t="s">
        <v>9</v>
      </c>
      <c r="C1555">
        <v>85254</v>
      </c>
      <c r="D1555" t="str">
        <f>"85254"</f>
        <v>85254</v>
      </c>
      <c r="E1555">
        <v>82.23</v>
      </c>
    </row>
    <row r="1556" spans="1:5" x14ac:dyDescent="0.2">
      <c r="A1556">
        <v>85255</v>
      </c>
      <c r="B1556" t="s">
        <v>9</v>
      </c>
      <c r="C1556">
        <v>85255</v>
      </c>
      <c r="D1556" t="str">
        <f>"85255"</f>
        <v>85255</v>
      </c>
      <c r="E1556">
        <v>84.01</v>
      </c>
    </row>
    <row r="1557" spans="1:5" x14ac:dyDescent="0.2">
      <c r="A1557">
        <v>85256</v>
      </c>
      <c r="B1557" t="s">
        <v>9</v>
      </c>
      <c r="C1557">
        <v>85256</v>
      </c>
      <c r="D1557" t="str">
        <f>"85256"</f>
        <v>85256</v>
      </c>
      <c r="E1557">
        <v>69.06</v>
      </c>
    </row>
    <row r="1558" spans="1:5" x14ac:dyDescent="0.2">
      <c r="A1558">
        <v>85257</v>
      </c>
      <c r="B1558" t="s">
        <v>9</v>
      </c>
      <c r="C1558">
        <v>85257</v>
      </c>
      <c r="D1558" t="str">
        <f>"85257"</f>
        <v>85257</v>
      </c>
      <c r="E1558">
        <v>78.13</v>
      </c>
    </row>
    <row r="1559" spans="1:5" x14ac:dyDescent="0.2">
      <c r="A1559">
        <v>85258</v>
      </c>
      <c r="B1559" t="s">
        <v>9</v>
      </c>
      <c r="C1559">
        <v>85258</v>
      </c>
      <c r="D1559" t="str">
        <f>"85258"</f>
        <v>85258</v>
      </c>
      <c r="E1559">
        <v>83.27</v>
      </c>
    </row>
    <row r="1560" spans="1:5" x14ac:dyDescent="0.2">
      <c r="A1560">
        <v>85259</v>
      </c>
      <c r="B1560" t="s">
        <v>9</v>
      </c>
      <c r="C1560">
        <v>85259</v>
      </c>
      <c r="D1560" t="str">
        <f>"85259"</f>
        <v>85259</v>
      </c>
      <c r="E1560">
        <v>82.66</v>
      </c>
    </row>
    <row r="1561" spans="1:5" x14ac:dyDescent="0.2">
      <c r="A1561">
        <v>85260</v>
      </c>
      <c r="B1561" t="s">
        <v>9</v>
      </c>
      <c r="C1561">
        <v>85260</v>
      </c>
      <c r="D1561" t="str">
        <f>"85260"</f>
        <v>85260</v>
      </c>
      <c r="E1561">
        <v>82.01</v>
      </c>
    </row>
    <row r="1562" spans="1:5" x14ac:dyDescent="0.2">
      <c r="A1562">
        <v>85262</v>
      </c>
      <c r="B1562" t="s">
        <v>9</v>
      </c>
      <c r="C1562">
        <v>85262</v>
      </c>
      <c r="D1562" t="str">
        <f>"85262"</f>
        <v>85262</v>
      </c>
      <c r="E1562">
        <v>84.27</v>
      </c>
    </row>
    <row r="1563" spans="1:5" x14ac:dyDescent="0.2">
      <c r="A1563">
        <v>85263</v>
      </c>
      <c r="B1563" t="s">
        <v>9</v>
      </c>
      <c r="C1563">
        <v>85263</v>
      </c>
      <c r="D1563" t="str">
        <f>"85263"</f>
        <v>85263</v>
      </c>
      <c r="E1563">
        <v>87.18</v>
      </c>
    </row>
    <row r="1564" spans="1:5" x14ac:dyDescent="0.2">
      <c r="A1564">
        <v>85264</v>
      </c>
      <c r="B1564" t="s">
        <v>9</v>
      </c>
      <c r="C1564">
        <v>85264</v>
      </c>
      <c r="D1564" t="str">
        <f>"85264"</f>
        <v>85264</v>
      </c>
      <c r="E1564">
        <v>89.23</v>
      </c>
    </row>
    <row r="1565" spans="1:5" x14ac:dyDescent="0.2">
      <c r="A1565">
        <v>85266</v>
      </c>
      <c r="B1565" t="s">
        <v>9</v>
      </c>
      <c r="C1565">
        <v>85266</v>
      </c>
      <c r="D1565" t="str">
        <f>"85266"</f>
        <v>85266</v>
      </c>
      <c r="E1565">
        <v>82.51</v>
      </c>
    </row>
    <row r="1566" spans="1:5" x14ac:dyDescent="0.2">
      <c r="A1566">
        <v>85268</v>
      </c>
      <c r="B1566" t="s">
        <v>9</v>
      </c>
      <c r="C1566">
        <v>85268</v>
      </c>
      <c r="D1566" t="str">
        <f>"85268"</f>
        <v>85268</v>
      </c>
      <c r="E1566">
        <v>81.209999999999994</v>
      </c>
    </row>
    <row r="1567" spans="1:5" x14ac:dyDescent="0.2">
      <c r="A1567">
        <v>85281</v>
      </c>
      <c r="B1567" t="s">
        <v>9</v>
      </c>
      <c r="C1567">
        <v>85281</v>
      </c>
      <c r="D1567" t="str">
        <f>"85281"</f>
        <v>85281</v>
      </c>
      <c r="E1567">
        <v>69.91</v>
      </c>
    </row>
    <row r="1568" spans="1:5" x14ac:dyDescent="0.2">
      <c r="A1568">
        <v>85282</v>
      </c>
      <c r="B1568" t="s">
        <v>9</v>
      </c>
      <c r="C1568">
        <v>85282</v>
      </c>
      <c r="D1568" t="str">
        <f>"85282"</f>
        <v>85282</v>
      </c>
      <c r="E1568">
        <v>76.05</v>
      </c>
    </row>
    <row r="1569" spans="1:5" x14ac:dyDescent="0.2">
      <c r="A1569">
        <v>85283</v>
      </c>
      <c r="B1569" t="s">
        <v>9</v>
      </c>
      <c r="C1569">
        <v>85283</v>
      </c>
      <c r="D1569" t="str">
        <f>"85283"</f>
        <v>85283</v>
      </c>
      <c r="E1569">
        <v>75.47</v>
      </c>
    </row>
    <row r="1570" spans="1:5" x14ac:dyDescent="0.2">
      <c r="A1570">
        <v>85284</v>
      </c>
      <c r="B1570" t="s">
        <v>9</v>
      </c>
      <c r="C1570">
        <v>85284</v>
      </c>
      <c r="D1570" t="str">
        <f>"85284"</f>
        <v>85284</v>
      </c>
      <c r="E1570">
        <v>84.65</v>
      </c>
    </row>
    <row r="1571" spans="1:5" x14ac:dyDescent="0.2">
      <c r="A1571">
        <v>85286</v>
      </c>
      <c r="B1571" t="s">
        <v>9</v>
      </c>
      <c r="C1571">
        <v>85286</v>
      </c>
      <c r="D1571" t="str">
        <f>"85286"</f>
        <v>85286</v>
      </c>
      <c r="E1571">
        <v>81.48</v>
      </c>
    </row>
    <row r="1572" spans="1:5" x14ac:dyDescent="0.2">
      <c r="A1572">
        <v>85295</v>
      </c>
      <c r="B1572" t="s">
        <v>9</v>
      </c>
      <c r="C1572">
        <v>85295</v>
      </c>
      <c r="D1572" t="str">
        <f>"85295"</f>
        <v>85295</v>
      </c>
      <c r="E1572">
        <v>80.3</v>
      </c>
    </row>
    <row r="1573" spans="1:5" x14ac:dyDescent="0.2">
      <c r="A1573">
        <v>85296</v>
      </c>
      <c r="B1573" t="s">
        <v>9</v>
      </c>
      <c r="C1573">
        <v>85296</v>
      </c>
      <c r="D1573" t="str">
        <f>"85296"</f>
        <v>85296</v>
      </c>
      <c r="E1573">
        <v>80.08</v>
      </c>
    </row>
    <row r="1574" spans="1:5" x14ac:dyDescent="0.2">
      <c r="A1574">
        <v>85297</v>
      </c>
      <c r="B1574" t="s">
        <v>9</v>
      </c>
      <c r="C1574">
        <v>85297</v>
      </c>
      <c r="D1574" t="str">
        <f>"85297"</f>
        <v>85297</v>
      </c>
      <c r="E1574">
        <v>79.510000000000005</v>
      </c>
    </row>
    <row r="1575" spans="1:5" x14ac:dyDescent="0.2">
      <c r="A1575">
        <v>85298</v>
      </c>
      <c r="B1575" t="s">
        <v>9</v>
      </c>
      <c r="C1575">
        <v>85298</v>
      </c>
      <c r="D1575" t="str">
        <f>"85298"</f>
        <v>85298</v>
      </c>
      <c r="E1575">
        <v>82.86</v>
      </c>
    </row>
    <row r="1576" spans="1:5" x14ac:dyDescent="0.2">
      <c r="A1576">
        <v>85301</v>
      </c>
      <c r="B1576" t="s">
        <v>9</v>
      </c>
      <c r="C1576">
        <v>85301</v>
      </c>
      <c r="D1576" t="str">
        <f>"85301"</f>
        <v>85301</v>
      </c>
      <c r="E1576">
        <v>47.46</v>
      </c>
    </row>
    <row r="1577" spans="1:5" x14ac:dyDescent="0.2">
      <c r="A1577">
        <v>85302</v>
      </c>
      <c r="B1577" t="s">
        <v>9</v>
      </c>
      <c r="C1577">
        <v>85302</v>
      </c>
      <c r="D1577" t="str">
        <f>"85302"</f>
        <v>85302</v>
      </c>
      <c r="E1577">
        <v>66.900000000000006</v>
      </c>
    </row>
    <row r="1578" spans="1:5" x14ac:dyDescent="0.2">
      <c r="A1578">
        <v>85303</v>
      </c>
      <c r="B1578" t="s">
        <v>9</v>
      </c>
      <c r="C1578">
        <v>85303</v>
      </c>
      <c r="D1578" t="str">
        <f>"85303"</f>
        <v>85303</v>
      </c>
      <c r="E1578">
        <v>58.79</v>
      </c>
    </row>
    <row r="1579" spans="1:5" x14ac:dyDescent="0.2">
      <c r="A1579">
        <v>85304</v>
      </c>
      <c r="B1579" t="s">
        <v>9</v>
      </c>
      <c r="C1579">
        <v>85304</v>
      </c>
      <c r="D1579" t="str">
        <f>"85304"</f>
        <v>85304</v>
      </c>
      <c r="E1579">
        <v>73.069999999999993</v>
      </c>
    </row>
    <row r="1580" spans="1:5" x14ac:dyDescent="0.2">
      <c r="A1580">
        <v>85305</v>
      </c>
      <c r="B1580" t="s">
        <v>9</v>
      </c>
      <c r="C1580">
        <v>85305</v>
      </c>
      <c r="D1580" t="str">
        <f>"85305"</f>
        <v>85305</v>
      </c>
      <c r="E1580">
        <v>73.099999999999994</v>
      </c>
    </row>
    <row r="1581" spans="1:5" x14ac:dyDescent="0.2">
      <c r="A1581">
        <v>85306</v>
      </c>
      <c r="B1581" t="s">
        <v>9</v>
      </c>
      <c r="C1581">
        <v>85306</v>
      </c>
      <c r="D1581" t="str">
        <f>"85306"</f>
        <v>85306</v>
      </c>
      <c r="E1581">
        <v>72.7</v>
      </c>
    </row>
    <row r="1582" spans="1:5" x14ac:dyDescent="0.2">
      <c r="A1582">
        <v>85307</v>
      </c>
      <c r="B1582" t="s">
        <v>9</v>
      </c>
      <c r="C1582">
        <v>85307</v>
      </c>
      <c r="D1582" t="str">
        <f>"85307"</f>
        <v>85307</v>
      </c>
      <c r="E1582">
        <v>67.8</v>
      </c>
    </row>
    <row r="1583" spans="1:5" x14ac:dyDescent="0.2">
      <c r="A1583">
        <v>85308</v>
      </c>
      <c r="B1583" t="s">
        <v>9</v>
      </c>
      <c r="C1583">
        <v>85308</v>
      </c>
      <c r="D1583" t="str">
        <f>"85308"</f>
        <v>85308</v>
      </c>
      <c r="E1583">
        <v>77.95</v>
      </c>
    </row>
    <row r="1584" spans="1:5" x14ac:dyDescent="0.2">
      <c r="A1584">
        <v>85309</v>
      </c>
      <c r="B1584" t="s">
        <v>9</v>
      </c>
      <c r="C1584">
        <v>85309</v>
      </c>
      <c r="D1584" t="str">
        <f>"85309"</f>
        <v>85309</v>
      </c>
      <c r="E1584">
        <v>92.68</v>
      </c>
    </row>
    <row r="1585" spans="1:5" x14ac:dyDescent="0.2">
      <c r="A1585">
        <v>85310</v>
      </c>
      <c r="B1585" t="s">
        <v>9</v>
      </c>
      <c r="C1585">
        <v>85310</v>
      </c>
      <c r="D1585" t="str">
        <f>"85310"</f>
        <v>85310</v>
      </c>
      <c r="E1585">
        <v>81.41</v>
      </c>
    </row>
    <row r="1586" spans="1:5" x14ac:dyDescent="0.2">
      <c r="A1586">
        <v>85320</v>
      </c>
      <c r="B1586" t="s">
        <v>9</v>
      </c>
      <c r="C1586">
        <v>85320</v>
      </c>
      <c r="D1586" t="str">
        <f>"85320"</f>
        <v>85320</v>
      </c>
      <c r="E1586" t="s">
        <v>6</v>
      </c>
    </row>
    <row r="1587" spans="1:5" x14ac:dyDescent="0.2">
      <c r="A1587">
        <v>85321</v>
      </c>
      <c r="B1587" t="s">
        <v>9</v>
      </c>
      <c r="C1587">
        <v>85321</v>
      </c>
      <c r="D1587" t="str">
        <f>"85321"</f>
        <v>85321</v>
      </c>
      <c r="E1587">
        <v>58.78</v>
      </c>
    </row>
    <row r="1588" spans="1:5" x14ac:dyDescent="0.2">
      <c r="A1588">
        <v>85322</v>
      </c>
      <c r="B1588" t="s">
        <v>9</v>
      </c>
      <c r="C1588">
        <v>85322</v>
      </c>
      <c r="D1588" t="str">
        <f>"85322"</f>
        <v>85322</v>
      </c>
      <c r="E1588">
        <v>64</v>
      </c>
    </row>
    <row r="1589" spans="1:5" x14ac:dyDescent="0.2">
      <c r="A1589">
        <v>85323</v>
      </c>
      <c r="B1589" t="s">
        <v>9</v>
      </c>
      <c r="C1589">
        <v>85323</v>
      </c>
      <c r="D1589" t="str">
        <f>"85323"</f>
        <v>85323</v>
      </c>
      <c r="E1589">
        <v>60.97</v>
      </c>
    </row>
    <row r="1590" spans="1:5" x14ac:dyDescent="0.2">
      <c r="A1590">
        <v>85324</v>
      </c>
      <c r="B1590" t="s">
        <v>9</v>
      </c>
      <c r="C1590">
        <v>85324</v>
      </c>
      <c r="D1590" t="str">
        <f>"85324"</f>
        <v>85324</v>
      </c>
      <c r="E1590">
        <v>68.099999999999994</v>
      </c>
    </row>
    <row r="1591" spans="1:5" x14ac:dyDescent="0.2">
      <c r="A1591">
        <v>85325</v>
      </c>
      <c r="B1591" t="s">
        <v>9</v>
      </c>
      <c r="C1591">
        <v>85325</v>
      </c>
      <c r="D1591" t="str">
        <f>"85325"</f>
        <v>85325</v>
      </c>
      <c r="E1591" t="s">
        <v>6</v>
      </c>
    </row>
    <row r="1592" spans="1:5" x14ac:dyDescent="0.2">
      <c r="A1592">
        <v>85326</v>
      </c>
      <c r="B1592" t="s">
        <v>9</v>
      </c>
      <c r="C1592">
        <v>85326</v>
      </c>
      <c r="D1592" t="str">
        <f>"85326"</f>
        <v>85326</v>
      </c>
      <c r="E1592">
        <v>66.53</v>
      </c>
    </row>
    <row r="1593" spans="1:5" x14ac:dyDescent="0.2">
      <c r="A1593">
        <v>85328</v>
      </c>
      <c r="B1593" t="s">
        <v>9</v>
      </c>
      <c r="C1593">
        <v>85328</v>
      </c>
      <c r="D1593" t="str">
        <f>"85328"</f>
        <v>85328</v>
      </c>
      <c r="E1593" t="s">
        <v>6</v>
      </c>
    </row>
    <row r="1594" spans="1:5" x14ac:dyDescent="0.2">
      <c r="A1594">
        <v>85329</v>
      </c>
      <c r="B1594" t="s">
        <v>9</v>
      </c>
      <c r="C1594">
        <v>85329</v>
      </c>
      <c r="D1594" t="str">
        <f>"85329"</f>
        <v>85329</v>
      </c>
      <c r="E1594" t="s">
        <v>6</v>
      </c>
    </row>
    <row r="1595" spans="1:5" x14ac:dyDescent="0.2">
      <c r="A1595">
        <v>85331</v>
      </c>
      <c r="B1595" t="s">
        <v>9</v>
      </c>
      <c r="C1595">
        <v>85331</v>
      </c>
      <c r="D1595" t="str">
        <f>"85331"</f>
        <v>85331</v>
      </c>
      <c r="E1595">
        <v>81.99</v>
      </c>
    </row>
    <row r="1596" spans="1:5" x14ac:dyDescent="0.2">
      <c r="A1596">
        <v>85332</v>
      </c>
      <c r="B1596" t="s">
        <v>9</v>
      </c>
      <c r="C1596">
        <v>85332</v>
      </c>
      <c r="D1596" t="str">
        <f>"85332"</f>
        <v>85332</v>
      </c>
      <c r="E1596" t="s">
        <v>6</v>
      </c>
    </row>
    <row r="1597" spans="1:5" x14ac:dyDescent="0.2">
      <c r="A1597">
        <v>85333</v>
      </c>
      <c r="B1597" t="s">
        <v>9</v>
      </c>
      <c r="C1597">
        <v>85333</v>
      </c>
      <c r="D1597" t="str">
        <f>"85333"</f>
        <v>85333</v>
      </c>
      <c r="E1597">
        <v>52.94</v>
      </c>
    </row>
    <row r="1598" spans="1:5" x14ac:dyDescent="0.2">
      <c r="A1598">
        <v>85334</v>
      </c>
      <c r="B1598" t="s">
        <v>9</v>
      </c>
      <c r="C1598">
        <v>85334</v>
      </c>
      <c r="D1598" t="str">
        <f>"85334"</f>
        <v>85334</v>
      </c>
      <c r="E1598" t="s">
        <v>6</v>
      </c>
    </row>
    <row r="1599" spans="1:5" x14ac:dyDescent="0.2">
      <c r="A1599">
        <v>85335</v>
      </c>
      <c r="B1599" t="s">
        <v>9</v>
      </c>
      <c r="C1599">
        <v>85335</v>
      </c>
      <c r="D1599" t="str">
        <f>"85335"</f>
        <v>85335</v>
      </c>
      <c r="E1599">
        <v>61.36</v>
      </c>
    </row>
    <row r="1600" spans="1:5" x14ac:dyDescent="0.2">
      <c r="A1600">
        <v>85336</v>
      </c>
      <c r="B1600" t="s">
        <v>9</v>
      </c>
      <c r="C1600">
        <v>85336</v>
      </c>
      <c r="D1600" t="str">
        <f>"85336"</f>
        <v>85336</v>
      </c>
      <c r="E1600" t="s">
        <v>6</v>
      </c>
    </row>
    <row r="1601" spans="1:5" x14ac:dyDescent="0.2">
      <c r="A1601">
        <v>85337</v>
      </c>
      <c r="B1601" t="s">
        <v>9</v>
      </c>
      <c r="C1601">
        <v>85337</v>
      </c>
      <c r="D1601" t="str">
        <f>"85337"</f>
        <v>85337</v>
      </c>
      <c r="E1601">
        <v>52.58</v>
      </c>
    </row>
    <row r="1602" spans="1:5" x14ac:dyDescent="0.2">
      <c r="A1602">
        <v>85338</v>
      </c>
      <c r="B1602" t="s">
        <v>9</v>
      </c>
      <c r="C1602">
        <v>85338</v>
      </c>
      <c r="D1602" t="str">
        <f>"85338"</f>
        <v>85338</v>
      </c>
      <c r="E1602">
        <v>74.62</v>
      </c>
    </row>
    <row r="1603" spans="1:5" x14ac:dyDescent="0.2">
      <c r="A1603">
        <v>85339</v>
      </c>
      <c r="B1603" t="s">
        <v>9</v>
      </c>
      <c r="C1603">
        <v>85339</v>
      </c>
      <c r="D1603" t="str">
        <f>"85339"</f>
        <v>85339</v>
      </c>
      <c r="E1603">
        <v>67.06</v>
      </c>
    </row>
    <row r="1604" spans="1:5" x14ac:dyDescent="0.2">
      <c r="A1604">
        <v>85340</v>
      </c>
      <c r="B1604" t="s">
        <v>9</v>
      </c>
      <c r="C1604">
        <v>85340</v>
      </c>
      <c r="D1604" t="str">
        <f>"85340"</f>
        <v>85340</v>
      </c>
      <c r="E1604">
        <v>77.81</v>
      </c>
    </row>
    <row r="1605" spans="1:5" x14ac:dyDescent="0.2">
      <c r="A1605">
        <v>85341</v>
      </c>
      <c r="B1605" t="s">
        <v>9</v>
      </c>
      <c r="C1605">
        <v>85341</v>
      </c>
      <c r="D1605" t="str">
        <f>"85341"</f>
        <v>85341</v>
      </c>
      <c r="E1605" t="s">
        <v>6</v>
      </c>
    </row>
    <row r="1606" spans="1:5" x14ac:dyDescent="0.2">
      <c r="A1606">
        <v>85342</v>
      </c>
      <c r="B1606" t="s">
        <v>9</v>
      </c>
      <c r="C1606">
        <v>85342</v>
      </c>
      <c r="D1606" t="str">
        <f>"85342"</f>
        <v>85342</v>
      </c>
      <c r="E1606">
        <v>70.91</v>
      </c>
    </row>
    <row r="1607" spans="1:5" x14ac:dyDescent="0.2">
      <c r="A1607">
        <v>85343</v>
      </c>
      <c r="B1607" t="s">
        <v>9</v>
      </c>
      <c r="C1607">
        <v>85343</v>
      </c>
      <c r="D1607" t="str">
        <f>"85343"</f>
        <v>85343</v>
      </c>
      <c r="E1607" t="s">
        <v>6</v>
      </c>
    </row>
    <row r="1608" spans="1:5" x14ac:dyDescent="0.2">
      <c r="A1608">
        <v>85344</v>
      </c>
      <c r="B1608" t="s">
        <v>9</v>
      </c>
      <c r="C1608">
        <v>85344</v>
      </c>
      <c r="D1608" t="str">
        <f>"85344"</f>
        <v>85344</v>
      </c>
      <c r="E1608">
        <v>59.85</v>
      </c>
    </row>
    <row r="1609" spans="1:5" x14ac:dyDescent="0.2">
      <c r="A1609">
        <v>85345</v>
      </c>
      <c r="B1609" t="s">
        <v>9</v>
      </c>
      <c r="C1609">
        <v>85345</v>
      </c>
      <c r="D1609" t="str">
        <f>"85345"</f>
        <v>85345</v>
      </c>
      <c r="E1609">
        <v>68.87</v>
      </c>
    </row>
    <row r="1610" spans="1:5" x14ac:dyDescent="0.2">
      <c r="A1610">
        <v>85346</v>
      </c>
      <c r="B1610" t="s">
        <v>9</v>
      </c>
      <c r="C1610">
        <v>85346</v>
      </c>
      <c r="D1610" t="str">
        <f>"85346"</f>
        <v>85346</v>
      </c>
      <c r="E1610" t="s">
        <v>6</v>
      </c>
    </row>
    <row r="1611" spans="1:5" x14ac:dyDescent="0.2">
      <c r="A1611">
        <v>85347</v>
      </c>
      <c r="B1611" t="s">
        <v>9</v>
      </c>
      <c r="C1611">
        <v>85347</v>
      </c>
      <c r="D1611" t="str">
        <f>"85347"</f>
        <v>85347</v>
      </c>
      <c r="E1611">
        <v>68.75</v>
      </c>
    </row>
    <row r="1612" spans="1:5" x14ac:dyDescent="0.2">
      <c r="A1612">
        <v>85348</v>
      </c>
      <c r="B1612" t="s">
        <v>9</v>
      </c>
      <c r="C1612">
        <v>85348</v>
      </c>
      <c r="D1612" t="str">
        <f>"85348"</f>
        <v>85348</v>
      </c>
      <c r="E1612">
        <v>60.29</v>
      </c>
    </row>
    <row r="1613" spans="1:5" x14ac:dyDescent="0.2">
      <c r="A1613">
        <v>85349</v>
      </c>
      <c r="B1613" t="s">
        <v>9</v>
      </c>
      <c r="C1613">
        <v>85349</v>
      </c>
      <c r="D1613" t="str">
        <f>"85349"</f>
        <v>85349</v>
      </c>
      <c r="E1613" t="s">
        <v>6</v>
      </c>
    </row>
    <row r="1614" spans="1:5" x14ac:dyDescent="0.2">
      <c r="A1614">
        <v>85350</v>
      </c>
      <c r="B1614" t="s">
        <v>9</v>
      </c>
      <c r="C1614">
        <v>85350</v>
      </c>
      <c r="D1614" t="str">
        <f>"85350"</f>
        <v>85350</v>
      </c>
      <c r="E1614">
        <v>50.62</v>
      </c>
    </row>
    <row r="1615" spans="1:5" x14ac:dyDescent="0.2">
      <c r="A1615">
        <v>85351</v>
      </c>
      <c r="B1615" t="s">
        <v>9</v>
      </c>
      <c r="C1615">
        <v>85351</v>
      </c>
      <c r="D1615" t="str">
        <f>"85351"</f>
        <v>85351</v>
      </c>
      <c r="E1615">
        <v>70.489999999999995</v>
      </c>
    </row>
    <row r="1616" spans="1:5" x14ac:dyDescent="0.2">
      <c r="A1616">
        <v>85352</v>
      </c>
      <c r="B1616" t="s">
        <v>9</v>
      </c>
      <c r="C1616">
        <v>85352</v>
      </c>
      <c r="D1616" t="str">
        <f>"85352"</f>
        <v>85352</v>
      </c>
      <c r="E1616" t="s">
        <v>6</v>
      </c>
    </row>
    <row r="1617" spans="1:5" x14ac:dyDescent="0.2">
      <c r="A1617">
        <v>85353</v>
      </c>
      <c r="B1617" t="s">
        <v>9</v>
      </c>
      <c r="C1617">
        <v>85353</v>
      </c>
      <c r="D1617" t="str">
        <f>"85353"</f>
        <v>85353</v>
      </c>
      <c r="E1617">
        <v>60.59</v>
      </c>
    </row>
    <row r="1618" spans="1:5" x14ac:dyDescent="0.2">
      <c r="A1618">
        <v>85354</v>
      </c>
      <c r="B1618" t="s">
        <v>9</v>
      </c>
      <c r="C1618">
        <v>85354</v>
      </c>
      <c r="D1618" t="str">
        <f>"85354"</f>
        <v>85354</v>
      </c>
      <c r="E1618">
        <v>62.31</v>
      </c>
    </row>
    <row r="1619" spans="1:5" x14ac:dyDescent="0.2">
      <c r="A1619">
        <v>85355</v>
      </c>
      <c r="B1619" t="s">
        <v>9</v>
      </c>
      <c r="C1619">
        <v>85355</v>
      </c>
      <c r="D1619" t="str">
        <f>"85355"</f>
        <v>85355</v>
      </c>
      <c r="E1619">
        <v>78.430000000000007</v>
      </c>
    </row>
    <row r="1620" spans="1:5" x14ac:dyDescent="0.2">
      <c r="A1620">
        <v>85356</v>
      </c>
      <c r="B1620" t="s">
        <v>9</v>
      </c>
      <c r="C1620">
        <v>85356</v>
      </c>
      <c r="D1620" t="str">
        <f>"85356"</f>
        <v>85356</v>
      </c>
      <c r="E1620">
        <v>65.349999999999994</v>
      </c>
    </row>
    <row r="1621" spans="1:5" x14ac:dyDescent="0.2">
      <c r="A1621">
        <v>85357</v>
      </c>
      <c r="B1621" t="s">
        <v>9</v>
      </c>
      <c r="C1621">
        <v>85357</v>
      </c>
      <c r="D1621" t="str">
        <f>"85357"</f>
        <v>85357</v>
      </c>
      <c r="E1621" t="s">
        <v>6</v>
      </c>
    </row>
    <row r="1622" spans="1:5" x14ac:dyDescent="0.2">
      <c r="A1622">
        <v>85360</v>
      </c>
      <c r="B1622" t="s">
        <v>9</v>
      </c>
      <c r="C1622">
        <v>85360</v>
      </c>
      <c r="D1622" t="str">
        <f>"85360"</f>
        <v>85360</v>
      </c>
      <c r="E1622" t="s">
        <v>6</v>
      </c>
    </row>
    <row r="1623" spans="1:5" x14ac:dyDescent="0.2">
      <c r="A1623">
        <v>85361</v>
      </c>
      <c r="B1623" t="s">
        <v>9</v>
      </c>
      <c r="C1623">
        <v>85361</v>
      </c>
      <c r="D1623" t="str">
        <f>"85361"</f>
        <v>85361</v>
      </c>
      <c r="E1623">
        <v>69.89</v>
      </c>
    </row>
    <row r="1624" spans="1:5" x14ac:dyDescent="0.2">
      <c r="A1624">
        <v>85362</v>
      </c>
      <c r="B1624" t="s">
        <v>9</v>
      </c>
      <c r="C1624">
        <v>85362</v>
      </c>
      <c r="D1624" t="str">
        <f>"85362"</f>
        <v>85362</v>
      </c>
      <c r="E1624" t="s">
        <v>6</v>
      </c>
    </row>
    <row r="1625" spans="1:5" x14ac:dyDescent="0.2">
      <c r="A1625">
        <v>85363</v>
      </c>
      <c r="B1625" t="s">
        <v>9</v>
      </c>
      <c r="C1625">
        <v>85363</v>
      </c>
      <c r="D1625" t="str">
        <f>"85363"</f>
        <v>85363</v>
      </c>
      <c r="E1625">
        <v>62.24</v>
      </c>
    </row>
    <row r="1626" spans="1:5" x14ac:dyDescent="0.2">
      <c r="A1626">
        <v>85364</v>
      </c>
      <c r="B1626" t="s">
        <v>9</v>
      </c>
      <c r="C1626">
        <v>85364</v>
      </c>
      <c r="D1626" t="str">
        <f>"85364"</f>
        <v>85364</v>
      </c>
      <c r="E1626">
        <v>59.15</v>
      </c>
    </row>
    <row r="1627" spans="1:5" x14ac:dyDescent="0.2">
      <c r="A1627">
        <v>85365</v>
      </c>
      <c r="B1627" t="s">
        <v>9</v>
      </c>
      <c r="C1627">
        <v>85365</v>
      </c>
      <c r="D1627" t="str">
        <f>"85365"</f>
        <v>85365</v>
      </c>
      <c r="E1627">
        <v>68.86</v>
      </c>
    </row>
    <row r="1628" spans="1:5" x14ac:dyDescent="0.2">
      <c r="A1628">
        <v>85367</v>
      </c>
      <c r="B1628" t="s">
        <v>9</v>
      </c>
      <c r="C1628">
        <v>85367</v>
      </c>
      <c r="D1628" t="str">
        <f>"85367"</f>
        <v>85367</v>
      </c>
      <c r="E1628">
        <v>71.16</v>
      </c>
    </row>
    <row r="1629" spans="1:5" x14ac:dyDescent="0.2">
      <c r="A1629">
        <v>85371</v>
      </c>
      <c r="B1629" t="s">
        <v>9</v>
      </c>
      <c r="C1629">
        <v>85371</v>
      </c>
      <c r="D1629" t="str">
        <f>"85371"</f>
        <v>85371</v>
      </c>
      <c r="E1629" t="s">
        <v>6</v>
      </c>
    </row>
    <row r="1630" spans="1:5" x14ac:dyDescent="0.2">
      <c r="A1630">
        <v>85373</v>
      </c>
      <c r="B1630" t="s">
        <v>9</v>
      </c>
      <c r="C1630">
        <v>85373</v>
      </c>
      <c r="D1630" t="str">
        <f>"85373"</f>
        <v>85373</v>
      </c>
      <c r="E1630">
        <v>73.989999999999995</v>
      </c>
    </row>
    <row r="1631" spans="1:5" x14ac:dyDescent="0.2">
      <c r="A1631">
        <v>85374</v>
      </c>
      <c r="B1631" t="s">
        <v>9</v>
      </c>
      <c r="C1631">
        <v>85374</v>
      </c>
      <c r="D1631" t="str">
        <f>"85374"</f>
        <v>85374</v>
      </c>
      <c r="E1631">
        <v>74.569999999999993</v>
      </c>
    </row>
    <row r="1632" spans="1:5" x14ac:dyDescent="0.2">
      <c r="A1632">
        <v>85375</v>
      </c>
      <c r="B1632" t="s">
        <v>9</v>
      </c>
      <c r="C1632">
        <v>85375</v>
      </c>
      <c r="D1632" t="str">
        <f>"85375"</f>
        <v>85375</v>
      </c>
      <c r="E1632">
        <v>76.819999999999993</v>
      </c>
    </row>
    <row r="1633" spans="1:5" x14ac:dyDescent="0.2">
      <c r="A1633">
        <v>85377</v>
      </c>
      <c r="B1633" t="s">
        <v>9</v>
      </c>
      <c r="C1633">
        <v>85377</v>
      </c>
      <c r="D1633" t="str">
        <f>"85377"</f>
        <v>85377</v>
      </c>
      <c r="E1633" t="s">
        <v>6</v>
      </c>
    </row>
    <row r="1634" spans="1:5" x14ac:dyDescent="0.2">
      <c r="A1634">
        <v>85378</v>
      </c>
      <c r="B1634" t="s">
        <v>9</v>
      </c>
      <c r="C1634">
        <v>85378</v>
      </c>
      <c r="D1634" t="str">
        <f>"85378"</f>
        <v>85378</v>
      </c>
      <c r="E1634" t="s">
        <v>6</v>
      </c>
    </row>
    <row r="1635" spans="1:5" x14ac:dyDescent="0.2">
      <c r="A1635">
        <v>85379</v>
      </c>
      <c r="B1635" t="s">
        <v>9</v>
      </c>
      <c r="C1635">
        <v>85379</v>
      </c>
      <c r="D1635" t="str">
        <f>"85379"</f>
        <v>85379</v>
      </c>
      <c r="E1635">
        <v>74.45</v>
      </c>
    </row>
    <row r="1636" spans="1:5" x14ac:dyDescent="0.2">
      <c r="A1636">
        <v>85381</v>
      </c>
      <c r="B1636" t="s">
        <v>9</v>
      </c>
      <c r="C1636">
        <v>85381</v>
      </c>
      <c r="D1636" t="str">
        <f>"85381"</f>
        <v>85381</v>
      </c>
      <c r="E1636">
        <v>77.77</v>
      </c>
    </row>
    <row r="1637" spans="1:5" x14ac:dyDescent="0.2">
      <c r="A1637">
        <v>85382</v>
      </c>
      <c r="B1637" t="s">
        <v>9</v>
      </c>
      <c r="C1637">
        <v>85382</v>
      </c>
      <c r="D1637" t="str">
        <f>"85382"</f>
        <v>85382</v>
      </c>
      <c r="E1637">
        <v>78.27</v>
      </c>
    </row>
    <row r="1638" spans="1:5" x14ac:dyDescent="0.2">
      <c r="A1638">
        <v>85383</v>
      </c>
      <c r="B1638" t="s">
        <v>9</v>
      </c>
      <c r="C1638">
        <v>85383</v>
      </c>
      <c r="D1638" t="str">
        <f>"85383"</f>
        <v>85383</v>
      </c>
      <c r="E1638">
        <v>82.77</v>
      </c>
    </row>
    <row r="1639" spans="1:5" x14ac:dyDescent="0.2">
      <c r="A1639">
        <v>85387</v>
      </c>
      <c r="B1639" t="s">
        <v>9</v>
      </c>
      <c r="C1639">
        <v>85387</v>
      </c>
      <c r="D1639" t="str">
        <f>"85387"</f>
        <v>85387</v>
      </c>
      <c r="E1639">
        <v>78.61</v>
      </c>
    </row>
    <row r="1640" spans="1:5" x14ac:dyDescent="0.2">
      <c r="A1640">
        <v>85388</v>
      </c>
      <c r="B1640" t="s">
        <v>9</v>
      </c>
      <c r="C1640">
        <v>85388</v>
      </c>
      <c r="D1640" t="str">
        <f>"85388"</f>
        <v>85388</v>
      </c>
      <c r="E1640">
        <v>74.739999999999995</v>
      </c>
    </row>
    <row r="1641" spans="1:5" x14ac:dyDescent="0.2">
      <c r="A1641">
        <v>85390</v>
      </c>
      <c r="B1641" t="s">
        <v>9</v>
      </c>
      <c r="C1641">
        <v>85390</v>
      </c>
      <c r="D1641" t="str">
        <f>"85390"</f>
        <v>85390</v>
      </c>
      <c r="E1641">
        <v>70.069999999999993</v>
      </c>
    </row>
    <row r="1642" spans="1:5" x14ac:dyDescent="0.2">
      <c r="A1642">
        <v>85392</v>
      </c>
      <c r="B1642" t="s">
        <v>9</v>
      </c>
      <c r="C1642">
        <v>85392</v>
      </c>
      <c r="D1642" t="str">
        <f>"85392"</f>
        <v>85392</v>
      </c>
      <c r="E1642">
        <v>72.150000000000006</v>
      </c>
    </row>
    <row r="1643" spans="1:5" x14ac:dyDescent="0.2">
      <c r="A1643">
        <v>85395</v>
      </c>
      <c r="B1643" t="s">
        <v>9</v>
      </c>
      <c r="C1643">
        <v>85395</v>
      </c>
      <c r="D1643" t="str">
        <f>"85395"</f>
        <v>85395</v>
      </c>
      <c r="E1643">
        <v>81.58</v>
      </c>
    </row>
    <row r="1644" spans="1:5" x14ac:dyDescent="0.2">
      <c r="A1644">
        <v>85396</v>
      </c>
      <c r="B1644" t="s">
        <v>9</v>
      </c>
      <c r="C1644">
        <v>85396</v>
      </c>
      <c r="D1644" t="str">
        <f>"85396"</f>
        <v>85396</v>
      </c>
      <c r="E1644">
        <v>77.55</v>
      </c>
    </row>
    <row r="1645" spans="1:5" x14ac:dyDescent="0.2">
      <c r="A1645">
        <v>85501</v>
      </c>
      <c r="B1645" t="s">
        <v>9</v>
      </c>
      <c r="C1645">
        <v>85501</v>
      </c>
      <c r="D1645" t="str">
        <f>"85501"</f>
        <v>85501</v>
      </c>
      <c r="E1645">
        <v>65.36</v>
      </c>
    </row>
    <row r="1646" spans="1:5" x14ac:dyDescent="0.2">
      <c r="A1646">
        <v>85530</v>
      </c>
      <c r="B1646" t="s">
        <v>9</v>
      </c>
      <c r="C1646">
        <v>85530</v>
      </c>
      <c r="D1646" t="str">
        <f>"85530"</f>
        <v>85530</v>
      </c>
      <c r="E1646" t="s">
        <v>6</v>
      </c>
    </row>
    <row r="1647" spans="1:5" x14ac:dyDescent="0.2">
      <c r="A1647">
        <v>85531</v>
      </c>
      <c r="B1647" t="s">
        <v>9</v>
      </c>
      <c r="C1647">
        <v>85531</v>
      </c>
      <c r="D1647" t="str">
        <f>"85531"</f>
        <v>85531</v>
      </c>
      <c r="E1647" t="s">
        <v>6</v>
      </c>
    </row>
    <row r="1648" spans="1:5" x14ac:dyDescent="0.2">
      <c r="A1648">
        <v>85532</v>
      </c>
      <c r="B1648" t="s">
        <v>9</v>
      </c>
      <c r="C1648">
        <v>85532</v>
      </c>
      <c r="D1648" t="str">
        <f>"85532"</f>
        <v>85532</v>
      </c>
      <c r="E1648" t="s">
        <v>6</v>
      </c>
    </row>
    <row r="1649" spans="1:5" x14ac:dyDescent="0.2">
      <c r="A1649">
        <v>85533</v>
      </c>
      <c r="B1649" t="s">
        <v>9</v>
      </c>
      <c r="C1649">
        <v>85533</v>
      </c>
      <c r="D1649" t="str">
        <f>"85533"</f>
        <v>85533</v>
      </c>
      <c r="E1649">
        <v>72.12</v>
      </c>
    </row>
    <row r="1650" spans="1:5" x14ac:dyDescent="0.2">
      <c r="A1650">
        <v>85534</v>
      </c>
      <c r="B1650" t="s">
        <v>9</v>
      </c>
      <c r="C1650">
        <v>85534</v>
      </c>
      <c r="D1650" t="str">
        <f>"85534"</f>
        <v>85534</v>
      </c>
      <c r="E1650">
        <v>68.89</v>
      </c>
    </row>
    <row r="1651" spans="1:5" x14ac:dyDescent="0.2">
      <c r="A1651">
        <v>85536</v>
      </c>
      <c r="B1651" t="s">
        <v>9</v>
      </c>
      <c r="C1651">
        <v>85536</v>
      </c>
      <c r="D1651" t="str">
        <f>"85536"</f>
        <v>85536</v>
      </c>
      <c r="E1651" t="s">
        <v>6</v>
      </c>
    </row>
    <row r="1652" spans="1:5" x14ac:dyDescent="0.2">
      <c r="A1652">
        <v>85539</v>
      </c>
      <c r="B1652" t="s">
        <v>9</v>
      </c>
      <c r="C1652">
        <v>85539</v>
      </c>
      <c r="D1652" t="str">
        <f>"85539"</f>
        <v>85539</v>
      </c>
      <c r="E1652">
        <v>63.73</v>
      </c>
    </row>
    <row r="1653" spans="1:5" x14ac:dyDescent="0.2">
      <c r="A1653">
        <v>85540</v>
      </c>
      <c r="B1653" t="s">
        <v>9</v>
      </c>
      <c r="C1653">
        <v>85540</v>
      </c>
      <c r="D1653" t="str">
        <f>"85540"</f>
        <v>85540</v>
      </c>
      <c r="E1653">
        <v>82.78</v>
      </c>
    </row>
    <row r="1654" spans="1:5" x14ac:dyDescent="0.2">
      <c r="A1654">
        <v>85541</v>
      </c>
      <c r="B1654" t="s">
        <v>9</v>
      </c>
      <c r="C1654">
        <v>85541</v>
      </c>
      <c r="D1654" t="str">
        <f>"85541"</f>
        <v>85541</v>
      </c>
      <c r="E1654">
        <v>68.989999999999995</v>
      </c>
    </row>
    <row r="1655" spans="1:5" x14ac:dyDescent="0.2">
      <c r="A1655">
        <v>85542</v>
      </c>
      <c r="B1655" t="s">
        <v>9</v>
      </c>
      <c r="C1655">
        <v>85542</v>
      </c>
      <c r="D1655" t="str">
        <f>"85542"</f>
        <v>85542</v>
      </c>
      <c r="E1655">
        <v>37.630000000000003</v>
      </c>
    </row>
    <row r="1656" spans="1:5" x14ac:dyDescent="0.2">
      <c r="A1656">
        <v>85543</v>
      </c>
      <c r="B1656" t="s">
        <v>9</v>
      </c>
      <c r="C1656">
        <v>85543</v>
      </c>
      <c r="D1656" t="str">
        <f>"85543"</f>
        <v>85543</v>
      </c>
      <c r="E1656">
        <v>62.6</v>
      </c>
    </row>
    <row r="1657" spans="1:5" x14ac:dyDescent="0.2">
      <c r="A1657">
        <v>85544</v>
      </c>
      <c r="B1657" t="s">
        <v>9</v>
      </c>
      <c r="C1657">
        <v>85544</v>
      </c>
      <c r="D1657" t="str">
        <f>"85544"</f>
        <v>85544</v>
      </c>
      <c r="E1657">
        <v>72.95</v>
      </c>
    </row>
    <row r="1658" spans="1:5" x14ac:dyDescent="0.2">
      <c r="A1658">
        <v>85545</v>
      </c>
      <c r="B1658" t="s">
        <v>9</v>
      </c>
      <c r="C1658">
        <v>85545</v>
      </c>
      <c r="D1658" t="str">
        <f>"85545"</f>
        <v>85545</v>
      </c>
      <c r="E1658">
        <v>66.67</v>
      </c>
    </row>
    <row r="1659" spans="1:5" x14ac:dyDescent="0.2">
      <c r="A1659">
        <v>85546</v>
      </c>
      <c r="B1659" t="s">
        <v>9</v>
      </c>
      <c r="C1659">
        <v>85546</v>
      </c>
      <c r="D1659" t="str">
        <f>"85546"</f>
        <v>85546</v>
      </c>
      <c r="E1659">
        <v>64.319999999999993</v>
      </c>
    </row>
    <row r="1660" spans="1:5" x14ac:dyDescent="0.2">
      <c r="A1660">
        <v>85550</v>
      </c>
      <c r="B1660" t="s">
        <v>9</v>
      </c>
      <c r="C1660">
        <v>85550</v>
      </c>
      <c r="D1660" t="str">
        <f>"85550"</f>
        <v>85550</v>
      </c>
      <c r="E1660" t="s">
        <v>6</v>
      </c>
    </row>
    <row r="1661" spans="1:5" x14ac:dyDescent="0.2">
      <c r="A1661">
        <v>85551</v>
      </c>
      <c r="B1661" t="s">
        <v>9</v>
      </c>
      <c r="C1661">
        <v>85551</v>
      </c>
      <c r="D1661" t="str">
        <f>"85551"</f>
        <v>85551</v>
      </c>
      <c r="E1661" t="s">
        <v>6</v>
      </c>
    </row>
    <row r="1662" spans="1:5" x14ac:dyDescent="0.2">
      <c r="A1662">
        <v>85552</v>
      </c>
      <c r="B1662" t="s">
        <v>9</v>
      </c>
      <c r="C1662">
        <v>85552</v>
      </c>
      <c r="D1662" t="str">
        <f>"85552"</f>
        <v>85552</v>
      </c>
      <c r="E1662">
        <v>68.63</v>
      </c>
    </row>
    <row r="1663" spans="1:5" x14ac:dyDescent="0.2">
      <c r="A1663">
        <v>85553</v>
      </c>
      <c r="B1663" t="s">
        <v>9</v>
      </c>
      <c r="C1663">
        <v>85553</v>
      </c>
      <c r="D1663" t="str">
        <f>"85553"</f>
        <v>85553</v>
      </c>
      <c r="E1663" t="s">
        <v>6</v>
      </c>
    </row>
    <row r="1664" spans="1:5" x14ac:dyDescent="0.2">
      <c r="A1664">
        <v>85554</v>
      </c>
      <c r="B1664" t="s">
        <v>9</v>
      </c>
      <c r="C1664">
        <v>85554</v>
      </c>
      <c r="D1664" t="str">
        <f>"85554"</f>
        <v>85554</v>
      </c>
      <c r="E1664" t="s">
        <v>6</v>
      </c>
    </row>
    <row r="1665" spans="1:5" x14ac:dyDescent="0.2">
      <c r="A1665">
        <v>85601</v>
      </c>
      <c r="B1665" t="s">
        <v>9</v>
      </c>
      <c r="C1665">
        <v>85601</v>
      </c>
      <c r="D1665" t="str">
        <f>"85601"</f>
        <v>85601</v>
      </c>
      <c r="E1665" t="s">
        <v>6</v>
      </c>
    </row>
    <row r="1666" spans="1:5" x14ac:dyDescent="0.2">
      <c r="A1666">
        <v>85602</v>
      </c>
      <c r="B1666" t="s">
        <v>9</v>
      </c>
      <c r="C1666">
        <v>85602</v>
      </c>
      <c r="D1666" t="str">
        <f>"85602"</f>
        <v>85602</v>
      </c>
      <c r="E1666">
        <v>67.260000000000005</v>
      </c>
    </row>
    <row r="1667" spans="1:5" x14ac:dyDescent="0.2">
      <c r="A1667">
        <v>85603</v>
      </c>
      <c r="B1667" t="s">
        <v>9</v>
      </c>
      <c r="C1667">
        <v>85603</v>
      </c>
      <c r="D1667" t="str">
        <f>"85603"</f>
        <v>85603</v>
      </c>
      <c r="E1667">
        <v>64.31</v>
      </c>
    </row>
    <row r="1668" spans="1:5" x14ac:dyDescent="0.2">
      <c r="A1668">
        <v>85605</v>
      </c>
      <c r="B1668" t="s">
        <v>9</v>
      </c>
      <c r="C1668">
        <v>85605</v>
      </c>
      <c r="D1668" t="str">
        <f>"85605"</f>
        <v>85605</v>
      </c>
      <c r="E1668" t="s">
        <v>6</v>
      </c>
    </row>
    <row r="1669" spans="1:5" x14ac:dyDescent="0.2">
      <c r="A1669">
        <v>85606</v>
      </c>
      <c r="B1669" t="s">
        <v>9</v>
      </c>
      <c r="C1669">
        <v>85606</v>
      </c>
      <c r="D1669" t="str">
        <f>"85606"</f>
        <v>85606</v>
      </c>
      <c r="E1669">
        <v>64.709999999999994</v>
      </c>
    </row>
    <row r="1670" spans="1:5" x14ac:dyDescent="0.2">
      <c r="A1670">
        <v>85607</v>
      </c>
      <c r="B1670" t="s">
        <v>9</v>
      </c>
      <c r="C1670">
        <v>85607</v>
      </c>
      <c r="D1670" t="str">
        <f>"85607"</f>
        <v>85607</v>
      </c>
      <c r="E1670">
        <v>41.43</v>
      </c>
    </row>
    <row r="1671" spans="1:5" x14ac:dyDescent="0.2">
      <c r="A1671">
        <v>85609</v>
      </c>
      <c r="B1671" t="s">
        <v>9</v>
      </c>
      <c r="C1671">
        <v>85609</v>
      </c>
      <c r="D1671" t="str">
        <f>"85609"</f>
        <v>85609</v>
      </c>
      <c r="E1671" t="s">
        <v>6</v>
      </c>
    </row>
    <row r="1672" spans="1:5" x14ac:dyDescent="0.2">
      <c r="A1672">
        <v>85610</v>
      </c>
      <c r="B1672" t="s">
        <v>9</v>
      </c>
      <c r="C1672">
        <v>85610</v>
      </c>
      <c r="D1672" t="str">
        <f>"85610"</f>
        <v>85610</v>
      </c>
      <c r="E1672">
        <v>57.5</v>
      </c>
    </row>
    <row r="1673" spans="1:5" x14ac:dyDescent="0.2">
      <c r="A1673">
        <v>85611</v>
      </c>
      <c r="B1673" t="s">
        <v>9</v>
      </c>
      <c r="C1673">
        <v>85611</v>
      </c>
      <c r="D1673" t="str">
        <f>"85611"</f>
        <v>85611</v>
      </c>
      <c r="E1673">
        <v>71.430000000000007</v>
      </c>
    </row>
    <row r="1674" spans="1:5" x14ac:dyDescent="0.2">
      <c r="A1674">
        <v>85613</v>
      </c>
      <c r="B1674" t="s">
        <v>9</v>
      </c>
      <c r="C1674">
        <v>85613</v>
      </c>
      <c r="D1674" t="str">
        <f>"85613"</f>
        <v>85613</v>
      </c>
      <c r="E1674">
        <v>65.69</v>
      </c>
    </row>
    <row r="1675" spans="1:5" x14ac:dyDescent="0.2">
      <c r="A1675">
        <v>85614</v>
      </c>
      <c r="B1675" t="s">
        <v>9</v>
      </c>
      <c r="C1675">
        <v>85614</v>
      </c>
      <c r="D1675" t="str">
        <f>"85614"</f>
        <v>85614</v>
      </c>
      <c r="E1675">
        <v>74.650000000000006</v>
      </c>
    </row>
    <row r="1676" spans="1:5" x14ac:dyDescent="0.2">
      <c r="A1676">
        <v>85615</v>
      </c>
      <c r="B1676" t="s">
        <v>9</v>
      </c>
      <c r="C1676">
        <v>85615</v>
      </c>
      <c r="D1676" t="str">
        <f>"85615"</f>
        <v>85615</v>
      </c>
      <c r="E1676">
        <v>74.37</v>
      </c>
    </row>
    <row r="1677" spans="1:5" x14ac:dyDescent="0.2">
      <c r="A1677">
        <v>85616</v>
      </c>
      <c r="B1677" t="s">
        <v>9</v>
      </c>
      <c r="C1677">
        <v>85616</v>
      </c>
      <c r="D1677" t="str">
        <f>"85616"</f>
        <v>85616</v>
      </c>
      <c r="E1677">
        <v>66.19</v>
      </c>
    </row>
    <row r="1678" spans="1:5" x14ac:dyDescent="0.2">
      <c r="A1678">
        <v>85617</v>
      </c>
      <c r="B1678" t="s">
        <v>9</v>
      </c>
      <c r="C1678">
        <v>85617</v>
      </c>
      <c r="D1678" t="str">
        <f>"85617"</f>
        <v>85617</v>
      </c>
      <c r="E1678">
        <v>57.5</v>
      </c>
    </row>
    <row r="1679" spans="1:5" x14ac:dyDescent="0.2">
      <c r="A1679">
        <v>85618</v>
      </c>
      <c r="B1679" t="s">
        <v>9</v>
      </c>
      <c r="C1679">
        <v>85618</v>
      </c>
      <c r="D1679" t="str">
        <f>"85618"</f>
        <v>85618</v>
      </c>
      <c r="E1679">
        <v>62.07</v>
      </c>
    </row>
    <row r="1680" spans="1:5" x14ac:dyDescent="0.2">
      <c r="A1680">
        <v>85619</v>
      </c>
      <c r="B1680" t="s">
        <v>9</v>
      </c>
      <c r="C1680">
        <v>85619</v>
      </c>
      <c r="D1680" t="str">
        <f>"85619"</f>
        <v>85619</v>
      </c>
      <c r="E1680" t="s">
        <v>6</v>
      </c>
    </row>
    <row r="1681" spans="1:5" x14ac:dyDescent="0.2">
      <c r="A1681">
        <v>85620</v>
      </c>
      <c r="B1681" t="s">
        <v>9</v>
      </c>
      <c r="C1681">
        <v>85620</v>
      </c>
      <c r="D1681" t="str">
        <f>"85620"</f>
        <v>85620</v>
      </c>
      <c r="E1681" t="s">
        <v>6</v>
      </c>
    </row>
    <row r="1682" spans="1:5" x14ac:dyDescent="0.2">
      <c r="A1682">
        <v>85621</v>
      </c>
      <c r="B1682" t="s">
        <v>9</v>
      </c>
      <c r="C1682">
        <v>85621</v>
      </c>
      <c r="D1682" t="str">
        <f>"85621"</f>
        <v>85621</v>
      </c>
      <c r="E1682">
        <v>44.04</v>
      </c>
    </row>
    <row r="1683" spans="1:5" x14ac:dyDescent="0.2">
      <c r="A1683">
        <v>85622</v>
      </c>
      <c r="B1683" t="s">
        <v>9</v>
      </c>
      <c r="C1683">
        <v>85622</v>
      </c>
      <c r="D1683" t="str">
        <f>"85622"</f>
        <v>85622</v>
      </c>
      <c r="E1683">
        <v>79.48</v>
      </c>
    </row>
    <row r="1684" spans="1:5" x14ac:dyDescent="0.2">
      <c r="A1684">
        <v>85623</v>
      </c>
      <c r="B1684" t="s">
        <v>9</v>
      </c>
      <c r="C1684">
        <v>85623</v>
      </c>
      <c r="D1684" t="str">
        <f>"85623"</f>
        <v>85623</v>
      </c>
      <c r="E1684">
        <v>74.22</v>
      </c>
    </row>
    <row r="1685" spans="1:5" x14ac:dyDescent="0.2">
      <c r="A1685">
        <v>85624</v>
      </c>
      <c r="B1685" t="s">
        <v>9</v>
      </c>
      <c r="C1685">
        <v>85624</v>
      </c>
      <c r="D1685" t="str">
        <f>"85624"</f>
        <v>85624</v>
      </c>
      <c r="E1685">
        <v>63.64</v>
      </c>
    </row>
    <row r="1686" spans="1:5" x14ac:dyDescent="0.2">
      <c r="A1686">
        <v>85625</v>
      </c>
      <c r="B1686" t="s">
        <v>9</v>
      </c>
      <c r="C1686">
        <v>85625</v>
      </c>
      <c r="D1686" t="str">
        <f>"85625"</f>
        <v>85625</v>
      </c>
      <c r="E1686">
        <v>63.38</v>
      </c>
    </row>
    <row r="1687" spans="1:5" x14ac:dyDescent="0.2">
      <c r="A1687">
        <v>85626</v>
      </c>
      <c r="B1687" t="s">
        <v>9</v>
      </c>
      <c r="C1687">
        <v>85626</v>
      </c>
      <c r="D1687" t="str">
        <f>"85626"</f>
        <v>85626</v>
      </c>
      <c r="E1687" t="s">
        <v>6</v>
      </c>
    </row>
    <row r="1688" spans="1:5" x14ac:dyDescent="0.2">
      <c r="A1688">
        <v>85629</v>
      </c>
      <c r="B1688" t="s">
        <v>9</v>
      </c>
      <c r="C1688">
        <v>85629</v>
      </c>
      <c r="D1688" t="str">
        <f>"85629"</f>
        <v>85629</v>
      </c>
      <c r="E1688">
        <v>74.87</v>
      </c>
    </row>
    <row r="1689" spans="1:5" x14ac:dyDescent="0.2">
      <c r="A1689">
        <v>85630</v>
      </c>
      <c r="B1689" t="s">
        <v>9</v>
      </c>
      <c r="C1689">
        <v>85630</v>
      </c>
      <c r="D1689" t="str">
        <f>"85630"</f>
        <v>85630</v>
      </c>
      <c r="E1689">
        <v>67.39</v>
      </c>
    </row>
    <row r="1690" spans="1:5" x14ac:dyDescent="0.2">
      <c r="A1690">
        <v>85631</v>
      </c>
      <c r="B1690" t="s">
        <v>9</v>
      </c>
      <c r="C1690">
        <v>85631</v>
      </c>
      <c r="D1690" t="str">
        <f>"85631"</f>
        <v>85631</v>
      </c>
      <c r="E1690">
        <v>61.79</v>
      </c>
    </row>
    <row r="1691" spans="1:5" x14ac:dyDescent="0.2">
      <c r="A1691">
        <v>85632</v>
      </c>
      <c r="B1691" t="s">
        <v>9</v>
      </c>
      <c r="C1691">
        <v>85632</v>
      </c>
      <c r="D1691" t="str">
        <f>"85632"</f>
        <v>85632</v>
      </c>
      <c r="E1691">
        <v>56.67</v>
      </c>
    </row>
    <row r="1692" spans="1:5" x14ac:dyDescent="0.2">
      <c r="A1692">
        <v>85633</v>
      </c>
      <c r="B1692" t="s">
        <v>9</v>
      </c>
      <c r="C1692">
        <v>85633</v>
      </c>
      <c r="D1692" t="str">
        <f>"85633"</f>
        <v>85633</v>
      </c>
      <c r="E1692" t="s">
        <v>6</v>
      </c>
    </row>
    <row r="1693" spans="1:5" x14ac:dyDescent="0.2">
      <c r="A1693">
        <v>85634</v>
      </c>
      <c r="B1693" t="s">
        <v>9</v>
      </c>
      <c r="C1693">
        <v>85634</v>
      </c>
      <c r="D1693" t="str">
        <f>"85634"</f>
        <v>85634</v>
      </c>
      <c r="E1693">
        <v>57.94</v>
      </c>
    </row>
    <row r="1694" spans="1:5" x14ac:dyDescent="0.2">
      <c r="A1694">
        <v>85635</v>
      </c>
      <c r="B1694" t="s">
        <v>9</v>
      </c>
      <c r="C1694">
        <v>85635</v>
      </c>
      <c r="D1694" t="str">
        <f>"85635"</f>
        <v>85635</v>
      </c>
      <c r="E1694">
        <v>71.489999999999995</v>
      </c>
    </row>
    <row r="1695" spans="1:5" x14ac:dyDescent="0.2">
      <c r="A1695">
        <v>85637</v>
      </c>
      <c r="B1695" t="s">
        <v>9</v>
      </c>
      <c r="C1695">
        <v>85637</v>
      </c>
      <c r="D1695" t="str">
        <f>"85637"</f>
        <v>85637</v>
      </c>
      <c r="E1695">
        <v>76.12</v>
      </c>
    </row>
    <row r="1696" spans="1:5" x14ac:dyDescent="0.2">
      <c r="A1696">
        <v>85638</v>
      </c>
      <c r="B1696" t="s">
        <v>9</v>
      </c>
      <c r="C1696">
        <v>85638</v>
      </c>
      <c r="D1696" t="str">
        <f>"85638"</f>
        <v>85638</v>
      </c>
      <c r="E1696">
        <v>61.9</v>
      </c>
    </row>
    <row r="1697" spans="1:5" x14ac:dyDescent="0.2">
      <c r="A1697">
        <v>85639</v>
      </c>
      <c r="B1697" t="s">
        <v>9</v>
      </c>
      <c r="C1697">
        <v>85639</v>
      </c>
      <c r="D1697" t="str">
        <f>"85639"</f>
        <v>85639</v>
      </c>
      <c r="E1697" t="s">
        <v>6</v>
      </c>
    </row>
    <row r="1698" spans="1:5" x14ac:dyDescent="0.2">
      <c r="A1698">
        <v>85640</v>
      </c>
      <c r="B1698" t="s">
        <v>9</v>
      </c>
      <c r="C1698">
        <v>85640</v>
      </c>
      <c r="D1698" t="str">
        <f>"85640"</f>
        <v>85640</v>
      </c>
      <c r="E1698">
        <v>69.7</v>
      </c>
    </row>
    <row r="1699" spans="1:5" x14ac:dyDescent="0.2">
      <c r="A1699">
        <v>85641</v>
      </c>
      <c r="B1699" t="s">
        <v>9</v>
      </c>
      <c r="C1699">
        <v>85641</v>
      </c>
      <c r="D1699" t="str">
        <f>"85641"</f>
        <v>85641</v>
      </c>
      <c r="E1699">
        <v>80.72</v>
      </c>
    </row>
    <row r="1700" spans="1:5" x14ac:dyDescent="0.2">
      <c r="A1700">
        <v>85643</v>
      </c>
      <c r="B1700" t="s">
        <v>9</v>
      </c>
      <c r="C1700">
        <v>85643</v>
      </c>
      <c r="D1700" t="str">
        <f>"85643"</f>
        <v>85643</v>
      </c>
      <c r="E1700">
        <v>60</v>
      </c>
    </row>
    <row r="1701" spans="1:5" x14ac:dyDescent="0.2">
      <c r="A1701">
        <v>85645</v>
      </c>
      <c r="B1701" t="s">
        <v>9</v>
      </c>
      <c r="C1701">
        <v>85645</v>
      </c>
      <c r="D1701" t="str">
        <f>"85645"</f>
        <v>85645</v>
      </c>
      <c r="E1701">
        <v>55.13</v>
      </c>
    </row>
    <row r="1702" spans="1:5" x14ac:dyDescent="0.2">
      <c r="A1702">
        <v>85646</v>
      </c>
      <c r="B1702" t="s">
        <v>9</v>
      </c>
      <c r="C1702">
        <v>85646</v>
      </c>
      <c r="D1702" t="str">
        <f>"85646"</f>
        <v>85646</v>
      </c>
      <c r="E1702" t="s">
        <v>6</v>
      </c>
    </row>
    <row r="1703" spans="1:5" x14ac:dyDescent="0.2">
      <c r="A1703">
        <v>85648</v>
      </c>
      <c r="B1703" t="s">
        <v>9</v>
      </c>
      <c r="C1703">
        <v>85648</v>
      </c>
      <c r="D1703" t="str">
        <f>"85648"</f>
        <v>85648</v>
      </c>
      <c r="E1703">
        <v>56.46</v>
      </c>
    </row>
    <row r="1704" spans="1:5" x14ac:dyDescent="0.2">
      <c r="A1704">
        <v>85650</v>
      </c>
      <c r="B1704" t="s">
        <v>9</v>
      </c>
      <c r="C1704">
        <v>85650</v>
      </c>
      <c r="D1704" t="str">
        <f>"85650"</f>
        <v>85650</v>
      </c>
      <c r="E1704">
        <v>77.61</v>
      </c>
    </row>
    <row r="1705" spans="1:5" x14ac:dyDescent="0.2">
      <c r="A1705">
        <v>85653</v>
      </c>
      <c r="B1705" t="s">
        <v>9</v>
      </c>
      <c r="C1705">
        <v>85653</v>
      </c>
      <c r="D1705" t="str">
        <f>"85653"</f>
        <v>85653</v>
      </c>
      <c r="E1705">
        <v>71.53</v>
      </c>
    </row>
    <row r="1706" spans="1:5" x14ac:dyDescent="0.2">
      <c r="A1706">
        <v>85654</v>
      </c>
      <c r="B1706" t="s">
        <v>9</v>
      </c>
      <c r="C1706">
        <v>85654</v>
      </c>
      <c r="D1706" t="str">
        <f>"85654"</f>
        <v>85654</v>
      </c>
      <c r="E1706" t="s">
        <v>6</v>
      </c>
    </row>
    <row r="1707" spans="1:5" x14ac:dyDescent="0.2">
      <c r="A1707">
        <v>85658</v>
      </c>
      <c r="B1707" t="s">
        <v>9</v>
      </c>
      <c r="C1707">
        <v>85658</v>
      </c>
      <c r="D1707" t="str">
        <f>"85658"</f>
        <v>85658</v>
      </c>
      <c r="E1707">
        <v>82.35</v>
      </c>
    </row>
    <row r="1708" spans="1:5" x14ac:dyDescent="0.2">
      <c r="A1708">
        <v>85701</v>
      </c>
      <c r="B1708" t="s">
        <v>9</v>
      </c>
      <c r="C1708">
        <v>85701</v>
      </c>
      <c r="D1708" t="str">
        <f>"85701"</f>
        <v>85701</v>
      </c>
      <c r="E1708">
        <v>69.37</v>
      </c>
    </row>
    <row r="1709" spans="1:5" x14ac:dyDescent="0.2">
      <c r="A1709">
        <v>85704</v>
      </c>
      <c r="B1709" t="s">
        <v>9</v>
      </c>
      <c r="C1709">
        <v>85704</v>
      </c>
      <c r="D1709" t="str">
        <f>"85704"</f>
        <v>85704</v>
      </c>
      <c r="E1709">
        <v>77.27</v>
      </c>
    </row>
    <row r="1710" spans="1:5" x14ac:dyDescent="0.2">
      <c r="A1710">
        <v>85705</v>
      </c>
      <c r="B1710" t="s">
        <v>9</v>
      </c>
      <c r="C1710">
        <v>85705</v>
      </c>
      <c r="D1710" t="str">
        <f>"85705"</f>
        <v>85705</v>
      </c>
      <c r="E1710">
        <v>55.03</v>
      </c>
    </row>
    <row r="1711" spans="1:5" x14ac:dyDescent="0.2">
      <c r="A1711">
        <v>85706</v>
      </c>
      <c r="B1711" t="s">
        <v>9</v>
      </c>
      <c r="C1711">
        <v>85706</v>
      </c>
      <c r="D1711" t="str">
        <f>"85706"</f>
        <v>85706</v>
      </c>
      <c r="E1711">
        <v>47.3</v>
      </c>
    </row>
    <row r="1712" spans="1:5" x14ac:dyDescent="0.2">
      <c r="A1712">
        <v>85707</v>
      </c>
      <c r="B1712" t="s">
        <v>9</v>
      </c>
      <c r="C1712">
        <v>85707</v>
      </c>
      <c r="D1712" t="str">
        <f>"85707"</f>
        <v>85707</v>
      </c>
      <c r="E1712" t="s">
        <v>6</v>
      </c>
    </row>
    <row r="1713" spans="1:5" x14ac:dyDescent="0.2">
      <c r="A1713">
        <v>85708</v>
      </c>
      <c r="B1713" t="s">
        <v>9</v>
      </c>
      <c r="C1713">
        <v>85708</v>
      </c>
      <c r="D1713" t="str">
        <f>"85708"</f>
        <v>85708</v>
      </c>
      <c r="E1713">
        <v>58.68</v>
      </c>
    </row>
    <row r="1714" spans="1:5" x14ac:dyDescent="0.2">
      <c r="A1714">
        <v>85709</v>
      </c>
      <c r="B1714" t="s">
        <v>9</v>
      </c>
      <c r="C1714">
        <v>85709</v>
      </c>
      <c r="D1714" t="str">
        <f>"85709"</f>
        <v>85709</v>
      </c>
      <c r="E1714" t="s">
        <v>6</v>
      </c>
    </row>
    <row r="1715" spans="1:5" x14ac:dyDescent="0.2">
      <c r="A1715">
        <v>85710</v>
      </c>
      <c r="B1715" t="s">
        <v>9</v>
      </c>
      <c r="C1715">
        <v>85710</v>
      </c>
      <c r="D1715" t="str">
        <f>"85710"</f>
        <v>85710</v>
      </c>
      <c r="E1715">
        <v>70.27</v>
      </c>
    </row>
    <row r="1716" spans="1:5" x14ac:dyDescent="0.2">
      <c r="A1716">
        <v>85711</v>
      </c>
      <c r="B1716" t="s">
        <v>9</v>
      </c>
      <c r="C1716">
        <v>85711</v>
      </c>
      <c r="D1716" t="str">
        <f>"85711"</f>
        <v>85711</v>
      </c>
      <c r="E1716">
        <v>64.78</v>
      </c>
    </row>
    <row r="1717" spans="1:5" x14ac:dyDescent="0.2">
      <c r="A1717">
        <v>85712</v>
      </c>
      <c r="B1717" t="s">
        <v>9</v>
      </c>
      <c r="C1717">
        <v>85712</v>
      </c>
      <c r="D1717" t="str">
        <f>"85712"</f>
        <v>85712</v>
      </c>
      <c r="E1717">
        <v>68.58</v>
      </c>
    </row>
    <row r="1718" spans="1:5" x14ac:dyDescent="0.2">
      <c r="A1718">
        <v>85713</v>
      </c>
      <c r="B1718" t="s">
        <v>9</v>
      </c>
      <c r="C1718">
        <v>85713</v>
      </c>
      <c r="D1718" t="str">
        <f>"85713"</f>
        <v>85713</v>
      </c>
      <c r="E1718">
        <v>54.61</v>
      </c>
    </row>
    <row r="1719" spans="1:5" x14ac:dyDescent="0.2">
      <c r="A1719">
        <v>85714</v>
      </c>
      <c r="B1719" t="s">
        <v>9</v>
      </c>
      <c r="C1719">
        <v>85714</v>
      </c>
      <c r="D1719" t="str">
        <f>"85714"</f>
        <v>85714</v>
      </c>
      <c r="E1719">
        <v>50.17</v>
      </c>
    </row>
    <row r="1720" spans="1:5" x14ac:dyDescent="0.2">
      <c r="A1720">
        <v>85715</v>
      </c>
      <c r="B1720" t="s">
        <v>9</v>
      </c>
      <c r="C1720">
        <v>85715</v>
      </c>
      <c r="D1720" t="str">
        <f>"85715"</f>
        <v>85715</v>
      </c>
      <c r="E1720">
        <v>77.430000000000007</v>
      </c>
    </row>
    <row r="1721" spans="1:5" x14ac:dyDescent="0.2">
      <c r="A1721">
        <v>85716</v>
      </c>
      <c r="B1721" t="s">
        <v>9</v>
      </c>
      <c r="C1721">
        <v>85716</v>
      </c>
      <c r="D1721" t="str">
        <f>"85716"</f>
        <v>85716</v>
      </c>
      <c r="E1721">
        <v>69.14</v>
      </c>
    </row>
    <row r="1722" spans="1:5" x14ac:dyDescent="0.2">
      <c r="A1722">
        <v>85718</v>
      </c>
      <c r="B1722" t="s">
        <v>9</v>
      </c>
      <c r="C1722">
        <v>85718</v>
      </c>
      <c r="D1722" t="str">
        <f>"85718"</f>
        <v>85718</v>
      </c>
      <c r="E1722">
        <v>82.49</v>
      </c>
    </row>
    <row r="1723" spans="1:5" x14ac:dyDescent="0.2">
      <c r="A1723">
        <v>85719</v>
      </c>
      <c r="B1723" t="s">
        <v>9</v>
      </c>
      <c r="C1723">
        <v>85719</v>
      </c>
      <c r="D1723" t="str">
        <f>"85719"</f>
        <v>85719</v>
      </c>
      <c r="E1723">
        <v>66.8</v>
      </c>
    </row>
    <row r="1724" spans="1:5" x14ac:dyDescent="0.2">
      <c r="A1724">
        <v>85721</v>
      </c>
      <c r="B1724" t="s">
        <v>9</v>
      </c>
      <c r="C1724">
        <v>85721</v>
      </c>
      <c r="D1724" t="str">
        <f>"85721"</f>
        <v>85721</v>
      </c>
      <c r="E1724" t="s">
        <v>6</v>
      </c>
    </row>
    <row r="1725" spans="1:5" x14ac:dyDescent="0.2">
      <c r="A1725">
        <v>85723</v>
      </c>
      <c r="B1725" t="s">
        <v>9</v>
      </c>
      <c r="C1725">
        <v>85723</v>
      </c>
      <c r="D1725" t="str">
        <f>"85723"</f>
        <v>85723</v>
      </c>
      <c r="E1725" t="s">
        <v>6</v>
      </c>
    </row>
    <row r="1726" spans="1:5" x14ac:dyDescent="0.2">
      <c r="A1726">
        <v>85724</v>
      </c>
      <c r="B1726" t="s">
        <v>9</v>
      </c>
      <c r="C1726">
        <v>85724</v>
      </c>
      <c r="D1726" t="str">
        <f>"85724"</f>
        <v>85724</v>
      </c>
      <c r="E1726" t="s">
        <v>6</v>
      </c>
    </row>
    <row r="1727" spans="1:5" x14ac:dyDescent="0.2">
      <c r="A1727">
        <v>85730</v>
      </c>
      <c r="B1727" t="s">
        <v>9</v>
      </c>
      <c r="C1727">
        <v>85730</v>
      </c>
      <c r="D1727" t="str">
        <f>"85730"</f>
        <v>85730</v>
      </c>
      <c r="E1727">
        <v>69.95</v>
      </c>
    </row>
    <row r="1728" spans="1:5" x14ac:dyDescent="0.2">
      <c r="A1728">
        <v>85735</v>
      </c>
      <c r="B1728" t="s">
        <v>9</v>
      </c>
      <c r="C1728">
        <v>85735</v>
      </c>
      <c r="D1728" t="str">
        <f>"85735"</f>
        <v>85735</v>
      </c>
      <c r="E1728">
        <v>66.11</v>
      </c>
    </row>
    <row r="1729" spans="1:5" x14ac:dyDescent="0.2">
      <c r="A1729">
        <v>85736</v>
      </c>
      <c r="B1729" t="s">
        <v>9</v>
      </c>
      <c r="C1729">
        <v>85736</v>
      </c>
      <c r="D1729" t="str">
        <f>"85736"</f>
        <v>85736</v>
      </c>
      <c r="E1729">
        <v>57.89</v>
      </c>
    </row>
    <row r="1730" spans="1:5" x14ac:dyDescent="0.2">
      <c r="A1730">
        <v>85737</v>
      </c>
      <c r="B1730" t="s">
        <v>9</v>
      </c>
      <c r="C1730">
        <v>85737</v>
      </c>
      <c r="D1730" t="str">
        <f>"85737"</f>
        <v>85737</v>
      </c>
      <c r="E1730">
        <v>80.89</v>
      </c>
    </row>
    <row r="1731" spans="1:5" x14ac:dyDescent="0.2">
      <c r="A1731">
        <v>85739</v>
      </c>
      <c r="B1731" t="s">
        <v>9</v>
      </c>
      <c r="C1731">
        <v>85739</v>
      </c>
      <c r="D1731" t="str">
        <f>"85739"</f>
        <v>85739</v>
      </c>
      <c r="E1731">
        <v>79.03</v>
      </c>
    </row>
    <row r="1732" spans="1:5" x14ac:dyDescent="0.2">
      <c r="A1732">
        <v>85741</v>
      </c>
      <c r="B1732" t="s">
        <v>9</v>
      </c>
      <c r="C1732">
        <v>85741</v>
      </c>
      <c r="D1732" t="str">
        <f>"85741"</f>
        <v>85741</v>
      </c>
      <c r="E1732">
        <v>73.92</v>
      </c>
    </row>
    <row r="1733" spans="1:5" x14ac:dyDescent="0.2">
      <c r="A1733">
        <v>85742</v>
      </c>
      <c r="B1733" t="s">
        <v>9</v>
      </c>
      <c r="C1733">
        <v>85742</v>
      </c>
      <c r="D1733" t="str">
        <f>"85742"</f>
        <v>85742</v>
      </c>
      <c r="E1733">
        <v>77.790000000000006</v>
      </c>
    </row>
    <row r="1734" spans="1:5" x14ac:dyDescent="0.2">
      <c r="A1734">
        <v>85743</v>
      </c>
      <c r="B1734" t="s">
        <v>9</v>
      </c>
      <c r="C1734">
        <v>85743</v>
      </c>
      <c r="D1734" t="str">
        <f>"85743"</f>
        <v>85743</v>
      </c>
      <c r="E1734">
        <v>76.400000000000006</v>
      </c>
    </row>
    <row r="1735" spans="1:5" x14ac:dyDescent="0.2">
      <c r="A1735">
        <v>85744</v>
      </c>
      <c r="B1735" t="s">
        <v>9</v>
      </c>
      <c r="C1735">
        <v>85744</v>
      </c>
      <c r="D1735" t="str">
        <f>"85744"</f>
        <v>85744</v>
      </c>
      <c r="E1735" t="s">
        <v>6</v>
      </c>
    </row>
    <row r="1736" spans="1:5" x14ac:dyDescent="0.2">
      <c r="A1736">
        <v>85745</v>
      </c>
      <c r="B1736" t="s">
        <v>9</v>
      </c>
      <c r="C1736">
        <v>85745</v>
      </c>
      <c r="D1736" t="str">
        <f>"85745"</f>
        <v>85745</v>
      </c>
      <c r="E1736">
        <v>72.27</v>
      </c>
    </row>
    <row r="1737" spans="1:5" x14ac:dyDescent="0.2">
      <c r="A1737">
        <v>85746</v>
      </c>
      <c r="B1737" t="s">
        <v>9</v>
      </c>
      <c r="C1737">
        <v>85746</v>
      </c>
      <c r="D1737" t="str">
        <f>"85746"</f>
        <v>85746</v>
      </c>
      <c r="E1737">
        <v>59.64</v>
      </c>
    </row>
    <row r="1738" spans="1:5" x14ac:dyDescent="0.2">
      <c r="A1738">
        <v>85747</v>
      </c>
      <c r="B1738" t="s">
        <v>9</v>
      </c>
      <c r="C1738">
        <v>85747</v>
      </c>
      <c r="D1738" t="str">
        <f>"85747"</f>
        <v>85747</v>
      </c>
      <c r="E1738">
        <v>79.58</v>
      </c>
    </row>
    <row r="1739" spans="1:5" x14ac:dyDescent="0.2">
      <c r="A1739">
        <v>85748</v>
      </c>
      <c r="B1739" t="s">
        <v>9</v>
      </c>
      <c r="C1739">
        <v>85748</v>
      </c>
      <c r="D1739" t="str">
        <f>"85748"</f>
        <v>85748</v>
      </c>
      <c r="E1739">
        <v>79.55</v>
      </c>
    </row>
    <row r="1740" spans="1:5" x14ac:dyDescent="0.2">
      <c r="A1740">
        <v>85749</v>
      </c>
      <c r="B1740" t="s">
        <v>9</v>
      </c>
      <c r="C1740">
        <v>85749</v>
      </c>
      <c r="D1740" t="str">
        <f>"85749"</f>
        <v>85749</v>
      </c>
      <c r="E1740">
        <v>81.790000000000006</v>
      </c>
    </row>
    <row r="1741" spans="1:5" x14ac:dyDescent="0.2">
      <c r="A1741">
        <v>85750</v>
      </c>
      <c r="B1741" t="s">
        <v>9</v>
      </c>
      <c r="C1741">
        <v>85750</v>
      </c>
      <c r="D1741" t="str">
        <f>"85750"</f>
        <v>85750</v>
      </c>
      <c r="E1741">
        <v>82.97</v>
      </c>
    </row>
    <row r="1742" spans="1:5" x14ac:dyDescent="0.2">
      <c r="A1742">
        <v>85755</v>
      </c>
      <c r="B1742" t="s">
        <v>9</v>
      </c>
      <c r="C1742">
        <v>85755</v>
      </c>
      <c r="D1742" t="str">
        <f>"85755"</f>
        <v>85755</v>
      </c>
      <c r="E1742">
        <v>82.06</v>
      </c>
    </row>
    <row r="1743" spans="1:5" x14ac:dyDescent="0.2">
      <c r="A1743">
        <v>85756</v>
      </c>
      <c r="B1743" t="s">
        <v>9</v>
      </c>
      <c r="C1743">
        <v>85756</v>
      </c>
      <c r="D1743" t="str">
        <f>"85756"</f>
        <v>85756</v>
      </c>
      <c r="E1743">
        <v>59.72</v>
      </c>
    </row>
    <row r="1744" spans="1:5" x14ac:dyDescent="0.2">
      <c r="A1744">
        <v>85757</v>
      </c>
      <c r="B1744" t="s">
        <v>9</v>
      </c>
      <c r="C1744">
        <v>85757</v>
      </c>
      <c r="D1744" t="str">
        <f>"85757"</f>
        <v>85757</v>
      </c>
      <c r="E1744">
        <v>62.69</v>
      </c>
    </row>
    <row r="1745" spans="1:5" x14ac:dyDescent="0.2">
      <c r="A1745">
        <v>85901</v>
      </c>
      <c r="B1745" t="s">
        <v>9</v>
      </c>
      <c r="C1745">
        <v>85901</v>
      </c>
      <c r="D1745" t="str">
        <f>"85901"</f>
        <v>85901</v>
      </c>
      <c r="E1745">
        <v>65.22</v>
      </c>
    </row>
    <row r="1746" spans="1:5" x14ac:dyDescent="0.2">
      <c r="A1746">
        <v>85911</v>
      </c>
      <c r="B1746" t="s">
        <v>9</v>
      </c>
      <c r="C1746">
        <v>85911</v>
      </c>
      <c r="D1746" t="str">
        <f>"85911"</f>
        <v>85911</v>
      </c>
      <c r="E1746" t="s">
        <v>6</v>
      </c>
    </row>
    <row r="1747" spans="1:5" x14ac:dyDescent="0.2">
      <c r="A1747">
        <v>85920</v>
      </c>
      <c r="B1747" t="s">
        <v>9</v>
      </c>
      <c r="C1747">
        <v>85920</v>
      </c>
      <c r="D1747" t="str">
        <f>"85920"</f>
        <v>85920</v>
      </c>
      <c r="E1747">
        <v>75</v>
      </c>
    </row>
    <row r="1748" spans="1:5" x14ac:dyDescent="0.2">
      <c r="A1748">
        <v>85922</v>
      </c>
      <c r="B1748" t="s">
        <v>9</v>
      </c>
      <c r="C1748">
        <v>85922</v>
      </c>
      <c r="D1748" t="str">
        <f>"85922"</f>
        <v>85922</v>
      </c>
      <c r="E1748" t="s">
        <v>6</v>
      </c>
    </row>
    <row r="1749" spans="1:5" x14ac:dyDescent="0.2">
      <c r="A1749">
        <v>85923</v>
      </c>
      <c r="B1749" t="s">
        <v>9</v>
      </c>
      <c r="C1749">
        <v>85923</v>
      </c>
      <c r="D1749" t="str">
        <f>"85923"</f>
        <v>85923</v>
      </c>
      <c r="E1749" t="s">
        <v>6</v>
      </c>
    </row>
    <row r="1750" spans="1:5" x14ac:dyDescent="0.2">
      <c r="A1750">
        <v>85924</v>
      </c>
      <c r="B1750" t="s">
        <v>9</v>
      </c>
      <c r="C1750">
        <v>85924</v>
      </c>
      <c r="D1750" t="str">
        <f>"85924"</f>
        <v>85924</v>
      </c>
      <c r="E1750">
        <v>60.26</v>
      </c>
    </row>
    <row r="1751" spans="1:5" x14ac:dyDescent="0.2">
      <c r="A1751">
        <v>85925</v>
      </c>
      <c r="B1751" t="s">
        <v>9</v>
      </c>
      <c r="C1751">
        <v>85925</v>
      </c>
      <c r="D1751" t="str">
        <f>"85925"</f>
        <v>85925</v>
      </c>
      <c r="E1751">
        <v>63.87</v>
      </c>
    </row>
    <row r="1752" spans="1:5" x14ac:dyDescent="0.2">
      <c r="A1752">
        <v>85926</v>
      </c>
      <c r="B1752" t="s">
        <v>9</v>
      </c>
      <c r="C1752">
        <v>85926</v>
      </c>
      <c r="D1752" t="str">
        <f>"85926"</f>
        <v>85926</v>
      </c>
      <c r="E1752" t="s">
        <v>6</v>
      </c>
    </row>
    <row r="1753" spans="1:5" x14ac:dyDescent="0.2">
      <c r="A1753">
        <v>85927</v>
      </c>
      <c r="B1753" t="s">
        <v>9</v>
      </c>
      <c r="C1753">
        <v>85927</v>
      </c>
      <c r="D1753" t="str">
        <f>"85927"</f>
        <v>85927</v>
      </c>
      <c r="E1753" t="s">
        <v>6</v>
      </c>
    </row>
    <row r="1754" spans="1:5" x14ac:dyDescent="0.2">
      <c r="A1754">
        <v>85928</v>
      </c>
      <c r="B1754" t="s">
        <v>9</v>
      </c>
      <c r="C1754">
        <v>85928</v>
      </c>
      <c r="D1754" t="str">
        <f>"85928"</f>
        <v>85928</v>
      </c>
      <c r="E1754">
        <v>60.78</v>
      </c>
    </row>
    <row r="1755" spans="1:5" x14ac:dyDescent="0.2">
      <c r="A1755">
        <v>85929</v>
      </c>
      <c r="B1755" t="s">
        <v>9</v>
      </c>
      <c r="C1755">
        <v>85929</v>
      </c>
      <c r="D1755" t="str">
        <f>"85929"</f>
        <v>85929</v>
      </c>
      <c r="E1755">
        <v>67.45</v>
      </c>
    </row>
    <row r="1756" spans="1:5" x14ac:dyDescent="0.2">
      <c r="A1756">
        <v>85930</v>
      </c>
      <c r="B1756" t="s">
        <v>9</v>
      </c>
      <c r="C1756">
        <v>85930</v>
      </c>
      <c r="D1756" t="str">
        <f>"85930"</f>
        <v>85930</v>
      </c>
      <c r="E1756" t="s">
        <v>6</v>
      </c>
    </row>
    <row r="1757" spans="1:5" x14ac:dyDescent="0.2">
      <c r="A1757">
        <v>85931</v>
      </c>
      <c r="B1757" t="s">
        <v>9</v>
      </c>
      <c r="C1757">
        <v>85931</v>
      </c>
      <c r="D1757" t="str">
        <f>"85931"</f>
        <v>85931</v>
      </c>
      <c r="E1757" t="s">
        <v>6</v>
      </c>
    </row>
    <row r="1758" spans="1:5" x14ac:dyDescent="0.2">
      <c r="A1758">
        <v>85932</v>
      </c>
      <c r="B1758" t="s">
        <v>9</v>
      </c>
      <c r="C1758">
        <v>85932</v>
      </c>
      <c r="D1758" t="str">
        <f>"85932"</f>
        <v>85932</v>
      </c>
      <c r="E1758" t="s">
        <v>6</v>
      </c>
    </row>
    <row r="1759" spans="1:5" x14ac:dyDescent="0.2">
      <c r="A1759">
        <v>85933</v>
      </c>
      <c r="B1759" t="s">
        <v>9</v>
      </c>
      <c r="C1759">
        <v>85933</v>
      </c>
      <c r="D1759" t="str">
        <f>"85933"</f>
        <v>85933</v>
      </c>
      <c r="E1759" t="s">
        <v>6</v>
      </c>
    </row>
    <row r="1760" spans="1:5" x14ac:dyDescent="0.2">
      <c r="A1760">
        <v>85934</v>
      </c>
      <c r="B1760" t="s">
        <v>9</v>
      </c>
      <c r="C1760">
        <v>85934</v>
      </c>
      <c r="D1760" t="str">
        <f>"85934"</f>
        <v>85934</v>
      </c>
      <c r="E1760" t="s">
        <v>6</v>
      </c>
    </row>
    <row r="1761" spans="1:5" x14ac:dyDescent="0.2">
      <c r="A1761">
        <v>85935</v>
      </c>
      <c r="B1761" t="s">
        <v>9</v>
      </c>
      <c r="C1761">
        <v>85935</v>
      </c>
      <c r="D1761" t="str">
        <f>"85935"</f>
        <v>85935</v>
      </c>
      <c r="E1761">
        <v>73.5</v>
      </c>
    </row>
    <row r="1762" spans="1:5" x14ac:dyDescent="0.2">
      <c r="A1762">
        <v>85936</v>
      </c>
      <c r="B1762" t="s">
        <v>9</v>
      </c>
      <c r="C1762">
        <v>85936</v>
      </c>
      <c r="D1762" t="str">
        <f>"85936"</f>
        <v>85936</v>
      </c>
      <c r="E1762">
        <v>60.74</v>
      </c>
    </row>
    <row r="1763" spans="1:5" x14ac:dyDescent="0.2">
      <c r="A1763">
        <v>85937</v>
      </c>
      <c r="B1763" t="s">
        <v>9</v>
      </c>
      <c r="C1763">
        <v>85937</v>
      </c>
      <c r="D1763" t="str">
        <f>"85937"</f>
        <v>85937</v>
      </c>
      <c r="E1763">
        <v>59.6</v>
      </c>
    </row>
    <row r="1764" spans="1:5" x14ac:dyDescent="0.2">
      <c r="A1764">
        <v>85938</v>
      </c>
      <c r="B1764" t="s">
        <v>9</v>
      </c>
      <c r="C1764">
        <v>85938</v>
      </c>
      <c r="D1764" t="str">
        <f>"85938"</f>
        <v>85938</v>
      </c>
      <c r="E1764">
        <v>66.33</v>
      </c>
    </row>
    <row r="1765" spans="1:5" x14ac:dyDescent="0.2">
      <c r="A1765">
        <v>85939</v>
      </c>
      <c r="B1765" t="s">
        <v>9</v>
      </c>
      <c r="C1765">
        <v>85939</v>
      </c>
      <c r="D1765" t="str">
        <f>"85939"</f>
        <v>85939</v>
      </c>
      <c r="E1765" t="s">
        <v>6</v>
      </c>
    </row>
    <row r="1766" spans="1:5" x14ac:dyDescent="0.2">
      <c r="A1766">
        <v>85940</v>
      </c>
      <c r="B1766" t="s">
        <v>9</v>
      </c>
      <c r="C1766">
        <v>85940</v>
      </c>
      <c r="D1766" t="str">
        <f>"85940"</f>
        <v>85940</v>
      </c>
      <c r="E1766" t="s">
        <v>6</v>
      </c>
    </row>
    <row r="1767" spans="1:5" x14ac:dyDescent="0.2">
      <c r="A1767">
        <v>85941</v>
      </c>
      <c r="B1767" t="s">
        <v>9</v>
      </c>
      <c r="C1767">
        <v>85941</v>
      </c>
      <c r="D1767" t="str">
        <f>"85941"</f>
        <v>85941</v>
      </c>
      <c r="E1767" t="s">
        <v>6</v>
      </c>
    </row>
    <row r="1768" spans="1:5" x14ac:dyDescent="0.2">
      <c r="A1768">
        <v>85942</v>
      </c>
      <c r="B1768" t="s">
        <v>9</v>
      </c>
      <c r="C1768">
        <v>85942</v>
      </c>
      <c r="D1768" t="str">
        <f>"85942"</f>
        <v>85942</v>
      </c>
      <c r="E1768" t="s">
        <v>6</v>
      </c>
    </row>
    <row r="1769" spans="1:5" x14ac:dyDescent="0.2">
      <c r="A1769">
        <v>86001</v>
      </c>
      <c r="B1769" t="s">
        <v>9</v>
      </c>
      <c r="C1769">
        <v>86001</v>
      </c>
      <c r="D1769" t="str">
        <f>"86001"</f>
        <v>86001</v>
      </c>
      <c r="E1769">
        <v>72.010000000000005</v>
      </c>
    </row>
    <row r="1770" spans="1:5" x14ac:dyDescent="0.2">
      <c r="A1770">
        <v>86004</v>
      </c>
      <c r="B1770" t="s">
        <v>9</v>
      </c>
      <c r="C1770">
        <v>86004</v>
      </c>
      <c r="D1770" t="str">
        <f>"86004"</f>
        <v>86004</v>
      </c>
      <c r="E1770">
        <v>73.22</v>
      </c>
    </row>
    <row r="1771" spans="1:5" x14ac:dyDescent="0.2">
      <c r="A1771">
        <v>86005</v>
      </c>
      <c r="B1771" t="s">
        <v>9</v>
      </c>
      <c r="C1771">
        <v>86005</v>
      </c>
      <c r="D1771" t="str">
        <f>"86005"</f>
        <v>86005</v>
      </c>
      <c r="E1771" t="s">
        <v>6</v>
      </c>
    </row>
    <row r="1772" spans="1:5" x14ac:dyDescent="0.2">
      <c r="A1772">
        <v>86015</v>
      </c>
      <c r="B1772" t="s">
        <v>9</v>
      </c>
      <c r="C1772">
        <v>86015</v>
      </c>
      <c r="D1772" t="str">
        <f>"86015"</f>
        <v>86015</v>
      </c>
      <c r="E1772" t="s">
        <v>6</v>
      </c>
    </row>
    <row r="1773" spans="1:5" x14ac:dyDescent="0.2">
      <c r="A1773">
        <v>86016</v>
      </c>
      <c r="B1773" t="s">
        <v>9</v>
      </c>
      <c r="C1773">
        <v>86016</v>
      </c>
      <c r="D1773" t="str">
        <f>"86016"</f>
        <v>86016</v>
      </c>
      <c r="E1773" t="s">
        <v>6</v>
      </c>
    </row>
    <row r="1774" spans="1:5" x14ac:dyDescent="0.2">
      <c r="A1774">
        <v>86017</v>
      </c>
      <c r="B1774" t="s">
        <v>9</v>
      </c>
      <c r="C1774">
        <v>86017</v>
      </c>
      <c r="D1774" t="str">
        <f>"86017"</f>
        <v>86017</v>
      </c>
      <c r="E1774" t="s">
        <v>6</v>
      </c>
    </row>
    <row r="1775" spans="1:5" x14ac:dyDescent="0.2">
      <c r="A1775">
        <v>86018</v>
      </c>
      <c r="B1775" t="s">
        <v>9</v>
      </c>
      <c r="C1775">
        <v>86018</v>
      </c>
      <c r="D1775" t="str">
        <f>"86018"</f>
        <v>86018</v>
      </c>
      <c r="E1775" t="s">
        <v>6</v>
      </c>
    </row>
    <row r="1776" spans="1:5" x14ac:dyDescent="0.2">
      <c r="A1776">
        <v>86020</v>
      </c>
      <c r="B1776" t="s">
        <v>9</v>
      </c>
      <c r="C1776">
        <v>86020</v>
      </c>
      <c r="D1776" t="str">
        <f>"86020"</f>
        <v>86020</v>
      </c>
      <c r="E1776" t="s">
        <v>6</v>
      </c>
    </row>
    <row r="1777" spans="1:5" x14ac:dyDescent="0.2">
      <c r="A1777">
        <v>86021</v>
      </c>
      <c r="B1777" t="s">
        <v>9</v>
      </c>
      <c r="C1777">
        <v>86021</v>
      </c>
      <c r="D1777" t="str">
        <f>"86021"</f>
        <v>86021</v>
      </c>
      <c r="E1777" t="s">
        <v>6</v>
      </c>
    </row>
    <row r="1778" spans="1:5" x14ac:dyDescent="0.2">
      <c r="A1778">
        <v>86022</v>
      </c>
      <c r="B1778" t="s">
        <v>9</v>
      </c>
      <c r="C1778">
        <v>86022</v>
      </c>
      <c r="D1778" t="str">
        <f>"86022"</f>
        <v>86022</v>
      </c>
      <c r="E1778">
        <v>64.94</v>
      </c>
    </row>
    <row r="1779" spans="1:5" x14ac:dyDescent="0.2">
      <c r="A1779">
        <v>86023</v>
      </c>
      <c r="B1779" t="s">
        <v>9</v>
      </c>
      <c r="C1779">
        <v>86023</v>
      </c>
      <c r="D1779" t="str">
        <f>"86023"</f>
        <v>86023</v>
      </c>
      <c r="E1779" t="s">
        <v>6</v>
      </c>
    </row>
    <row r="1780" spans="1:5" x14ac:dyDescent="0.2">
      <c r="A1780">
        <v>86024</v>
      </c>
      <c r="B1780" t="s">
        <v>9</v>
      </c>
      <c r="C1780">
        <v>86024</v>
      </c>
      <c r="D1780" t="str">
        <f>"86024"</f>
        <v>86024</v>
      </c>
      <c r="E1780">
        <v>82.14</v>
      </c>
    </row>
    <row r="1781" spans="1:5" x14ac:dyDescent="0.2">
      <c r="A1781">
        <v>86025</v>
      </c>
      <c r="B1781" t="s">
        <v>9</v>
      </c>
      <c r="C1781">
        <v>86025</v>
      </c>
      <c r="D1781" t="str">
        <f>"86025"</f>
        <v>86025</v>
      </c>
      <c r="E1781">
        <v>62.67</v>
      </c>
    </row>
    <row r="1782" spans="1:5" x14ac:dyDescent="0.2">
      <c r="A1782">
        <v>86028</v>
      </c>
      <c r="B1782" t="s">
        <v>9</v>
      </c>
      <c r="C1782">
        <v>86028</v>
      </c>
      <c r="D1782" t="str">
        <f>"86028"</f>
        <v>86028</v>
      </c>
      <c r="E1782" t="s">
        <v>6</v>
      </c>
    </row>
    <row r="1783" spans="1:5" x14ac:dyDescent="0.2">
      <c r="A1783">
        <v>86029</v>
      </c>
      <c r="B1783" t="s">
        <v>9</v>
      </c>
      <c r="C1783">
        <v>86029</v>
      </c>
      <c r="D1783" t="str">
        <f>"86029"</f>
        <v>86029</v>
      </c>
      <c r="E1783" t="s">
        <v>6</v>
      </c>
    </row>
    <row r="1784" spans="1:5" x14ac:dyDescent="0.2">
      <c r="A1784">
        <v>86030</v>
      </c>
      <c r="B1784" t="s">
        <v>9</v>
      </c>
      <c r="C1784">
        <v>86030</v>
      </c>
      <c r="D1784" t="str">
        <f>"86030"</f>
        <v>86030</v>
      </c>
      <c r="E1784">
        <v>47.37</v>
      </c>
    </row>
    <row r="1785" spans="1:5" x14ac:dyDescent="0.2">
      <c r="A1785">
        <v>86031</v>
      </c>
      <c r="B1785" t="s">
        <v>9</v>
      </c>
      <c r="C1785">
        <v>86031</v>
      </c>
      <c r="D1785" t="str">
        <f>"86031"</f>
        <v>86031</v>
      </c>
      <c r="E1785" t="s">
        <v>6</v>
      </c>
    </row>
    <row r="1786" spans="1:5" x14ac:dyDescent="0.2">
      <c r="A1786">
        <v>86032</v>
      </c>
      <c r="B1786" t="s">
        <v>9</v>
      </c>
      <c r="C1786">
        <v>86032</v>
      </c>
      <c r="D1786" t="str">
        <f>"86032"</f>
        <v>86032</v>
      </c>
      <c r="E1786" t="s">
        <v>6</v>
      </c>
    </row>
    <row r="1787" spans="1:5" x14ac:dyDescent="0.2">
      <c r="A1787">
        <v>86033</v>
      </c>
      <c r="B1787" t="s">
        <v>9</v>
      </c>
      <c r="C1787">
        <v>86033</v>
      </c>
      <c r="D1787" t="str">
        <f>"86033"</f>
        <v>86033</v>
      </c>
      <c r="E1787" t="s">
        <v>6</v>
      </c>
    </row>
    <row r="1788" spans="1:5" x14ac:dyDescent="0.2">
      <c r="A1788">
        <v>86034</v>
      </c>
      <c r="B1788" t="s">
        <v>9</v>
      </c>
      <c r="C1788">
        <v>86034</v>
      </c>
      <c r="D1788" t="str">
        <f>"86034"</f>
        <v>86034</v>
      </c>
      <c r="E1788">
        <v>47.62</v>
      </c>
    </row>
    <row r="1789" spans="1:5" x14ac:dyDescent="0.2">
      <c r="A1789">
        <v>86035</v>
      </c>
      <c r="B1789" t="s">
        <v>9</v>
      </c>
      <c r="C1789">
        <v>86035</v>
      </c>
      <c r="D1789" t="str">
        <f>"86035"</f>
        <v>86035</v>
      </c>
      <c r="E1789" t="s">
        <v>6</v>
      </c>
    </row>
    <row r="1790" spans="1:5" x14ac:dyDescent="0.2">
      <c r="A1790">
        <v>86036</v>
      </c>
      <c r="B1790" t="s">
        <v>9</v>
      </c>
      <c r="C1790">
        <v>86036</v>
      </c>
      <c r="D1790" t="str">
        <f>"86036"</f>
        <v>86036</v>
      </c>
      <c r="E1790">
        <v>50</v>
      </c>
    </row>
    <row r="1791" spans="1:5" x14ac:dyDescent="0.2">
      <c r="A1791">
        <v>86038</v>
      </c>
      <c r="B1791" t="s">
        <v>9</v>
      </c>
      <c r="C1791">
        <v>86038</v>
      </c>
      <c r="D1791" t="str">
        <f>"86038"</f>
        <v>86038</v>
      </c>
      <c r="E1791" t="s">
        <v>6</v>
      </c>
    </row>
    <row r="1792" spans="1:5" x14ac:dyDescent="0.2">
      <c r="A1792">
        <v>86039</v>
      </c>
      <c r="B1792" t="s">
        <v>9</v>
      </c>
      <c r="C1792">
        <v>86039</v>
      </c>
      <c r="D1792" t="str">
        <f>"86039"</f>
        <v>86039</v>
      </c>
      <c r="E1792">
        <v>55.36</v>
      </c>
    </row>
    <row r="1793" spans="1:5" x14ac:dyDescent="0.2">
      <c r="A1793">
        <v>86040</v>
      </c>
      <c r="B1793" t="s">
        <v>9</v>
      </c>
      <c r="C1793">
        <v>86040</v>
      </c>
      <c r="D1793" t="str">
        <f>"86040"</f>
        <v>86040</v>
      </c>
      <c r="E1793" t="s">
        <v>6</v>
      </c>
    </row>
    <row r="1794" spans="1:5" x14ac:dyDescent="0.2">
      <c r="A1794">
        <v>86042</v>
      </c>
      <c r="B1794" t="s">
        <v>9</v>
      </c>
      <c r="C1794">
        <v>86042</v>
      </c>
      <c r="D1794" t="str">
        <f>"86042"</f>
        <v>86042</v>
      </c>
      <c r="E1794">
        <v>50</v>
      </c>
    </row>
    <row r="1795" spans="1:5" x14ac:dyDescent="0.2">
      <c r="A1795">
        <v>86043</v>
      </c>
      <c r="B1795" t="s">
        <v>9</v>
      </c>
      <c r="C1795">
        <v>86043</v>
      </c>
      <c r="D1795" t="str">
        <f>"86043"</f>
        <v>86043</v>
      </c>
      <c r="E1795">
        <v>45.61</v>
      </c>
    </row>
    <row r="1796" spans="1:5" x14ac:dyDescent="0.2">
      <c r="A1796">
        <v>86044</v>
      </c>
      <c r="B1796" t="s">
        <v>9</v>
      </c>
      <c r="C1796">
        <v>86044</v>
      </c>
      <c r="D1796" t="str">
        <f>"86044"</f>
        <v>86044</v>
      </c>
      <c r="E1796">
        <v>49.09</v>
      </c>
    </row>
    <row r="1797" spans="1:5" x14ac:dyDescent="0.2">
      <c r="A1797">
        <v>86045</v>
      </c>
      <c r="B1797" t="s">
        <v>9</v>
      </c>
      <c r="C1797">
        <v>86045</v>
      </c>
      <c r="D1797" t="str">
        <f>"86045"</f>
        <v>86045</v>
      </c>
      <c r="E1797">
        <v>56.14</v>
      </c>
    </row>
    <row r="1798" spans="1:5" x14ac:dyDescent="0.2">
      <c r="A1798">
        <v>86046</v>
      </c>
      <c r="B1798" t="s">
        <v>9</v>
      </c>
      <c r="C1798">
        <v>86046</v>
      </c>
      <c r="D1798" t="str">
        <f>"86046"</f>
        <v>86046</v>
      </c>
      <c r="E1798">
        <v>69.489999999999995</v>
      </c>
    </row>
    <row r="1799" spans="1:5" x14ac:dyDescent="0.2">
      <c r="A1799">
        <v>86047</v>
      </c>
      <c r="B1799" t="s">
        <v>9</v>
      </c>
      <c r="C1799">
        <v>86047</v>
      </c>
      <c r="D1799" t="str">
        <f>"86047"</f>
        <v>86047</v>
      </c>
      <c r="E1799">
        <v>59.46</v>
      </c>
    </row>
    <row r="1800" spans="1:5" x14ac:dyDescent="0.2">
      <c r="A1800">
        <v>86052</v>
      </c>
      <c r="B1800" t="s">
        <v>9</v>
      </c>
      <c r="C1800">
        <v>86052</v>
      </c>
      <c r="D1800" t="str">
        <f>"86052"</f>
        <v>86052</v>
      </c>
      <c r="E1800" t="s">
        <v>6</v>
      </c>
    </row>
    <row r="1801" spans="1:5" x14ac:dyDescent="0.2">
      <c r="A1801">
        <v>86053</v>
      </c>
      <c r="B1801" t="s">
        <v>9</v>
      </c>
      <c r="C1801">
        <v>86053</v>
      </c>
      <c r="D1801" t="str">
        <f>"86053"</f>
        <v>86053</v>
      </c>
      <c r="E1801" t="s">
        <v>6</v>
      </c>
    </row>
    <row r="1802" spans="1:5" x14ac:dyDescent="0.2">
      <c r="A1802">
        <v>86054</v>
      </c>
      <c r="B1802" t="s">
        <v>9</v>
      </c>
      <c r="C1802">
        <v>86054</v>
      </c>
      <c r="D1802" t="str">
        <f>"86054"</f>
        <v>86054</v>
      </c>
      <c r="E1802" t="s">
        <v>6</v>
      </c>
    </row>
    <row r="1803" spans="1:5" x14ac:dyDescent="0.2">
      <c r="A1803">
        <v>86301</v>
      </c>
      <c r="B1803" t="s">
        <v>9</v>
      </c>
      <c r="C1803">
        <v>86301</v>
      </c>
      <c r="D1803" t="str">
        <f>"86301"</f>
        <v>86301</v>
      </c>
      <c r="E1803">
        <v>73.209999999999994</v>
      </c>
    </row>
    <row r="1804" spans="1:5" x14ac:dyDescent="0.2">
      <c r="A1804">
        <v>86303</v>
      </c>
      <c r="B1804" t="s">
        <v>9</v>
      </c>
      <c r="C1804">
        <v>86303</v>
      </c>
      <c r="D1804" t="str">
        <f>"86303"</f>
        <v>86303</v>
      </c>
      <c r="E1804">
        <v>75.3</v>
      </c>
    </row>
    <row r="1805" spans="1:5" x14ac:dyDescent="0.2">
      <c r="A1805">
        <v>86305</v>
      </c>
      <c r="B1805" t="s">
        <v>9</v>
      </c>
      <c r="C1805">
        <v>86305</v>
      </c>
      <c r="D1805" t="str">
        <f>"86305"</f>
        <v>86305</v>
      </c>
      <c r="E1805">
        <v>76.13</v>
      </c>
    </row>
    <row r="1806" spans="1:5" x14ac:dyDescent="0.2">
      <c r="A1806">
        <v>86312</v>
      </c>
      <c r="B1806" t="s">
        <v>9</v>
      </c>
      <c r="C1806">
        <v>86312</v>
      </c>
      <c r="D1806" t="str">
        <f>"86312"</f>
        <v>86312</v>
      </c>
      <c r="E1806" t="s">
        <v>6</v>
      </c>
    </row>
    <row r="1807" spans="1:5" x14ac:dyDescent="0.2">
      <c r="A1807">
        <v>86314</v>
      </c>
      <c r="B1807" t="s">
        <v>9</v>
      </c>
      <c r="C1807">
        <v>86314</v>
      </c>
      <c r="D1807" t="str">
        <f>"86314"</f>
        <v>86314</v>
      </c>
      <c r="E1807">
        <v>66.400000000000006</v>
      </c>
    </row>
    <row r="1808" spans="1:5" x14ac:dyDescent="0.2">
      <c r="A1808">
        <v>86315</v>
      </c>
      <c r="B1808" t="s">
        <v>9</v>
      </c>
      <c r="C1808">
        <v>86315</v>
      </c>
      <c r="D1808" t="str">
        <f>"86315"</f>
        <v>86315</v>
      </c>
      <c r="E1808">
        <v>76.03</v>
      </c>
    </row>
    <row r="1809" spans="1:5" x14ac:dyDescent="0.2">
      <c r="A1809">
        <v>86320</v>
      </c>
      <c r="B1809" t="s">
        <v>9</v>
      </c>
      <c r="C1809">
        <v>86320</v>
      </c>
      <c r="D1809" t="str">
        <f>"86320"</f>
        <v>86320</v>
      </c>
      <c r="E1809" t="s">
        <v>6</v>
      </c>
    </row>
    <row r="1810" spans="1:5" x14ac:dyDescent="0.2">
      <c r="A1810">
        <v>86321</v>
      </c>
      <c r="B1810" t="s">
        <v>9</v>
      </c>
      <c r="C1810">
        <v>86321</v>
      </c>
      <c r="D1810" t="str">
        <f>"86321"</f>
        <v>86321</v>
      </c>
      <c r="E1810">
        <v>85.37</v>
      </c>
    </row>
    <row r="1811" spans="1:5" x14ac:dyDescent="0.2">
      <c r="A1811">
        <v>86322</v>
      </c>
      <c r="B1811" t="s">
        <v>9</v>
      </c>
      <c r="C1811">
        <v>86322</v>
      </c>
      <c r="D1811" t="str">
        <f>"86322"</f>
        <v>86322</v>
      </c>
      <c r="E1811">
        <v>64.41</v>
      </c>
    </row>
    <row r="1812" spans="1:5" x14ac:dyDescent="0.2">
      <c r="A1812">
        <v>86323</v>
      </c>
      <c r="B1812" t="s">
        <v>9</v>
      </c>
      <c r="C1812">
        <v>86323</v>
      </c>
      <c r="D1812" t="str">
        <f>"86323"</f>
        <v>86323</v>
      </c>
      <c r="E1812">
        <v>68.47</v>
      </c>
    </row>
    <row r="1813" spans="1:5" x14ac:dyDescent="0.2">
      <c r="A1813">
        <v>86324</v>
      </c>
      <c r="B1813" t="s">
        <v>9</v>
      </c>
      <c r="C1813">
        <v>86324</v>
      </c>
      <c r="D1813" t="str">
        <f>"86324"</f>
        <v>86324</v>
      </c>
      <c r="E1813">
        <v>72.41</v>
      </c>
    </row>
    <row r="1814" spans="1:5" x14ac:dyDescent="0.2">
      <c r="A1814">
        <v>86325</v>
      </c>
      <c r="B1814" t="s">
        <v>9</v>
      </c>
      <c r="C1814">
        <v>86325</v>
      </c>
      <c r="D1814" t="str">
        <f>"86325"</f>
        <v>86325</v>
      </c>
      <c r="E1814">
        <v>73.709999999999994</v>
      </c>
    </row>
    <row r="1815" spans="1:5" x14ac:dyDescent="0.2">
      <c r="A1815">
        <v>86326</v>
      </c>
      <c r="B1815" t="s">
        <v>9</v>
      </c>
      <c r="C1815">
        <v>86326</v>
      </c>
      <c r="D1815" t="str">
        <f>"86326"</f>
        <v>86326</v>
      </c>
      <c r="E1815">
        <v>67.08</v>
      </c>
    </row>
    <row r="1816" spans="1:5" x14ac:dyDescent="0.2">
      <c r="A1816">
        <v>86327</v>
      </c>
      <c r="B1816" t="s">
        <v>9</v>
      </c>
      <c r="C1816">
        <v>86327</v>
      </c>
      <c r="D1816" t="str">
        <f>"86327"</f>
        <v>86327</v>
      </c>
      <c r="E1816">
        <v>71.91</v>
      </c>
    </row>
    <row r="1817" spans="1:5" x14ac:dyDescent="0.2">
      <c r="A1817">
        <v>86329</v>
      </c>
      <c r="B1817" t="s">
        <v>9</v>
      </c>
      <c r="C1817">
        <v>86329</v>
      </c>
      <c r="D1817" t="str">
        <f>"86329"</f>
        <v>86329</v>
      </c>
      <c r="E1817" t="s">
        <v>6</v>
      </c>
    </row>
    <row r="1818" spans="1:5" x14ac:dyDescent="0.2">
      <c r="A1818">
        <v>86331</v>
      </c>
      <c r="B1818" t="s">
        <v>9</v>
      </c>
      <c r="C1818">
        <v>86331</v>
      </c>
      <c r="D1818" t="str">
        <f>"86331"</f>
        <v>86331</v>
      </c>
      <c r="E1818" t="s">
        <v>6</v>
      </c>
    </row>
    <row r="1819" spans="1:5" x14ac:dyDescent="0.2">
      <c r="A1819">
        <v>86332</v>
      </c>
      <c r="B1819" t="s">
        <v>9</v>
      </c>
      <c r="C1819">
        <v>86332</v>
      </c>
      <c r="D1819" t="str">
        <f>"86332"</f>
        <v>86332</v>
      </c>
      <c r="E1819">
        <v>60.66</v>
      </c>
    </row>
    <row r="1820" spans="1:5" x14ac:dyDescent="0.2">
      <c r="A1820">
        <v>86333</v>
      </c>
      <c r="B1820" t="s">
        <v>9</v>
      </c>
      <c r="C1820">
        <v>86333</v>
      </c>
      <c r="D1820" t="str">
        <f>"86333"</f>
        <v>86333</v>
      </c>
      <c r="E1820">
        <v>63.76</v>
      </c>
    </row>
    <row r="1821" spans="1:5" x14ac:dyDescent="0.2">
      <c r="A1821">
        <v>86334</v>
      </c>
      <c r="B1821" t="s">
        <v>9</v>
      </c>
      <c r="C1821">
        <v>86334</v>
      </c>
      <c r="D1821" t="str">
        <f>"86334"</f>
        <v>86334</v>
      </c>
      <c r="E1821">
        <v>62.5</v>
      </c>
    </row>
    <row r="1822" spans="1:5" x14ac:dyDescent="0.2">
      <c r="A1822">
        <v>86335</v>
      </c>
      <c r="B1822" t="s">
        <v>9</v>
      </c>
      <c r="C1822">
        <v>86335</v>
      </c>
      <c r="D1822" t="str">
        <f>"86335"</f>
        <v>86335</v>
      </c>
      <c r="E1822">
        <v>64.52</v>
      </c>
    </row>
    <row r="1823" spans="1:5" x14ac:dyDescent="0.2">
      <c r="A1823">
        <v>86336</v>
      </c>
      <c r="B1823" t="s">
        <v>9</v>
      </c>
      <c r="C1823">
        <v>86336</v>
      </c>
      <c r="D1823" t="str">
        <f>"86336"</f>
        <v>86336</v>
      </c>
      <c r="E1823">
        <v>73.92</v>
      </c>
    </row>
    <row r="1824" spans="1:5" x14ac:dyDescent="0.2">
      <c r="A1824">
        <v>86337</v>
      </c>
      <c r="B1824" t="s">
        <v>9</v>
      </c>
      <c r="C1824">
        <v>86337</v>
      </c>
      <c r="D1824" t="str">
        <f>"86337"</f>
        <v>86337</v>
      </c>
      <c r="E1824" t="s">
        <v>6</v>
      </c>
    </row>
    <row r="1825" spans="1:5" x14ac:dyDescent="0.2">
      <c r="A1825">
        <v>86338</v>
      </c>
      <c r="B1825" t="s">
        <v>9</v>
      </c>
      <c r="C1825">
        <v>86338</v>
      </c>
      <c r="D1825" t="str">
        <f>"86338"</f>
        <v>86338</v>
      </c>
      <c r="E1825" t="s">
        <v>6</v>
      </c>
    </row>
    <row r="1826" spans="1:5" x14ac:dyDescent="0.2">
      <c r="A1826">
        <v>86343</v>
      </c>
      <c r="B1826" t="s">
        <v>9</v>
      </c>
      <c r="C1826">
        <v>86343</v>
      </c>
      <c r="D1826" t="str">
        <f>"86343"</f>
        <v>86343</v>
      </c>
      <c r="E1826" t="s">
        <v>6</v>
      </c>
    </row>
    <row r="1827" spans="1:5" x14ac:dyDescent="0.2">
      <c r="A1827">
        <v>86351</v>
      </c>
      <c r="B1827" t="s">
        <v>9</v>
      </c>
      <c r="C1827">
        <v>86351</v>
      </c>
      <c r="D1827" t="str">
        <f>"86351"</f>
        <v>86351</v>
      </c>
      <c r="E1827">
        <v>78.069999999999993</v>
      </c>
    </row>
    <row r="1828" spans="1:5" x14ac:dyDescent="0.2">
      <c r="A1828">
        <v>86401</v>
      </c>
      <c r="B1828" t="s">
        <v>9</v>
      </c>
      <c r="C1828">
        <v>86401</v>
      </c>
      <c r="D1828" t="str">
        <f>"86401"</f>
        <v>86401</v>
      </c>
      <c r="E1828">
        <v>70.16</v>
      </c>
    </row>
    <row r="1829" spans="1:5" x14ac:dyDescent="0.2">
      <c r="A1829">
        <v>86403</v>
      </c>
      <c r="B1829" t="s">
        <v>9</v>
      </c>
      <c r="C1829">
        <v>86403</v>
      </c>
      <c r="D1829" t="str">
        <f>"86403"</f>
        <v>86403</v>
      </c>
      <c r="E1829">
        <v>66.98</v>
      </c>
    </row>
    <row r="1830" spans="1:5" x14ac:dyDescent="0.2">
      <c r="A1830">
        <v>86404</v>
      </c>
      <c r="B1830" t="s">
        <v>9</v>
      </c>
      <c r="C1830">
        <v>86404</v>
      </c>
      <c r="D1830" t="str">
        <f>"86404"</f>
        <v>86404</v>
      </c>
      <c r="E1830">
        <v>70.599999999999994</v>
      </c>
    </row>
    <row r="1831" spans="1:5" x14ac:dyDescent="0.2">
      <c r="A1831">
        <v>86406</v>
      </c>
      <c r="B1831" t="s">
        <v>9</v>
      </c>
      <c r="C1831">
        <v>86406</v>
      </c>
      <c r="D1831" t="str">
        <f>"86406"</f>
        <v>86406</v>
      </c>
      <c r="E1831">
        <v>72.12</v>
      </c>
    </row>
    <row r="1832" spans="1:5" x14ac:dyDescent="0.2">
      <c r="A1832">
        <v>86409</v>
      </c>
      <c r="B1832" t="s">
        <v>9</v>
      </c>
      <c r="C1832">
        <v>86409</v>
      </c>
      <c r="D1832" t="str">
        <f>"86409"</f>
        <v>86409</v>
      </c>
      <c r="E1832">
        <v>63.89</v>
      </c>
    </row>
    <row r="1833" spans="1:5" x14ac:dyDescent="0.2">
      <c r="A1833">
        <v>86411</v>
      </c>
      <c r="B1833" t="s">
        <v>9</v>
      </c>
      <c r="C1833">
        <v>86411</v>
      </c>
      <c r="D1833" t="str">
        <f>"86411"</f>
        <v>86411</v>
      </c>
      <c r="E1833" t="s">
        <v>6</v>
      </c>
    </row>
    <row r="1834" spans="1:5" x14ac:dyDescent="0.2">
      <c r="A1834">
        <v>86413</v>
      </c>
      <c r="B1834" t="s">
        <v>9</v>
      </c>
      <c r="C1834">
        <v>86413</v>
      </c>
      <c r="D1834" t="str">
        <f>"86413"</f>
        <v>86413</v>
      </c>
      <c r="E1834">
        <v>64.39</v>
      </c>
    </row>
    <row r="1835" spans="1:5" x14ac:dyDescent="0.2">
      <c r="A1835">
        <v>86426</v>
      </c>
      <c r="B1835" t="s">
        <v>9</v>
      </c>
      <c r="C1835">
        <v>86426</v>
      </c>
      <c r="D1835" t="str">
        <f>"86426"</f>
        <v>86426</v>
      </c>
      <c r="E1835">
        <v>66.61</v>
      </c>
    </row>
    <row r="1836" spans="1:5" x14ac:dyDescent="0.2">
      <c r="A1836">
        <v>86429</v>
      </c>
      <c r="B1836" t="s">
        <v>9</v>
      </c>
      <c r="C1836">
        <v>86429</v>
      </c>
      <c r="D1836" t="str">
        <f>"86429"</f>
        <v>86429</v>
      </c>
      <c r="E1836">
        <v>67.87</v>
      </c>
    </row>
    <row r="1837" spans="1:5" x14ac:dyDescent="0.2">
      <c r="A1837">
        <v>86431</v>
      </c>
      <c r="B1837" t="s">
        <v>9</v>
      </c>
      <c r="C1837">
        <v>86431</v>
      </c>
      <c r="D1837" t="str">
        <f>"86431"</f>
        <v>86431</v>
      </c>
      <c r="E1837" t="s">
        <v>6</v>
      </c>
    </row>
    <row r="1838" spans="1:5" x14ac:dyDescent="0.2">
      <c r="A1838">
        <v>86432</v>
      </c>
      <c r="B1838" t="s">
        <v>9</v>
      </c>
      <c r="C1838">
        <v>86432</v>
      </c>
      <c r="D1838" t="str">
        <f>"86432"</f>
        <v>86432</v>
      </c>
      <c r="E1838" t="s">
        <v>6</v>
      </c>
    </row>
    <row r="1839" spans="1:5" x14ac:dyDescent="0.2">
      <c r="A1839">
        <v>86433</v>
      </c>
      <c r="B1839" t="s">
        <v>9</v>
      </c>
      <c r="C1839">
        <v>86433</v>
      </c>
      <c r="D1839" t="str">
        <f>"86433"</f>
        <v>86433</v>
      </c>
      <c r="E1839" t="s">
        <v>6</v>
      </c>
    </row>
    <row r="1840" spans="1:5" x14ac:dyDescent="0.2">
      <c r="A1840">
        <v>86434</v>
      </c>
      <c r="B1840" t="s">
        <v>9</v>
      </c>
      <c r="C1840">
        <v>86434</v>
      </c>
      <c r="D1840" t="str">
        <f>"86434"</f>
        <v>86434</v>
      </c>
      <c r="E1840">
        <v>61.4</v>
      </c>
    </row>
    <row r="1841" spans="1:5" x14ac:dyDescent="0.2">
      <c r="A1841">
        <v>86435</v>
      </c>
      <c r="B1841" t="s">
        <v>9</v>
      </c>
      <c r="C1841">
        <v>86435</v>
      </c>
      <c r="D1841" t="str">
        <f>"86435"</f>
        <v>86435</v>
      </c>
      <c r="E1841" t="s">
        <v>6</v>
      </c>
    </row>
    <row r="1842" spans="1:5" x14ac:dyDescent="0.2">
      <c r="A1842">
        <v>86436</v>
      </c>
      <c r="B1842" t="s">
        <v>9</v>
      </c>
      <c r="C1842">
        <v>86436</v>
      </c>
      <c r="D1842" t="str">
        <f>"86436"</f>
        <v>86436</v>
      </c>
      <c r="E1842">
        <v>66.67</v>
      </c>
    </row>
    <row r="1843" spans="1:5" x14ac:dyDescent="0.2">
      <c r="A1843">
        <v>86437</v>
      </c>
      <c r="B1843" t="s">
        <v>9</v>
      </c>
      <c r="C1843">
        <v>86437</v>
      </c>
      <c r="D1843" t="str">
        <f>"86437"</f>
        <v>86437</v>
      </c>
      <c r="E1843" t="s">
        <v>6</v>
      </c>
    </row>
    <row r="1844" spans="1:5" x14ac:dyDescent="0.2">
      <c r="A1844">
        <v>86438</v>
      </c>
      <c r="B1844" t="s">
        <v>9</v>
      </c>
      <c r="C1844">
        <v>86438</v>
      </c>
      <c r="D1844" t="str">
        <f>"86438"</f>
        <v>86438</v>
      </c>
      <c r="E1844" t="s">
        <v>6</v>
      </c>
    </row>
    <row r="1845" spans="1:5" x14ac:dyDescent="0.2">
      <c r="A1845">
        <v>86440</v>
      </c>
      <c r="B1845" t="s">
        <v>9</v>
      </c>
      <c r="C1845">
        <v>86440</v>
      </c>
      <c r="D1845" t="str">
        <f>"86440"</f>
        <v>86440</v>
      </c>
      <c r="E1845">
        <v>61.66</v>
      </c>
    </row>
    <row r="1846" spans="1:5" x14ac:dyDescent="0.2">
      <c r="A1846">
        <v>86441</v>
      </c>
      <c r="B1846" t="s">
        <v>9</v>
      </c>
      <c r="C1846">
        <v>86441</v>
      </c>
      <c r="D1846" t="str">
        <f>"86441"</f>
        <v>86441</v>
      </c>
      <c r="E1846">
        <v>59.26</v>
      </c>
    </row>
    <row r="1847" spans="1:5" x14ac:dyDescent="0.2">
      <c r="A1847">
        <v>86442</v>
      </c>
      <c r="B1847" t="s">
        <v>9</v>
      </c>
      <c r="C1847">
        <v>86442</v>
      </c>
      <c r="D1847" t="str">
        <f>"86442"</f>
        <v>86442</v>
      </c>
      <c r="E1847">
        <v>60.35</v>
      </c>
    </row>
    <row r="1848" spans="1:5" x14ac:dyDescent="0.2">
      <c r="A1848">
        <v>86443</v>
      </c>
      <c r="B1848" t="s">
        <v>9</v>
      </c>
      <c r="C1848">
        <v>86443</v>
      </c>
      <c r="D1848" t="str">
        <f>"86443"</f>
        <v>86443</v>
      </c>
      <c r="E1848" t="s">
        <v>6</v>
      </c>
    </row>
    <row r="1849" spans="1:5" x14ac:dyDescent="0.2">
      <c r="A1849">
        <v>86444</v>
      </c>
      <c r="B1849" t="s">
        <v>9</v>
      </c>
      <c r="C1849">
        <v>86444</v>
      </c>
      <c r="D1849" t="str">
        <f>"86444"</f>
        <v>86444</v>
      </c>
      <c r="E1849">
        <v>64.290000000000006</v>
      </c>
    </row>
    <row r="1850" spans="1:5" x14ac:dyDescent="0.2">
      <c r="A1850">
        <v>86445</v>
      </c>
      <c r="B1850" t="s">
        <v>9</v>
      </c>
      <c r="C1850">
        <v>86445</v>
      </c>
      <c r="D1850" t="str">
        <f>"86445"</f>
        <v>86445</v>
      </c>
      <c r="E1850">
        <v>72.73</v>
      </c>
    </row>
    <row r="1851" spans="1:5" x14ac:dyDescent="0.2">
      <c r="A1851">
        <v>86502</v>
      </c>
      <c r="B1851" t="s">
        <v>9</v>
      </c>
      <c r="C1851">
        <v>86502</v>
      </c>
      <c r="D1851" t="str">
        <f>"86502"</f>
        <v>86502</v>
      </c>
      <c r="E1851" t="s">
        <v>6</v>
      </c>
    </row>
    <row r="1852" spans="1:5" x14ac:dyDescent="0.2">
      <c r="A1852">
        <v>86503</v>
      </c>
      <c r="B1852" t="s">
        <v>9</v>
      </c>
      <c r="C1852">
        <v>86503</v>
      </c>
      <c r="D1852" t="str">
        <f>"86503"</f>
        <v>86503</v>
      </c>
      <c r="E1852" t="s">
        <v>6</v>
      </c>
    </row>
    <row r="1853" spans="1:5" x14ac:dyDescent="0.2">
      <c r="A1853">
        <v>86504</v>
      </c>
      <c r="B1853" t="s">
        <v>9</v>
      </c>
      <c r="C1853">
        <v>86504</v>
      </c>
      <c r="D1853" t="str">
        <f>"86504"</f>
        <v>86504</v>
      </c>
      <c r="E1853" t="s">
        <v>6</v>
      </c>
    </row>
    <row r="1854" spans="1:5" x14ac:dyDescent="0.2">
      <c r="A1854">
        <v>86505</v>
      </c>
      <c r="B1854" t="s">
        <v>9</v>
      </c>
      <c r="C1854">
        <v>86505</v>
      </c>
      <c r="D1854" t="str">
        <f>"86505"</f>
        <v>86505</v>
      </c>
      <c r="E1854" t="s">
        <v>6</v>
      </c>
    </row>
    <row r="1855" spans="1:5" x14ac:dyDescent="0.2">
      <c r="A1855">
        <v>86506</v>
      </c>
      <c r="B1855" t="s">
        <v>9</v>
      </c>
      <c r="C1855">
        <v>86506</v>
      </c>
      <c r="D1855" t="str">
        <f>"86506"</f>
        <v>86506</v>
      </c>
      <c r="E1855" t="s">
        <v>6</v>
      </c>
    </row>
    <row r="1856" spans="1:5" x14ac:dyDescent="0.2">
      <c r="A1856">
        <v>86507</v>
      </c>
      <c r="B1856" t="s">
        <v>9</v>
      </c>
      <c r="C1856">
        <v>86507</v>
      </c>
      <c r="D1856" t="str">
        <f>"86507"</f>
        <v>86507</v>
      </c>
      <c r="E1856" t="s">
        <v>6</v>
      </c>
    </row>
    <row r="1857" spans="1:5" x14ac:dyDescent="0.2">
      <c r="A1857">
        <v>86508</v>
      </c>
      <c r="B1857" t="s">
        <v>9</v>
      </c>
      <c r="C1857">
        <v>86508</v>
      </c>
      <c r="D1857" t="str">
        <f>"86508"</f>
        <v>86508</v>
      </c>
      <c r="E1857" t="s">
        <v>6</v>
      </c>
    </row>
    <row r="1858" spans="1:5" x14ac:dyDescent="0.2">
      <c r="A1858">
        <v>86510</v>
      </c>
      <c r="B1858" t="s">
        <v>9</v>
      </c>
      <c r="C1858">
        <v>86510</v>
      </c>
      <c r="D1858" t="str">
        <f>"86510"</f>
        <v>86510</v>
      </c>
      <c r="E1858" t="s">
        <v>6</v>
      </c>
    </row>
    <row r="1859" spans="1:5" x14ac:dyDescent="0.2">
      <c r="A1859">
        <v>86511</v>
      </c>
      <c r="B1859" t="s">
        <v>9</v>
      </c>
      <c r="C1859">
        <v>86511</v>
      </c>
      <c r="D1859" t="str">
        <f>"86511"</f>
        <v>86511</v>
      </c>
      <c r="E1859" t="s">
        <v>6</v>
      </c>
    </row>
    <row r="1860" spans="1:5" x14ac:dyDescent="0.2">
      <c r="A1860">
        <v>86512</v>
      </c>
      <c r="B1860" t="s">
        <v>9</v>
      </c>
      <c r="C1860">
        <v>86512</v>
      </c>
      <c r="D1860" t="str">
        <f>"86512"</f>
        <v>86512</v>
      </c>
      <c r="E1860" t="s">
        <v>6</v>
      </c>
    </row>
    <row r="1861" spans="1:5" x14ac:dyDescent="0.2">
      <c r="A1861">
        <v>86514</v>
      </c>
      <c r="B1861" t="s">
        <v>9</v>
      </c>
      <c r="C1861">
        <v>86514</v>
      </c>
      <c r="D1861" t="str">
        <f>"86514"</f>
        <v>86514</v>
      </c>
      <c r="E1861">
        <v>57.83</v>
      </c>
    </row>
    <row r="1862" spans="1:5" x14ac:dyDescent="0.2">
      <c r="A1862">
        <v>86515</v>
      </c>
      <c r="B1862" t="s">
        <v>9</v>
      </c>
      <c r="C1862">
        <v>86515</v>
      </c>
      <c r="D1862" t="str">
        <f>"86515"</f>
        <v>86515</v>
      </c>
      <c r="E1862" t="s">
        <v>6</v>
      </c>
    </row>
    <row r="1863" spans="1:5" x14ac:dyDescent="0.2">
      <c r="A1863">
        <v>86520</v>
      </c>
      <c r="B1863" t="s">
        <v>9</v>
      </c>
      <c r="C1863">
        <v>86520</v>
      </c>
      <c r="D1863" t="str">
        <f>"86520"</f>
        <v>86520</v>
      </c>
      <c r="E1863" t="s">
        <v>6</v>
      </c>
    </row>
    <row r="1864" spans="1:5" x14ac:dyDescent="0.2">
      <c r="A1864">
        <v>86535</v>
      </c>
      <c r="B1864" t="s">
        <v>9</v>
      </c>
      <c r="C1864">
        <v>86535</v>
      </c>
      <c r="D1864" t="str">
        <f>"86535"</f>
        <v>86535</v>
      </c>
      <c r="E1864" t="s">
        <v>6</v>
      </c>
    </row>
    <row r="1865" spans="1:5" x14ac:dyDescent="0.2">
      <c r="A1865">
        <v>86538</v>
      </c>
      <c r="B1865" t="s">
        <v>9</v>
      </c>
      <c r="C1865">
        <v>86538</v>
      </c>
      <c r="D1865" t="str">
        <f>"86538"</f>
        <v>86538</v>
      </c>
      <c r="E1865" t="s">
        <v>6</v>
      </c>
    </row>
    <row r="1866" spans="1:5" x14ac:dyDescent="0.2">
      <c r="A1866">
        <v>86540</v>
      </c>
      <c r="B1866" t="s">
        <v>9</v>
      </c>
      <c r="C1866">
        <v>86540</v>
      </c>
      <c r="D1866" t="str">
        <f>"86540"</f>
        <v>86540</v>
      </c>
      <c r="E1866" t="s">
        <v>6</v>
      </c>
    </row>
    <row r="1867" spans="1:5" x14ac:dyDescent="0.2">
      <c r="A1867">
        <v>86544</v>
      </c>
      <c r="B1867" t="s">
        <v>9</v>
      </c>
      <c r="C1867">
        <v>86544</v>
      </c>
      <c r="D1867" t="str">
        <f>"86544"</f>
        <v>86544</v>
      </c>
      <c r="E1867" t="s">
        <v>6</v>
      </c>
    </row>
    <row r="1868" spans="1:5" x14ac:dyDescent="0.2">
      <c r="A1868">
        <v>86545</v>
      </c>
      <c r="B1868" t="s">
        <v>9</v>
      </c>
      <c r="C1868">
        <v>86545</v>
      </c>
      <c r="D1868" t="str">
        <f>"86545"</f>
        <v>86545</v>
      </c>
      <c r="E1868" t="s">
        <v>6</v>
      </c>
    </row>
    <row r="1869" spans="1:5" x14ac:dyDescent="0.2">
      <c r="A1869">
        <v>86547</v>
      </c>
      <c r="B1869" t="s">
        <v>9</v>
      </c>
      <c r="C1869">
        <v>86547</v>
      </c>
      <c r="D1869" t="str">
        <f>"86547"</f>
        <v>86547</v>
      </c>
      <c r="E1869">
        <v>53.85</v>
      </c>
    </row>
    <row r="1870" spans="1:5" x14ac:dyDescent="0.2">
      <c r="A1870">
        <v>86556</v>
      </c>
      <c r="B1870" t="s">
        <v>9</v>
      </c>
      <c r="C1870">
        <v>86556</v>
      </c>
      <c r="D1870" t="str">
        <f>"86556"</f>
        <v>86556</v>
      </c>
      <c r="E1870" t="s">
        <v>6</v>
      </c>
    </row>
    <row r="1871" spans="1:5" x14ac:dyDescent="0.2">
      <c r="A1871">
        <v>90001</v>
      </c>
      <c r="B1871" t="s">
        <v>10</v>
      </c>
      <c r="C1871">
        <v>90001</v>
      </c>
      <c r="D1871" t="str">
        <f>"90001"</f>
        <v>90001</v>
      </c>
      <c r="E1871">
        <v>49.5</v>
      </c>
    </row>
    <row r="1872" spans="1:5" x14ac:dyDescent="0.2">
      <c r="A1872">
        <v>90002</v>
      </c>
      <c r="B1872" t="s">
        <v>10</v>
      </c>
      <c r="C1872">
        <v>90002</v>
      </c>
      <c r="D1872" t="str">
        <f>"90002"</f>
        <v>90002</v>
      </c>
      <c r="E1872">
        <v>47.93</v>
      </c>
    </row>
    <row r="1873" spans="1:5" x14ac:dyDescent="0.2">
      <c r="A1873">
        <v>90003</v>
      </c>
      <c r="B1873" t="s">
        <v>10</v>
      </c>
      <c r="C1873">
        <v>90003</v>
      </c>
      <c r="D1873" t="str">
        <f>"90003"</f>
        <v>90003</v>
      </c>
      <c r="E1873">
        <v>46.67</v>
      </c>
    </row>
    <row r="1874" spans="1:5" x14ac:dyDescent="0.2">
      <c r="A1874">
        <v>90004</v>
      </c>
      <c r="B1874" t="s">
        <v>10</v>
      </c>
      <c r="C1874">
        <v>90004</v>
      </c>
      <c r="D1874" t="str">
        <f>"90004"</f>
        <v>90004</v>
      </c>
      <c r="E1874">
        <v>67.05</v>
      </c>
    </row>
    <row r="1875" spans="1:5" x14ac:dyDescent="0.2">
      <c r="A1875">
        <v>90005</v>
      </c>
      <c r="B1875" t="s">
        <v>10</v>
      </c>
      <c r="C1875">
        <v>90005</v>
      </c>
      <c r="D1875" t="str">
        <f>"90005"</f>
        <v>90005</v>
      </c>
      <c r="E1875">
        <v>65.19</v>
      </c>
    </row>
    <row r="1876" spans="1:5" x14ac:dyDescent="0.2">
      <c r="A1876">
        <v>90006</v>
      </c>
      <c r="B1876" t="s">
        <v>10</v>
      </c>
      <c r="C1876">
        <v>90006</v>
      </c>
      <c r="D1876" t="str">
        <f>"90006"</f>
        <v>90006</v>
      </c>
      <c r="E1876">
        <v>57.13</v>
      </c>
    </row>
    <row r="1877" spans="1:5" x14ac:dyDescent="0.2">
      <c r="A1877">
        <v>90007</v>
      </c>
      <c r="B1877" t="s">
        <v>10</v>
      </c>
      <c r="C1877">
        <v>90007</v>
      </c>
      <c r="D1877" t="str">
        <f>"90007"</f>
        <v>90007</v>
      </c>
      <c r="E1877">
        <v>56.91</v>
      </c>
    </row>
    <row r="1878" spans="1:5" x14ac:dyDescent="0.2">
      <c r="A1878">
        <v>90008</v>
      </c>
      <c r="B1878" t="s">
        <v>10</v>
      </c>
      <c r="C1878">
        <v>90008</v>
      </c>
      <c r="D1878" t="str">
        <f>"90008"</f>
        <v>90008</v>
      </c>
      <c r="E1878">
        <v>66.709999999999994</v>
      </c>
    </row>
    <row r="1879" spans="1:5" x14ac:dyDescent="0.2">
      <c r="A1879">
        <v>90009</v>
      </c>
      <c r="B1879" t="s">
        <v>10</v>
      </c>
      <c r="C1879">
        <v>90009</v>
      </c>
      <c r="D1879" t="str">
        <f>"90009"</f>
        <v>90009</v>
      </c>
      <c r="E1879" t="s">
        <v>6</v>
      </c>
    </row>
    <row r="1880" spans="1:5" x14ac:dyDescent="0.2">
      <c r="A1880">
        <v>90010</v>
      </c>
      <c r="B1880" t="s">
        <v>10</v>
      </c>
      <c r="C1880">
        <v>90010</v>
      </c>
      <c r="D1880" t="str">
        <f>"90010"</f>
        <v>90010</v>
      </c>
      <c r="E1880">
        <v>73.180000000000007</v>
      </c>
    </row>
    <row r="1881" spans="1:5" x14ac:dyDescent="0.2">
      <c r="A1881">
        <v>90011</v>
      </c>
      <c r="B1881" t="s">
        <v>10</v>
      </c>
      <c r="C1881">
        <v>90011</v>
      </c>
      <c r="D1881" t="str">
        <f>"90011"</f>
        <v>90011</v>
      </c>
      <c r="E1881">
        <v>47.23</v>
      </c>
    </row>
    <row r="1882" spans="1:5" x14ac:dyDescent="0.2">
      <c r="A1882">
        <v>90012</v>
      </c>
      <c r="B1882" t="s">
        <v>10</v>
      </c>
      <c r="C1882">
        <v>90012</v>
      </c>
      <c r="D1882" t="str">
        <f>"90012"</f>
        <v>90012</v>
      </c>
      <c r="E1882">
        <v>71.55</v>
      </c>
    </row>
    <row r="1883" spans="1:5" x14ac:dyDescent="0.2">
      <c r="A1883">
        <v>90013</v>
      </c>
      <c r="B1883" t="s">
        <v>10</v>
      </c>
      <c r="C1883">
        <v>90013</v>
      </c>
      <c r="D1883" t="str">
        <f>"90013"</f>
        <v>90013</v>
      </c>
      <c r="E1883">
        <v>77.930000000000007</v>
      </c>
    </row>
    <row r="1884" spans="1:5" x14ac:dyDescent="0.2">
      <c r="A1884">
        <v>90014</v>
      </c>
      <c r="B1884" t="s">
        <v>10</v>
      </c>
      <c r="C1884">
        <v>90014</v>
      </c>
      <c r="D1884" t="str">
        <f>"90014"</f>
        <v>90014</v>
      </c>
      <c r="E1884">
        <v>80.34</v>
      </c>
    </row>
    <row r="1885" spans="1:5" x14ac:dyDescent="0.2">
      <c r="A1885">
        <v>90015</v>
      </c>
      <c r="B1885" t="s">
        <v>10</v>
      </c>
      <c r="C1885">
        <v>90015</v>
      </c>
      <c r="D1885" t="str">
        <f>"90015"</f>
        <v>90015</v>
      </c>
      <c r="E1885">
        <v>68.38</v>
      </c>
    </row>
    <row r="1886" spans="1:5" x14ac:dyDescent="0.2">
      <c r="A1886">
        <v>90016</v>
      </c>
      <c r="B1886" t="s">
        <v>10</v>
      </c>
      <c r="C1886">
        <v>90016</v>
      </c>
      <c r="D1886" t="str">
        <f>"90016"</f>
        <v>90016</v>
      </c>
      <c r="E1886">
        <v>66.319999999999993</v>
      </c>
    </row>
    <row r="1887" spans="1:5" x14ac:dyDescent="0.2">
      <c r="A1887">
        <v>90017</v>
      </c>
      <c r="B1887" t="s">
        <v>10</v>
      </c>
      <c r="C1887">
        <v>90017</v>
      </c>
      <c r="D1887" t="str">
        <f>"90017"</f>
        <v>90017</v>
      </c>
      <c r="E1887">
        <v>65.400000000000006</v>
      </c>
    </row>
    <row r="1888" spans="1:5" x14ac:dyDescent="0.2">
      <c r="A1888">
        <v>90018</v>
      </c>
      <c r="B1888" t="s">
        <v>10</v>
      </c>
      <c r="C1888">
        <v>90018</v>
      </c>
      <c r="D1888" t="str">
        <f>"90018"</f>
        <v>90018</v>
      </c>
      <c r="E1888">
        <v>61.29</v>
      </c>
    </row>
    <row r="1889" spans="1:5" x14ac:dyDescent="0.2">
      <c r="A1889">
        <v>90019</v>
      </c>
      <c r="B1889" t="s">
        <v>10</v>
      </c>
      <c r="C1889">
        <v>90019</v>
      </c>
      <c r="D1889" t="str">
        <f>"90019"</f>
        <v>90019</v>
      </c>
      <c r="E1889">
        <v>69.44</v>
      </c>
    </row>
    <row r="1890" spans="1:5" x14ac:dyDescent="0.2">
      <c r="A1890">
        <v>90020</v>
      </c>
      <c r="B1890" t="s">
        <v>10</v>
      </c>
      <c r="C1890">
        <v>90020</v>
      </c>
      <c r="D1890" t="str">
        <f>"90020"</f>
        <v>90020</v>
      </c>
      <c r="E1890">
        <v>67.89</v>
      </c>
    </row>
    <row r="1891" spans="1:5" x14ac:dyDescent="0.2">
      <c r="A1891">
        <v>90021</v>
      </c>
      <c r="B1891" t="s">
        <v>10</v>
      </c>
      <c r="C1891">
        <v>90021</v>
      </c>
      <c r="D1891" t="str">
        <f>"90021"</f>
        <v>90021</v>
      </c>
      <c r="E1891">
        <v>70.8</v>
      </c>
    </row>
    <row r="1892" spans="1:5" x14ac:dyDescent="0.2">
      <c r="A1892">
        <v>90022</v>
      </c>
      <c r="B1892" t="s">
        <v>10</v>
      </c>
      <c r="C1892">
        <v>90022</v>
      </c>
      <c r="D1892" t="str">
        <f>"90022"</f>
        <v>90022</v>
      </c>
      <c r="E1892">
        <v>58.05</v>
      </c>
    </row>
    <row r="1893" spans="1:5" x14ac:dyDescent="0.2">
      <c r="A1893">
        <v>90023</v>
      </c>
      <c r="B1893" t="s">
        <v>10</v>
      </c>
      <c r="C1893">
        <v>90023</v>
      </c>
      <c r="D1893" t="str">
        <f>"90023"</f>
        <v>90023</v>
      </c>
      <c r="E1893">
        <v>54.66</v>
      </c>
    </row>
    <row r="1894" spans="1:5" x14ac:dyDescent="0.2">
      <c r="A1894">
        <v>90024</v>
      </c>
      <c r="B1894" t="s">
        <v>10</v>
      </c>
      <c r="C1894">
        <v>90024</v>
      </c>
      <c r="D1894" t="str">
        <f>"90024"</f>
        <v>90024</v>
      </c>
      <c r="E1894">
        <v>78.510000000000005</v>
      </c>
    </row>
    <row r="1895" spans="1:5" x14ac:dyDescent="0.2">
      <c r="A1895">
        <v>90025</v>
      </c>
      <c r="B1895" t="s">
        <v>10</v>
      </c>
      <c r="C1895">
        <v>90025</v>
      </c>
      <c r="D1895" t="str">
        <f>"90025"</f>
        <v>90025</v>
      </c>
      <c r="E1895">
        <v>84.15</v>
      </c>
    </row>
    <row r="1896" spans="1:5" x14ac:dyDescent="0.2">
      <c r="A1896">
        <v>90026</v>
      </c>
      <c r="B1896" t="s">
        <v>10</v>
      </c>
      <c r="C1896">
        <v>90026</v>
      </c>
      <c r="D1896" t="str">
        <f>"90026"</f>
        <v>90026</v>
      </c>
      <c r="E1896">
        <v>72.34</v>
      </c>
    </row>
    <row r="1897" spans="1:5" x14ac:dyDescent="0.2">
      <c r="A1897">
        <v>90027</v>
      </c>
      <c r="B1897" t="s">
        <v>10</v>
      </c>
      <c r="C1897">
        <v>90027</v>
      </c>
      <c r="D1897" t="str">
        <f>"90027"</f>
        <v>90027</v>
      </c>
      <c r="E1897">
        <v>77.760000000000005</v>
      </c>
    </row>
    <row r="1898" spans="1:5" x14ac:dyDescent="0.2">
      <c r="A1898">
        <v>90028</v>
      </c>
      <c r="B1898" t="s">
        <v>10</v>
      </c>
      <c r="C1898">
        <v>90028</v>
      </c>
      <c r="D1898" t="str">
        <f>"90028"</f>
        <v>90028</v>
      </c>
      <c r="E1898">
        <v>71.62</v>
      </c>
    </row>
    <row r="1899" spans="1:5" x14ac:dyDescent="0.2">
      <c r="A1899">
        <v>90029</v>
      </c>
      <c r="B1899" t="s">
        <v>10</v>
      </c>
      <c r="C1899">
        <v>90029</v>
      </c>
      <c r="D1899" t="str">
        <f>"90029"</f>
        <v>90029</v>
      </c>
      <c r="E1899">
        <v>65.78</v>
      </c>
    </row>
    <row r="1900" spans="1:5" x14ac:dyDescent="0.2">
      <c r="A1900">
        <v>90031</v>
      </c>
      <c r="B1900" t="s">
        <v>10</v>
      </c>
      <c r="C1900">
        <v>90031</v>
      </c>
      <c r="D1900" t="str">
        <f>"90031"</f>
        <v>90031</v>
      </c>
      <c r="E1900">
        <v>61.67</v>
      </c>
    </row>
    <row r="1901" spans="1:5" x14ac:dyDescent="0.2">
      <c r="A1901">
        <v>90032</v>
      </c>
      <c r="B1901" t="s">
        <v>10</v>
      </c>
      <c r="C1901">
        <v>90032</v>
      </c>
      <c r="D1901" t="str">
        <f>"90032"</f>
        <v>90032</v>
      </c>
      <c r="E1901">
        <v>67.94</v>
      </c>
    </row>
    <row r="1902" spans="1:5" x14ac:dyDescent="0.2">
      <c r="A1902">
        <v>90033</v>
      </c>
      <c r="B1902" t="s">
        <v>10</v>
      </c>
      <c r="C1902">
        <v>90033</v>
      </c>
      <c r="D1902" t="str">
        <f>"90033"</f>
        <v>90033</v>
      </c>
      <c r="E1902">
        <v>55.6</v>
      </c>
    </row>
    <row r="1903" spans="1:5" x14ac:dyDescent="0.2">
      <c r="A1903">
        <v>90034</v>
      </c>
      <c r="B1903" t="s">
        <v>10</v>
      </c>
      <c r="C1903">
        <v>90034</v>
      </c>
      <c r="D1903" t="str">
        <f>"90034"</f>
        <v>90034</v>
      </c>
      <c r="E1903">
        <v>80.430000000000007</v>
      </c>
    </row>
    <row r="1904" spans="1:5" x14ac:dyDescent="0.2">
      <c r="A1904">
        <v>90035</v>
      </c>
      <c r="B1904" t="s">
        <v>10</v>
      </c>
      <c r="C1904">
        <v>90035</v>
      </c>
      <c r="D1904" t="str">
        <f>"90035"</f>
        <v>90035</v>
      </c>
      <c r="E1904">
        <v>78.62</v>
      </c>
    </row>
    <row r="1905" spans="1:5" x14ac:dyDescent="0.2">
      <c r="A1905">
        <v>90036</v>
      </c>
      <c r="B1905" t="s">
        <v>10</v>
      </c>
      <c r="C1905">
        <v>90036</v>
      </c>
      <c r="D1905" t="str">
        <f>"90036"</f>
        <v>90036</v>
      </c>
      <c r="E1905">
        <v>82.48</v>
      </c>
    </row>
    <row r="1906" spans="1:5" x14ac:dyDescent="0.2">
      <c r="A1906">
        <v>90037</v>
      </c>
      <c r="B1906" t="s">
        <v>10</v>
      </c>
      <c r="C1906">
        <v>90037</v>
      </c>
      <c r="D1906" t="str">
        <f>"90037"</f>
        <v>90037</v>
      </c>
      <c r="E1906">
        <v>49.84</v>
      </c>
    </row>
    <row r="1907" spans="1:5" x14ac:dyDescent="0.2">
      <c r="A1907">
        <v>90038</v>
      </c>
      <c r="B1907" t="s">
        <v>10</v>
      </c>
      <c r="C1907">
        <v>90038</v>
      </c>
      <c r="D1907" t="str">
        <f>"90038"</f>
        <v>90038</v>
      </c>
      <c r="E1907">
        <v>69.14</v>
      </c>
    </row>
    <row r="1908" spans="1:5" x14ac:dyDescent="0.2">
      <c r="A1908">
        <v>90039</v>
      </c>
      <c r="B1908" t="s">
        <v>10</v>
      </c>
      <c r="C1908">
        <v>90039</v>
      </c>
      <c r="D1908" t="str">
        <f>"90039"</f>
        <v>90039</v>
      </c>
      <c r="E1908">
        <v>79.099999999999994</v>
      </c>
    </row>
    <row r="1909" spans="1:5" x14ac:dyDescent="0.2">
      <c r="A1909">
        <v>90040</v>
      </c>
      <c r="B1909" t="s">
        <v>10</v>
      </c>
      <c r="C1909">
        <v>90040</v>
      </c>
      <c r="D1909" t="str">
        <f>"90040"</f>
        <v>90040</v>
      </c>
      <c r="E1909">
        <v>64.62</v>
      </c>
    </row>
    <row r="1910" spans="1:5" x14ac:dyDescent="0.2">
      <c r="A1910">
        <v>90041</v>
      </c>
      <c r="B1910" t="s">
        <v>10</v>
      </c>
      <c r="C1910">
        <v>90041</v>
      </c>
      <c r="D1910" t="str">
        <f>"90041"</f>
        <v>90041</v>
      </c>
      <c r="E1910">
        <v>78.13</v>
      </c>
    </row>
    <row r="1911" spans="1:5" x14ac:dyDescent="0.2">
      <c r="A1911">
        <v>90042</v>
      </c>
      <c r="B1911" t="s">
        <v>10</v>
      </c>
      <c r="C1911">
        <v>90042</v>
      </c>
      <c r="D1911" t="str">
        <f>"90042"</f>
        <v>90042</v>
      </c>
      <c r="E1911">
        <v>71.760000000000005</v>
      </c>
    </row>
    <row r="1912" spans="1:5" x14ac:dyDescent="0.2">
      <c r="A1912">
        <v>90043</v>
      </c>
      <c r="B1912" t="s">
        <v>10</v>
      </c>
      <c r="C1912">
        <v>90043</v>
      </c>
      <c r="D1912" t="str">
        <f>"90043"</f>
        <v>90043</v>
      </c>
      <c r="E1912">
        <v>65.97</v>
      </c>
    </row>
    <row r="1913" spans="1:5" x14ac:dyDescent="0.2">
      <c r="A1913">
        <v>90044</v>
      </c>
      <c r="B1913" t="s">
        <v>10</v>
      </c>
      <c r="C1913">
        <v>90044</v>
      </c>
      <c r="D1913" t="str">
        <f>"90044"</f>
        <v>90044</v>
      </c>
      <c r="E1913">
        <v>50.32</v>
      </c>
    </row>
    <row r="1914" spans="1:5" x14ac:dyDescent="0.2">
      <c r="A1914">
        <v>90045</v>
      </c>
      <c r="B1914" t="s">
        <v>10</v>
      </c>
      <c r="C1914">
        <v>90045</v>
      </c>
      <c r="D1914" t="str">
        <f>"90045"</f>
        <v>90045</v>
      </c>
      <c r="E1914">
        <v>83.45</v>
      </c>
    </row>
    <row r="1915" spans="1:5" x14ac:dyDescent="0.2">
      <c r="A1915">
        <v>90046</v>
      </c>
      <c r="B1915" t="s">
        <v>10</v>
      </c>
      <c r="C1915">
        <v>90046</v>
      </c>
      <c r="D1915" t="str">
        <f>"90046"</f>
        <v>90046</v>
      </c>
      <c r="E1915">
        <v>82.18</v>
      </c>
    </row>
    <row r="1916" spans="1:5" x14ac:dyDescent="0.2">
      <c r="A1916">
        <v>90047</v>
      </c>
      <c r="B1916" t="s">
        <v>10</v>
      </c>
      <c r="C1916">
        <v>90047</v>
      </c>
      <c r="D1916" t="str">
        <f>"90047"</f>
        <v>90047</v>
      </c>
      <c r="E1916">
        <v>63.84</v>
      </c>
    </row>
    <row r="1917" spans="1:5" x14ac:dyDescent="0.2">
      <c r="A1917">
        <v>90048</v>
      </c>
      <c r="B1917" t="s">
        <v>10</v>
      </c>
      <c r="C1917">
        <v>90048</v>
      </c>
      <c r="D1917" t="str">
        <f>"90048"</f>
        <v>90048</v>
      </c>
      <c r="E1917">
        <v>82.95</v>
      </c>
    </row>
    <row r="1918" spans="1:5" x14ac:dyDescent="0.2">
      <c r="A1918">
        <v>90049</v>
      </c>
      <c r="B1918" t="s">
        <v>10</v>
      </c>
      <c r="C1918">
        <v>90049</v>
      </c>
      <c r="D1918" t="str">
        <f>"90049"</f>
        <v>90049</v>
      </c>
      <c r="E1918">
        <v>84.62</v>
      </c>
    </row>
    <row r="1919" spans="1:5" x14ac:dyDescent="0.2">
      <c r="A1919">
        <v>90056</v>
      </c>
      <c r="B1919" t="s">
        <v>10</v>
      </c>
      <c r="C1919">
        <v>90056</v>
      </c>
      <c r="D1919" t="str">
        <f>"90056"</f>
        <v>90056</v>
      </c>
      <c r="E1919">
        <v>78.98</v>
      </c>
    </row>
    <row r="1920" spans="1:5" x14ac:dyDescent="0.2">
      <c r="A1920">
        <v>90057</v>
      </c>
      <c r="B1920" t="s">
        <v>10</v>
      </c>
      <c r="C1920">
        <v>90057</v>
      </c>
      <c r="D1920" t="str">
        <f>"90057"</f>
        <v>90057</v>
      </c>
      <c r="E1920">
        <v>56.04</v>
      </c>
    </row>
    <row r="1921" spans="1:5" x14ac:dyDescent="0.2">
      <c r="A1921">
        <v>90058</v>
      </c>
      <c r="B1921" t="s">
        <v>10</v>
      </c>
      <c r="C1921">
        <v>90058</v>
      </c>
      <c r="D1921" t="str">
        <f>"90058"</f>
        <v>90058</v>
      </c>
      <c r="E1921">
        <v>46.98</v>
      </c>
    </row>
    <row r="1922" spans="1:5" x14ac:dyDescent="0.2">
      <c r="A1922">
        <v>90059</v>
      </c>
      <c r="B1922" t="s">
        <v>10</v>
      </c>
      <c r="C1922">
        <v>90059</v>
      </c>
      <c r="D1922" t="str">
        <f>"90059"</f>
        <v>90059</v>
      </c>
      <c r="E1922">
        <v>49.03</v>
      </c>
    </row>
    <row r="1923" spans="1:5" x14ac:dyDescent="0.2">
      <c r="A1923">
        <v>90061</v>
      </c>
      <c r="B1923" t="s">
        <v>10</v>
      </c>
      <c r="C1923">
        <v>90061</v>
      </c>
      <c r="D1923" t="str">
        <f>"90061"</f>
        <v>90061</v>
      </c>
      <c r="E1923">
        <v>51.8</v>
      </c>
    </row>
    <row r="1924" spans="1:5" x14ac:dyDescent="0.2">
      <c r="A1924">
        <v>90062</v>
      </c>
      <c r="B1924" t="s">
        <v>10</v>
      </c>
      <c r="C1924">
        <v>90062</v>
      </c>
      <c r="D1924" t="str">
        <f>"90062"</f>
        <v>90062</v>
      </c>
      <c r="E1924">
        <v>59.35</v>
      </c>
    </row>
    <row r="1925" spans="1:5" x14ac:dyDescent="0.2">
      <c r="A1925">
        <v>90063</v>
      </c>
      <c r="B1925" t="s">
        <v>10</v>
      </c>
      <c r="C1925">
        <v>90063</v>
      </c>
      <c r="D1925" t="str">
        <f>"90063"</f>
        <v>90063</v>
      </c>
      <c r="E1925">
        <v>58.83</v>
      </c>
    </row>
    <row r="1926" spans="1:5" x14ac:dyDescent="0.2">
      <c r="A1926">
        <v>90064</v>
      </c>
      <c r="B1926" t="s">
        <v>10</v>
      </c>
      <c r="C1926">
        <v>90064</v>
      </c>
      <c r="D1926" t="str">
        <f>"90064"</f>
        <v>90064</v>
      </c>
      <c r="E1926">
        <v>82.41</v>
      </c>
    </row>
    <row r="1927" spans="1:5" x14ac:dyDescent="0.2">
      <c r="A1927">
        <v>90065</v>
      </c>
      <c r="B1927" t="s">
        <v>10</v>
      </c>
      <c r="C1927">
        <v>90065</v>
      </c>
      <c r="D1927" t="str">
        <f>"90065"</f>
        <v>90065</v>
      </c>
      <c r="E1927">
        <v>71.75</v>
      </c>
    </row>
    <row r="1928" spans="1:5" x14ac:dyDescent="0.2">
      <c r="A1928">
        <v>90066</v>
      </c>
      <c r="B1928" t="s">
        <v>10</v>
      </c>
      <c r="C1928">
        <v>90066</v>
      </c>
      <c r="D1928" t="str">
        <f>"90066"</f>
        <v>90066</v>
      </c>
      <c r="E1928">
        <v>80.89</v>
      </c>
    </row>
    <row r="1929" spans="1:5" x14ac:dyDescent="0.2">
      <c r="A1929">
        <v>90067</v>
      </c>
      <c r="B1929" t="s">
        <v>10</v>
      </c>
      <c r="C1929">
        <v>90067</v>
      </c>
      <c r="D1929" t="str">
        <f>"90067"</f>
        <v>90067</v>
      </c>
      <c r="E1929">
        <v>84.28</v>
      </c>
    </row>
    <row r="1930" spans="1:5" x14ac:dyDescent="0.2">
      <c r="A1930">
        <v>90068</v>
      </c>
      <c r="B1930" t="s">
        <v>10</v>
      </c>
      <c r="C1930">
        <v>90068</v>
      </c>
      <c r="D1930" t="str">
        <f>"90068"</f>
        <v>90068</v>
      </c>
      <c r="E1930">
        <v>82.03</v>
      </c>
    </row>
    <row r="1931" spans="1:5" x14ac:dyDescent="0.2">
      <c r="A1931">
        <v>90069</v>
      </c>
      <c r="B1931" t="s">
        <v>10</v>
      </c>
      <c r="C1931">
        <v>90069</v>
      </c>
      <c r="D1931" t="str">
        <f>"90069"</f>
        <v>90069</v>
      </c>
      <c r="E1931">
        <v>84.1</v>
      </c>
    </row>
    <row r="1932" spans="1:5" x14ac:dyDescent="0.2">
      <c r="A1932">
        <v>90071</v>
      </c>
      <c r="B1932" t="s">
        <v>10</v>
      </c>
      <c r="C1932">
        <v>90071</v>
      </c>
      <c r="D1932" t="str">
        <f>"90071"</f>
        <v>90071</v>
      </c>
      <c r="E1932" t="s">
        <v>6</v>
      </c>
    </row>
    <row r="1933" spans="1:5" x14ac:dyDescent="0.2">
      <c r="A1933">
        <v>90077</v>
      </c>
      <c r="B1933" t="s">
        <v>10</v>
      </c>
      <c r="C1933">
        <v>90077</v>
      </c>
      <c r="D1933" t="str">
        <f>"90077"</f>
        <v>90077</v>
      </c>
      <c r="E1933">
        <v>82.62</v>
      </c>
    </row>
    <row r="1934" spans="1:5" x14ac:dyDescent="0.2">
      <c r="A1934">
        <v>90079</v>
      </c>
      <c r="B1934" t="s">
        <v>10</v>
      </c>
      <c r="C1934">
        <v>90079</v>
      </c>
      <c r="D1934" t="str">
        <f>"90079"</f>
        <v>90079</v>
      </c>
      <c r="E1934" t="s">
        <v>6</v>
      </c>
    </row>
    <row r="1935" spans="1:5" x14ac:dyDescent="0.2">
      <c r="A1935">
        <v>90089</v>
      </c>
      <c r="B1935" t="s">
        <v>10</v>
      </c>
      <c r="C1935">
        <v>90089</v>
      </c>
      <c r="D1935" t="str">
        <f>"90089"</f>
        <v>90089</v>
      </c>
      <c r="E1935" t="s">
        <v>6</v>
      </c>
    </row>
    <row r="1936" spans="1:5" x14ac:dyDescent="0.2">
      <c r="A1936">
        <v>90094</v>
      </c>
      <c r="B1936" t="s">
        <v>10</v>
      </c>
      <c r="C1936">
        <v>90094</v>
      </c>
      <c r="D1936" t="str">
        <f>"90094"</f>
        <v>90094</v>
      </c>
      <c r="E1936">
        <v>89.07</v>
      </c>
    </row>
    <row r="1937" spans="1:5" x14ac:dyDescent="0.2">
      <c r="A1937">
        <v>90095</v>
      </c>
      <c r="B1937" t="s">
        <v>10</v>
      </c>
      <c r="C1937">
        <v>90095</v>
      </c>
      <c r="D1937" t="str">
        <f>"90095"</f>
        <v>90095</v>
      </c>
      <c r="E1937" t="s">
        <v>6</v>
      </c>
    </row>
    <row r="1938" spans="1:5" x14ac:dyDescent="0.2">
      <c r="A1938">
        <v>90201</v>
      </c>
      <c r="B1938" t="s">
        <v>10</v>
      </c>
      <c r="C1938">
        <v>90201</v>
      </c>
      <c r="D1938" t="str">
        <f>"90201"</f>
        <v>90201</v>
      </c>
      <c r="E1938">
        <v>55.64</v>
      </c>
    </row>
    <row r="1939" spans="1:5" x14ac:dyDescent="0.2">
      <c r="A1939">
        <v>90210</v>
      </c>
      <c r="B1939" t="s">
        <v>10</v>
      </c>
      <c r="C1939">
        <v>90210</v>
      </c>
      <c r="D1939" t="str">
        <f>"90210"</f>
        <v>90210</v>
      </c>
      <c r="E1939">
        <v>80.59</v>
      </c>
    </row>
    <row r="1940" spans="1:5" x14ac:dyDescent="0.2">
      <c r="A1940">
        <v>90211</v>
      </c>
      <c r="B1940" t="s">
        <v>10</v>
      </c>
      <c r="C1940">
        <v>90211</v>
      </c>
      <c r="D1940" t="str">
        <f>"90211"</f>
        <v>90211</v>
      </c>
      <c r="E1940">
        <v>76.97</v>
      </c>
    </row>
    <row r="1941" spans="1:5" x14ac:dyDescent="0.2">
      <c r="A1941">
        <v>90212</v>
      </c>
      <c r="B1941" t="s">
        <v>10</v>
      </c>
      <c r="C1941">
        <v>90212</v>
      </c>
      <c r="D1941" t="str">
        <f>"90212"</f>
        <v>90212</v>
      </c>
      <c r="E1941">
        <v>79.349999999999994</v>
      </c>
    </row>
    <row r="1942" spans="1:5" x14ac:dyDescent="0.2">
      <c r="A1942">
        <v>90220</v>
      </c>
      <c r="B1942" t="s">
        <v>10</v>
      </c>
      <c r="C1942">
        <v>90220</v>
      </c>
      <c r="D1942" t="str">
        <f>"90220"</f>
        <v>90220</v>
      </c>
      <c r="E1942">
        <v>57.34</v>
      </c>
    </row>
    <row r="1943" spans="1:5" x14ac:dyDescent="0.2">
      <c r="A1943">
        <v>90221</v>
      </c>
      <c r="B1943" t="s">
        <v>10</v>
      </c>
      <c r="C1943">
        <v>90221</v>
      </c>
      <c r="D1943" t="str">
        <f>"90221"</f>
        <v>90221</v>
      </c>
      <c r="E1943">
        <v>53.58</v>
      </c>
    </row>
    <row r="1944" spans="1:5" x14ac:dyDescent="0.2">
      <c r="A1944">
        <v>90222</v>
      </c>
      <c r="B1944" t="s">
        <v>10</v>
      </c>
      <c r="C1944">
        <v>90222</v>
      </c>
      <c r="D1944" t="str">
        <f>"90222"</f>
        <v>90222</v>
      </c>
      <c r="E1944">
        <v>54.33</v>
      </c>
    </row>
    <row r="1945" spans="1:5" x14ac:dyDescent="0.2">
      <c r="A1945">
        <v>90230</v>
      </c>
      <c r="B1945" t="s">
        <v>10</v>
      </c>
      <c r="C1945">
        <v>90230</v>
      </c>
      <c r="D1945" t="str">
        <f>"90230"</f>
        <v>90230</v>
      </c>
      <c r="E1945">
        <v>79.459999999999994</v>
      </c>
    </row>
    <row r="1946" spans="1:5" x14ac:dyDescent="0.2">
      <c r="A1946">
        <v>90232</v>
      </c>
      <c r="B1946" t="s">
        <v>10</v>
      </c>
      <c r="C1946">
        <v>90232</v>
      </c>
      <c r="D1946" t="str">
        <f>"90232"</f>
        <v>90232</v>
      </c>
      <c r="E1946">
        <v>81.75</v>
      </c>
    </row>
    <row r="1947" spans="1:5" x14ac:dyDescent="0.2">
      <c r="A1947">
        <v>90240</v>
      </c>
      <c r="B1947" t="s">
        <v>10</v>
      </c>
      <c r="C1947">
        <v>90240</v>
      </c>
      <c r="D1947" t="str">
        <f>"90240"</f>
        <v>90240</v>
      </c>
      <c r="E1947">
        <v>73.150000000000006</v>
      </c>
    </row>
    <row r="1948" spans="1:5" x14ac:dyDescent="0.2">
      <c r="A1948">
        <v>90241</v>
      </c>
      <c r="B1948" t="s">
        <v>10</v>
      </c>
      <c r="C1948">
        <v>90241</v>
      </c>
      <c r="D1948" t="str">
        <f>"90241"</f>
        <v>90241</v>
      </c>
      <c r="E1948">
        <v>71.39</v>
      </c>
    </row>
    <row r="1949" spans="1:5" x14ac:dyDescent="0.2">
      <c r="A1949">
        <v>90242</v>
      </c>
      <c r="B1949" t="s">
        <v>10</v>
      </c>
      <c r="C1949">
        <v>90242</v>
      </c>
      <c r="D1949" t="str">
        <f>"90242"</f>
        <v>90242</v>
      </c>
      <c r="E1949">
        <v>69.95</v>
      </c>
    </row>
    <row r="1950" spans="1:5" x14ac:dyDescent="0.2">
      <c r="A1950">
        <v>90245</v>
      </c>
      <c r="B1950" t="s">
        <v>10</v>
      </c>
      <c r="C1950">
        <v>90245</v>
      </c>
      <c r="D1950" t="str">
        <f>"90245"</f>
        <v>90245</v>
      </c>
      <c r="E1950">
        <v>84.74</v>
      </c>
    </row>
    <row r="1951" spans="1:5" x14ac:dyDescent="0.2">
      <c r="A1951">
        <v>90247</v>
      </c>
      <c r="B1951" t="s">
        <v>10</v>
      </c>
      <c r="C1951">
        <v>90247</v>
      </c>
      <c r="D1951" t="str">
        <f>"90247"</f>
        <v>90247</v>
      </c>
      <c r="E1951">
        <v>68.27</v>
      </c>
    </row>
    <row r="1952" spans="1:5" x14ac:dyDescent="0.2">
      <c r="A1952">
        <v>90248</v>
      </c>
      <c r="B1952" t="s">
        <v>10</v>
      </c>
      <c r="C1952">
        <v>90248</v>
      </c>
      <c r="D1952" t="str">
        <f>"90248"</f>
        <v>90248</v>
      </c>
      <c r="E1952">
        <v>73.39</v>
      </c>
    </row>
    <row r="1953" spans="1:5" x14ac:dyDescent="0.2">
      <c r="A1953">
        <v>90249</v>
      </c>
      <c r="B1953" t="s">
        <v>10</v>
      </c>
      <c r="C1953">
        <v>90249</v>
      </c>
      <c r="D1953" t="str">
        <f>"90249"</f>
        <v>90249</v>
      </c>
      <c r="E1953">
        <v>68.540000000000006</v>
      </c>
    </row>
    <row r="1954" spans="1:5" x14ac:dyDescent="0.2">
      <c r="A1954">
        <v>90250</v>
      </c>
      <c r="B1954" t="s">
        <v>10</v>
      </c>
      <c r="C1954">
        <v>90250</v>
      </c>
      <c r="D1954" t="str">
        <f>"90250"</f>
        <v>90250</v>
      </c>
      <c r="E1954">
        <v>67.510000000000005</v>
      </c>
    </row>
    <row r="1955" spans="1:5" x14ac:dyDescent="0.2">
      <c r="A1955">
        <v>90254</v>
      </c>
      <c r="B1955" t="s">
        <v>10</v>
      </c>
      <c r="C1955">
        <v>90254</v>
      </c>
      <c r="D1955" t="str">
        <f>"90254"</f>
        <v>90254</v>
      </c>
      <c r="E1955">
        <v>87.86</v>
      </c>
    </row>
    <row r="1956" spans="1:5" x14ac:dyDescent="0.2">
      <c r="A1956">
        <v>90255</v>
      </c>
      <c r="B1956" t="s">
        <v>10</v>
      </c>
      <c r="C1956">
        <v>90255</v>
      </c>
      <c r="D1956" t="str">
        <f>"90255"</f>
        <v>90255</v>
      </c>
      <c r="E1956">
        <v>56.58</v>
      </c>
    </row>
    <row r="1957" spans="1:5" x14ac:dyDescent="0.2">
      <c r="A1957">
        <v>90260</v>
      </c>
      <c r="B1957" t="s">
        <v>10</v>
      </c>
      <c r="C1957">
        <v>90260</v>
      </c>
      <c r="D1957" t="str">
        <f>"90260"</f>
        <v>90260</v>
      </c>
      <c r="E1957">
        <v>67.03</v>
      </c>
    </row>
    <row r="1958" spans="1:5" x14ac:dyDescent="0.2">
      <c r="A1958">
        <v>90261</v>
      </c>
      <c r="B1958" t="s">
        <v>10</v>
      </c>
      <c r="C1958">
        <v>90261</v>
      </c>
      <c r="D1958" t="str">
        <f>"90261"</f>
        <v>90261</v>
      </c>
      <c r="E1958" t="s">
        <v>6</v>
      </c>
    </row>
    <row r="1959" spans="1:5" x14ac:dyDescent="0.2">
      <c r="A1959">
        <v>90262</v>
      </c>
      <c r="B1959" t="s">
        <v>10</v>
      </c>
      <c r="C1959">
        <v>90262</v>
      </c>
      <c r="D1959" t="str">
        <f>"90262"</f>
        <v>90262</v>
      </c>
      <c r="E1959">
        <v>57.46</v>
      </c>
    </row>
    <row r="1960" spans="1:5" x14ac:dyDescent="0.2">
      <c r="A1960">
        <v>90263</v>
      </c>
      <c r="B1960" t="s">
        <v>10</v>
      </c>
      <c r="C1960">
        <v>90263</v>
      </c>
      <c r="D1960" t="str">
        <f>"90263"</f>
        <v>90263</v>
      </c>
      <c r="E1960" t="s">
        <v>6</v>
      </c>
    </row>
    <row r="1961" spans="1:5" x14ac:dyDescent="0.2">
      <c r="A1961">
        <v>90265</v>
      </c>
      <c r="B1961" t="s">
        <v>10</v>
      </c>
      <c r="C1961">
        <v>90265</v>
      </c>
      <c r="D1961" t="str">
        <f>"90265"</f>
        <v>90265</v>
      </c>
      <c r="E1961">
        <v>77.790000000000006</v>
      </c>
    </row>
    <row r="1962" spans="1:5" x14ac:dyDescent="0.2">
      <c r="A1962">
        <v>90266</v>
      </c>
      <c r="B1962" t="s">
        <v>10</v>
      </c>
      <c r="C1962">
        <v>90266</v>
      </c>
      <c r="D1962" t="str">
        <f>"90266"</f>
        <v>90266</v>
      </c>
      <c r="E1962">
        <v>85.06</v>
      </c>
    </row>
    <row r="1963" spans="1:5" x14ac:dyDescent="0.2">
      <c r="A1963">
        <v>90270</v>
      </c>
      <c r="B1963" t="s">
        <v>10</v>
      </c>
      <c r="C1963">
        <v>90270</v>
      </c>
      <c r="D1963" t="str">
        <f>"90270"</f>
        <v>90270</v>
      </c>
      <c r="E1963">
        <v>56.87</v>
      </c>
    </row>
    <row r="1964" spans="1:5" x14ac:dyDescent="0.2">
      <c r="A1964">
        <v>90272</v>
      </c>
      <c r="B1964" t="s">
        <v>10</v>
      </c>
      <c r="C1964">
        <v>90272</v>
      </c>
      <c r="D1964" t="str">
        <f>"90272"</f>
        <v>90272</v>
      </c>
      <c r="E1964">
        <v>82.16</v>
      </c>
    </row>
    <row r="1965" spans="1:5" x14ac:dyDescent="0.2">
      <c r="A1965">
        <v>90274</v>
      </c>
      <c r="B1965" t="s">
        <v>10</v>
      </c>
      <c r="C1965">
        <v>90274</v>
      </c>
      <c r="D1965" t="str">
        <f>"90274"</f>
        <v>90274</v>
      </c>
      <c r="E1965">
        <v>82.67</v>
      </c>
    </row>
    <row r="1966" spans="1:5" x14ac:dyDescent="0.2">
      <c r="A1966">
        <v>90275</v>
      </c>
      <c r="B1966" t="s">
        <v>10</v>
      </c>
      <c r="C1966">
        <v>90275</v>
      </c>
      <c r="D1966" t="str">
        <f>"90275"</f>
        <v>90275</v>
      </c>
      <c r="E1966">
        <v>82.49</v>
      </c>
    </row>
    <row r="1967" spans="1:5" x14ac:dyDescent="0.2">
      <c r="A1967">
        <v>90277</v>
      </c>
      <c r="B1967" t="s">
        <v>10</v>
      </c>
      <c r="C1967">
        <v>90277</v>
      </c>
      <c r="D1967" t="str">
        <f>"90277"</f>
        <v>90277</v>
      </c>
      <c r="E1967">
        <v>85.64</v>
      </c>
    </row>
    <row r="1968" spans="1:5" x14ac:dyDescent="0.2">
      <c r="A1968">
        <v>90278</v>
      </c>
      <c r="B1968" t="s">
        <v>10</v>
      </c>
      <c r="C1968">
        <v>90278</v>
      </c>
      <c r="D1968" t="str">
        <f>"90278"</f>
        <v>90278</v>
      </c>
      <c r="E1968">
        <v>84.66</v>
      </c>
    </row>
    <row r="1969" spans="1:5" x14ac:dyDescent="0.2">
      <c r="A1969">
        <v>90280</v>
      </c>
      <c r="B1969" t="s">
        <v>10</v>
      </c>
      <c r="C1969">
        <v>90280</v>
      </c>
      <c r="D1969" t="str">
        <f>"90280"</f>
        <v>90280</v>
      </c>
      <c r="E1969">
        <v>60.9</v>
      </c>
    </row>
    <row r="1970" spans="1:5" x14ac:dyDescent="0.2">
      <c r="A1970">
        <v>90290</v>
      </c>
      <c r="B1970" t="s">
        <v>10</v>
      </c>
      <c r="C1970">
        <v>90290</v>
      </c>
      <c r="D1970" t="str">
        <f>"90290"</f>
        <v>90290</v>
      </c>
      <c r="E1970">
        <v>77.08</v>
      </c>
    </row>
    <row r="1971" spans="1:5" x14ac:dyDescent="0.2">
      <c r="A1971">
        <v>90291</v>
      </c>
      <c r="B1971" t="s">
        <v>10</v>
      </c>
      <c r="C1971">
        <v>90291</v>
      </c>
      <c r="D1971" t="str">
        <f>"90291"</f>
        <v>90291</v>
      </c>
      <c r="E1971">
        <v>82.38</v>
      </c>
    </row>
    <row r="1972" spans="1:5" x14ac:dyDescent="0.2">
      <c r="A1972">
        <v>90292</v>
      </c>
      <c r="B1972" t="s">
        <v>10</v>
      </c>
      <c r="C1972">
        <v>90292</v>
      </c>
      <c r="D1972" t="str">
        <f>"90292"</f>
        <v>90292</v>
      </c>
      <c r="E1972">
        <v>86.42</v>
      </c>
    </row>
    <row r="1973" spans="1:5" x14ac:dyDescent="0.2">
      <c r="A1973">
        <v>90293</v>
      </c>
      <c r="B1973" t="s">
        <v>10</v>
      </c>
      <c r="C1973">
        <v>90293</v>
      </c>
      <c r="D1973" t="str">
        <f>"90293"</f>
        <v>90293</v>
      </c>
      <c r="E1973">
        <v>86.89</v>
      </c>
    </row>
    <row r="1974" spans="1:5" x14ac:dyDescent="0.2">
      <c r="A1974">
        <v>90301</v>
      </c>
      <c r="B1974" t="s">
        <v>10</v>
      </c>
      <c r="C1974">
        <v>90301</v>
      </c>
      <c r="D1974" t="str">
        <f>"90301"</f>
        <v>90301</v>
      </c>
      <c r="E1974">
        <v>63.45</v>
      </c>
    </row>
    <row r="1975" spans="1:5" x14ac:dyDescent="0.2">
      <c r="A1975">
        <v>90302</v>
      </c>
      <c r="B1975" t="s">
        <v>10</v>
      </c>
      <c r="C1975">
        <v>90302</v>
      </c>
      <c r="D1975" t="str">
        <f>"90302"</f>
        <v>90302</v>
      </c>
      <c r="E1975">
        <v>66.16</v>
      </c>
    </row>
    <row r="1976" spans="1:5" x14ac:dyDescent="0.2">
      <c r="A1976">
        <v>90303</v>
      </c>
      <c r="B1976" t="s">
        <v>10</v>
      </c>
      <c r="C1976">
        <v>90303</v>
      </c>
      <c r="D1976" t="str">
        <f>"90303"</f>
        <v>90303</v>
      </c>
      <c r="E1976">
        <v>61.21</v>
      </c>
    </row>
    <row r="1977" spans="1:5" x14ac:dyDescent="0.2">
      <c r="A1977">
        <v>90304</v>
      </c>
      <c r="B1977" t="s">
        <v>10</v>
      </c>
      <c r="C1977">
        <v>90304</v>
      </c>
      <c r="D1977" t="str">
        <f>"90304"</f>
        <v>90304</v>
      </c>
      <c r="E1977">
        <v>58.76</v>
      </c>
    </row>
    <row r="1978" spans="1:5" x14ac:dyDescent="0.2">
      <c r="A1978">
        <v>90305</v>
      </c>
      <c r="B1978" t="s">
        <v>10</v>
      </c>
      <c r="C1978">
        <v>90305</v>
      </c>
      <c r="D1978" t="str">
        <f>"90305"</f>
        <v>90305</v>
      </c>
      <c r="E1978">
        <v>74.38</v>
      </c>
    </row>
    <row r="1979" spans="1:5" x14ac:dyDescent="0.2">
      <c r="A1979">
        <v>90401</v>
      </c>
      <c r="B1979" t="s">
        <v>10</v>
      </c>
      <c r="C1979">
        <v>90401</v>
      </c>
      <c r="D1979" t="str">
        <f>"90401"</f>
        <v>90401</v>
      </c>
      <c r="E1979">
        <v>81.86</v>
      </c>
    </row>
    <row r="1980" spans="1:5" x14ac:dyDescent="0.2">
      <c r="A1980">
        <v>90402</v>
      </c>
      <c r="B1980" t="s">
        <v>10</v>
      </c>
      <c r="C1980">
        <v>90402</v>
      </c>
      <c r="D1980" t="str">
        <f>"90402"</f>
        <v>90402</v>
      </c>
      <c r="E1980">
        <v>83.09</v>
      </c>
    </row>
    <row r="1981" spans="1:5" x14ac:dyDescent="0.2">
      <c r="A1981">
        <v>90403</v>
      </c>
      <c r="B1981" t="s">
        <v>10</v>
      </c>
      <c r="C1981">
        <v>90403</v>
      </c>
      <c r="D1981" t="str">
        <f>"90403"</f>
        <v>90403</v>
      </c>
      <c r="E1981">
        <v>84.74</v>
      </c>
    </row>
    <row r="1982" spans="1:5" x14ac:dyDescent="0.2">
      <c r="A1982">
        <v>90404</v>
      </c>
      <c r="B1982" t="s">
        <v>10</v>
      </c>
      <c r="C1982">
        <v>90404</v>
      </c>
      <c r="D1982" t="str">
        <f>"90404"</f>
        <v>90404</v>
      </c>
      <c r="E1982">
        <v>80.12</v>
      </c>
    </row>
    <row r="1983" spans="1:5" x14ac:dyDescent="0.2">
      <c r="A1983">
        <v>90405</v>
      </c>
      <c r="B1983" t="s">
        <v>10</v>
      </c>
      <c r="C1983">
        <v>90405</v>
      </c>
      <c r="D1983" t="str">
        <f>"90405"</f>
        <v>90405</v>
      </c>
      <c r="E1983">
        <v>82.57</v>
      </c>
    </row>
    <row r="1984" spans="1:5" x14ac:dyDescent="0.2">
      <c r="A1984">
        <v>90501</v>
      </c>
      <c r="B1984" t="s">
        <v>10</v>
      </c>
      <c r="C1984">
        <v>90501</v>
      </c>
      <c r="D1984" t="str">
        <f>"90501"</f>
        <v>90501</v>
      </c>
      <c r="E1984">
        <v>72.69</v>
      </c>
    </row>
    <row r="1985" spans="1:5" x14ac:dyDescent="0.2">
      <c r="A1985">
        <v>90502</v>
      </c>
      <c r="B1985" t="s">
        <v>10</v>
      </c>
      <c r="C1985">
        <v>90502</v>
      </c>
      <c r="D1985" t="str">
        <f>"90502"</f>
        <v>90502</v>
      </c>
      <c r="E1985">
        <v>75.31</v>
      </c>
    </row>
    <row r="1986" spans="1:5" x14ac:dyDescent="0.2">
      <c r="A1986">
        <v>90503</v>
      </c>
      <c r="B1986" t="s">
        <v>10</v>
      </c>
      <c r="C1986">
        <v>90503</v>
      </c>
      <c r="D1986" t="str">
        <f>"90503"</f>
        <v>90503</v>
      </c>
      <c r="E1986">
        <v>81.72</v>
      </c>
    </row>
    <row r="1987" spans="1:5" x14ac:dyDescent="0.2">
      <c r="A1987">
        <v>90504</v>
      </c>
      <c r="B1987" t="s">
        <v>10</v>
      </c>
      <c r="C1987">
        <v>90504</v>
      </c>
      <c r="D1987" t="str">
        <f>"90504"</f>
        <v>90504</v>
      </c>
      <c r="E1987">
        <v>77.349999999999994</v>
      </c>
    </row>
    <row r="1988" spans="1:5" x14ac:dyDescent="0.2">
      <c r="A1988">
        <v>90505</v>
      </c>
      <c r="B1988" t="s">
        <v>10</v>
      </c>
      <c r="C1988">
        <v>90505</v>
      </c>
      <c r="D1988" t="str">
        <f>"90505"</f>
        <v>90505</v>
      </c>
      <c r="E1988">
        <v>81.41</v>
      </c>
    </row>
    <row r="1989" spans="1:5" x14ac:dyDescent="0.2">
      <c r="A1989">
        <v>90506</v>
      </c>
      <c r="B1989" t="s">
        <v>10</v>
      </c>
      <c r="C1989">
        <v>90506</v>
      </c>
      <c r="D1989" t="str">
        <f>"90506"</f>
        <v>90506</v>
      </c>
      <c r="E1989" t="s">
        <v>6</v>
      </c>
    </row>
    <row r="1990" spans="1:5" x14ac:dyDescent="0.2">
      <c r="A1990">
        <v>90510</v>
      </c>
      <c r="B1990" t="s">
        <v>10</v>
      </c>
      <c r="C1990">
        <v>90510</v>
      </c>
      <c r="D1990" t="str">
        <f>"90510"</f>
        <v>90510</v>
      </c>
      <c r="E1990" t="s">
        <v>6</v>
      </c>
    </row>
    <row r="1991" spans="1:5" x14ac:dyDescent="0.2">
      <c r="A1991">
        <v>90601</v>
      </c>
      <c r="B1991" t="s">
        <v>10</v>
      </c>
      <c r="C1991">
        <v>90601</v>
      </c>
      <c r="D1991" t="str">
        <f>"90601"</f>
        <v>90601</v>
      </c>
      <c r="E1991">
        <v>75.58</v>
      </c>
    </row>
    <row r="1992" spans="1:5" x14ac:dyDescent="0.2">
      <c r="A1992">
        <v>90602</v>
      </c>
      <c r="B1992" t="s">
        <v>10</v>
      </c>
      <c r="C1992">
        <v>90602</v>
      </c>
      <c r="D1992" t="str">
        <f>"90602"</f>
        <v>90602</v>
      </c>
      <c r="E1992">
        <v>69.98</v>
      </c>
    </row>
    <row r="1993" spans="1:5" x14ac:dyDescent="0.2">
      <c r="A1993">
        <v>90603</v>
      </c>
      <c r="B1993" t="s">
        <v>10</v>
      </c>
      <c r="C1993">
        <v>90603</v>
      </c>
      <c r="D1993" t="str">
        <f>"90603"</f>
        <v>90603</v>
      </c>
      <c r="E1993">
        <v>81.22</v>
      </c>
    </row>
    <row r="1994" spans="1:5" x14ac:dyDescent="0.2">
      <c r="A1994">
        <v>90604</v>
      </c>
      <c r="B1994" t="s">
        <v>10</v>
      </c>
      <c r="C1994">
        <v>90604</v>
      </c>
      <c r="D1994" t="str">
        <f>"90604"</f>
        <v>90604</v>
      </c>
      <c r="E1994">
        <v>74.87</v>
      </c>
    </row>
    <row r="1995" spans="1:5" x14ac:dyDescent="0.2">
      <c r="A1995">
        <v>90605</v>
      </c>
      <c r="B1995" t="s">
        <v>10</v>
      </c>
      <c r="C1995">
        <v>90605</v>
      </c>
      <c r="D1995" t="str">
        <f>"90605"</f>
        <v>90605</v>
      </c>
      <c r="E1995">
        <v>71.38</v>
      </c>
    </row>
    <row r="1996" spans="1:5" x14ac:dyDescent="0.2">
      <c r="A1996">
        <v>90606</v>
      </c>
      <c r="B1996" t="s">
        <v>10</v>
      </c>
      <c r="C1996">
        <v>90606</v>
      </c>
      <c r="D1996" t="str">
        <f>"90606"</f>
        <v>90606</v>
      </c>
      <c r="E1996">
        <v>71.56</v>
      </c>
    </row>
    <row r="1997" spans="1:5" x14ac:dyDescent="0.2">
      <c r="A1997">
        <v>90620</v>
      </c>
      <c r="B1997" t="s">
        <v>10</v>
      </c>
      <c r="C1997">
        <v>90620</v>
      </c>
      <c r="D1997" t="str">
        <f>"90620"</f>
        <v>90620</v>
      </c>
      <c r="E1997">
        <v>75.92</v>
      </c>
    </row>
    <row r="1998" spans="1:5" x14ac:dyDescent="0.2">
      <c r="A1998">
        <v>90621</v>
      </c>
      <c r="B1998" t="s">
        <v>10</v>
      </c>
      <c r="C1998">
        <v>90621</v>
      </c>
      <c r="D1998" t="str">
        <f>"90621"</f>
        <v>90621</v>
      </c>
      <c r="E1998">
        <v>67.78</v>
      </c>
    </row>
    <row r="1999" spans="1:5" x14ac:dyDescent="0.2">
      <c r="A1999">
        <v>90623</v>
      </c>
      <c r="B1999" t="s">
        <v>10</v>
      </c>
      <c r="C1999">
        <v>90623</v>
      </c>
      <c r="D1999" t="str">
        <f>"90623"</f>
        <v>90623</v>
      </c>
      <c r="E1999">
        <v>78.430000000000007</v>
      </c>
    </row>
    <row r="2000" spans="1:5" x14ac:dyDescent="0.2">
      <c r="A2000">
        <v>90630</v>
      </c>
      <c r="B2000" t="s">
        <v>10</v>
      </c>
      <c r="C2000">
        <v>90630</v>
      </c>
      <c r="D2000" t="str">
        <f>"90630"</f>
        <v>90630</v>
      </c>
      <c r="E2000">
        <v>78.760000000000005</v>
      </c>
    </row>
    <row r="2001" spans="1:5" x14ac:dyDescent="0.2">
      <c r="A2001">
        <v>90631</v>
      </c>
      <c r="B2001" t="s">
        <v>10</v>
      </c>
      <c r="C2001">
        <v>90631</v>
      </c>
      <c r="D2001" t="str">
        <f>"90631"</f>
        <v>90631</v>
      </c>
      <c r="E2001">
        <v>73.5</v>
      </c>
    </row>
    <row r="2002" spans="1:5" x14ac:dyDescent="0.2">
      <c r="A2002">
        <v>90638</v>
      </c>
      <c r="B2002" t="s">
        <v>10</v>
      </c>
      <c r="C2002">
        <v>90638</v>
      </c>
      <c r="D2002" t="str">
        <f>"90638"</f>
        <v>90638</v>
      </c>
      <c r="E2002">
        <v>77.849999999999994</v>
      </c>
    </row>
    <row r="2003" spans="1:5" x14ac:dyDescent="0.2">
      <c r="A2003">
        <v>90640</v>
      </c>
      <c r="B2003" t="s">
        <v>10</v>
      </c>
      <c r="C2003">
        <v>90640</v>
      </c>
      <c r="D2003" t="str">
        <f>"90640"</f>
        <v>90640</v>
      </c>
      <c r="E2003">
        <v>68.45</v>
      </c>
    </row>
    <row r="2004" spans="1:5" x14ac:dyDescent="0.2">
      <c r="A2004">
        <v>90650</v>
      </c>
      <c r="B2004" t="s">
        <v>10</v>
      </c>
      <c r="C2004">
        <v>90650</v>
      </c>
      <c r="D2004" t="str">
        <f>"90650"</f>
        <v>90650</v>
      </c>
      <c r="E2004">
        <v>70.180000000000007</v>
      </c>
    </row>
    <row r="2005" spans="1:5" x14ac:dyDescent="0.2">
      <c r="A2005">
        <v>90660</v>
      </c>
      <c r="B2005" t="s">
        <v>10</v>
      </c>
      <c r="C2005">
        <v>90660</v>
      </c>
      <c r="D2005" t="str">
        <f>"90660"</f>
        <v>90660</v>
      </c>
      <c r="E2005">
        <v>69.77</v>
      </c>
    </row>
    <row r="2006" spans="1:5" x14ac:dyDescent="0.2">
      <c r="A2006">
        <v>90670</v>
      </c>
      <c r="B2006" t="s">
        <v>10</v>
      </c>
      <c r="C2006">
        <v>90670</v>
      </c>
      <c r="D2006" t="str">
        <f>"90670"</f>
        <v>90670</v>
      </c>
      <c r="E2006">
        <v>74.64</v>
      </c>
    </row>
    <row r="2007" spans="1:5" x14ac:dyDescent="0.2">
      <c r="A2007">
        <v>90680</v>
      </c>
      <c r="B2007" t="s">
        <v>10</v>
      </c>
      <c r="C2007">
        <v>90680</v>
      </c>
      <c r="D2007" t="str">
        <f>"90680"</f>
        <v>90680</v>
      </c>
      <c r="E2007">
        <v>65.84</v>
      </c>
    </row>
    <row r="2008" spans="1:5" x14ac:dyDescent="0.2">
      <c r="A2008">
        <v>90701</v>
      </c>
      <c r="B2008" t="s">
        <v>10</v>
      </c>
      <c r="C2008">
        <v>90701</v>
      </c>
      <c r="D2008" t="str">
        <f>"90701"</f>
        <v>90701</v>
      </c>
      <c r="E2008">
        <v>68.180000000000007</v>
      </c>
    </row>
    <row r="2009" spans="1:5" x14ac:dyDescent="0.2">
      <c r="A2009">
        <v>90703</v>
      </c>
      <c r="B2009" t="s">
        <v>10</v>
      </c>
      <c r="C2009">
        <v>90703</v>
      </c>
      <c r="D2009" t="str">
        <f>"90703"</f>
        <v>90703</v>
      </c>
      <c r="E2009">
        <v>78.92</v>
      </c>
    </row>
    <row r="2010" spans="1:5" x14ac:dyDescent="0.2">
      <c r="A2010">
        <v>90704</v>
      </c>
      <c r="B2010" t="s">
        <v>10</v>
      </c>
      <c r="C2010">
        <v>90704</v>
      </c>
      <c r="D2010" t="str">
        <f>"90704"</f>
        <v>90704</v>
      </c>
      <c r="E2010" t="s">
        <v>6</v>
      </c>
    </row>
    <row r="2011" spans="1:5" x14ac:dyDescent="0.2">
      <c r="A2011">
        <v>90706</v>
      </c>
      <c r="B2011" t="s">
        <v>10</v>
      </c>
      <c r="C2011">
        <v>90706</v>
      </c>
      <c r="D2011" t="str">
        <f>"90706"</f>
        <v>90706</v>
      </c>
      <c r="E2011">
        <v>67.7</v>
      </c>
    </row>
    <row r="2012" spans="1:5" x14ac:dyDescent="0.2">
      <c r="A2012">
        <v>90710</v>
      </c>
      <c r="B2012" t="s">
        <v>10</v>
      </c>
      <c r="C2012">
        <v>90710</v>
      </c>
      <c r="D2012" t="str">
        <f>"90710"</f>
        <v>90710</v>
      </c>
      <c r="E2012">
        <v>69.87</v>
      </c>
    </row>
    <row r="2013" spans="1:5" x14ac:dyDescent="0.2">
      <c r="A2013">
        <v>90712</v>
      </c>
      <c r="B2013" t="s">
        <v>10</v>
      </c>
      <c r="C2013">
        <v>90712</v>
      </c>
      <c r="D2013" t="str">
        <f>"90712"</f>
        <v>90712</v>
      </c>
      <c r="E2013">
        <v>80.58</v>
      </c>
    </row>
    <row r="2014" spans="1:5" x14ac:dyDescent="0.2">
      <c r="A2014">
        <v>90713</v>
      </c>
      <c r="B2014" t="s">
        <v>10</v>
      </c>
      <c r="C2014">
        <v>90713</v>
      </c>
      <c r="D2014" t="str">
        <f>"90713"</f>
        <v>90713</v>
      </c>
      <c r="E2014">
        <v>81.72</v>
      </c>
    </row>
    <row r="2015" spans="1:5" x14ac:dyDescent="0.2">
      <c r="A2015">
        <v>90715</v>
      </c>
      <c r="B2015" t="s">
        <v>10</v>
      </c>
      <c r="C2015">
        <v>90715</v>
      </c>
      <c r="D2015" t="str">
        <f>"90715"</f>
        <v>90715</v>
      </c>
      <c r="E2015">
        <v>72.989999999999995</v>
      </c>
    </row>
    <row r="2016" spans="1:5" x14ac:dyDescent="0.2">
      <c r="A2016">
        <v>90716</v>
      </c>
      <c r="B2016" t="s">
        <v>10</v>
      </c>
      <c r="C2016">
        <v>90716</v>
      </c>
      <c r="D2016" t="str">
        <f>"90716"</f>
        <v>90716</v>
      </c>
      <c r="E2016">
        <v>59.9</v>
      </c>
    </row>
    <row r="2017" spans="1:5" x14ac:dyDescent="0.2">
      <c r="A2017">
        <v>90717</v>
      </c>
      <c r="B2017" t="s">
        <v>10</v>
      </c>
      <c r="C2017">
        <v>90717</v>
      </c>
      <c r="D2017" t="str">
        <f>"90717"</f>
        <v>90717</v>
      </c>
      <c r="E2017">
        <v>75.02</v>
      </c>
    </row>
    <row r="2018" spans="1:5" x14ac:dyDescent="0.2">
      <c r="A2018">
        <v>90720</v>
      </c>
      <c r="B2018" t="s">
        <v>10</v>
      </c>
      <c r="C2018">
        <v>90720</v>
      </c>
      <c r="D2018" t="str">
        <f>"90720"</f>
        <v>90720</v>
      </c>
      <c r="E2018">
        <v>80.55</v>
      </c>
    </row>
    <row r="2019" spans="1:5" x14ac:dyDescent="0.2">
      <c r="A2019">
        <v>90723</v>
      </c>
      <c r="B2019" t="s">
        <v>10</v>
      </c>
      <c r="C2019">
        <v>90723</v>
      </c>
      <c r="D2019" t="str">
        <f>"90723"</f>
        <v>90723</v>
      </c>
      <c r="E2019">
        <v>60.82</v>
      </c>
    </row>
    <row r="2020" spans="1:5" x14ac:dyDescent="0.2">
      <c r="A2020">
        <v>90731</v>
      </c>
      <c r="B2020" t="s">
        <v>10</v>
      </c>
      <c r="C2020">
        <v>90731</v>
      </c>
      <c r="D2020" t="str">
        <f>"90731"</f>
        <v>90731</v>
      </c>
      <c r="E2020">
        <v>70.540000000000006</v>
      </c>
    </row>
    <row r="2021" spans="1:5" x14ac:dyDescent="0.2">
      <c r="A2021">
        <v>90732</v>
      </c>
      <c r="B2021" t="s">
        <v>10</v>
      </c>
      <c r="C2021">
        <v>90732</v>
      </c>
      <c r="D2021" t="str">
        <f>"90732"</f>
        <v>90732</v>
      </c>
      <c r="E2021">
        <v>82.98</v>
      </c>
    </row>
    <row r="2022" spans="1:5" x14ac:dyDescent="0.2">
      <c r="A2022">
        <v>90740</v>
      </c>
      <c r="B2022" t="s">
        <v>10</v>
      </c>
      <c r="C2022">
        <v>90740</v>
      </c>
      <c r="D2022" t="str">
        <f>"90740"</f>
        <v>90740</v>
      </c>
      <c r="E2022">
        <v>78.84</v>
      </c>
    </row>
    <row r="2023" spans="1:5" x14ac:dyDescent="0.2">
      <c r="A2023">
        <v>90742</v>
      </c>
      <c r="B2023" t="s">
        <v>10</v>
      </c>
      <c r="C2023">
        <v>90742</v>
      </c>
      <c r="D2023" t="str">
        <f>"90742"</f>
        <v>90742</v>
      </c>
      <c r="E2023" t="s">
        <v>6</v>
      </c>
    </row>
    <row r="2024" spans="1:5" x14ac:dyDescent="0.2">
      <c r="A2024">
        <v>90743</v>
      </c>
      <c r="B2024" t="s">
        <v>10</v>
      </c>
      <c r="C2024">
        <v>90743</v>
      </c>
      <c r="D2024" t="str">
        <f>"90743"</f>
        <v>90743</v>
      </c>
      <c r="E2024" t="s">
        <v>6</v>
      </c>
    </row>
    <row r="2025" spans="1:5" x14ac:dyDescent="0.2">
      <c r="A2025">
        <v>90744</v>
      </c>
      <c r="B2025" t="s">
        <v>10</v>
      </c>
      <c r="C2025">
        <v>90744</v>
      </c>
      <c r="D2025" t="str">
        <f>"90744"</f>
        <v>90744</v>
      </c>
      <c r="E2025">
        <v>61.48</v>
      </c>
    </row>
    <row r="2026" spans="1:5" x14ac:dyDescent="0.2">
      <c r="A2026">
        <v>90745</v>
      </c>
      <c r="B2026" t="s">
        <v>10</v>
      </c>
      <c r="C2026">
        <v>90745</v>
      </c>
      <c r="D2026" t="str">
        <f>"90745"</f>
        <v>90745</v>
      </c>
      <c r="E2026">
        <v>71.900000000000006</v>
      </c>
    </row>
    <row r="2027" spans="1:5" x14ac:dyDescent="0.2">
      <c r="A2027">
        <v>90746</v>
      </c>
      <c r="B2027" t="s">
        <v>10</v>
      </c>
      <c r="C2027">
        <v>90746</v>
      </c>
      <c r="D2027" t="str">
        <f>"90746"</f>
        <v>90746</v>
      </c>
      <c r="E2027">
        <v>74.75</v>
      </c>
    </row>
    <row r="2028" spans="1:5" x14ac:dyDescent="0.2">
      <c r="A2028">
        <v>90747</v>
      </c>
      <c r="B2028" t="s">
        <v>10</v>
      </c>
      <c r="C2028">
        <v>90747</v>
      </c>
      <c r="D2028" t="str">
        <f>"90747"</f>
        <v>90747</v>
      </c>
      <c r="E2028" t="s">
        <v>6</v>
      </c>
    </row>
    <row r="2029" spans="1:5" x14ac:dyDescent="0.2">
      <c r="A2029">
        <v>90755</v>
      </c>
      <c r="B2029" t="s">
        <v>10</v>
      </c>
      <c r="C2029">
        <v>90755</v>
      </c>
      <c r="D2029" t="str">
        <f>"90755"</f>
        <v>90755</v>
      </c>
      <c r="E2029">
        <v>76.56</v>
      </c>
    </row>
    <row r="2030" spans="1:5" x14ac:dyDescent="0.2">
      <c r="A2030">
        <v>90802</v>
      </c>
      <c r="B2030" t="s">
        <v>10</v>
      </c>
      <c r="C2030">
        <v>90802</v>
      </c>
      <c r="D2030" t="str">
        <f>"90802"</f>
        <v>90802</v>
      </c>
      <c r="E2030">
        <v>77.33</v>
      </c>
    </row>
    <row r="2031" spans="1:5" x14ac:dyDescent="0.2">
      <c r="A2031">
        <v>90803</v>
      </c>
      <c r="B2031" t="s">
        <v>10</v>
      </c>
      <c r="C2031">
        <v>90803</v>
      </c>
      <c r="D2031" t="str">
        <f>"90803"</f>
        <v>90803</v>
      </c>
      <c r="E2031">
        <v>85.87</v>
      </c>
    </row>
    <row r="2032" spans="1:5" x14ac:dyDescent="0.2">
      <c r="A2032">
        <v>90804</v>
      </c>
      <c r="B2032" t="s">
        <v>10</v>
      </c>
      <c r="C2032">
        <v>90804</v>
      </c>
      <c r="D2032" t="str">
        <f>"90804"</f>
        <v>90804</v>
      </c>
      <c r="E2032">
        <v>68.739999999999995</v>
      </c>
    </row>
    <row r="2033" spans="1:5" x14ac:dyDescent="0.2">
      <c r="A2033">
        <v>90805</v>
      </c>
      <c r="B2033" t="s">
        <v>10</v>
      </c>
      <c r="C2033">
        <v>90805</v>
      </c>
      <c r="D2033" t="str">
        <f>"90805"</f>
        <v>90805</v>
      </c>
      <c r="E2033">
        <v>62</v>
      </c>
    </row>
    <row r="2034" spans="1:5" x14ac:dyDescent="0.2">
      <c r="A2034">
        <v>90806</v>
      </c>
      <c r="B2034" t="s">
        <v>10</v>
      </c>
      <c r="C2034">
        <v>90806</v>
      </c>
      <c r="D2034" t="str">
        <f>"90806"</f>
        <v>90806</v>
      </c>
      <c r="E2034">
        <v>62.81</v>
      </c>
    </row>
    <row r="2035" spans="1:5" x14ac:dyDescent="0.2">
      <c r="A2035">
        <v>90807</v>
      </c>
      <c r="B2035" t="s">
        <v>10</v>
      </c>
      <c r="C2035">
        <v>90807</v>
      </c>
      <c r="D2035" t="str">
        <f>"90807"</f>
        <v>90807</v>
      </c>
      <c r="E2035">
        <v>79.14</v>
      </c>
    </row>
    <row r="2036" spans="1:5" x14ac:dyDescent="0.2">
      <c r="A2036">
        <v>90808</v>
      </c>
      <c r="B2036" t="s">
        <v>10</v>
      </c>
      <c r="C2036">
        <v>90808</v>
      </c>
      <c r="D2036" t="str">
        <f>"90808"</f>
        <v>90808</v>
      </c>
      <c r="E2036">
        <v>83.18</v>
      </c>
    </row>
    <row r="2037" spans="1:5" x14ac:dyDescent="0.2">
      <c r="A2037">
        <v>90810</v>
      </c>
      <c r="B2037" t="s">
        <v>10</v>
      </c>
      <c r="C2037">
        <v>90810</v>
      </c>
      <c r="D2037" t="str">
        <f>"90810"</f>
        <v>90810</v>
      </c>
      <c r="E2037">
        <v>66.2</v>
      </c>
    </row>
    <row r="2038" spans="1:5" x14ac:dyDescent="0.2">
      <c r="A2038">
        <v>90813</v>
      </c>
      <c r="B2038" t="s">
        <v>10</v>
      </c>
      <c r="C2038">
        <v>90813</v>
      </c>
      <c r="D2038" t="str">
        <f>"90813"</f>
        <v>90813</v>
      </c>
      <c r="E2038">
        <v>55.41</v>
      </c>
    </row>
    <row r="2039" spans="1:5" x14ac:dyDescent="0.2">
      <c r="A2039">
        <v>90814</v>
      </c>
      <c r="B2039" t="s">
        <v>10</v>
      </c>
      <c r="C2039">
        <v>90814</v>
      </c>
      <c r="D2039" t="str">
        <f>"90814"</f>
        <v>90814</v>
      </c>
      <c r="E2039">
        <v>82</v>
      </c>
    </row>
    <row r="2040" spans="1:5" x14ac:dyDescent="0.2">
      <c r="A2040">
        <v>90815</v>
      </c>
      <c r="B2040" t="s">
        <v>10</v>
      </c>
      <c r="C2040">
        <v>90815</v>
      </c>
      <c r="D2040" t="str">
        <f>"90815"</f>
        <v>90815</v>
      </c>
      <c r="E2040">
        <v>82.32</v>
      </c>
    </row>
    <row r="2041" spans="1:5" x14ac:dyDescent="0.2">
      <c r="A2041">
        <v>90822</v>
      </c>
      <c r="B2041" t="s">
        <v>10</v>
      </c>
      <c r="C2041">
        <v>90822</v>
      </c>
      <c r="D2041" t="str">
        <f>"90822"</f>
        <v>90822</v>
      </c>
      <c r="E2041" t="s">
        <v>6</v>
      </c>
    </row>
    <row r="2042" spans="1:5" x14ac:dyDescent="0.2">
      <c r="A2042">
        <v>90831</v>
      </c>
      <c r="B2042" t="s">
        <v>10</v>
      </c>
      <c r="C2042">
        <v>90831</v>
      </c>
      <c r="D2042" t="str">
        <f>"90831"</f>
        <v>90831</v>
      </c>
      <c r="E2042" t="s">
        <v>6</v>
      </c>
    </row>
    <row r="2043" spans="1:5" x14ac:dyDescent="0.2">
      <c r="A2043">
        <v>90840</v>
      </c>
      <c r="B2043" t="s">
        <v>10</v>
      </c>
      <c r="C2043">
        <v>90840</v>
      </c>
      <c r="D2043" t="str">
        <f>"90840"</f>
        <v>90840</v>
      </c>
      <c r="E2043" t="s">
        <v>6</v>
      </c>
    </row>
    <row r="2044" spans="1:5" x14ac:dyDescent="0.2">
      <c r="A2044">
        <v>90844</v>
      </c>
      <c r="B2044" t="s">
        <v>10</v>
      </c>
      <c r="C2044">
        <v>90844</v>
      </c>
      <c r="D2044" t="str">
        <f>"90844"</f>
        <v>90844</v>
      </c>
      <c r="E2044" t="s">
        <v>6</v>
      </c>
    </row>
    <row r="2045" spans="1:5" x14ac:dyDescent="0.2">
      <c r="A2045">
        <v>91001</v>
      </c>
      <c r="B2045" t="s">
        <v>10</v>
      </c>
      <c r="C2045">
        <v>91001</v>
      </c>
      <c r="D2045" t="str">
        <f>"91001"</f>
        <v>91001</v>
      </c>
      <c r="E2045">
        <v>76.81</v>
      </c>
    </row>
    <row r="2046" spans="1:5" x14ac:dyDescent="0.2">
      <c r="A2046">
        <v>91006</v>
      </c>
      <c r="B2046" t="s">
        <v>10</v>
      </c>
      <c r="C2046">
        <v>91006</v>
      </c>
      <c r="D2046" t="str">
        <f>"91006"</f>
        <v>91006</v>
      </c>
      <c r="E2046">
        <v>73.66</v>
      </c>
    </row>
    <row r="2047" spans="1:5" x14ac:dyDescent="0.2">
      <c r="A2047">
        <v>91007</v>
      </c>
      <c r="B2047" t="s">
        <v>10</v>
      </c>
      <c r="C2047">
        <v>91007</v>
      </c>
      <c r="D2047" t="str">
        <f>"91007"</f>
        <v>91007</v>
      </c>
      <c r="E2047">
        <v>73.849999999999994</v>
      </c>
    </row>
    <row r="2048" spans="1:5" x14ac:dyDescent="0.2">
      <c r="A2048">
        <v>91008</v>
      </c>
      <c r="B2048" t="s">
        <v>10</v>
      </c>
      <c r="C2048">
        <v>91008</v>
      </c>
      <c r="D2048" t="str">
        <f>"91008"</f>
        <v>91008</v>
      </c>
      <c r="E2048">
        <v>76.47</v>
      </c>
    </row>
    <row r="2049" spans="1:5" x14ac:dyDescent="0.2">
      <c r="A2049">
        <v>91010</v>
      </c>
      <c r="B2049" t="s">
        <v>10</v>
      </c>
      <c r="C2049">
        <v>91010</v>
      </c>
      <c r="D2049" t="str">
        <f>"91010"</f>
        <v>91010</v>
      </c>
      <c r="E2049">
        <v>71.78</v>
      </c>
    </row>
    <row r="2050" spans="1:5" x14ac:dyDescent="0.2">
      <c r="A2050">
        <v>91011</v>
      </c>
      <c r="B2050" t="s">
        <v>10</v>
      </c>
      <c r="C2050">
        <v>91011</v>
      </c>
      <c r="D2050" t="str">
        <f>"91011"</f>
        <v>91011</v>
      </c>
      <c r="E2050">
        <v>82.34</v>
      </c>
    </row>
    <row r="2051" spans="1:5" x14ac:dyDescent="0.2">
      <c r="A2051">
        <v>91016</v>
      </c>
      <c r="B2051" t="s">
        <v>10</v>
      </c>
      <c r="C2051">
        <v>91016</v>
      </c>
      <c r="D2051" t="str">
        <f>"91016"</f>
        <v>91016</v>
      </c>
      <c r="E2051">
        <v>75.95</v>
      </c>
    </row>
    <row r="2052" spans="1:5" x14ac:dyDescent="0.2">
      <c r="A2052">
        <v>91020</v>
      </c>
      <c r="B2052" t="s">
        <v>10</v>
      </c>
      <c r="C2052">
        <v>91020</v>
      </c>
      <c r="D2052" t="str">
        <f>"91020"</f>
        <v>91020</v>
      </c>
      <c r="E2052">
        <v>76.569999999999993</v>
      </c>
    </row>
    <row r="2053" spans="1:5" x14ac:dyDescent="0.2">
      <c r="A2053">
        <v>91024</v>
      </c>
      <c r="B2053" t="s">
        <v>10</v>
      </c>
      <c r="C2053">
        <v>91024</v>
      </c>
      <c r="D2053" t="str">
        <f>"91024"</f>
        <v>91024</v>
      </c>
      <c r="E2053">
        <v>81.739999999999995</v>
      </c>
    </row>
    <row r="2054" spans="1:5" x14ac:dyDescent="0.2">
      <c r="A2054">
        <v>91030</v>
      </c>
      <c r="B2054" t="s">
        <v>10</v>
      </c>
      <c r="C2054">
        <v>91030</v>
      </c>
      <c r="D2054" t="str">
        <f>"91030"</f>
        <v>91030</v>
      </c>
      <c r="E2054">
        <v>81.25</v>
      </c>
    </row>
    <row r="2055" spans="1:5" x14ac:dyDescent="0.2">
      <c r="A2055">
        <v>91040</v>
      </c>
      <c r="B2055" t="s">
        <v>10</v>
      </c>
      <c r="C2055">
        <v>91040</v>
      </c>
      <c r="D2055" t="str">
        <f>"91040"</f>
        <v>91040</v>
      </c>
      <c r="E2055">
        <v>76.44</v>
      </c>
    </row>
    <row r="2056" spans="1:5" x14ac:dyDescent="0.2">
      <c r="A2056">
        <v>91042</v>
      </c>
      <c r="B2056" t="s">
        <v>10</v>
      </c>
      <c r="C2056">
        <v>91042</v>
      </c>
      <c r="D2056" t="str">
        <f>"91042"</f>
        <v>91042</v>
      </c>
      <c r="E2056">
        <v>72.31</v>
      </c>
    </row>
    <row r="2057" spans="1:5" x14ac:dyDescent="0.2">
      <c r="A2057">
        <v>91046</v>
      </c>
      <c r="B2057" t="s">
        <v>10</v>
      </c>
      <c r="C2057">
        <v>91046</v>
      </c>
      <c r="D2057" t="str">
        <f>"91046"</f>
        <v>91046</v>
      </c>
      <c r="E2057" t="s">
        <v>6</v>
      </c>
    </row>
    <row r="2058" spans="1:5" x14ac:dyDescent="0.2">
      <c r="A2058">
        <v>91101</v>
      </c>
      <c r="B2058" t="s">
        <v>10</v>
      </c>
      <c r="C2058">
        <v>91101</v>
      </c>
      <c r="D2058" t="str">
        <f>"91101"</f>
        <v>91101</v>
      </c>
      <c r="E2058">
        <v>81.16</v>
      </c>
    </row>
    <row r="2059" spans="1:5" x14ac:dyDescent="0.2">
      <c r="A2059">
        <v>91103</v>
      </c>
      <c r="B2059" t="s">
        <v>10</v>
      </c>
      <c r="C2059">
        <v>91103</v>
      </c>
      <c r="D2059" t="str">
        <f>"91103"</f>
        <v>91103</v>
      </c>
      <c r="E2059">
        <v>67.56</v>
      </c>
    </row>
    <row r="2060" spans="1:5" x14ac:dyDescent="0.2">
      <c r="A2060">
        <v>91104</v>
      </c>
      <c r="B2060" t="s">
        <v>10</v>
      </c>
      <c r="C2060">
        <v>91104</v>
      </c>
      <c r="D2060" t="str">
        <f>"91104"</f>
        <v>91104</v>
      </c>
      <c r="E2060">
        <v>74.260000000000005</v>
      </c>
    </row>
    <row r="2061" spans="1:5" x14ac:dyDescent="0.2">
      <c r="A2061">
        <v>91105</v>
      </c>
      <c r="B2061" t="s">
        <v>10</v>
      </c>
      <c r="C2061">
        <v>91105</v>
      </c>
      <c r="D2061" t="str">
        <f>"91105"</f>
        <v>91105</v>
      </c>
      <c r="E2061">
        <v>83.73</v>
      </c>
    </row>
    <row r="2062" spans="1:5" x14ac:dyDescent="0.2">
      <c r="A2062">
        <v>91106</v>
      </c>
      <c r="B2062" t="s">
        <v>10</v>
      </c>
      <c r="C2062">
        <v>91106</v>
      </c>
      <c r="D2062" t="str">
        <f>"91106"</f>
        <v>91106</v>
      </c>
      <c r="E2062">
        <v>81.239999999999995</v>
      </c>
    </row>
    <row r="2063" spans="1:5" x14ac:dyDescent="0.2">
      <c r="A2063">
        <v>91107</v>
      </c>
      <c r="B2063" t="s">
        <v>10</v>
      </c>
      <c r="C2063">
        <v>91107</v>
      </c>
      <c r="D2063" t="str">
        <f>"91107"</f>
        <v>91107</v>
      </c>
      <c r="E2063">
        <v>79.569999999999993</v>
      </c>
    </row>
    <row r="2064" spans="1:5" x14ac:dyDescent="0.2">
      <c r="A2064">
        <v>91108</v>
      </c>
      <c r="B2064" t="s">
        <v>10</v>
      </c>
      <c r="C2064">
        <v>91108</v>
      </c>
      <c r="D2064" t="str">
        <f>"91108"</f>
        <v>91108</v>
      </c>
      <c r="E2064">
        <v>77.92</v>
      </c>
    </row>
    <row r="2065" spans="1:5" x14ac:dyDescent="0.2">
      <c r="A2065">
        <v>91188</v>
      </c>
      <c r="B2065" t="s">
        <v>10</v>
      </c>
      <c r="C2065">
        <v>91188</v>
      </c>
      <c r="D2065" t="str">
        <f>"91188"</f>
        <v>91188</v>
      </c>
      <c r="E2065" t="s">
        <v>6</v>
      </c>
    </row>
    <row r="2066" spans="1:5" x14ac:dyDescent="0.2">
      <c r="A2066">
        <v>91201</v>
      </c>
      <c r="B2066" t="s">
        <v>10</v>
      </c>
      <c r="C2066">
        <v>91201</v>
      </c>
      <c r="D2066" t="str">
        <f>"91201"</f>
        <v>91201</v>
      </c>
      <c r="E2066">
        <v>70.069999999999993</v>
      </c>
    </row>
    <row r="2067" spans="1:5" x14ac:dyDescent="0.2">
      <c r="A2067">
        <v>91202</v>
      </c>
      <c r="B2067" t="s">
        <v>10</v>
      </c>
      <c r="C2067">
        <v>91202</v>
      </c>
      <c r="D2067" t="str">
        <f>"91202"</f>
        <v>91202</v>
      </c>
      <c r="E2067">
        <v>73.78</v>
      </c>
    </row>
    <row r="2068" spans="1:5" x14ac:dyDescent="0.2">
      <c r="A2068">
        <v>91203</v>
      </c>
      <c r="B2068" t="s">
        <v>10</v>
      </c>
      <c r="C2068">
        <v>91203</v>
      </c>
      <c r="D2068" t="str">
        <f>"91203"</f>
        <v>91203</v>
      </c>
      <c r="E2068">
        <v>72.099999999999994</v>
      </c>
    </row>
    <row r="2069" spans="1:5" x14ac:dyDescent="0.2">
      <c r="A2069">
        <v>91204</v>
      </c>
      <c r="B2069" t="s">
        <v>10</v>
      </c>
      <c r="C2069">
        <v>91204</v>
      </c>
      <c r="D2069" t="str">
        <f>"91204"</f>
        <v>91204</v>
      </c>
      <c r="E2069">
        <v>67.260000000000005</v>
      </c>
    </row>
    <row r="2070" spans="1:5" x14ac:dyDescent="0.2">
      <c r="A2070">
        <v>91205</v>
      </c>
      <c r="B2070" t="s">
        <v>10</v>
      </c>
      <c r="C2070">
        <v>91205</v>
      </c>
      <c r="D2070" t="str">
        <f>"91205"</f>
        <v>91205</v>
      </c>
      <c r="E2070">
        <v>65.239999999999995</v>
      </c>
    </row>
    <row r="2071" spans="1:5" x14ac:dyDescent="0.2">
      <c r="A2071">
        <v>91206</v>
      </c>
      <c r="B2071" t="s">
        <v>10</v>
      </c>
      <c r="C2071">
        <v>91206</v>
      </c>
      <c r="D2071" t="str">
        <f>"91206"</f>
        <v>91206</v>
      </c>
      <c r="E2071">
        <v>73.37</v>
      </c>
    </row>
    <row r="2072" spans="1:5" x14ac:dyDescent="0.2">
      <c r="A2072">
        <v>91207</v>
      </c>
      <c r="B2072" t="s">
        <v>10</v>
      </c>
      <c r="C2072">
        <v>91207</v>
      </c>
      <c r="D2072" t="str">
        <f>"91207"</f>
        <v>91207</v>
      </c>
      <c r="E2072">
        <v>78.599999999999994</v>
      </c>
    </row>
    <row r="2073" spans="1:5" x14ac:dyDescent="0.2">
      <c r="A2073">
        <v>91208</v>
      </c>
      <c r="B2073" t="s">
        <v>10</v>
      </c>
      <c r="C2073">
        <v>91208</v>
      </c>
      <c r="D2073" t="str">
        <f>"91208"</f>
        <v>91208</v>
      </c>
      <c r="E2073">
        <v>80.13</v>
      </c>
    </row>
    <row r="2074" spans="1:5" x14ac:dyDescent="0.2">
      <c r="A2074">
        <v>91210</v>
      </c>
      <c r="B2074" t="s">
        <v>10</v>
      </c>
      <c r="C2074">
        <v>91210</v>
      </c>
      <c r="D2074" t="str">
        <f>"91210"</f>
        <v>91210</v>
      </c>
      <c r="E2074">
        <v>78.95</v>
      </c>
    </row>
    <row r="2075" spans="1:5" x14ac:dyDescent="0.2">
      <c r="A2075">
        <v>91214</v>
      </c>
      <c r="B2075" t="s">
        <v>10</v>
      </c>
      <c r="C2075">
        <v>91214</v>
      </c>
      <c r="D2075" t="str">
        <f>"91214"</f>
        <v>91214</v>
      </c>
      <c r="E2075">
        <v>78.48</v>
      </c>
    </row>
    <row r="2076" spans="1:5" x14ac:dyDescent="0.2">
      <c r="A2076">
        <v>91301</v>
      </c>
      <c r="B2076" t="s">
        <v>10</v>
      </c>
      <c r="C2076">
        <v>91301</v>
      </c>
      <c r="D2076" t="str">
        <f>"91301"</f>
        <v>91301</v>
      </c>
      <c r="E2076">
        <v>80.260000000000005</v>
      </c>
    </row>
    <row r="2077" spans="1:5" x14ac:dyDescent="0.2">
      <c r="A2077">
        <v>91302</v>
      </c>
      <c r="B2077" t="s">
        <v>10</v>
      </c>
      <c r="C2077">
        <v>91302</v>
      </c>
      <c r="D2077" t="str">
        <f>"91302"</f>
        <v>91302</v>
      </c>
      <c r="E2077">
        <v>78.77</v>
      </c>
    </row>
    <row r="2078" spans="1:5" x14ac:dyDescent="0.2">
      <c r="A2078">
        <v>91303</v>
      </c>
      <c r="B2078" t="s">
        <v>10</v>
      </c>
      <c r="C2078">
        <v>91303</v>
      </c>
      <c r="D2078" t="str">
        <f>"91303"</f>
        <v>91303</v>
      </c>
      <c r="E2078">
        <v>65.06</v>
      </c>
    </row>
    <row r="2079" spans="1:5" x14ac:dyDescent="0.2">
      <c r="A2079">
        <v>91304</v>
      </c>
      <c r="B2079" t="s">
        <v>10</v>
      </c>
      <c r="C2079">
        <v>91304</v>
      </c>
      <c r="D2079" t="str">
        <f>"91304"</f>
        <v>91304</v>
      </c>
      <c r="E2079">
        <v>69.930000000000007</v>
      </c>
    </row>
    <row r="2080" spans="1:5" x14ac:dyDescent="0.2">
      <c r="A2080">
        <v>91306</v>
      </c>
      <c r="B2080" t="s">
        <v>10</v>
      </c>
      <c r="C2080">
        <v>91306</v>
      </c>
      <c r="D2080" t="str">
        <f>"91306"</f>
        <v>91306</v>
      </c>
      <c r="E2080">
        <v>67.77</v>
      </c>
    </row>
    <row r="2081" spans="1:5" x14ac:dyDescent="0.2">
      <c r="A2081">
        <v>91307</v>
      </c>
      <c r="B2081" t="s">
        <v>10</v>
      </c>
      <c r="C2081">
        <v>91307</v>
      </c>
      <c r="D2081" t="str">
        <f>"91307"</f>
        <v>91307</v>
      </c>
      <c r="E2081">
        <v>77.94</v>
      </c>
    </row>
    <row r="2082" spans="1:5" x14ac:dyDescent="0.2">
      <c r="A2082">
        <v>91311</v>
      </c>
      <c r="B2082" t="s">
        <v>10</v>
      </c>
      <c r="C2082">
        <v>91311</v>
      </c>
      <c r="D2082" t="str">
        <f>"91311"</f>
        <v>91311</v>
      </c>
      <c r="E2082">
        <v>77.55</v>
      </c>
    </row>
    <row r="2083" spans="1:5" x14ac:dyDescent="0.2">
      <c r="A2083">
        <v>91316</v>
      </c>
      <c r="B2083" t="s">
        <v>10</v>
      </c>
      <c r="C2083">
        <v>91316</v>
      </c>
      <c r="D2083" t="str">
        <f>"91316"</f>
        <v>91316</v>
      </c>
      <c r="E2083">
        <v>76.69</v>
      </c>
    </row>
    <row r="2084" spans="1:5" x14ac:dyDescent="0.2">
      <c r="A2084">
        <v>91320</v>
      </c>
      <c r="B2084" t="s">
        <v>10</v>
      </c>
      <c r="C2084">
        <v>91320</v>
      </c>
      <c r="D2084" t="str">
        <f>"91320"</f>
        <v>91320</v>
      </c>
      <c r="E2084">
        <v>79.709999999999994</v>
      </c>
    </row>
    <row r="2085" spans="1:5" x14ac:dyDescent="0.2">
      <c r="A2085">
        <v>91321</v>
      </c>
      <c r="B2085" t="s">
        <v>10</v>
      </c>
      <c r="C2085">
        <v>91321</v>
      </c>
      <c r="D2085" t="str">
        <f>"91321"</f>
        <v>91321</v>
      </c>
      <c r="E2085">
        <v>70.34</v>
      </c>
    </row>
    <row r="2086" spans="1:5" x14ac:dyDescent="0.2">
      <c r="A2086">
        <v>91324</v>
      </c>
      <c r="B2086" t="s">
        <v>10</v>
      </c>
      <c r="C2086">
        <v>91324</v>
      </c>
      <c r="D2086" t="str">
        <f>"91324"</f>
        <v>91324</v>
      </c>
      <c r="E2086">
        <v>71.77</v>
      </c>
    </row>
    <row r="2087" spans="1:5" x14ac:dyDescent="0.2">
      <c r="A2087">
        <v>91325</v>
      </c>
      <c r="B2087" t="s">
        <v>10</v>
      </c>
      <c r="C2087">
        <v>91325</v>
      </c>
      <c r="D2087" t="str">
        <f>"91325"</f>
        <v>91325</v>
      </c>
      <c r="E2087">
        <v>72.02</v>
      </c>
    </row>
    <row r="2088" spans="1:5" x14ac:dyDescent="0.2">
      <c r="A2088">
        <v>91326</v>
      </c>
      <c r="B2088" t="s">
        <v>10</v>
      </c>
      <c r="C2088">
        <v>91326</v>
      </c>
      <c r="D2088" t="str">
        <f>"91326"</f>
        <v>91326</v>
      </c>
      <c r="E2088">
        <v>79.680000000000007</v>
      </c>
    </row>
    <row r="2089" spans="1:5" x14ac:dyDescent="0.2">
      <c r="A2089">
        <v>91330</v>
      </c>
      <c r="B2089" t="s">
        <v>10</v>
      </c>
      <c r="C2089">
        <v>91330</v>
      </c>
      <c r="D2089" t="str">
        <f>"91330"</f>
        <v>91330</v>
      </c>
      <c r="E2089" t="s">
        <v>6</v>
      </c>
    </row>
    <row r="2090" spans="1:5" x14ac:dyDescent="0.2">
      <c r="A2090">
        <v>91331</v>
      </c>
      <c r="B2090" t="s">
        <v>10</v>
      </c>
      <c r="C2090">
        <v>91331</v>
      </c>
      <c r="D2090" t="str">
        <f>"91331"</f>
        <v>91331</v>
      </c>
      <c r="E2090">
        <v>61.69</v>
      </c>
    </row>
    <row r="2091" spans="1:5" x14ac:dyDescent="0.2">
      <c r="A2091">
        <v>91335</v>
      </c>
      <c r="B2091" t="s">
        <v>10</v>
      </c>
      <c r="C2091">
        <v>91335</v>
      </c>
      <c r="D2091" t="str">
        <f>"91335"</f>
        <v>91335</v>
      </c>
      <c r="E2091">
        <v>66.64</v>
      </c>
    </row>
    <row r="2092" spans="1:5" x14ac:dyDescent="0.2">
      <c r="A2092">
        <v>91340</v>
      </c>
      <c r="B2092" t="s">
        <v>10</v>
      </c>
      <c r="C2092">
        <v>91340</v>
      </c>
      <c r="D2092" t="str">
        <f>"91340"</f>
        <v>91340</v>
      </c>
      <c r="E2092">
        <v>64.959999999999994</v>
      </c>
    </row>
    <row r="2093" spans="1:5" x14ac:dyDescent="0.2">
      <c r="A2093">
        <v>91342</v>
      </c>
      <c r="B2093" t="s">
        <v>10</v>
      </c>
      <c r="C2093">
        <v>91342</v>
      </c>
      <c r="D2093" t="str">
        <f>"91342"</f>
        <v>91342</v>
      </c>
      <c r="E2093">
        <v>69.06</v>
      </c>
    </row>
    <row r="2094" spans="1:5" x14ac:dyDescent="0.2">
      <c r="A2094">
        <v>91343</v>
      </c>
      <c r="B2094" t="s">
        <v>10</v>
      </c>
      <c r="C2094">
        <v>91343</v>
      </c>
      <c r="D2094" t="str">
        <f>"91343"</f>
        <v>91343</v>
      </c>
      <c r="E2094">
        <v>65.39</v>
      </c>
    </row>
    <row r="2095" spans="1:5" x14ac:dyDescent="0.2">
      <c r="A2095">
        <v>91344</v>
      </c>
      <c r="B2095" t="s">
        <v>10</v>
      </c>
      <c r="C2095">
        <v>91344</v>
      </c>
      <c r="D2095" t="str">
        <f>"91344"</f>
        <v>91344</v>
      </c>
      <c r="E2095">
        <v>75.739999999999995</v>
      </c>
    </row>
    <row r="2096" spans="1:5" x14ac:dyDescent="0.2">
      <c r="A2096">
        <v>91345</v>
      </c>
      <c r="B2096" t="s">
        <v>10</v>
      </c>
      <c r="C2096">
        <v>91345</v>
      </c>
      <c r="D2096" t="str">
        <f>"91345"</f>
        <v>91345</v>
      </c>
      <c r="E2096">
        <v>71.08</v>
      </c>
    </row>
    <row r="2097" spans="1:5" x14ac:dyDescent="0.2">
      <c r="A2097">
        <v>91350</v>
      </c>
      <c r="B2097" t="s">
        <v>10</v>
      </c>
      <c r="C2097">
        <v>91350</v>
      </c>
      <c r="D2097" t="str">
        <f>"91350"</f>
        <v>91350</v>
      </c>
      <c r="E2097">
        <v>82.04</v>
      </c>
    </row>
    <row r="2098" spans="1:5" x14ac:dyDescent="0.2">
      <c r="A2098">
        <v>91351</v>
      </c>
      <c r="B2098" t="s">
        <v>10</v>
      </c>
      <c r="C2098">
        <v>91351</v>
      </c>
      <c r="D2098" t="str">
        <f>"91351"</f>
        <v>91351</v>
      </c>
      <c r="E2098">
        <v>73.92</v>
      </c>
    </row>
    <row r="2099" spans="1:5" x14ac:dyDescent="0.2">
      <c r="A2099">
        <v>91352</v>
      </c>
      <c r="B2099" t="s">
        <v>10</v>
      </c>
      <c r="C2099">
        <v>91352</v>
      </c>
      <c r="D2099" t="str">
        <f>"91352"</f>
        <v>91352</v>
      </c>
      <c r="E2099">
        <v>63.7</v>
      </c>
    </row>
    <row r="2100" spans="1:5" x14ac:dyDescent="0.2">
      <c r="A2100">
        <v>91354</v>
      </c>
      <c r="B2100" t="s">
        <v>10</v>
      </c>
      <c r="C2100">
        <v>91354</v>
      </c>
      <c r="D2100" t="str">
        <f>"91354"</f>
        <v>91354</v>
      </c>
      <c r="E2100">
        <v>82.54</v>
      </c>
    </row>
    <row r="2101" spans="1:5" x14ac:dyDescent="0.2">
      <c r="A2101">
        <v>91355</v>
      </c>
      <c r="B2101" t="s">
        <v>10</v>
      </c>
      <c r="C2101">
        <v>91355</v>
      </c>
      <c r="D2101" t="str">
        <f>"91355"</f>
        <v>91355</v>
      </c>
      <c r="E2101">
        <v>82.12</v>
      </c>
    </row>
    <row r="2102" spans="1:5" x14ac:dyDescent="0.2">
      <c r="A2102">
        <v>91356</v>
      </c>
      <c r="B2102" t="s">
        <v>10</v>
      </c>
      <c r="C2102">
        <v>91356</v>
      </c>
      <c r="D2102" t="str">
        <f>"91356"</f>
        <v>91356</v>
      </c>
      <c r="E2102">
        <v>74.37</v>
      </c>
    </row>
    <row r="2103" spans="1:5" x14ac:dyDescent="0.2">
      <c r="A2103">
        <v>91360</v>
      </c>
      <c r="B2103" t="s">
        <v>10</v>
      </c>
      <c r="C2103">
        <v>91360</v>
      </c>
      <c r="D2103" t="str">
        <f>"91360"</f>
        <v>91360</v>
      </c>
      <c r="E2103">
        <v>77.83</v>
      </c>
    </row>
    <row r="2104" spans="1:5" x14ac:dyDescent="0.2">
      <c r="A2104">
        <v>91361</v>
      </c>
      <c r="B2104" t="s">
        <v>10</v>
      </c>
      <c r="C2104">
        <v>91361</v>
      </c>
      <c r="D2104" t="str">
        <f>"91361"</f>
        <v>91361</v>
      </c>
      <c r="E2104">
        <v>80.98</v>
      </c>
    </row>
    <row r="2105" spans="1:5" x14ac:dyDescent="0.2">
      <c r="A2105">
        <v>91362</v>
      </c>
      <c r="B2105" t="s">
        <v>10</v>
      </c>
      <c r="C2105">
        <v>91362</v>
      </c>
      <c r="D2105" t="str">
        <f>"91362"</f>
        <v>91362</v>
      </c>
      <c r="E2105">
        <v>79.13</v>
      </c>
    </row>
    <row r="2106" spans="1:5" x14ac:dyDescent="0.2">
      <c r="A2106">
        <v>91364</v>
      </c>
      <c r="B2106" t="s">
        <v>10</v>
      </c>
      <c r="C2106">
        <v>91364</v>
      </c>
      <c r="D2106" t="str">
        <f>"91364"</f>
        <v>91364</v>
      </c>
      <c r="E2106">
        <v>77.930000000000007</v>
      </c>
    </row>
    <row r="2107" spans="1:5" x14ac:dyDescent="0.2">
      <c r="A2107">
        <v>91367</v>
      </c>
      <c r="B2107" t="s">
        <v>10</v>
      </c>
      <c r="C2107">
        <v>91367</v>
      </c>
      <c r="D2107" t="str">
        <f>"91367"</f>
        <v>91367</v>
      </c>
      <c r="E2107">
        <v>78.349999999999994</v>
      </c>
    </row>
    <row r="2108" spans="1:5" x14ac:dyDescent="0.2">
      <c r="A2108">
        <v>91371</v>
      </c>
      <c r="B2108" t="s">
        <v>10</v>
      </c>
      <c r="C2108">
        <v>91371</v>
      </c>
      <c r="D2108" t="str">
        <f>"91371"</f>
        <v>91371</v>
      </c>
      <c r="E2108" t="s">
        <v>6</v>
      </c>
    </row>
    <row r="2109" spans="1:5" x14ac:dyDescent="0.2">
      <c r="A2109">
        <v>91377</v>
      </c>
      <c r="B2109" t="s">
        <v>10</v>
      </c>
      <c r="C2109">
        <v>91377</v>
      </c>
      <c r="D2109" t="str">
        <f>"91377"</f>
        <v>91377</v>
      </c>
      <c r="E2109">
        <v>81.540000000000006</v>
      </c>
    </row>
    <row r="2110" spans="1:5" x14ac:dyDescent="0.2">
      <c r="A2110">
        <v>91381</v>
      </c>
      <c r="B2110" t="s">
        <v>10</v>
      </c>
      <c r="C2110">
        <v>91381</v>
      </c>
      <c r="D2110" t="str">
        <f>"91381"</f>
        <v>91381</v>
      </c>
      <c r="E2110">
        <v>79.95</v>
      </c>
    </row>
    <row r="2111" spans="1:5" x14ac:dyDescent="0.2">
      <c r="A2111">
        <v>91383</v>
      </c>
      <c r="B2111" t="s">
        <v>10</v>
      </c>
      <c r="C2111">
        <v>91383</v>
      </c>
      <c r="D2111" t="str">
        <f>"91383"</f>
        <v>91383</v>
      </c>
      <c r="E2111" t="s">
        <v>6</v>
      </c>
    </row>
    <row r="2112" spans="1:5" x14ac:dyDescent="0.2">
      <c r="A2112">
        <v>91384</v>
      </c>
      <c r="B2112" t="s">
        <v>10</v>
      </c>
      <c r="C2112">
        <v>91384</v>
      </c>
      <c r="D2112" t="str">
        <f>"91384"</f>
        <v>91384</v>
      </c>
      <c r="E2112">
        <v>78.900000000000006</v>
      </c>
    </row>
    <row r="2113" spans="1:5" x14ac:dyDescent="0.2">
      <c r="A2113">
        <v>91387</v>
      </c>
      <c r="B2113" t="s">
        <v>10</v>
      </c>
      <c r="C2113">
        <v>91387</v>
      </c>
      <c r="D2113" t="str">
        <f>"91387"</f>
        <v>91387</v>
      </c>
      <c r="E2113">
        <v>75.790000000000006</v>
      </c>
    </row>
    <row r="2114" spans="1:5" x14ac:dyDescent="0.2">
      <c r="A2114">
        <v>91390</v>
      </c>
      <c r="B2114" t="s">
        <v>10</v>
      </c>
      <c r="C2114">
        <v>91390</v>
      </c>
      <c r="D2114" t="str">
        <f>"91390"</f>
        <v>91390</v>
      </c>
      <c r="E2114">
        <v>79.84</v>
      </c>
    </row>
    <row r="2115" spans="1:5" x14ac:dyDescent="0.2">
      <c r="A2115">
        <v>91401</v>
      </c>
      <c r="B2115" t="s">
        <v>10</v>
      </c>
      <c r="C2115">
        <v>91401</v>
      </c>
      <c r="D2115" t="str">
        <f>"91401"</f>
        <v>91401</v>
      </c>
      <c r="E2115">
        <v>68.83</v>
      </c>
    </row>
    <row r="2116" spans="1:5" x14ac:dyDescent="0.2">
      <c r="A2116">
        <v>91402</v>
      </c>
      <c r="B2116" t="s">
        <v>10</v>
      </c>
      <c r="C2116">
        <v>91402</v>
      </c>
      <c r="D2116" t="str">
        <f>"91402"</f>
        <v>91402</v>
      </c>
      <c r="E2116">
        <v>59.56</v>
      </c>
    </row>
    <row r="2117" spans="1:5" x14ac:dyDescent="0.2">
      <c r="A2117">
        <v>91403</v>
      </c>
      <c r="B2117" t="s">
        <v>10</v>
      </c>
      <c r="C2117">
        <v>91403</v>
      </c>
      <c r="D2117" t="str">
        <f>"91403"</f>
        <v>91403</v>
      </c>
      <c r="E2117">
        <v>81.77</v>
      </c>
    </row>
    <row r="2118" spans="1:5" x14ac:dyDescent="0.2">
      <c r="A2118">
        <v>91405</v>
      </c>
      <c r="B2118" t="s">
        <v>10</v>
      </c>
      <c r="C2118">
        <v>91405</v>
      </c>
      <c r="D2118" t="str">
        <f>"91405"</f>
        <v>91405</v>
      </c>
      <c r="E2118">
        <v>61.07</v>
      </c>
    </row>
    <row r="2119" spans="1:5" x14ac:dyDescent="0.2">
      <c r="A2119">
        <v>91406</v>
      </c>
      <c r="B2119" t="s">
        <v>10</v>
      </c>
      <c r="C2119">
        <v>91406</v>
      </c>
      <c r="D2119" t="str">
        <f>"91406"</f>
        <v>91406</v>
      </c>
      <c r="E2119">
        <v>67.3</v>
      </c>
    </row>
    <row r="2120" spans="1:5" x14ac:dyDescent="0.2">
      <c r="A2120">
        <v>91411</v>
      </c>
      <c r="B2120" t="s">
        <v>10</v>
      </c>
      <c r="C2120">
        <v>91411</v>
      </c>
      <c r="D2120" t="str">
        <f>"91411"</f>
        <v>91411</v>
      </c>
      <c r="E2120">
        <v>68.87</v>
      </c>
    </row>
    <row r="2121" spans="1:5" x14ac:dyDescent="0.2">
      <c r="A2121">
        <v>91423</v>
      </c>
      <c r="B2121" t="s">
        <v>10</v>
      </c>
      <c r="C2121">
        <v>91423</v>
      </c>
      <c r="D2121" t="str">
        <f>"91423"</f>
        <v>91423</v>
      </c>
      <c r="E2121">
        <v>81.62</v>
      </c>
    </row>
    <row r="2122" spans="1:5" x14ac:dyDescent="0.2">
      <c r="A2122">
        <v>91436</v>
      </c>
      <c r="B2122" t="s">
        <v>10</v>
      </c>
      <c r="C2122">
        <v>91436</v>
      </c>
      <c r="D2122" t="str">
        <f>"91436"</f>
        <v>91436</v>
      </c>
      <c r="E2122">
        <v>82.44</v>
      </c>
    </row>
    <row r="2123" spans="1:5" x14ac:dyDescent="0.2">
      <c r="A2123">
        <v>91501</v>
      </c>
      <c r="B2123" t="s">
        <v>10</v>
      </c>
      <c r="C2123">
        <v>91501</v>
      </c>
      <c r="D2123" t="str">
        <f>"91501"</f>
        <v>91501</v>
      </c>
      <c r="E2123">
        <v>76.8</v>
      </c>
    </row>
    <row r="2124" spans="1:5" x14ac:dyDescent="0.2">
      <c r="A2124">
        <v>91502</v>
      </c>
      <c r="B2124" t="s">
        <v>10</v>
      </c>
      <c r="C2124">
        <v>91502</v>
      </c>
      <c r="D2124" t="str">
        <f>"91502"</f>
        <v>91502</v>
      </c>
      <c r="E2124">
        <v>72.73</v>
      </c>
    </row>
    <row r="2125" spans="1:5" x14ac:dyDescent="0.2">
      <c r="A2125">
        <v>91504</v>
      </c>
      <c r="B2125" t="s">
        <v>10</v>
      </c>
      <c r="C2125">
        <v>91504</v>
      </c>
      <c r="D2125" t="str">
        <f>"91504"</f>
        <v>91504</v>
      </c>
      <c r="E2125">
        <v>76.760000000000005</v>
      </c>
    </row>
    <row r="2126" spans="1:5" x14ac:dyDescent="0.2">
      <c r="A2126">
        <v>91505</v>
      </c>
      <c r="B2126" t="s">
        <v>10</v>
      </c>
      <c r="C2126">
        <v>91505</v>
      </c>
      <c r="D2126" t="str">
        <f>"91505"</f>
        <v>91505</v>
      </c>
      <c r="E2126">
        <v>81.19</v>
      </c>
    </row>
    <row r="2127" spans="1:5" x14ac:dyDescent="0.2">
      <c r="A2127">
        <v>91506</v>
      </c>
      <c r="B2127" t="s">
        <v>10</v>
      </c>
      <c r="C2127">
        <v>91506</v>
      </c>
      <c r="D2127" t="str">
        <f>"91506"</f>
        <v>91506</v>
      </c>
      <c r="E2127">
        <v>79.86</v>
      </c>
    </row>
    <row r="2128" spans="1:5" x14ac:dyDescent="0.2">
      <c r="A2128">
        <v>91521</v>
      </c>
      <c r="B2128" t="s">
        <v>10</v>
      </c>
      <c r="C2128">
        <v>91521</v>
      </c>
      <c r="D2128" t="str">
        <f>"91521"</f>
        <v>91521</v>
      </c>
      <c r="E2128" t="s">
        <v>6</v>
      </c>
    </row>
    <row r="2129" spans="1:5" x14ac:dyDescent="0.2">
      <c r="A2129">
        <v>91601</v>
      </c>
      <c r="B2129" t="s">
        <v>10</v>
      </c>
      <c r="C2129">
        <v>91601</v>
      </c>
      <c r="D2129" t="str">
        <f>"91601"</f>
        <v>91601</v>
      </c>
      <c r="E2129">
        <v>74.23</v>
      </c>
    </row>
    <row r="2130" spans="1:5" x14ac:dyDescent="0.2">
      <c r="A2130">
        <v>91602</v>
      </c>
      <c r="B2130" t="s">
        <v>10</v>
      </c>
      <c r="C2130">
        <v>91602</v>
      </c>
      <c r="D2130" t="str">
        <f>"91602"</f>
        <v>91602</v>
      </c>
      <c r="E2130">
        <v>82.62</v>
      </c>
    </row>
    <row r="2131" spans="1:5" x14ac:dyDescent="0.2">
      <c r="A2131">
        <v>91604</v>
      </c>
      <c r="B2131" t="s">
        <v>10</v>
      </c>
      <c r="C2131">
        <v>91604</v>
      </c>
      <c r="D2131" t="str">
        <f>"91604"</f>
        <v>91604</v>
      </c>
      <c r="E2131">
        <v>82.59</v>
      </c>
    </row>
    <row r="2132" spans="1:5" x14ac:dyDescent="0.2">
      <c r="A2132">
        <v>91605</v>
      </c>
      <c r="B2132" t="s">
        <v>10</v>
      </c>
      <c r="C2132">
        <v>91605</v>
      </c>
      <c r="D2132" t="str">
        <f>"91605"</f>
        <v>91605</v>
      </c>
      <c r="E2132">
        <v>61.88</v>
      </c>
    </row>
    <row r="2133" spans="1:5" x14ac:dyDescent="0.2">
      <c r="A2133">
        <v>91606</v>
      </c>
      <c r="B2133" t="s">
        <v>10</v>
      </c>
      <c r="C2133">
        <v>91606</v>
      </c>
      <c r="D2133" t="str">
        <f>"91606"</f>
        <v>91606</v>
      </c>
      <c r="E2133">
        <v>66.55</v>
      </c>
    </row>
    <row r="2134" spans="1:5" x14ac:dyDescent="0.2">
      <c r="A2134">
        <v>91607</v>
      </c>
      <c r="B2134" t="s">
        <v>10</v>
      </c>
      <c r="C2134">
        <v>91607</v>
      </c>
      <c r="D2134" t="str">
        <f>"91607"</f>
        <v>91607</v>
      </c>
      <c r="E2134">
        <v>77.06</v>
      </c>
    </row>
    <row r="2135" spans="1:5" x14ac:dyDescent="0.2">
      <c r="A2135">
        <v>91608</v>
      </c>
      <c r="B2135" t="s">
        <v>10</v>
      </c>
      <c r="C2135">
        <v>91608</v>
      </c>
      <c r="D2135" t="str">
        <f>"91608"</f>
        <v>91608</v>
      </c>
      <c r="E2135" t="s">
        <v>6</v>
      </c>
    </row>
    <row r="2136" spans="1:5" x14ac:dyDescent="0.2">
      <c r="A2136">
        <v>91701</v>
      </c>
      <c r="B2136" t="s">
        <v>10</v>
      </c>
      <c r="C2136">
        <v>91701</v>
      </c>
      <c r="D2136" t="str">
        <f>"91701"</f>
        <v>91701</v>
      </c>
      <c r="E2136">
        <v>77.52</v>
      </c>
    </row>
    <row r="2137" spans="1:5" x14ac:dyDescent="0.2">
      <c r="A2137">
        <v>91702</v>
      </c>
      <c r="B2137" t="s">
        <v>10</v>
      </c>
      <c r="C2137">
        <v>91702</v>
      </c>
      <c r="D2137" t="str">
        <f>"91702"</f>
        <v>91702</v>
      </c>
      <c r="E2137">
        <v>68.16</v>
      </c>
    </row>
    <row r="2138" spans="1:5" x14ac:dyDescent="0.2">
      <c r="A2138">
        <v>91706</v>
      </c>
      <c r="B2138" t="s">
        <v>10</v>
      </c>
      <c r="C2138">
        <v>91706</v>
      </c>
      <c r="D2138" t="str">
        <f>"91706"</f>
        <v>91706</v>
      </c>
      <c r="E2138">
        <v>62.72</v>
      </c>
    </row>
    <row r="2139" spans="1:5" x14ac:dyDescent="0.2">
      <c r="A2139">
        <v>91708</v>
      </c>
      <c r="B2139" t="s">
        <v>10</v>
      </c>
      <c r="C2139">
        <v>91708</v>
      </c>
      <c r="D2139" t="str">
        <f>"91708"</f>
        <v>91708</v>
      </c>
      <c r="E2139">
        <v>76.650000000000006</v>
      </c>
    </row>
    <row r="2140" spans="1:5" x14ac:dyDescent="0.2">
      <c r="A2140">
        <v>91709</v>
      </c>
      <c r="B2140" t="s">
        <v>10</v>
      </c>
      <c r="C2140">
        <v>91709</v>
      </c>
      <c r="D2140" t="str">
        <f>"91709"</f>
        <v>91709</v>
      </c>
      <c r="E2140">
        <v>77.44</v>
      </c>
    </row>
    <row r="2141" spans="1:5" x14ac:dyDescent="0.2">
      <c r="A2141">
        <v>91710</v>
      </c>
      <c r="B2141" t="s">
        <v>10</v>
      </c>
      <c r="C2141">
        <v>91710</v>
      </c>
      <c r="D2141" t="str">
        <f>"91710"</f>
        <v>91710</v>
      </c>
      <c r="E2141">
        <v>72.28</v>
      </c>
    </row>
    <row r="2142" spans="1:5" x14ac:dyDescent="0.2">
      <c r="A2142">
        <v>91711</v>
      </c>
      <c r="B2142" t="s">
        <v>10</v>
      </c>
      <c r="C2142">
        <v>91711</v>
      </c>
      <c r="D2142" t="str">
        <f>"91711"</f>
        <v>91711</v>
      </c>
      <c r="E2142">
        <v>78.349999999999994</v>
      </c>
    </row>
    <row r="2143" spans="1:5" x14ac:dyDescent="0.2">
      <c r="A2143">
        <v>91722</v>
      </c>
      <c r="B2143" t="s">
        <v>10</v>
      </c>
      <c r="C2143">
        <v>91722</v>
      </c>
      <c r="D2143" t="str">
        <f>"91722"</f>
        <v>91722</v>
      </c>
      <c r="E2143">
        <v>73.319999999999993</v>
      </c>
    </row>
    <row r="2144" spans="1:5" x14ac:dyDescent="0.2">
      <c r="A2144">
        <v>91723</v>
      </c>
      <c r="B2144" t="s">
        <v>10</v>
      </c>
      <c r="C2144">
        <v>91723</v>
      </c>
      <c r="D2144" t="str">
        <f>"91723"</f>
        <v>91723</v>
      </c>
      <c r="E2144">
        <v>72.86</v>
      </c>
    </row>
    <row r="2145" spans="1:5" x14ac:dyDescent="0.2">
      <c r="A2145">
        <v>91724</v>
      </c>
      <c r="B2145" t="s">
        <v>10</v>
      </c>
      <c r="C2145">
        <v>91724</v>
      </c>
      <c r="D2145" t="str">
        <f>"91724"</f>
        <v>91724</v>
      </c>
      <c r="E2145">
        <v>75.58</v>
      </c>
    </row>
    <row r="2146" spans="1:5" x14ac:dyDescent="0.2">
      <c r="A2146">
        <v>91730</v>
      </c>
      <c r="B2146" t="s">
        <v>10</v>
      </c>
      <c r="C2146">
        <v>91730</v>
      </c>
      <c r="D2146" t="str">
        <f>"91730"</f>
        <v>91730</v>
      </c>
      <c r="E2146">
        <v>73.22</v>
      </c>
    </row>
    <row r="2147" spans="1:5" x14ac:dyDescent="0.2">
      <c r="A2147">
        <v>91731</v>
      </c>
      <c r="B2147" t="s">
        <v>10</v>
      </c>
      <c r="C2147">
        <v>91731</v>
      </c>
      <c r="D2147" t="str">
        <f>"91731"</f>
        <v>91731</v>
      </c>
      <c r="E2147">
        <v>57.98</v>
      </c>
    </row>
    <row r="2148" spans="1:5" x14ac:dyDescent="0.2">
      <c r="A2148">
        <v>91732</v>
      </c>
      <c r="B2148" t="s">
        <v>10</v>
      </c>
      <c r="C2148">
        <v>91732</v>
      </c>
      <c r="D2148" t="str">
        <f>"91732"</f>
        <v>91732</v>
      </c>
      <c r="E2148">
        <v>58.48</v>
      </c>
    </row>
    <row r="2149" spans="1:5" x14ac:dyDescent="0.2">
      <c r="A2149">
        <v>91733</v>
      </c>
      <c r="B2149" t="s">
        <v>10</v>
      </c>
      <c r="C2149">
        <v>91733</v>
      </c>
      <c r="D2149" t="str">
        <f>"91733"</f>
        <v>91733</v>
      </c>
      <c r="E2149">
        <v>56.88</v>
      </c>
    </row>
    <row r="2150" spans="1:5" x14ac:dyDescent="0.2">
      <c r="A2150">
        <v>91737</v>
      </c>
      <c r="B2150" t="s">
        <v>10</v>
      </c>
      <c r="C2150">
        <v>91737</v>
      </c>
      <c r="D2150" t="str">
        <f>"91737"</f>
        <v>91737</v>
      </c>
      <c r="E2150">
        <v>77.52</v>
      </c>
    </row>
    <row r="2151" spans="1:5" x14ac:dyDescent="0.2">
      <c r="A2151">
        <v>91739</v>
      </c>
      <c r="B2151" t="s">
        <v>10</v>
      </c>
      <c r="C2151">
        <v>91739</v>
      </c>
      <c r="D2151" t="str">
        <f>"91739"</f>
        <v>91739</v>
      </c>
      <c r="E2151">
        <v>77.12</v>
      </c>
    </row>
    <row r="2152" spans="1:5" x14ac:dyDescent="0.2">
      <c r="A2152">
        <v>91740</v>
      </c>
      <c r="B2152" t="s">
        <v>10</v>
      </c>
      <c r="C2152">
        <v>91740</v>
      </c>
      <c r="D2152" t="str">
        <f>"91740"</f>
        <v>91740</v>
      </c>
      <c r="E2152">
        <v>76.03</v>
      </c>
    </row>
    <row r="2153" spans="1:5" x14ac:dyDescent="0.2">
      <c r="A2153">
        <v>91741</v>
      </c>
      <c r="B2153" t="s">
        <v>10</v>
      </c>
      <c r="C2153">
        <v>91741</v>
      </c>
      <c r="D2153" t="str">
        <f>"91741"</f>
        <v>91741</v>
      </c>
      <c r="E2153">
        <v>80.48</v>
      </c>
    </row>
    <row r="2154" spans="1:5" x14ac:dyDescent="0.2">
      <c r="A2154">
        <v>91743</v>
      </c>
      <c r="B2154" t="s">
        <v>10</v>
      </c>
      <c r="C2154">
        <v>91743</v>
      </c>
      <c r="D2154" t="str">
        <f>"91743"</f>
        <v>91743</v>
      </c>
      <c r="E2154" t="s">
        <v>6</v>
      </c>
    </row>
    <row r="2155" spans="1:5" x14ac:dyDescent="0.2">
      <c r="A2155">
        <v>91744</v>
      </c>
      <c r="B2155" t="s">
        <v>10</v>
      </c>
      <c r="C2155">
        <v>91744</v>
      </c>
      <c r="D2155" t="str">
        <f>"91744"</f>
        <v>91744</v>
      </c>
      <c r="E2155">
        <v>64.14</v>
      </c>
    </row>
    <row r="2156" spans="1:5" x14ac:dyDescent="0.2">
      <c r="A2156">
        <v>91745</v>
      </c>
      <c r="B2156" t="s">
        <v>10</v>
      </c>
      <c r="C2156">
        <v>91745</v>
      </c>
      <c r="D2156" t="str">
        <f>"91745"</f>
        <v>91745</v>
      </c>
      <c r="E2156">
        <v>72.56</v>
      </c>
    </row>
    <row r="2157" spans="1:5" x14ac:dyDescent="0.2">
      <c r="A2157">
        <v>91746</v>
      </c>
      <c r="B2157" t="s">
        <v>10</v>
      </c>
      <c r="C2157">
        <v>91746</v>
      </c>
      <c r="D2157" t="str">
        <f>"91746"</f>
        <v>91746</v>
      </c>
      <c r="E2157">
        <v>64.8</v>
      </c>
    </row>
    <row r="2158" spans="1:5" x14ac:dyDescent="0.2">
      <c r="A2158">
        <v>91748</v>
      </c>
      <c r="B2158" t="s">
        <v>10</v>
      </c>
      <c r="C2158">
        <v>91748</v>
      </c>
      <c r="D2158" t="str">
        <f>"91748"</f>
        <v>91748</v>
      </c>
      <c r="E2158">
        <v>66.87</v>
      </c>
    </row>
    <row r="2159" spans="1:5" x14ac:dyDescent="0.2">
      <c r="A2159">
        <v>91750</v>
      </c>
      <c r="B2159" t="s">
        <v>10</v>
      </c>
      <c r="C2159">
        <v>91750</v>
      </c>
      <c r="D2159" t="str">
        <f>"91750"</f>
        <v>91750</v>
      </c>
      <c r="E2159">
        <v>78.7</v>
      </c>
    </row>
    <row r="2160" spans="1:5" x14ac:dyDescent="0.2">
      <c r="A2160">
        <v>91752</v>
      </c>
      <c r="B2160" t="s">
        <v>10</v>
      </c>
      <c r="C2160">
        <v>91752</v>
      </c>
      <c r="D2160" t="str">
        <f>"91752"</f>
        <v>91752</v>
      </c>
      <c r="E2160">
        <v>69.13</v>
      </c>
    </row>
    <row r="2161" spans="1:5" x14ac:dyDescent="0.2">
      <c r="A2161">
        <v>91754</v>
      </c>
      <c r="B2161" t="s">
        <v>10</v>
      </c>
      <c r="C2161">
        <v>91754</v>
      </c>
      <c r="D2161" t="str">
        <f>"91754"</f>
        <v>91754</v>
      </c>
      <c r="E2161">
        <v>67.099999999999994</v>
      </c>
    </row>
    <row r="2162" spans="1:5" x14ac:dyDescent="0.2">
      <c r="A2162">
        <v>91755</v>
      </c>
      <c r="B2162" t="s">
        <v>10</v>
      </c>
      <c r="C2162">
        <v>91755</v>
      </c>
      <c r="D2162" t="str">
        <f>"91755"</f>
        <v>91755</v>
      </c>
      <c r="E2162">
        <v>60.09</v>
      </c>
    </row>
    <row r="2163" spans="1:5" x14ac:dyDescent="0.2">
      <c r="A2163">
        <v>91759</v>
      </c>
      <c r="B2163" t="s">
        <v>10</v>
      </c>
      <c r="C2163">
        <v>91759</v>
      </c>
      <c r="D2163" t="str">
        <f>"91759"</f>
        <v>91759</v>
      </c>
      <c r="E2163" t="s">
        <v>6</v>
      </c>
    </row>
    <row r="2164" spans="1:5" x14ac:dyDescent="0.2">
      <c r="A2164">
        <v>91761</v>
      </c>
      <c r="B2164" t="s">
        <v>10</v>
      </c>
      <c r="C2164">
        <v>91761</v>
      </c>
      <c r="D2164" t="str">
        <f>"91761"</f>
        <v>91761</v>
      </c>
      <c r="E2164">
        <v>70.58</v>
      </c>
    </row>
    <row r="2165" spans="1:5" x14ac:dyDescent="0.2">
      <c r="A2165">
        <v>91762</v>
      </c>
      <c r="B2165" t="s">
        <v>10</v>
      </c>
      <c r="C2165">
        <v>91762</v>
      </c>
      <c r="D2165" t="str">
        <f>"91762"</f>
        <v>91762</v>
      </c>
      <c r="E2165">
        <v>65.88</v>
      </c>
    </row>
    <row r="2166" spans="1:5" x14ac:dyDescent="0.2">
      <c r="A2166">
        <v>91763</v>
      </c>
      <c r="B2166" t="s">
        <v>10</v>
      </c>
      <c r="C2166">
        <v>91763</v>
      </c>
      <c r="D2166" t="str">
        <f>"91763"</f>
        <v>91763</v>
      </c>
      <c r="E2166">
        <v>64.510000000000005</v>
      </c>
    </row>
    <row r="2167" spans="1:5" x14ac:dyDescent="0.2">
      <c r="A2167">
        <v>91764</v>
      </c>
      <c r="B2167" t="s">
        <v>10</v>
      </c>
      <c r="C2167">
        <v>91764</v>
      </c>
      <c r="D2167" t="str">
        <f>"91764"</f>
        <v>91764</v>
      </c>
      <c r="E2167">
        <v>64.239999999999995</v>
      </c>
    </row>
    <row r="2168" spans="1:5" x14ac:dyDescent="0.2">
      <c r="A2168">
        <v>91765</v>
      </c>
      <c r="B2168" t="s">
        <v>10</v>
      </c>
      <c r="C2168">
        <v>91765</v>
      </c>
      <c r="D2168" t="str">
        <f>"91765"</f>
        <v>91765</v>
      </c>
      <c r="E2168">
        <v>75.17</v>
      </c>
    </row>
    <row r="2169" spans="1:5" x14ac:dyDescent="0.2">
      <c r="A2169">
        <v>91766</v>
      </c>
      <c r="B2169" t="s">
        <v>10</v>
      </c>
      <c r="C2169">
        <v>91766</v>
      </c>
      <c r="D2169" t="str">
        <f>"91766"</f>
        <v>91766</v>
      </c>
      <c r="E2169">
        <v>62.12</v>
      </c>
    </row>
    <row r="2170" spans="1:5" x14ac:dyDescent="0.2">
      <c r="A2170">
        <v>91767</v>
      </c>
      <c r="B2170" t="s">
        <v>10</v>
      </c>
      <c r="C2170">
        <v>91767</v>
      </c>
      <c r="D2170" t="str">
        <f>"91767"</f>
        <v>91767</v>
      </c>
      <c r="E2170">
        <v>66.27</v>
      </c>
    </row>
    <row r="2171" spans="1:5" x14ac:dyDescent="0.2">
      <c r="A2171">
        <v>91768</v>
      </c>
      <c r="B2171" t="s">
        <v>10</v>
      </c>
      <c r="C2171">
        <v>91768</v>
      </c>
      <c r="D2171" t="str">
        <f>"91768"</f>
        <v>91768</v>
      </c>
      <c r="E2171">
        <v>61.44</v>
      </c>
    </row>
    <row r="2172" spans="1:5" x14ac:dyDescent="0.2">
      <c r="A2172">
        <v>91770</v>
      </c>
      <c r="B2172" t="s">
        <v>10</v>
      </c>
      <c r="C2172">
        <v>91770</v>
      </c>
      <c r="D2172" t="str">
        <f>"91770"</f>
        <v>91770</v>
      </c>
      <c r="E2172">
        <v>61.94</v>
      </c>
    </row>
    <row r="2173" spans="1:5" x14ac:dyDescent="0.2">
      <c r="A2173">
        <v>91773</v>
      </c>
      <c r="B2173" t="s">
        <v>10</v>
      </c>
      <c r="C2173">
        <v>91773</v>
      </c>
      <c r="D2173" t="str">
        <f>"91773"</f>
        <v>91773</v>
      </c>
      <c r="E2173">
        <v>77.84</v>
      </c>
    </row>
    <row r="2174" spans="1:5" x14ac:dyDescent="0.2">
      <c r="A2174">
        <v>91775</v>
      </c>
      <c r="B2174" t="s">
        <v>10</v>
      </c>
      <c r="C2174">
        <v>91775</v>
      </c>
      <c r="D2174" t="str">
        <f>"91775"</f>
        <v>91775</v>
      </c>
      <c r="E2174">
        <v>74.87</v>
      </c>
    </row>
    <row r="2175" spans="1:5" x14ac:dyDescent="0.2">
      <c r="A2175">
        <v>91776</v>
      </c>
      <c r="B2175" t="s">
        <v>10</v>
      </c>
      <c r="C2175">
        <v>91776</v>
      </c>
      <c r="D2175" t="str">
        <f>"91776"</f>
        <v>91776</v>
      </c>
      <c r="E2175">
        <v>61.17</v>
      </c>
    </row>
    <row r="2176" spans="1:5" x14ac:dyDescent="0.2">
      <c r="A2176">
        <v>91780</v>
      </c>
      <c r="B2176" t="s">
        <v>10</v>
      </c>
      <c r="C2176">
        <v>91780</v>
      </c>
      <c r="D2176" t="str">
        <f>"91780"</f>
        <v>91780</v>
      </c>
      <c r="E2176">
        <v>70.36</v>
      </c>
    </row>
    <row r="2177" spans="1:5" x14ac:dyDescent="0.2">
      <c r="A2177">
        <v>91784</v>
      </c>
      <c r="B2177" t="s">
        <v>10</v>
      </c>
      <c r="C2177">
        <v>91784</v>
      </c>
      <c r="D2177" t="str">
        <f>"91784"</f>
        <v>91784</v>
      </c>
      <c r="E2177">
        <v>80.92</v>
      </c>
    </row>
    <row r="2178" spans="1:5" x14ac:dyDescent="0.2">
      <c r="A2178">
        <v>91786</v>
      </c>
      <c r="B2178" t="s">
        <v>10</v>
      </c>
      <c r="C2178">
        <v>91786</v>
      </c>
      <c r="D2178" t="str">
        <f>"91786"</f>
        <v>91786</v>
      </c>
      <c r="E2178">
        <v>70.31</v>
      </c>
    </row>
    <row r="2179" spans="1:5" x14ac:dyDescent="0.2">
      <c r="A2179">
        <v>91789</v>
      </c>
      <c r="B2179" t="s">
        <v>10</v>
      </c>
      <c r="C2179">
        <v>91789</v>
      </c>
      <c r="D2179" t="str">
        <f>"91789"</f>
        <v>91789</v>
      </c>
      <c r="E2179">
        <v>74.17</v>
      </c>
    </row>
    <row r="2180" spans="1:5" x14ac:dyDescent="0.2">
      <c r="A2180">
        <v>91790</v>
      </c>
      <c r="B2180" t="s">
        <v>10</v>
      </c>
      <c r="C2180">
        <v>91790</v>
      </c>
      <c r="D2180" t="str">
        <f>"91790"</f>
        <v>91790</v>
      </c>
      <c r="E2180">
        <v>71.709999999999994</v>
      </c>
    </row>
    <row r="2181" spans="1:5" x14ac:dyDescent="0.2">
      <c r="A2181">
        <v>91791</v>
      </c>
      <c r="B2181" t="s">
        <v>10</v>
      </c>
      <c r="C2181">
        <v>91791</v>
      </c>
      <c r="D2181" t="str">
        <f>"91791"</f>
        <v>91791</v>
      </c>
      <c r="E2181">
        <v>73.72</v>
      </c>
    </row>
    <row r="2182" spans="1:5" x14ac:dyDescent="0.2">
      <c r="A2182">
        <v>91792</v>
      </c>
      <c r="B2182" t="s">
        <v>10</v>
      </c>
      <c r="C2182">
        <v>91792</v>
      </c>
      <c r="D2182" t="str">
        <f>"91792"</f>
        <v>91792</v>
      </c>
      <c r="E2182">
        <v>72.03</v>
      </c>
    </row>
    <row r="2183" spans="1:5" x14ac:dyDescent="0.2">
      <c r="A2183">
        <v>91801</v>
      </c>
      <c r="B2183" t="s">
        <v>10</v>
      </c>
      <c r="C2183">
        <v>91801</v>
      </c>
      <c r="D2183" t="str">
        <f>"91801"</f>
        <v>91801</v>
      </c>
      <c r="E2183">
        <v>70.33</v>
      </c>
    </row>
    <row r="2184" spans="1:5" x14ac:dyDescent="0.2">
      <c r="A2184">
        <v>91803</v>
      </c>
      <c r="B2184" t="s">
        <v>10</v>
      </c>
      <c r="C2184">
        <v>91803</v>
      </c>
      <c r="D2184" t="str">
        <f>"91803"</f>
        <v>91803</v>
      </c>
      <c r="E2184">
        <v>69.540000000000006</v>
      </c>
    </row>
    <row r="2185" spans="1:5" x14ac:dyDescent="0.2">
      <c r="A2185">
        <v>91901</v>
      </c>
      <c r="B2185" t="s">
        <v>10</v>
      </c>
      <c r="C2185">
        <v>91901</v>
      </c>
      <c r="D2185" t="str">
        <f>"91901"</f>
        <v>91901</v>
      </c>
      <c r="E2185">
        <v>78.849999999999994</v>
      </c>
    </row>
    <row r="2186" spans="1:5" x14ac:dyDescent="0.2">
      <c r="A2186">
        <v>91902</v>
      </c>
      <c r="B2186" t="s">
        <v>10</v>
      </c>
      <c r="C2186">
        <v>91902</v>
      </c>
      <c r="D2186" t="str">
        <f>"91902"</f>
        <v>91902</v>
      </c>
      <c r="E2186">
        <v>78.63</v>
      </c>
    </row>
    <row r="2187" spans="1:5" x14ac:dyDescent="0.2">
      <c r="A2187">
        <v>91905</v>
      </c>
      <c r="B2187" t="s">
        <v>10</v>
      </c>
      <c r="C2187">
        <v>91905</v>
      </c>
      <c r="D2187" t="str">
        <f>"91905"</f>
        <v>91905</v>
      </c>
      <c r="E2187">
        <v>69.12</v>
      </c>
    </row>
    <row r="2188" spans="1:5" x14ac:dyDescent="0.2">
      <c r="A2188">
        <v>91906</v>
      </c>
      <c r="B2188" t="s">
        <v>10</v>
      </c>
      <c r="C2188">
        <v>91906</v>
      </c>
      <c r="D2188" t="str">
        <f>"91906"</f>
        <v>91906</v>
      </c>
      <c r="E2188">
        <v>66.010000000000005</v>
      </c>
    </row>
    <row r="2189" spans="1:5" x14ac:dyDescent="0.2">
      <c r="A2189">
        <v>91910</v>
      </c>
      <c r="B2189" t="s">
        <v>10</v>
      </c>
      <c r="C2189">
        <v>91910</v>
      </c>
      <c r="D2189" t="str">
        <f>"91910"</f>
        <v>91910</v>
      </c>
      <c r="E2189">
        <v>71.11</v>
      </c>
    </row>
    <row r="2190" spans="1:5" x14ac:dyDescent="0.2">
      <c r="A2190">
        <v>91911</v>
      </c>
      <c r="B2190" t="s">
        <v>10</v>
      </c>
      <c r="C2190">
        <v>91911</v>
      </c>
      <c r="D2190" t="str">
        <f>"91911"</f>
        <v>91911</v>
      </c>
      <c r="E2190">
        <v>67.03</v>
      </c>
    </row>
    <row r="2191" spans="1:5" x14ac:dyDescent="0.2">
      <c r="A2191">
        <v>91913</v>
      </c>
      <c r="B2191" t="s">
        <v>10</v>
      </c>
      <c r="C2191">
        <v>91913</v>
      </c>
      <c r="D2191" t="str">
        <f>"91913"</f>
        <v>91913</v>
      </c>
      <c r="E2191">
        <v>77.45</v>
      </c>
    </row>
    <row r="2192" spans="1:5" x14ac:dyDescent="0.2">
      <c r="A2192">
        <v>91914</v>
      </c>
      <c r="B2192" t="s">
        <v>10</v>
      </c>
      <c r="C2192">
        <v>91914</v>
      </c>
      <c r="D2192" t="str">
        <f>"91914"</f>
        <v>91914</v>
      </c>
      <c r="E2192">
        <v>78.62</v>
      </c>
    </row>
    <row r="2193" spans="1:5" x14ac:dyDescent="0.2">
      <c r="A2193">
        <v>91915</v>
      </c>
      <c r="B2193" t="s">
        <v>10</v>
      </c>
      <c r="C2193">
        <v>91915</v>
      </c>
      <c r="D2193" t="str">
        <f>"91915"</f>
        <v>91915</v>
      </c>
      <c r="E2193">
        <v>77.59</v>
      </c>
    </row>
    <row r="2194" spans="1:5" x14ac:dyDescent="0.2">
      <c r="A2194">
        <v>91916</v>
      </c>
      <c r="B2194" t="s">
        <v>10</v>
      </c>
      <c r="C2194">
        <v>91916</v>
      </c>
      <c r="D2194" t="str">
        <f>"91916"</f>
        <v>91916</v>
      </c>
      <c r="E2194">
        <v>81.319999999999993</v>
      </c>
    </row>
    <row r="2195" spans="1:5" x14ac:dyDescent="0.2">
      <c r="A2195">
        <v>91917</v>
      </c>
      <c r="B2195" t="s">
        <v>10</v>
      </c>
      <c r="C2195">
        <v>91917</v>
      </c>
      <c r="D2195" t="str">
        <f>"91917"</f>
        <v>91917</v>
      </c>
      <c r="E2195">
        <v>56</v>
      </c>
    </row>
    <row r="2196" spans="1:5" x14ac:dyDescent="0.2">
      <c r="A2196">
        <v>91931</v>
      </c>
      <c r="B2196" t="s">
        <v>10</v>
      </c>
      <c r="C2196">
        <v>91931</v>
      </c>
      <c r="D2196" t="str">
        <f>"91931"</f>
        <v>91931</v>
      </c>
      <c r="E2196" t="s">
        <v>6</v>
      </c>
    </row>
    <row r="2197" spans="1:5" x14ac:dyDescent="0.2">
      <c r="A2197">
        <v>91932</v>
      </c>
      <c r="B2197" t="s">
        <v>10</v>
      </c>
      <c r="C2197">
        <v>91932</v>
      </c>
      <c r="D2197" t="str">
        <f>"91932"</f>
        <v>91932</v>
      </c>
      <c r="E2197">
        <v>68.69</v>
      </c>
    </row>
    <row r="2198" spans="1:5" x14ac:dyDescent="0.2">
      <c r="A2198">
        <v>91934</v>
      </c>
      <c r="B2198" t="s">
        <v>10</v>
      </c>
      <c r="C2198">
        <v>91934</v>
      </c>
      <c r="D2198" t="str">
        <f>"91934"</f>
        <v>91934</v>
      </c>
      <c r="E2198">
        <v>57.69</v>
      </c>
    </row>
    <row r="2199" spans="1:5" x14ac:dyDescent="0.2">
      <c r="A2199">
        <v>91935</v>
      </c>
      <c r="B2199" t="s">
        <v>10</v>
      </c>
      <c r="C2199">
        <v>91935</v>
      </c>
      <c r="D2199" t="str">
        <f>"91935"</f>
        <v>91935</v>
      </c>
      <c r="E2199">
        <v>76.66</v>
      </c>
    </row>
    <row r="2200" spans="1:5" x14ac:dyDescent="0.2">
      <c r="A2200">
        <v>91941</v>
      </c>
      <c r="B2200" t="s">
        <v>10</v>
      </c>
      <c r="C2200">
        <v>91941</v>
      </c>
      <c r="D2200" t="str">
        <f>"91941"</f>
        <v>91941</v>
      </c>
      <c r="E2200">
        <v>78.44</v>
      </c>
    </row>
    <row r="2201" spans="1:5" x14ac:dyDescent="0.2">
      <c r="A2201">
        <v>91942</v>
      </c>
      <c r="B2201" t="s">
        <v>10</v>
      </c>
      <c r="C2201">
        <v>91942</v>
      </c>
      <c r="D2201" t="str">
        <f>"91942"</f>
        <v>91942</v>
      </c>
      <c r="E2201">
        <v>78.97</v>
      </c>
    </row>
    <row r="2202" spans="1:5" x14ac:dyDescent="0.2">
      <c r="A2202">
        <v>91945</v>
      </c>
      <c r="B2202" t="s">
        <v>10</v>
      </c>
      <c r="C2202">
        <v>91945</v>
      </c>
      <c r="D2202" t="str">
        <f>"91945"</f>
        <v>91945</v>
      </c>
      <c r="E2202">
        <v>70.86</v>
      </c>
    </row>
    <row r="2203" spans="1:5" x14ac:dyDescent="0.2">
      <c r="A2203">
        <v>91948</v>
      </c>
      <c r="B2203" t="s">
        <v>10</v>
      </c>
      <c r="C2203">
        <v>91948</v>
      </c>
      <c r="D2203" t="str">
        <f>"91948"</f>
        <v>91948</v>
      </c>
      <c r="E2203" t="s">
        <v>6</v>
      </c>
    </row>
    <row r="2204" spans="1:5" x14ac:dyDescent="0.2">
      <c r="A2204">
        <v>91950</v>
      </c>
      <c r="B2204" t="s">
        <v>10</v>
      </c>
      <c r="C2204">
        <v>91950</v>
      </c>
      <c r="D2204" t="str">
        <f>"91950"</f>
        <v>91950</v>
      </c>
      <c r="E2204">
        <v>64.069999999999993</v>
      </c>
    </row>
    <row r="2205" spans="1:5" x14ac:dyDescent="0.2">
      <c r="A2205">
        <v>91962</v>
      </c>
      <c r="B2205" t="s">
        <v>10</v>
      </c>
      <c r="C2205">
        <v>91962</v>
      </c>
      <c r="D2205" t="str">
        <f>"91962"</f>
        <v>91962</v>
      </c>
      <c r="E2205">
        <v>80.650000000000006</v>
      </c>
    </row>
    <row r="2206" spans="1:5" x14ac:dyDescent="0.2">
      <c r="A2206">
        <v>91963</v>
      </c>
      <c r="B2206" t="s">
        <v>10</v>
      </c>
      <c r="C2206">
        <v>91963</v>
      </c>
      <c r="D2206" t="str">
        <f>"91963"</f>
        <v>91963</v>
      </c>
      <c r="E2206">
        <v>55.74</v>
      </c>
    </row>
    <row r="2207" spans="1:5" x14ac:dyDescent="0.2">
      <c r="A2207">
        <v>91977</v>
      </c>
      <c r="B2207" t="s">
        <v>10</v>
      </c>
      <c r="C2207">
        <v>91977</v>
      </c>
      <c r="D2207" t="str">
        <f>"91977"</f>
        <v>91977</v>
      </c>
      <c r="E2207">
        <v>70.05</v>
      </c>
    </row>
    <row r="2208" spans="1:5" x14ac:dyDescent="0.2">
      <c r="A2208">
        <v>91978</v>
      </c>
      <c r="B2208" t="s">
        <v>10</v>
      </c>
      <c r="C2208">
        <v>91978</v>
      </c>
      <c r="D2208" t="str">
        <f>"91978"</f>
        <v>91978</v>
      </c>
      <c r="E2208">
        <v>73.67</v>
      </c>
    </row>
    <row r="2209" spans="1:5" x14ac:dyDescent="0.2">
      <c r="A2209">
        <v>91980</v>
      </c>
      <c r="B2209" t="s">
        <v>10</v>
      </c>
      <c r="C2209">
        <v>91980</v>
      </c>
      <c r="D2209" t="str">
        <f>"91980"</f>
        <v>91980</v>
      </c>
      <c r="E2209">
        <v>49.5</v>
      </c>
    </row>
    <row r="2210" spans="1:5" x14ac:dyDescent="0.2">
      <c r="A2210">
        <v>92003</v>
      </c>
      <c r="B2210" t="s">
        <v>10</v>
      </c>
      <c r="C2210">
        <v>92003</v>
      </c>
      <c r="D2210" t="str">
        <f>"92003"</f>
        <v>92003</v>
      </c>
      <c r="E2210">
        <v>74.06</v>
      </c>
    </row>
    <row r="2211" spans="1:5" x14ac:dyDescent="0.2">
      <c r="A2211">
        <v>92004</v>
      </c>
      <c r="B2211" t="s">
        <v>10</v>
      </c>
      <c r="C2211">
        <v>92004</v>
      </c>
      <c r="D2211" t="str">
        <f>"92004"</f>
        <v>92004</v>
      </c>
      <c r="E2211">
        <v>64.790000000000006</v>
      </c>
    </row>
    <row r="2212" spans="1:5" x14ac:dyDescent="0.2">
      <c r="A2212">
        <v>92007</v>
      </c>
      <c r="B2212" t="s">
        <v>10</v>
      </c>
      <c r="C2212">
        <v>92007</v>
      </c>
      <c r="D2212" t="str">
        <f>"92007"</f>
        <v>92007</v>
      </c>
      <c r="E2212">
        <v>81.22</v>
      </c>
    </row>
    <row r="2213" spans="1:5" x14ac:dyDescent="0.2">
      <c r="A2213">
        <v>92008</v>
      </c>
      <c r="B2213" t="s">
        <v>10</v>
      </c>
      <c r="C2213">
        <v>92008</v>
      </c>
      <c r="D2213" t="str">
        <f>"92008"</f>
        <v>92008</v>
      </c>
      <c r="E2213">
        <v>80.39</v>
      </c>
    </row>
    <row r="2214" spans="1:5" x14ac:dyDescent="0.2">
      <c r="A2214">
        <v>92009</v>
      </c>
      <c r="B2214" t="s">
        <v>10</v>
      </c>
      <c r="C2214">
        <v>92009</v>
      </c>
      <c r="D2214" t="str">
        <f>"92009"</f>
        <v>92009</v>
      </c>
      <c r="E2214">
        <v>80.78</v>
      </c>
    </row>
    <row r="2215" spans="1:5" x14ac:dyDescent="0.2">
      <c r="A2215">
        <v>92010</v>
      </c>
      <c r="B2215" t="s">
        <v>10</v>
      </c>
      <c r="C2215">
        <v>92010</v>
      </c>
      <c r="D2215" t="str">
        <f>"92010"</f>
        <v>92010</v>
      </c>
      <c r="E2215">
        <v>81.06</v>
      </c>
    </row>
    <row r="2216" spans="1:5" x14ac:dyDescent="0.2">
      <c r="A2216">
        <v>92011</v>
      </c>
      <c r="B2216" t="s">
        <v>10</v>
      </c>
      <c r="C2216">
        <v>92011</v>
      </c>
      <c r="D2216" t="str">
        <f>"92011"</f>
        <v>92011</v>
      </c>
      <c r="E2216">
        <v>80.489999999999995</v>
      </c>
    </row>
    <row r="2217" spans="1:5" x14ac:dyDescent="0.2">
      <c r="A2217">
        <v>92014</v>
      </c>
      <c r="B2217" t="s">
        <v>10</v>
      </c>
      <c r="C2217">
        <v>92014</v>
      </c>
      <c r="D2217" t="str">
        <f>"92014"</f>
        <v>92014</v>
      </c>
      <c r="E2217">
        <v>83.79</v>
      </c>
    </row>
    <row r="2218" spans="1:5" x14ac:dyDescent="0.2">
      <c r="A2218">
        <v>92019</v>
      </c>
      <c r="B2218" t="s">
        <v>10</v>
      </c>
      <c r="C2218">
        <v>92019</v>
      </c>
      <c r="D2218" t="str">
        <f>"92019"</f>
        <v>92019</v>
      </c>
      <c r="E2218">
        <v>73.489999999999995</v>
      </c>
    </row>
    <row r="2219" spans="1:5" x14ac:dyDescent="0.2">
      <c r="A2219">
        <v>92020</v>
      </c>
      <c r="B2219" t="s">
        <v>10</v>
      </c>
      <c r="C2219">
        <v>92020</v>
      </c>
      <c r="D2219" t="str">
        <f>"92020"</f>
        <v>92020</v>
      </c>
      <c r="E2219">
        <v>67.25</v>
      </c>
    </row>
    <row r="2220" spans="1:5" x14ac:dyDescent="0.2">
      <c r="A2220">
        <v>92021</v>
      </c>
      <c r="B2220" t="s">
        <v>10</v>
      </c>
      <c r="C2220">
        <v>92021</v>
      </c>
      <c r="D2220" t="str">
        <f>"92021"</f>
        <v>92021</v>
      </c>
      <c r="E2220">
        <v>68.64</v>
      </c>
    </row>
    <row r="2221" spans="1:5" x14ac:dyDescent="0.2">
      <c r="A2221">
        <v>92024</v>
      </c>
      <c r="B2221" t="s">
        <v>10</v>
      </c>
      <c r="C2221">
        <v>92024</v>
      </c>
      <c r="D2221" t="str">
        <f>"92024"</f>
        <v>92024</v>
      </c>
      <c r="E2221">
        <v>79.66</v>
      </c>
    </row>
    <row r="2222" spans="1:5" x14ac:dyDescent="0.2">
      <c r="A2222">
        <v>92025</v>
      </c>
      <c r="B2222" t="s">
        <v>10</v>
      </c>
      <c r="C2222">
        <v>92025</v>
      </c>
      <c r="D2222" t="str">
        <f>"92025"</f>
        <v>92025</v>
      </c>
      <c r="E2222">
        <v>67.010000000000005</v>
      </c>
    </row>
    <row r="2223" spans="1:5" x14ac:dyDescent="0.2">
      <c r="A2223">
        <v>92026</v>
      </c>
      <c r="B2223" t="s">
        <v>10</v>
      </c>
      <c r="C2223">
        <v>92026</v>
      </c>
      <c r="D2223" t="str">
        <f>"92026"</f>
        <v>92026</v>
      </c>
      <c r="E2223">
        <v>75.03</v>
      </c>
    </row>
    <row r="2224" spans="1:5" x14ac:dyDescent="0.2">
      <c r="A2224">
        <v>92027</v>
      </c>
      <c r="B2224" t="s">
        <v>10</v>
      </c>
      <c r="C2224">
        <v>92027</v>
      </c>
      <c r="D2224" t="str">
        <f>"92027"</f>
        <v>92027</v>
      </c>
      <c r="E2224">
        <v>70.64</v>
      </c>
    </row>
    <row r="2225" spans="1:5" x14ac:dyDescent="0.2">
      <c r="A2225">
        <v>92028</v>
      </c>
      <c r="B2225" t="s">
        <v>10</v>
      </c>
      <c r="C2225">
        <v>92028</v>
      </c>
      <c r="D2225" t="str">
        <f>"92028"</f>
        <v>92028</v>
      </c>
      <c r="E2225">
        <v>71.7</v>
      </c>
    </row>
    <row r="2226" spans="1:5" x14ac:dyDescent="0.2">
      <c r="A2226">
        <v>92029</v>
      </c>
      <c r="B2226" t="s">
        <v>10</v>
      </c>
      <c r="C2226">
        <v>92029</v>
      </c>
      <c r="D2226" t="str">
        <f>"92029"</f>
        <v>92029</v>
      </c>
      <c r="E2226">
        <v>79.58</v>
      </c>
    </row>
    <row r="2227" spans="1:5" x14ac:dyDescent="0.2">
      <c r="A2227">
        <v>92036</v>
      </c>
      <c r="B2227" t="s">
        <v>10</v>
      </c>
      <c r="C2227">
        <v>92036</v>
      </c>
      <c r="D2227" t="str">
        <f>"92036"</f>
        <v>92036</v>
      </c>
      <c r="E2227">
        <v>72.12</v>
      </c>
    </row>
    <row r="2228" spans="1:5" x14ac:dyDescent="0.2">
      <c r="A2228">
        <v>92037</v>
      </c>
      <c r="B2228" t="s">
        <v>10</v>
      </c>
      <c r="C2228">
        <v>92037</v>
      </c>
      <c r="D2228" t="str">
        <f>"92037"</f>
        <v>92037</v>
      </c>
      <c r="E2228">
        <v>82.67</v>
      </c>
    </row>
    <row r="2229" spans="1:5" x14ac:dyDescent="0.2">
      <c r="A2229">
        <v>92040</v>
      </c>
      <c r="B2229" t="s">
        <v>10</v>
      </c>
      <c r="C2229">
        <v>92040</v>
      </c>
      <c r="D2229" t="str">
        <f>"92040"</f>
        <v>92040</v>
      </c>
      <c r="E2229">
        <v>76.19</v>
      </c>
    </row>
    <row r="2230" spans="1:5" x14ac:dyDescent="0.2">
      <c r="A2230">
        <v>92054</v>
      </c>
      <c r="B2230" t="s">
        <v>10</v>
      </c>
      <c r="C2230">
        <v>92054</v>
      </c>
      <c r="D2230" t="str">
        <f>"92054"</f>
        <v>92054</v>
      </c>
      <c r="E2230">
        <v>74.849999999999994</v>
      </c>
    </row>
    <row r="2231" spans="1:5" x14ac:dyDescent="0.2">
      <c r="A2231">
        <v>92055</v>
      </c>
      <c r="B2231" t="s">
        <v>10</v>
      </c>
      <c r="C2231">
        <v>92055</v>
      </c>
      <c r="D2231" t="str">
        <f>"92055"</f>
        <v>92055</v>
      </c>
      <c r="E2231" t="s">
        <v>6</v>
      </c>
    </row>
    <row r="2232" spans="1:5" x14ac:dyDescent="0.2">
      <c r="A2232">
        <v>92056</v>
      </c>
      <c r="B2232" t="s">
        <v>10</v>
      </c>
      <c r="C2232">
        <v>92056</v>
      </c>
      <c r="D2232" t="str">
        <f>"92056"</f>
        <v>92056</v>
      </c>
      <c r="E2232">
        <v>77.180000000000007</v>
      </c>
    </row>
    <row r="2233" spans="1:5" x14ac:dyDescent="0.2">
      <c r="A2233">
        <v>92057</v>
      </c>
      <c r="B2233" t="s">
        <v>10</v>
      </c>
      <c r="C2233">
        <v>92057</v>
      </c>
      <c r="D2233" t="str">
        <f>"92057"</f>
        <v>92057</v>
      </c>
      <c r="E2233">
        <v>75.17</v>
      </c>
    </row>
    <row r="2234" spans="1:5" x14ac:dyDescent="0.2">
      <c r="A2234">
        <v>92058</v>
      </c>
      <c r="B2234" t="s">
        <v>10</v>
      </c>
      <c r="C2234">
        <v>92058</v>
      </c>
      <c r="D2234" t="str">
        <f>"92058"</f>
        <v>92058</v>
      </c>
      <c r="E2234">
        <v>67.95</v>
      </c>
    </row>
    <row r="2235" spans="1:5" x14ac:dyDescent="0.2">
      <c r="A2235">
        <v>92059</v>
      </c>
      <c r="B2235" t="s">
        <v>10</v>
      </c>
      <c r="C2235">
        <v>92059</v>
      </c>
      <c r="D2235" t="str">
        <f>"92059"</f>
        <v>92059</v>
      </c>
      <c r="E2235">
        <v>81.11</v>
      </c>
    </row>
    <row r="2236" spans="1:5" x14ac:dyDescent="0.2">
      <c r="A2236">
        <v>92060</v>
      </c>
      <c r="B2236" t="s">
        <v>10</v>
      </c>
      <c r="C2236">
        <v>92060</v>
      </c>
      <c r="D2236" t="str">
        <f>"92060"</f>
        <v>92060</v>
      </c>
      <c r="E2236" t="s">
        <v>6</v>
      </c>
    </row>
    <row r="2237" spans="1:5" x14ac:dyDescent="0.2">
      <c r="A2237">
        <v>92061</v>
      </c>
      <c r="B2237" t="s">
        <v>10</v>
      </c>
      <c r="C2237">
        <v>92061</v>
      </c>
      <c r="D2237" t="str">
        <f>"92061"</f>
        <v>92061</v>
      </c>
      <c r="E2237">
        <v>70.34</v>
      </c>
    </row>
    <row r="2238" spans="1:5" x14ac:dyDescent="0.2">
      <c r="A2238">
        <v>92064</v>
      </c>
      <c r="B2238" t="s">
        <v>10</v>
      </c>
      <c r="C2238">
        <v>92064</v>
      </c>
      <c r="D2238" t="str">
        <f>"92064"</f>
        <v>92064</v>
      </c>
      <c r="E2238">
        <v>79.69</v>
      </c>
    </row>
    <row r="2239" spans="1:5" x14ac:dyDescent="0.2">
      <c r="A2239">
        <v>92065</v>
      </c>
      <c r="B2239" t="s">
        <v>10</v>
      </c>
      <c r="C2239">
        <v>92065</v>
      </c>
      <c r="D2239" t="str">
        <f>"92065"</f>
        <v>92065</v>
      </c>
      <c r="E2239">
        <v>76.62</v>
      </c>
    </row>
    <row r="2240" spans="1:5" x14ac:dyDescent="0.2">
      <c r="A2240">
        <v>92066</v>
      </c>
      <c r="B2240" t="s">
        <v>10</v>
      </c>
      <c r="C2240">
        <v>92066</v>
      </c>
      <c r="D2240" t="str">
        <f>"92066"</f>
        <v>92066</v>
      </c>
      <c r="E2240">
        <v>66.67</v>
      </c>
    </row>
    <row r="2241" spans="1:5" x14ac:dyDescent="0.2">
      <c r="A2241">
        <v>92067</v>
      </c>
      <c r="B2241" t="s">
        <v>10</v>
      </c>
      <c r="C2241">
        <v>92067</v>
      </c>
      <c r="D2241" t="str">
        <f>"92067"</f>
        <v>92067</v>
      </c>
      <c r="E2241" t="s">
        <v>6</v>
      </c>
    </row>
    <row r="2242" spans="1:5" x14ac:dyDescent="0.2">
      <c r="A2242">
        <v>92069</v>
      </c>
      <c r="B2242" t="s">
        <v>10</v>
      </c>
      <c r="C2242">
        <v>92069</v>
      </c>
      <c r="D2242" t="str">
        <f>"92069"</f>
        <v>92069</v>
      </c>
      <c r="E2242">
        <v>72.67</v>
      </c>
    </row>
    <row r="2243" spans="1:5" x14ac:dyDescent="0.2">
      <c r="A2243">
        <v>92070</v>
      </c>
      <c r="B2243" t="s">
        <v>10</v>
      </c>
      <c r="C2243">
        <v>92070</v>
      </c>
      <c r="D2243" t="str">
        <f>"92070"</f>
        <v>92070</v>
      </c>
      <c r="E2243">
        <v>69.64</v>
      </c>
    </row>
    <row r="2244" spans="1:5" x14ac:dyDescent="0.2">
      <c r="A2244">
        <v>92071</v>
      </c>
      <c r="B2244" t="s">
        <v>10</v>
      </c>
      <c r="C2244">
        <v>92071</v>
      </c>
      <c r="D2244" t="str">
        <f>"92071"</f>
        <v>92071</v>
      </c>
      <c r="E2244">
        <v>79.760000000000005</v>
      </c>
    </row>
    <row r="2245" spans="1:5" x14ac:dyDescent="0.2">
      <c r="A2245">
        <v>92075</v>
      </c>
      <c r="B2245" t="s">
        <v>10</v>
      </c>
      <c r="C2245">
        <v>92075</v>
      </c>
      <c r="D2245" t="str">
        <f>"92075"</f>
        <v>92075</v>
      </c>
      <c r="E2245">
        <v>80.38</v>
      </c>
    </row>
    <row r="2246" spans="1:5" x14ac:dyDescent="0.2">
      <c r="A2246">
        <v>92078</v>
      </c>
      <c r="B2246" t="s">
        <v>10</v>
      </c>
      <c r="C2246">
        <v>92078</v>
      </c>
      <c r="D2246" t="str">
        <f>"92078"</f>
        <v>92078</v>
      </c>
      <c r="E2246">
        <v>77.319999999999993</v>
      </c>
    </row>
    <row r="2247" spans="1:5" x14ac:dyDescent="0.2">
      <c r="A2247">
        <v>92081</v>
      </c>
      <c r="B2247" t="s">
        <v>10</v>
      </c>
      <c r="C2247">
        <v>92081</v>
      </c>
      <c r="D2247" t="str">
        <f>"92081"</f>
        <v>92081</v>
      </c>
      <c r="E2247">
        <v>80.12</v>
      </c>
    </row>
    <row r="2248" spans="1:5" x14ac:dyDescent="0.2">
      <c r="A2248">
        <v>92082</v>
      </c>
      <c r="B2248" t="s">
        <v>10</v>
      </c>
      <c r="C2248">
        <v>92082</v>
      </c>
      <c r="D2248" t="str">
        <f>"92082"</f>
        <v>92082</v>
      </c>
      <c r="E2248">
        <v>73.03</v>
      </c>
    </row>
    <row r="2249" spans="1:5" x14ac:dyDescent="0.2">
      <c r="A2249">
        <v>92083</v>
      </c>
      <c r="B2249" t="s">
        <v>10</v>
      </c>
      <c r="C2249">
        <v>92083</v>
      </c>
      <c r="D2249" t="str">
        <f>"92083"</f>
        <v>92083</v>
      </c>
      <c r="E2249">
        <v>68.61</v>
      </c>
    </row>
    <row r="2250" spans="1:5" x14ac:dyDescent="0.2">
      <c r="A2250">
        <v>92084</v>
      </c>
      <c r="B2250" t="s">
        <v>10</v>
      </c>
      <c r="C2250">
        <v>92084</v>
      </c>
      <c r="D2250" t="str">
        <f>"92084"</f>
        <v>92084</v>
      </c>
      <c r="E2250">
        <v>69.87</v>
      </c>
    </row>
    <row r="2251" spans="1:5" x14ac:dyDescent="0.2">
      <c r="A2251">
        <v>92086</v>
      </c>
      <c r="B2251" t="s">
        <v>10</v>
      </c>
      <c r="C2251">
        <v>92086</v>
      </c>
      <c r="D2251" t="str">
        <f>"92086"</f>
        <v>92086</v>
      </c>
      <c r="E2251">
        <v>68.52</v>
      </c>
    </row>
    <row r="2252" spans="1:5" x14ac:dyDescent="0.2">
      <c r="A2252">
        <v>92091</v>
      </c>
      <c r="B2252" t="s">
        <v>10</v>
      </c>
      <c r="C2252">
        <v>92091</v>
      </c>
      <c r="D2252" t="str">
        <f>"92091"</f>
        <v>92091</v>
      </c>
      <c r="E2252">
        <v>79.37</v>
      </c>
    </row>
    <row r="2253" spans="1:5" x14ac:dyDescent="0.2">
      <c r="A2253">
        <v>92092</v>
      </c>
      <c r="B2253" t="s">
        <v>10</v>
      </c>
      <c r="C2253">
        <v>92092</v>
      </c>
      <c r="D2253" t="str">
        <f>"92092"</f>
        <v>92092</v>
      </c>
      <c r="E2253" t="s">
        <v>6</v>
      </c>
    </row>
    <row r="2254" spans="1:5" x14ac:dyDescent="0.2">
      <c r="A2254">
        <v>92093</v>
      </c>
      <c r="B2254" t="s">
        <v>10</v>
      </c>
      <c r="C2254">
        <v>92093</v>
      </c>
      <c r="D2254" t="str">
        <f>"92093"</f>
        <v>92093</v>
      </c>
      <c r="E2254" t="s">
        <v>6</v>
      </c>
    </row>
    <row r="2255" spans="1:5" x14ac:dyDescent="0.2">
      <c r="A2255">
        <v>92101</v>
      </c>
      <c r="B2255" t="s">
        <v>10</v>
      </c>
      <c r="C2255">
        <v>92101</v>
      </c>
      <c r="D2255" t="str">
        <f>"92101"</f>
        <v>92101</v>
      </c>
      <c r="E2255">
        <v>84.64</v>
      </c>
    </row>
    <row r="2256" spans="1:5" x14ac:dyDescent="0.2">
      <c r="A2256">
        <v>92102</v>
      </c>
      <c r="B2256" t="s">
        <v>10</v>
      </c>
      <c r="C2256">
        <v>92102</v>
      </c>
      <c r="D2256" t="str">
        <f>"92102"</f>
        <v>92102</v>
      </c>
      <c r="E2256">
        <v>67.650000000000006</v>
      </c>
    </row>
    <row r="2257" spans="1:5" x14ac:dyDescent="0.2">
      <c r="A2257">
        <v>92103</v>
      </c>
      <c r="B2257" t="s">
        <v>10</v>
      </c>
      <c r="C2257">
        <v>92103</v>
      </c>
      <c r="D2257" t="str">
        <f>"92103"</f>
        <v>92103</v>
      </c>
      <c r="E2257">
        <v>86.08</v>
      </c>
    </row>
    <row r="2258" spans="1:5" x14ac:dyDescent="0.2">
      <c r="A2258">
        <v>92104</v>
      </c>
      <c r="B2258" t="s">
        <v>10</v>
      </c>
      <c r="C2258">
        <v>92104</v>
      </c>
      <c r="D2258" t="str">
        <f>"92104"</f>
        <v>92104</v>
      </c>
      <c r="E2258">
        <v>81.349999999999994</v>
      </c>
    </row>
    <row r="2259" spans="1:5" x14ac:dyDescent="0.2">
      <c r="A2259">
        <v>92105</v>
      </c>
      <c r="B2259" t="s">
        <v>10</v>
      </c>
      <c r="C2259">
        <v>92105</v>
      </c>
      <c r="D2259" t="str">
        <f>"92105"</f>
        <v>92105</v>
      </c>
      <c r="E2259">
        <v>59.05</v>
      </c>
    </row>
    <row r="2260" spans="1:5" x14ac:dyDescent="0.2">
      <c r="A2260">
        <v>92106</v>
      </c>
      <c r="B2260" t="s">
        <v>10</v>
      </c>
      <c r="C2260">
        <v>92106</v>
      </c>
      <c r="D2260" t="str">
        <f>"92106"</f>
        <v>92106</v>
      </c>
      <c r="E2260">
        <v>81.430000000000007</v>
      </c>
    </row>
    <row r="2261" spans="1:5" x14ac:dyDescent="0.2">
      <c r="A2261">
        <v>92107</v>
      </c>
      <c r="B2261" t="s">
        <v>10</v>
      </c>
      <c r="C2261">
        <v>92107</v>
      </c>
      <c r="D2261" t="str">
        <f>"92107"</f>
        <v>92107</v>
      </c>
      <c r="E2261">
        <v>84.75</v>
      </c>
    </row>
    <row r="2262" spans="1:5" x14ac:dyDescent="0.2">
      <c r="A2262">
        <v>92108</v>
      </c>
      <c r="B2262" t="s">
        <v>10</v>
      </c>
      <c r="C2262">
        <v>92108</v>
      </c>
      <c r="D2262" t="str">
        <f>"92108"</f>
        <v>92108</v>
      </c>
      <c r="E2262">
        <v>85.38</v>
      </c>
    </row>
    <row r="2263" spans="1:5" x14ac:dyDescent="0.2">
      <c r="A2263">
        <v>92109</v>
      </c>
      <c r="B2263" t="s">
        <v>10</v>
      </c>
      <c r="C2263">
        <v>92109</v>
      </c>
      <c r="D2263" t="str">
        <f>"92109"</f>
        <v>92109</v>
      </c>
      <c r="E2263">
        <v>86.06</v>
      </c>
    </row>
    <row r="2264" spans="1:5" x14ac:dyDescent="0.2">
      <c r="A2264">
        <v>92110</v>
      </c>
      <c r="B2264" t="s">
        <v>10</v>
      </c>
      <c r="C2264">
        <v>92110</v>
      </c>
      <c r="D2264" t="str">
        <f>"92110"</f>
        <v>92110</v>
      </c>
      <c r="E2264">
        <v>79.09</v>
      </c>
    </row>
    <row r="2265" spans="1:5" x14ac:dyDescent="0.2">
      <c r="A2265">
        <v>92111</v>
      </c>
      <c r="B2265" t="s">
        <v>10</v>
      </c>
      <c r="C2265">
        <v>92111</v>
      </c>
      <c r="D2265" t="str">
        <f>"92111"</f>
        <v>92111</v>
      </c>
      <c r="E2265">
        <v>74.900000000000006</v>
      </c>
    </row>
    <row r="2266" spans="1:5" x14ac:dyDescent="0.2">
      <c r="A2266">
        <v>92113</v>
      </c>
      <c r="B2266" t="s">
        <v>10</v>
      </c>
      <c r="C2266">
        <v>92113</v>
      </c>
      <c r="D2266" t="str">
        <f>"92113"</f>
        <v>92113</v>
      </c>
      <c r="E2266">
        <v>54.73</v>
      </c>
    </row>
    <row r="2267" spans="1:5" x14ac:dyDescent="0.2">
      <c r="A2267">
        <v>92114</v>
      </c>
      <c r="B2267" t="s">
        <v>10</v>
      </c>
      <c r="C2267">
        <v>92114</v>
      </c>
      <c r="D2267" t="str">
        <f>"92114"</f>
        <v>92114</v>
      </c>
      <c r="E2267">
        <v>68.64</v>
      </c>
    </row>
    <row r="2268" spans="1:5" x14ac:dyDescent="0.2">
      <c r="A2268">
        <v>92115</v>
      </c>
      <c r="B2268" t="s">
        <v>10</v>
      </c>
      <c r="C2268">
        <v>92115</v>
      </c>
      <c r="D2268" t="str">
        <f>"92115"</f>
        <v>92115</v>
      </c>
      <c r="E2268">
        <v>69.180000000000007</v>
      </c>
    </row>
    <row r="2269" spans="1:5" x14ac:dyDescent="0.2">
      <c r="A2269">
        <v>92116</v>
      </c>
      <c r="B2269" t="s">
        <v>10</v>
      </c>
      <c r="C2269">
        <v>92116</v>
      </c>
      <c r="D2269" t="str">
        <f>"92116"</f>
        <v>92116</v>
      </c>
      <c r="E2269">
        <v>84.13</v>
      </c>
    </row>
    <row r="2270" spans="1:5" x14ac:dyDescent="0.2">
      <c r="A2270">
        <v>92117</v>
      </c>
      <c r="B2270" t="s">
        <v>10</v>
      </c>
      <c r="C2270">
        <v>92117</v>
      </c>
      <c r="D2270" t="str">
        <f>"92117"</f>
        <v>92117</v>
      </c>
      <c r="E2270">
        <v>80.099999999999994</v>
      </c>
    </row>
    <row r="2271" spans="1:5" x14ac:dyDescent="0.2">
      <c r="A2271">
        <v>92118</v>
      </c>
      <c r="B2271" t="s">
        <v>10</v>
      </c>
      <c r="C2271">
        <v>92118</v>
      </c>
      <c r="D2271" t="str">
        <f>"92118"</f>
        <v>92118</v>
      </c>
      <c r="E2271">
        <v>79.849999999999994</v>
      </c>
    </row>
    <row r="2272" spans="1:5" x14ac:dyDescent="0.2">
      <c r="A2272">
        <v>92119</v>
      </c>
      <c r="B2272" t="s">
        <v>10</v>
      </c>
      <c r="C2272">
        <v>92119</v>
      </c>
      <c r="D2272" t="str">
        <f>"92119"</f>
        <v>92119</v>
      </c>
      <c r="E2272">
        <v>82.61</v>
      </c>
    </row>
    <row r="2273" spans="1:5" x14ac:dyDescent="0.2">
      <c r="A2273">
        <v>92120</v>
      </c>
      <c r="B2273" t="s">
        <v>10</v>
      </c>
      <c r="C2273">
        <v>92120</v>
      </c>
      <c r="D2273" t="str">
        <f>"92120"</f>
        <v>92120</v>
      </c>
      <c r="E2273">
        <v>82.14</v>
      </c>
    </row>
    <row r="2274" spans="1:5" x14ac:dyDescent="0.2">
      <c r="A2274">
        <v>92121</v>
      </c>
      <c r="B2274" t="s">
        <v>10</v>
      </c>
      <c r="C2274">
        <v>92121</v>
      </c>
      <c r="D2274" t="str">
        <f>"92121"</f>
        <v>92121</v>
      </c>
      <c r="E2274">
        <v>84.44</v>
      </c>
    </row>
    <row r="2275" spans="1:5" x14ac:dyDescent="0.2">
      <c r="A2275">
        <v>92122</v>
      </c>
      <c r="B2275" t="s">
        <v>10</v>
      </c>
      <c r="C2275">
        <v>92122</v>
      </c>
      <c r="D2275" t="str">
        <f>"92122"</f>
        <v>92122</v>
      </c>
      <c r="E2275">
        <v>82.61</v>
      </c>
    </row>
    <row r="2276" spans="1:5" x14ac:dyDescent="0.2">
      <c r="A2276">
        <v>92123</v>
      </c>
      <c r="B2276" t="s">
        <v>10</v>
      </c>
      <c r="C2276">
        <v>92123</v>
      </c>
      <c r="D2276" t="str">
        <f>"92123"</f>
        <v>92123</v>
      </c>
      <c r="E2276">
        <v>80.17</v>
      </c>
    </row>
    <row r="2277" spans="1:5" x14ac:dyDescent="0.2">
      <c r="A2277">
        <v>92124</v>
      </c>
      <c r="B2277" t="s">
        <v>10</v>
      </c>
      <c r="C2277">
        <v>92124</v>
      </c>
      <c r="D2277" t="str">
        <f>"92124"</f>
        <v>92124</v>
      </c>
      <c r="E2277">
        <v>77.91</v>
      </c>
    </row>
    <row r="2278" spans="1:5" x14ac:dyDescent="0.2">
      <c r="A2278">
        <v>92126</v>
      </c>
      <c r="B2278" t="s">
        <v>10</v>
      </c>
      <c r="C2278">
        <v>92126</v>
      </c>
      <c r="D2278" t="str">
        <f>"92126"</f>
        <v>92126</v>
      </c>
      <c r="E2278">
        <v>80.08</v>
      </c>
    </row>
    <row r="2279" spans="1:5" x14ac:dyDescent="0.2">
      <c r="A2279">
        <v>92127</v>
      </c>
      <c r="B2279" t="s">
        <v>10</v>
      </c>
      <c r="C2279">
        <v>92127</v>
      </c>
      <c r="D2279" t="str">
        <f>"92127"</f>
        <v>92127</v>
      </c>
      <c r="E2279">
        <v>83.14</v>
      </c>
    </row>
    <row r="2280" spans="1:5" x14ac:dyDescent="0.2">
      <c r="A2280">
        <v>92128</v>
      </c>
      <c r="B2280" t="s">
        <v>10</v>
      </c>
      <c r="C2280">
        <v>92128</v>
      </c>
      <c r="D2280" t="str">
        <f>"92128"</f>
        <v>92128</v>
      </c>
      <c r="E2280">
        <v>84.12</v>
      </c>
    </row>
    <row r="2281" spans="1:5" x14ac:dyDescent="0.2">
      <c r="A2281">
        <v>92129</v>
      </c>
      <c r="B2281" t="s">
        <v>10</v>
      </c>
      <c r="C2281">
        <v>92129</v>
      </c>
      <c r="D2281" t="str">
        <f>"92129"</f>
        <v>92129</v>
      </c>
      <c r="E2281">
        <v>82.97</v>
      </c>
    </row>
    <row r="2282" spans="1:5" x14ac:dyDescent="0.2">
      <c r="A2282">
        <v>92130</v>
      </c>
      <c r="B2282" t="s">
        <v>10</v>
      </c>
      <c r="C2282">
        <v>92130</v>
      </c>
      <c r="D2282" t="str">
        <f>"92130"</f>
        <v>92130</v>
      </c>
      <c r="E2282">
        <v>82.06</v>
      </c>
    </row>
    <row r="2283" spans="1:5" x14ac:dyDescent="0.2">
      <c r="A2283">
        <v>92131</v>
      </c>
      <c r="B2283" t="s">
        <v>10</v>
      </c>
      <c r="C2283">
        <v>92131</v>
      </c>
      <c r="D2283" t="str">
        <f>"92131"</f>
        <v>92131</v>
      </c>
      <c r="E2283">
        <v>84.34</v>
      </c>
    </row>
    <row r="2284" spans="1:5" x14ac:dyDescent="0.2">
      <c r="A2284">
        <v>92132</v>
      </c>
      <c r="B2284" t="s">
        <v>10</v>
      </c>
      <c r="C2284">
        <v>92132</v>
      </c>
      <c r="D2284" t="str">
        <f>"92132"</f>
        <v>92132</v>
      </c>
      <c r="E2284" t="s">
        <v>6</v>
      </c>
    </row>
    <row r="2285" spans="1:5" x14ac:dyDescent="0.2">
      <c r="A2285">
        <v>92134</v>
      </c>
      <c r="B2285" t="s">
        <v>10</v>
      </c>
      <c r="C2285">
        <v>92134</v>
      </c>
      <c r="D2285" t="str">
        <f>"92134"</f>
        <v>92134</v>
      </c>
      <c r="E2285" t="s">
        <v>6</v>
      </c>
    </row>
    <row r="2286" spans="1:5" x14ac:dyDescent="0.2">
      <c r="A2286">
        <v>92135</v>
      </c>
      <c r="B2286" t="s">
        <v>10</v>
      </c>
      <c r="C2286">
        <v>92135</v>
      </c>
      <c r="D2286" t="str">
        <f>"92135"</f>
        <v>92135</v>
      </c>
      <c r="E2286" t="s">
        <v>6</v>
      </c>
    </row>
    <row r="2287" spans="1:5" x14ac:dyDescent="0.2">
      <c r="A2287">
        <v>92136</v>
      </c>
      <c r="B2287" t="s">
        <v>10</v>
      </c>
      <c r="C2287">
        <v>92136</v>
      </c>
      <c r="D2287" t="str">
        <f>"92136"</f>
        <v>92136</v>
      </c>
      <c r="E2287" t="s">
        <v>6</v>
      </c>
    </row>
    <row r="2288" spans="1:5" x14ac:dyDescent="0.2">
      <c r="A2288">
        <v>92139</v>
      </c>
      <c r="B2288" t="s">
        <v>10</v>
      </c>
      <c r="C2288">
        <v>92139</v>
      </c>
      <c r="D2288" t="str">
        <f>"92139"</f>
        <v>92139</v>
      </c>
      <c r="E2288">
        <v>72.48</v>
      </c>
    </row>
    <row r="2289" spans="1:5" x14ac:dyDescent="0.2">
      <c r="A2289">
        <v>92140</v>
      </c>
      <c r="B2289" t="s">
        <v>10</v>
      </c>
      <c r="C2289">
        <v>92140</v>
      </c>
      <c r="D2289" t="str">
        <f>"92140"</f>
        <v>92140</v>
      </c>
      <c r="E2289" t="s">
        <v>6</v>
      </c>
    </row>
    <row r="2290" spans="1:5" x14ac:dyDescent="0.2">
      <c r="A2290">
        <v>92145</v>
      </c>
      <c r="B2290" t="s">
        <v>10</v>
      </c>
      <c r="C2290">
        <v>92145</v>
      </c>
      <c r="D2290" t="str">
        <f>"92145"</f>
        <v>92145</v>
      </c>
      <c r="E2290" t="s">
        <v>6</v>
      </c>
    </row>
    <row r="2291" spans="1:5" x14ac:dyDescent="0.2">
      <c r="A2291">
        <v>92147</v>
      </c>
      <c r="B2291" t="s">
        <v>10</v>
      </c>
      <c r="C2291">
        <v>92147</v>
      </c>
      <c r="D2291" t="str">
        <f>"92147"</f>
        <v>92147</v>
      </c>
      <c r="E2291" t="s">
        <v>6</v>
      </c>
    </row>
    <row r="2292" spans="1:5" x14ac:dyDescent="0.2">
      <c r="A2292">
        <v>92152</v>
      </c>
      <c r="B2292" t="s">
        <v>10</v>
      </c>
      <c r="C2292">
        <v>92152</v>
      </c>
      <c r="D2292" t="str">
        <f>"92152"</f>
        <v>92152</v>
      </c>
      <c r="E2292" t="s">
        <v>6</v>
      </c>
    </row>
    <row r="2293" spans="1:5" x14ac:dyDescent="0.2">
      <c r="A2293">
        <v>92154</v>
      </c>
      <c r="B2293" t="s">
        <v>10</v>
      </c>
      <c r="C2293">
        <v>92154</v>
      </c>
      <c r="D2293" t="str">
        <f>"92154"</f>
        <v>92154</v>
      </c>
      <c r="E2293">
        <v>66.87</v>
      </c>
    </row>
    <row r="2294" spans="1:5" x14ac:dyDescent="0.2">
      <c r="A2294">
        <v>92155</v>
      </c>
      <c r="B2294" t="s">
        <v>10</v>
      </c>
      <c r="C2294">
        <v>92155</v>
      </c>
      <c r="D2294" t="str">
        <f>"92155"</f>
        <v>92155</v>
      </c>
      <c r="E2294" t="s">
        <v>6</v>
      </c>
    </row>
    <row r="2295" spans="1:5" x14ac:dyDescent="0.2">
      <c r="A2295">
        <v>92158</v>
      </c>
      <c r="B2295" t="s">
        <v>10</v>
      </c>
      <c r="C2295">
        <v>92158</v>
      </c>
      <c r="D2295" t="str">
        <f>"92158"</f>
        <v>92158</v>
      </c>
      <c r="E2295" t="s">
        <v>6</v>
      </c>
    </row>
    <row r="2296" spans="1:5" x14ac:dyDescent="0.2">
      <c r="A2296">
        <v>92173</v>
      </c>
      <c r="B2296" t="s">
        <v>10</v>
      </c>
      <c r="C2296">
        <v>92173</v>
      </c>
      <c r="D2296" t="str">
        <f>"92173"</f>
        <v>92173</v>
      </c>
      <c r="E2296">
        <v>54.79</v>
      </c>
    </row>
    <row r="2297" spans="1:5" x14ac:dyDescent="0.2">
      <c r="A2297">
        <v>92182</v>
      </c>
      <c r="B2297" t="s">
        <v>10</v>
      </c>
      <c r="C2297">
        <v>92182</v>
      </c>
      <c r="D2297" t="str">
        <f>"92182"</f>
        <v>92182</v>
      </c>
      <c r="E2297" t="s">
        <v>6</v>
      </c>
    </row>
    <row r="2298" spans="1:5" x14ac:dyDescent="0.2">
      <c r="A2298">
        <v>92201</v>
      </c>
      <c r="B2298" t="s">
        <v>10</v>
      </c>
      <c r="C2298">
        <v>92201</v>
      </c>
      <c r="D2298" t="str">
        <f>"92201"</f>
        <v>92201</v>
      </c>
      <c r="E2298">
        <v>58.06</v>
      </c>
    </row>
    <row r="2299" spans="1:5" x14ac:dyDescent="0.2">
      <c r="A2299">
        <v>92203</v>
      </c>
      <c r="B2299" t="s">
        <v>10</v>
      </c>
      <c r="C2299">
        <v>92203</v>
      </c>
      <c r="D2299" t="str">
        <f>"92203"</f>
        <v>92203</v>
      </c>
      <c r="E2299">
        <v>74.349999999999994</v>
      </c>
    </row>
    <row r="2300" spans="1:5" x14ac:dyDescent="0.2">
      <c r="A2300">
        <v>92210</v>
      </c>
      <c r="B2300" t="s">
        <v>10</v>
      </c>
      <c r="C2300">
        <v>92210</v>
      </c>
      <c r="D2300" t="str">
        <f>"92210"</f>
        <v>92210</v>
      </c>
      <c r="E2300">
        <v>78.069999999999993</v>
      </c>
    </row>
    <row r="2301" spans="1:5" x14ac:dyDescent="0.2">
      <c r="A2301">
        <v>92211</v>
      </c>
      <c r="B2301" t="s">
        <v>10</v>
      </c>
      <c r="C2301">
        <v>92211</v>
      </c>
      <c r="D2301" t="str">
        <f>"92211"</f>
        <v>92211</v>
      </c>
      <c r="E2301">
        <v>77.12</v>
      </c>
    </row>
    <row r="2302" spans="1:5" x14ac:dyDescent="0.2">
      <c r="A2302">
        <v>92220</v>
      </c>
      <c r="B2302" t="s">
        <v>10</v>
      </c>
      <c r="C2302">
        <v>92220</v>
      </c>
      <c r="D2302" t="str">
        <f>"92220"</f>
        <v>92220</v>
      </c>
      <c r="E2302">
        <v>66.38</v>
      </c>
    </row>
    <row r="2303" spans="1:5" x14ac:dyDescent="0.2">
      <c r="A2303">
        <v>92223</v>
      </c>
      <c r="B2303" t="s">
        <v>10</v>
      </c>
      <c r="C2303">
        <v>92223</v>
      </c>
      <c r="D2303" t="str">
        <f>"92223"</f>
        <v>92223</v>
      </c>
      <c r="E2303">
        <v>73.73</v>
      </c>
    </row>
    <row r="2304" spans="1:5" x14ac:dyDescent="0.2">
      <c r="A2304">
        <v>92225</v>
      </c>
      <c r="B2304" t="s">
        <v>10</v>
      </c>
      <c r="C2304">
        <v>92225</v>
      </c>
      <c r="D2304" t="str">
        <f>"92225"</f>
        <v>92225</v>
      </c>
      <c r="E2304">
        <v>57.87</v>
      </c>
    </row>
    <row r="2305" spans="1:5" x14ac:dyDescent="0.2">
      <c r="A2305">
        <v>92227</v>
      </c>
      <c r="B2305" t="s">
        <v>10</v>
      </c>
      <c r="C2305">
        <v>92227</v>
      </c>
      <c r="D2305" t="str">
        <f>"92227"</f>
        <v>92227</v>
      </c>
      <c r="E2305">
        <v>58.56</v>
      </c>
    </row>
    <row r="2306" spans="1:5" x14ac:dyDescent="0.2">
      <c r="A2306">
        <v>92230</v>
      </c>
      <c r="B2306" t="s">
        <v>10</v>
      </c>
      <c r="C2306">
        <v>92230</v>
      </c>
      <c r="D2306" t="str">
        <f>"92230"</f>
        <v>92230</v>
      </c>
      <c r="E2306">
        <v>58.06</v>
      </c>
    </row>
    <row r="2307" spans="1:5" x14ac:dyDescent="0.2">
      <c r="A2307">
        <v>92231</v>
      </c>
      <c r="B2307" t="s">
        <v>10</v>
      </c>
      <c r="C2307">
        <v>92231</v>
      </c>
      <c r="D2307" t="str">
        <f>"92231"</f>
        <v>92231</v>
      </c>
      <c r="E2307">
        <v>43.23</v>
      </c>
    </row>
    <row r="2308" spans="1:5" x14ac:dyDescent="0.2">
      <c r="A2308">
        <v>92233</v>
      </c>
      <c r="B2308" t="s">
        <v>10</v>
      </c>
      <c r="C2308">
        <v>92233</v>
      </c>
      <c r="D2308" t="str">
        <f>"92233"</f>
        <v>92233</v>
      </c>
      <c r="E2308">
        <v>55.94</v>
      </c>
    </row>
    <row r="2309" spans="1:5" x14ac:dyDescent="0.2">
      <c r="A2309">
        <v>92234</v>
      </c>
      <c r="B2309" t="s">
        <v>10</v>
      </c>
      <c r="C2309">
        <v>92234</v>
      </c>
      <c r="D2309" t="str">
        <f>"92234"</f>
        <v>92234</v>
      </c>
      <c r="E2309">
        <v>62.18</v>
      </c>
    </row>
    <row r="2310" spans="1:5" x14ac:dyDescent="0.2">
      <c r="A2310">
        <v>92236</v>
      </c>
      <c r="B2310" t="s">
        <v>10</v>
      </c>
      <c r="C2310">
        <v>92236</v>
      </c>
      <c r="D2310" t="str">
        <f>"92236"</f>
        <v>92236</v>
      </c>
      <c r="E2310">
        <v>47.62</v>
      </c>
    </row>
    <row r="2311" spans="1:5" x14ac:dyDescent="0.2">
      <c r="A2311">
        <v>92239</v>
      </c>
      <c r="B2311" t="s">
        <v>10</v>
      </c>
      <c r="C2311">
        <v>92239</v>
      </c>
      <c r="D2311" t="str">
        <f>"92239"</f>
        <v>92239</v>
      </c>
      <c r="E2311" t="s">
        <v>6</v>
      </c>
    </row>
    <row r="2312" spans="1:5" x14ac:dyDescent="0.2">
      <c r="A2312">
        <v>92240</v>
      </c>
      <c r="B2312" t="s">
        <v>10</v>
      </c>
      <c r="C2312">
        <v>92240</v>
      </c>
      <c r="D2312" t="str">
        <f>"92240"</f>
        <v>92240</v>
      </c>
      <c r="E2312">
        <v>53.11</v>
      </c>
    </row>
    <row r="2313" spans="1:5" x14ac:dyDescent="0.2">
      <c r="A2313">
        <v>92241</v>
      </c>
      <c r="B2313" t="s">
        <v>10</v>
      </c>
      <c r="C2313">
        <v>92241</v>
      </c>
      <c r="D2313" t="str">
        <f>"92241"</f>
        <v>92241</v>
      </c>
      <c r="E2313">
        <v>57.09</v>
      </c>
    </row>
    <row r="2314" spans="1:5" x14ac:dyDescent="0.2">
      <c r="A2314">
        <v>92242</v>
      </c>
      <c r="B2314" t="s">
        <v>10</v>
      </c>
      <c r="C2314">
        <v>92242</v>
      </c>
      <c r="D2314" t="str">
        <f>"92242"</f>
        <v>92242</v>
      </c>
      <c r="E2314">
        <v>65.709999999999994</v>
      </c>
    </row>
    <row r="2315" spans="1:5" x14ac:dyDescent="0.2">
      <c r="A2315">
        <v>92243</v>
      </c>
      <c r="B2315" t="s">
        <v>10</v>
      </c>
      <c r="C2315">
        <v>92243</v>
      </c>
      <c r="D2315" t="str">
        <f>"92243"</f>
        <v>92243</v>
      </c>
      <c r="E2315">
        <v>56.9</v>
      </c>
    </row>
    <row r="2316" spans="1:5" x14ac:dyDescent="0.2">
      <c r="A2316">
        <v>92249</v>
      </c>
      <c r="B2316" t="s">
        <v>10</v>
      </c>
      <c r="C2316">
        <v>92249</v>
      </c>
      <c r="D2316" t="str">
        <f>"92249"</f>
        <v>92249</v>
      </c>
      <c r="E2316">
        <v>56.08</v>
      </c>
    </row>
    <row r="2317" spans="1:5" x14ac:dyDescent="0.2">
      <c r="A2317">
        <v>92250</v>
      </c>
      <c r="B2317" t="s">
        <v>10</v>
      </c>
      <c r="C2317">
        <v>92250</v>
      </c>
      <c r="D2317" t="str">
        <f>"92250"</f>
        <v>92250</v>
      </c>
      <c r="E2317">
        <v>61.93</v>
      </c>
    </row>
    <row r="2318" spans="1:5" x14ac:dyDescent="0.2">
      <c r="A2318">
        <v>92251</v>
      </c>
      <c r="B2318" t="s">
        <v>10</v>
      </c>
      <c r="C2318">
        <v>92251</v>
      </c>
      <c r="D2318" t="str">
        <f>"92251"</f>
        <v>92251</v>
      </c>
      <c r="E2318">
        <v>71.650000000000006</v>
      </c>
    </row>
    <row r="2319" spans="1:5" x14ac:dyDescent="0.2">
      <c r="A2319">
        <v>92252</v>
      </c>
      <c r="B2319" t="s">
        <v>10</v>
      </c>
      <c r="C2319">
        <v>92252</v>
      </c>
      <c r="D2319" t="str">
        <f>"92252"</f>
        <v>92252</v>
      </c>
      <c r="E2319">
        <v>63.8</v>
      </c>
    </row>
    <row r="2320" spans="1:5" x14ac:dyDescent="0.2">
      <c r="A2320">
        <v>92253</v>
      </c>
      <c r="B2320" t="s">
        <v>10</v>
      </c>
      <c r="C2320">
        <v>92253</v>
      </c>
      <c r="D2320" t="str">
        <f>"92253"</f>
        <v>92253</v>
      </c>
      <c r="E2320">
        <v>73.599999999999994</v>
      </c>
    </row>
    <row r="2321" spans="1:5" x14ac:dyDescent="0.2">
      <c r="A2321">
        <v>92254</v>
      </c>
      <c r="B2321" t="s">
        <v>10</v>
      </c>
      <c r="C2321">
        <v>92254</v>
      </c>
      <c r="D2321" t="str">
        <f>"92254"</f>
        <v>92254</v>
      </c>
      <c r="E2321">
        <v>36.549999999999997</v>
      </c>
    </row>
    <row r="2322" spans="1:5" x14ac:dyDescent="0.2">
      <c r="A2322">
        <v>92256</v>
      </c>
      <c r="B2322" t="s">
        <v>10</v>
      </c>
      <c r="C2322">
        <v>92256</v>
      </c>
      <c r="D2322" t="str">
        <f>"92256"</f>
        <v>92256</v>
      </c>
      <c r="E2322">
        <v>69.39</v>
      </c>
    </row>
    <row r="2323" spans="1:5" x14ac:dyDescent="0.2">
      <c r="A2323">
        <v>92257</v>
      </c>
      <c r="B2323" t="s">
        <v>10</v>
      </c>
      <c r="C2323">
        <v>92257</v>
      </c>
      <c r="D2323" t="str">
        <f>"92257"</f>
        <v>92257</v>
      </c>
      <c r="E2323">
        <v>54.17</v>
      </c>
    </row>
    <row r="2324" spans="1:5" x14ac:dyDescent="0.2">
      <c r="A2324">
        <v>92258</v>
      </c>
      <c r="B2324" t="s">
        <v>10</v>
      </c>
      <c r="C2324">
        <v>92258</v>
      </c>
      <c r="D2324" t="str">
        <f>"92258"</f>
        <v>92258</v>
      </c>
      <c r="E2324" t="s">
        <v>6</v>
      </c>
    </row>
    <row r="2325" spans="1:5" x14ac:dyDescent="0.2">
      <c r="A2325">
        <v>92259</v>
      </c>
      <c r="B2325" t="s">
        <v>10</v>
      </c>
      <c r="C2325">
        <v>92259</v>
      </c>
      <c r="D2325" t="str">
        <f>"92259"</f>
        <v>92259</v>
      </c>
      <c r="E2325" t="s">
        <v>6</v>
      </c>
    </row>
    <row r="2326" spans="1:5" x14ac:dyDescent="0.2">
      <c r="A2326">
        <v>92260</v>
      </c>
      <c r="B2326" t="s">
        <v>10</v>
      </c>
      <c r="C2326">
        <v>92260</v>
      </c>
      <c r="D2326" t="str">
        <f>"92260"</f>
        <v>92260</v>
      </c>
      <c r="E2326">
        <v>70.459999999999994</v>
      </c>
    </row>
    <row r="2327" spans="1:5" x14ac:dyDescent="0.2">
      <c r="A2327">
        <v>92262</v>
      </c>
      <c r="B2327" t="s">
        <v>10</v>
      </c>
      <c r="C2327">
        <v>92262</v>
      </c>
      <c r="D2327" t="str">
        <f>"92262"</f>
        <v>92262</v>
      </c>
      <c r="E2327">
        <v>71.3</v>
      </c>
    </row>
    <row r="2328" spans="1:5" x14ac:dyDescent="0.2">
      <c r="A2328">
        <v>92264</v>
      </c>
      <c r="B2328" t="s">
        <v>10</v>
      </c>
      <c r="C2328">
        <v>92264</v>
      </c>
      <c r="D2328" t="str">
        <f>"92264"</f>
        <v>92264</v>
      </c>
      <c r="E2328">
        <v>74.34</v>
      </c>
    </row>
    <row r="2329" spans="1:5" x14ac:dyDescent="0.2">
      <c r="A2329">
        <v>92266</v>
      </c>
      <c r="B2329" t="s">
        <v>10</v>
      </c>
      <c r="C2329">
        <v>92266</v>
      </c>
      <c r="D2329" t="str">
        <f>"92266"</f>
        <v>92266</v>
      </c>
      <c r="E2329" t="s">
        <v>6</v>
      </c>
    </row>
    <row r="2330" spans="1:5" x14ac:dyDescent="0.2">
      <c r="A2330">
        <v>92267</v>
      </c>
      <c r="B2330" t="s">
        <v>10</v>
      </c>
      <c r="C2330">
        <v>92267</v>
      </c>
      <c r="D2330" t="str">
        <f>"92267"</f>
        <v>92267</v>
      </c>
      <c r="E2330" t="s">
        <v>6</v>
      </c>
    </row>
    <row r="2331" spans="1:5" x14ac:dyDescent="0.2">
      <c r="A2331">
        <v>92268</v>
      </c>
      <c r="B2331" t="s">
        <v>10</v>
      </c>
      <c r="C2331">
        <v>92268</v>
      </c>
      <c r="D2331" t="str">
        <f>"92268"</f>
        <v>92268</v>
      </c>
      <c r="E2331" t="s">
        <v>6</v>
      </c>
    </row>
    <row r="2332" spans="1:5" x14ac:dyDescent="0.2">
      <c r="A2332">
        <v>92270</v>
      </c>
      <c r="B2332" t="s">
        <v>10</v>
      </c>
      <c r="C2332">
        <v>92270</v>
      </c>
      <c r="D2332" t="str">
        <f>"92270"</f>
        <v>92270</v>
      </c>
      <c r="E2332">
        <v>75.66</v>
      </c>
    </row>
    <row r="2333" spans="1:5" x14ac:dyDescent="0.2">
      <c r="A2333">
        <v>92273</v>
      </c>
      <c r="B2333" t="s">
        <v>10</v>
      </c>
      <c r="C2333">
        <v>92273</v>
      </c>
      <c r="D2333" t="str">
        <f>"92273"</f>
        <v>92273</v>
      </c>
      <c r="E2333" t="s">
        <v>6</v>
      </c>
    </row>
    <row r="2334" spans="1:5" x14ac:dyDescent="0.2">
      <c r="A2334">
        <v>92274</v>
      </c>
      <c r="B2334" t="s">
        <v>10</v>
      </c>
      <c r="C2334">
        <v>92274</v>
      </c>
      <c r="D2334" t="str">
        <f>"92274"</f>
        <v>92274</v>
      </c>
      <c r="E2334">
        <v>42.41</v>
      </c>
    </row>
    <row r="2335" spans="1:5" x14ac:dyDescent="0.2">
      <c r="A2335">
        <v>92275</v>
      </c>
      <c r="B2335" t="s">
        <v>10</v>
      </c>
      <c r="C2335">
        <v>92275</v>
      </c>
      <c r="D2335" t="str">
        <f>"92275"</f>
        <v>92275</v>
      </c>
      <c r="E2335" t="s">
        <v>6</v>
      </c>
    </row>
    <row r="2336" spans="1:5" x14ac:dyDescent="0.2">
      <c r="A2336">
        <v>92276</v>
      </c>
      <c r="B2336" t="s">
        <v>10</v>
      </c>
      <c r="C2336">
        <v>92276</v>
      </c>
      <c r="D2336" t="str">
        <f>"92276"</f>
        <v>92276</v>
      </c>
      <c r="E2336">
        <v>61.22</v>
      </c>
    </row>
    <row r="2337" spans="1:5" x14ac:dyDescent="0.2">
      <c r="A2337">
        <v>92277</v>
      </c>
      <c r="B2337" t="s">
        <v>10</v>
      </c>
      <c r="C2337">
        <v>92277</v>
      </c>
      <c r="D2337" t="str">
        <f>"92277"</f>
        <v>92277</v>
      </c>
      <c r="E2337">
        <v>64.34</v>
      </c>
    </row>
    <row r="2338" spans="1:5" x14ac:dyDescent="0.2">
      <c r="A2338">
        <v>92278</v>
      </c>
      <c r="B2338" t="s">
        <v>10</v>
      </c>
      <c r="C2338">
        <v>92278</v>
      </c>
      <c r="D2338" t="str">
        <f>"92278"</f>
        <v>92278</v>
      </c>
      <c r="E2338" t="s">
        <v>6</v>
      </c>
    </row>
    <row r="2339" spans="1:5" x14ac:dyDescent="0.2">
      <c r="A2339">
        <v>92281</v>
      </c>
      <c r="B2339" t="s">
        <v>10</v>
      </c>
      <c r="C2339">
        <v>92281</v>
      </c>
      <c r="D2339" t="str">
        <f>"92281"</f>
        <v>92281</v>
      </c>
      <c r="E2339" t="s">
        <v>6</v>
      </c>
    </row>
    <row r="2340" spans="1:5" x14ac:dyDescent="0.2">
      <c r="A2340">
        <v>92282</v>
      </c>
      <c r="B2340" t="s">
        <v>10</v>
      </c>
      <c r="C2340">
        <v>92282</v>
      </c>
      <c r="D2340" t="str">
        <f>"92282"</f>
        <v>92282</v>
      </c>
      <c r="E2340">
        <v>68.290000000000006</v>
      </c>
    </row>
    <row r="2341" spans="1:5" x14ac:dyDescent="0.2">
      <c r="A2341">
        <v>92283</v>
      </c>
      <c r="B2341" t="s">
        <v>10</v>
      </c>
      <c r="C2341">
        <v>92283</v>
      </c>
      <c r="D2341" t="str">
        <f>"92283"</f>
        <v>92283</v>
      </c>
      <c r="E2341">
        <v>47.06</v>
      </c>
    </row>
    <row r="2342" spans="1:5" x14ac:dyDescent="0.2">
      <c r="A2342">
        <v>92284</v>
      </c>
      <c r="B2342" t="s">
        <v>10</v>
      </c>
      <c r="C2342">
        <v>92284</v>
      </c>
      <c r="D2342" t="str">
        <f>"92284"</f>
        <v>92284</v>
      </c>
      <c r="E2342">
        <v>64.09</v>
      </c>
    </row>
    <row r="2343" spans="1:5" x14ac:dyDescent="0.2">
      <c r="A2343">
        <v>92285</v>
      </c>
      <c r="B2343" t="s">
        <v>10</v>
      </c>
      <c r="C2343">
        <v>92285</v>
      </c>
      <c r="D2343" t="str">
        <f>"92285"</f>
        <v>92285</v>
      </c>
      <c r="E2343">
        <v>62.9</v>
      </c>
    </row>
    <row r="2344" spans="1:5" x14ac:dyDescent="0.2">
      <c r="A2344">
        <v>92301</v>
      </c>
      <c r="B2344" t="s">
        <v>10</v>
      </c>
      <c r="C2344">
        <v>92301</v>
      </c>
      <c r="D2344" t="str">
        <f>"92301"</f>
        <v>92301</v>
      </c>
      <c r="E2344">
        <v>47.94</v>
      </c>
    </row>
    <row r="2345" spans="1:5" x14ac:dyDescent="0.2">
      <c r="A2345">
        <v>92304</v>
      </c>
      <c r="B2345" t="s">
        <v>10</v>
      </c>
      <c r="C2345">
        <v>92304</v>
      </c>
      <c r="D2345" t="str">
        <f>"92304"</f>
        <v>92304</v>
      </c>
      <c r="E2345" t="s">
        <v>6</v>
      </c>
    </row>
    <row r="2346" spans="1:5" x14ac:dyDescent="0.2">
      <c r="A2346">
        <v>92305</v>
      </c>
      <c r="B2346" t="s">
        <v>10</v>
      </c>
      <c r="C2346">
        <v>92305</v>
      </c>
      <c r="D2346" t="str">
        <f>"92305"</f>
        <v>92305</v>
      </c>
      <c r="E2346">
        <v>76.67</v>
      </c>
    </row>
    <row r="2347" spans="1:5" x14ac:dyDescent="0.2">
      <c r="A2347">
        <v>92307</v>
      </c>
      <c r="B2347" t="s">
        <v>10</v>
      </c>
      <c r="C2347">
        <v>92307</v>
      </c>
      <c r="D2347" t="str">
        <f>"92307"</f>
        <v>92307</v>
      </c>
      <c r="E2347">
        <v>65.349999999999994</v>
      </c>
    </row>
    <row r="2348" spans="1:5" x14ac:dyDescent="0.2">
      <c r="A2348">
        <v>92308</v>
      </c>
      <c r="B2348" t="s">
        <v>10</v>
      </c>
      <c r="C2348">
        <v>92308</v>
      </c>
      <c r="D2348" t="str">
        <f>"92308"</f>
        <v>92308</v>
      </c>
      <c r="E2348">
        <v>64.33</v>
      </c>
    </row>
    <row r="2349" spans="1:5" x14ac:dyDescent="0.2">
      <c r="A2349">
        <v>92309</v>
      </c>
      <c r="B2349" t="s">
        <v>10</v>
      </c>
      <c r="C2349">
        <v>92309</v>
      </c>
      <c r="D2349" t="str">
        <f>"92309"</f>
        <v>92309</v>
      </c>
      <c r="E2349">
        <v>51.85</v>
      </c>
    </row>
    <row r="2350" spans="1:5" x14ac:dyDescent="0.2">
      <c r="A2350">
        <v>92310</v>
      </c>
      <c r="B2350" t="s">
        <v>10</v>
      </c>
      <c r="C2350">
        <v>92310</v>
      </c>
      <c r="D2350" t="str">
        <f>"92310"</f>
        <v>92310</v>
      </c>
      <c r="E2350">
        <v>72.86</v>
      </c>
    </row>
    <row r="2351" spans="1:5" x14ac:dyDescent="0.2">
      <c r="A2351">
        <v>92311</v>
      </c>
      <c r="B2351" t="s">
        <v>10</v>
      </c>
      <c r="C2351">
        <v>92311</v>
      </c>
      <c r="D2351" t="str">
        <f>"92311"</f>
        <v>92311</v>
      </c>
      <c r="E2351">
        <v>59.95</v>
      </c>
    </row>
    <row r="2352" spans="1:5" x14ac:dyDescent="0.2">
      <c r="A2352">
        <v>92313</v>
      </c>
      <c r="B2352" t="s">
        <v>10</v>
      </c>
      <c r="C2352">
        <v>92313</v>
      </c>
      <c r="D2352" t="str">
        <f>"92313"</f>
        <v>92313</v>
      </c>
      <c r="E2352">
        <v>76.25</v>
      </c>
    </row>
    <row r="2353" spans="1:5" x14ac:dyDescent="0.2">
      <c r="A2353">
        <v>92314</v>
      </c>
      <c r="B2353" t="s">
        <v>10</v>
      </c>
      <c r="C2353">
        <v>92314</v>
      </c>
      <c r="D2353" t="str">
        <f>"92314"</f>
        <v>92314</v>
      </c>
      <c r="E2353">
        <v>67.91</v>
      </c>
    </row>
    <row r="2354" spans="1:5" x14ac:dyDescent="0.2">
      <c r="A2354">
        <v>92315</v>
      </c>
      <c r="B2354" t="s">
        <v>10</v>
      </c>
      <c r="C2354">
        <v>92315</v>
      </c>
      <c r="D2354" t="str">
        <f>"92315"</f>
        <v>92315</v>
      </c>
      <c r="E2354">
        <v>66.77</v>
      </c>
    </row>
    <row r="2355" spans="1:5" x14ac:dyDescent="0.2">
      <c r="A2355">
        <v>92316</v>
      </c>
      <c r="B2355" t="s">
        <v>10</v>
      </c>
      <c r="C2355">
        <v>92316</v>
      </c>
      <c r="D2355" t="str">
        <f>"92316"</f>
        <v>92316</v>
      </c>
      <c r="E2355">
        <v>59.89</v>
      </c>
    </row>
    <row r="2356" spans="1:5" x14ac:dyDescent="0.2">
      <c r="A2356">
        <v>92317</v>
      </c>
      <c r="B2356" t="s">
        <v>10</v>
      </c>
      <c r="C2356">
        <v>92317</v>
      </c>
      <c r="D2356" t="str">
        <f>"92317"</f>
        <v>92317</v>
      </c>
      <c r="E2356" t="s">
        <v>6</v>
      </c>
    </row>
    <row r="2357" spans="1:5" x14ac:dyDescent="0.2">
      <c r="A2357">
        <v>92318</v>
      </c>
      <c r="B2357" t="s">
        <v>10</v>
      </c>
      <c r="C2357">
        <v>92318</v>
      </c>
      <c r="D2357" t="str">
        <f>"92318"</f>
        <v>92318</v>
      </c>
      <c r="E2357" t="s">
        <v>6</v>
      </c>
    </row>
    <row r="2358" spans="1:5" x14ac:dyDescent="0.2">
      <c r="A2358">
        <v>92320</v>
      </c>
      <c r="B2358" t="s">
        <v>10</v>
      </c>
      <c r="C2358">
        <v>92320</v>
      </c>
      <c r="D2358" t="str">
        <f>"92320"</f>
        <v>92320</v>
      </c>
      <c r="E2358">
        <v>74.819999999999993</v>
      </c>
    </row>
    <row r="2359" spans="1:5" x14ac:dyDescent="0.2">
      <c r="A2359">
        <v>92321</v>
      </c>
      <c r="B2359" t="s">
        <v>10</v>
      </c>
      <c r="C2359">
        <v>92321</v>
      </c>
      <c r="D2359" t="str">
        <f>"92321"</f>
        <v>92321</v>
      </c>
      <c r="E2359" t="s">
        <v>6</v>
      </c>
    </row>
    <row r="2360" spans="1:5" x14ac:dyDescent="0.2">
      <c r="A2360">
        <v>92322</v>
      </c>
      <c r="B2360" t="s">
        <v>10</v>
      </c>
      <c r="C2360">
        <v>92322</v>
      </c>
      <c r="D2360" t="str">
        <f>"92322"</f>
        <v>92322</v>
      </c>
      <c r="E2360" t="s">
        <v>6</v>
      </c>
    </row>
    <row r="2361" spans="1:5" x14ac:dyDescent="0.2">
      <c r="A2361">
        <v>92324</v>
      </c>
      <c r="B2361" t="s">
        <v>10</v>
      </c>
      <c r="C2361">
        <v>92324</v>
      </c>
      <c r="D2361" t="str">
        <f>"92324"</f>
        <v>92324</v>
      </c>
      <c r="E2361">
        <v>62.24</v>
      </c>
    </row>
    <row r="2362" spans="1:5" x14ac:dyDescent="0.2">
      <c r="A2362">
        <v>92325</v>
      </c>
      <c r="B2362" t="s">
        <v>10</v>
      </c>
      <c r="C2362">
        <v>92325</v>
      </c>
      <c r="D2362" t="str">
        <f>"92325"</f>
        <v>92325</v>
      </c>
      <c r="E2362" t="s">
        <v>6</v>
      </c>
    </row>
    <row r="2363" spans="1:5" x14ac:dyDescent="0.2">
      <c r="A2363">
        <v>92327</v>
      </c>
      <c r="B2363" t="s">
        <v>10</v>
      </c>
      <c r="C2363">
        <v>92327</v>
      </c>
      <c r="D2363" t="str">
        <f>"92327"</f>
        <v>92327</v>
      </c>
      <c r="E2363">
        <v>57.14</v>
      </c>
    </row>
    <row r="2364" spans="1:5" x14ac:dyDescent="0.2">
      <c r="A2364">
        <v>92328</v>
      </c>
      <c r="B2364" t="s">
        <v>10</v>
      </c>
      <c r="C2364">
        <v>92328</v>
      </c>
      <c r="D2364" t="str">
        <f>"92328"</f>
        <v>92328</v>
      </c>
      <c r="E2364">
        <v>90</v>
      </c>
    </row>
    <row r="2365" spans="1:5" x14ac:dyDescent="0.2">
      <c r="A2365">
        <v>92332</v>
      </c>
      <c r="B2365" t="s">
        <v>10</v>
      </c>
      <c r="C2365">
        <v>92332</v>
      </c>
      <c r="D2365" t="str">
        <f>"92332"</f>
        <v>92332</v>
      </c>
      <c r="E2365" t="s">
        <v>6</v>
      </c>
    </row>
    <row r="2366" spans="1:5" x14ac:dyDescent="0.2">
      <c r="A2366">
        <v>92333</v>
      </c>
      <c r="B2366" t="s">
        <v>10</v>
      </c>
      <c r="C2366">
        <v>92333</v>
      </c>
      <c r="D2366" t="str">
        <f>"92333"</f>
        <v>92333</v>
      </c>
      <c r="E2366" t="s">
        <v>6</v>
      </c>
    </row>
    <row r="2367" spans="1:5" x14ac:dyDescent="0.2">
      <c r="A2367">
        <v>92335</v>
      </c>
      <c r="B2367" t="s">
        <v>10</v>
      </c>
      <c r="C2367">
        <v>92335</v>
      </c>
      <c r="D2367" t="str">
        <f>"92335"</f>
        <v>92335</v>
      </c>
      <c r="E2367">
        <v>57.94</v>
      </c>
    </row>
    <row r="2368" spans="1:5" x14ac:dyDescent="0.2">
      <c r="A2368">
        <v>92336</v>
      </c>
      <c r="B2368" t="s">
        <v>10</v>
      </c>
      <c r="C2368">
        <v>92336</v>
      </c>
      <c r="D2368" t="str">
        <f>"92336"</f>
        <v>92336</v>
      </c>
      <c r="E2368">
        <v>71.2</v>
      </c>
    </row>
    <row r="2369" spans="1:5" x14ac:dyDescent="0.2">
      <c r="A2369">
        <v>92337</v>
      </c>
      <c r="B2369" t="s">
        <v>10</v>
      </c>
      <c r="C2369">
        <v>92337</v>
      </c>
      <c r="D2369" t="str">
        <f>"92337"</f>
        <v>92337</v>
      </c>
      <c r="E2369">
        <v>69.099999999999994</v>
      </c>
    </row>
    <row r="2370" spans="1:5" x14ac:dyDescent="0.2">
      <c r="A2370">
        <v>92338</v>
      </c>
      <c r="B2370" t="s">
        <v>10</v>
      </c>
      <c r="C2370">
        <v>92338</v>
      </c>
      <c r="D2370" t="str">
        <f>"92338"</f>
        <v>92338</v>
      </c>
      <c r="E2370" t="s">
        <v>6</v>
      </c>
    </row>
    <row r="2371" spans="1:5" x14ac:dyDescent="0.2">
      <c r="A2371">
        <v>92339</v>
      </c>
      <c r="B2371" t="s">
        <v>10</v>
      </c>
      <c r="C2371">
        <v>92339</v>
      </c>
      <c r="D2371" t="str">
        <f>"92339"</f>
        <v>92339</v>
      </c>
      <c r="E2371">
        <v>72.22</v>
      </c>
    </row>
    <row r="2372" spans="1:5" x14ac:dyDescent="0.2">
      <c r="A2372">
        <v>92341</v>
      </c>
      <c r="B2372" t="s">
        <v>10</v>
      </c>
      <c r="C2372">
        <v>92341</v>
      </c>
      <c r="D2372" t="str">
        <f>"92341"</f>
        <v>92341</v>
      </c>
      <c r="E2372" t="s">
        <v>6</v>
      </c>
    </row>
    <row r="2373" spans="1:5" x14ac:dyDescent="0.2">
      <c r="A2373">
        <v>92342</v>
      </c>
      <c r="B2373" t="s">
        <v>10</v>
      </c>
      <c r="C2373">
        <v>92342</v>
      </c>
      <c r="D2373" t="str">
        <f>"92342"</f>
        <v>92342</v>
      </c>
      <c r="E2373">
        <v>74.28</v>
      </c>
    </row>
    <row r="2374" spans="1:5" x14ac:dyDescent="0.2">
      <c r="A2374">
        <v>92344</v>
      </c>
      <c r="B2374" t="s">
        <v>10</v>
      </c>
      <c r="C2374">
        <v>92344</v>
      </c>
      <c r="D2374" t="str">
        <f>"92344"</f>
        <v>92344</v>
      </c>
      <c r="E2374">
        <v>67.61</v>
      </c>
    </row>
    <row r="2375" spans="1:5" x14ac:dyDescent="0.2">
      <c r="A2375">
        <v>92345</v>
      </c>
      <c r="B2375" t="s">
        <v>10</v>
      </c>
      <c r="C2375">
        <v>92345</v>
      </c>
      <c r="D2375" t="str">
        <f>"92345"</f>
        <v>92345</v>
      </c>
      <c r="E2375">
        <v>59.82</v>
      </c>
    </row>
    <row r="2376" spans="1:5" x14ac:dyDescent="0.2">
      <c r="A2376">
        <v>92346</v>
      </c>
      <c r="B2376" t="s">
        <v>10</v>
      </c>
      <c r="C2376">
        <v>92346</v>
      </c>
      <c r="D2376" t="str">
        <f>"92346"</f>
        <v>92346</v>
      </c>
      <c r="E2376">
        <v>68.430000000000007</v>
      </c>
    </row>
    <row r="2377" spans="1:5" x14ac:dyDescent="0.2">
      <c r="A2377">
        <v>92347</v>
      </c>
      <c r="B2377" t="s">
        <v>10</v>
      </c>
      <c r="C2377">
        <v>92347</v>
      </c>
      <c r="D2377" t="str">
        <f>"92347"</f>
        <v>92347</v>
      </c>
      <c r="E2377">
        <v>61.9</v>
      </c>
    </row>
    <row r="2378" spans="1:5" x14ac:dyDescent="0.2">
      <c r="A2378">
        <v>92350</v>
      </c>
      <c r="B2378" t="s">
        <v>10</v>
      </c>
      <c r="C2378">
        <v>92350</v>
      </c>
      <c r="D2378" t="str">
        <f>"92350"</f>
        <v>92350</v>
      </c>
      <c r="E2378" t="s">
        <v>6</v>
      </c>
    </row>
    <row r="2379" spans="1:5" x14ac:dyDescent="0.2">
      <c r="A2379">
        <v>92352</v>
      </c>
      <c r="B2379" t="s">
        <v>10</v>
      </c>
      <c r="C2379">
        <v>92352</v>
      </c>
      <c r="D2379" t="str">
        <f>"92352"</f>
        <v>92352</v>
      </c>
      <c r="E2379" t="s">
        <v>6</v>
      </c>
    </row>
    <row r="2380" spans="1:5" x14ac:dyDescent="0.2">
      <c r="A2380">
        <v>92354</v>
      </c>
      <c r="B2380" t="s">
        <v>10</v>
      </c>
      <c r="C2380">
        <v>92354</v>
      </c>
      <c r="D2380" t="str">
        <f>"92354"</f>
        <v>92354</v>
      </c>
      <c r="E2380">
        <v>71.959999999999994</v>
      </c>
    </row>
    <row r="2381" spans="1:5" x14ac:dyDescent="0.2">
      <c r="A2381">
        <v>92356</v>
      </c>
      <c r="B2381" t="s">
        <v>10</v>
      </c>
      <c r="C2381">
        <v>92356</v>
      </c>
      <c r="D2381" t="str">
        <f>"92356"</f>
        <v>92356</v>
      </c>
      <c r="E2381">
        <v>55.03</v>
      </c>
    </row>
    <row r="2382" spans="1:5" x14ac:dyDescent="0.2">
      <c r="A2382">
        <v>92358</v>
      </c>
      <c r="B2382" t="s">
        <v>10</v>
      </c>
      <c r="C2382">
        <v>92358</v>
      </c>
      <c r="D2382" t="str">
        <f>"92358"</f>
        <v>92358</v>
      </c>
      <c r="E2382">
        <v>72.97</v>
      </c>
    </row>
    <row r="2383" spans="1:5" x14ac:dyDescent="0.2">
      <c r="A2383">
        <v>92359</v>
      </c>
      <c r="B2383" t="s">
        <v>10</v>
      </c>
      <c r="C2383">
        <v>92359</v>
      </c>
      <c r="D2383" t="str">
        <f>"92359"</f>
        <v>92359</v>
      </c>
      <c r="E2383">
        <v>71.72</v>
      </c>
    </row>
    <row r="2384" spans="1:5" x14ac:dyDescent="0.2">
      <c r="A2384">
        <v>92363</v>
      </c>
      <c r="B2384" t="s">
        <v>10</v>
      </c>
      <c r="C2384">
        <v>92363</v>
      </c>
      <c r="D2384" t="str">
        <f>"92363"</f>
        <v>92363</v>
      </c>
      <c r="E2384">
        <v>60</v>
      </c>
    </row>
    <row r="2385" spans="1:5" x14ac:dyDescent="0.2">
      <c r="A2385">
        <v>92364</v>
      </c>
      <c r="B2385" t="s">
        <v>10</v>
      </c>
      <c r="C2385">
        <v>92364</v>
      </c>
      <c r="D2385" t="str">
        <f>"92364"</f>
        <v>92364</v>
      </c>
      <c r="E2385" t="s">
        <v>6</v>
      </c>
    </row>
    <row r="2386" spans="1:5" x14ac:dyDescent="0.2">
      <c r="A2386">
        <v>92365</v>
      </c>
      <c r="B2386" t="s">
        <v>10</v>
      </c>
      <c r="C2386">
        <v>92365</v>
      </c>
      <c r="D2386" t="str">
        <f>"92365"</f>
        <v>92365</v>
      </c>
      <c r="E2386">
        <v>62.69</v>
      </c>
    </row>
    <row r="2387" spans="1:5" x14ac:dyDescent="0.2">
      <c r="A2387">
        <v>92368</v>
      </c>
      <c r="B2387" t="s">
        <v>10</v>
      </c>
      <c r="C2387">
        <v>92368</v>
      </c>
      <c r="D2387" t="str">
        <f>"92368"</f>
        <v>92368</v>
      </c>
      <c r="E2387">
        <v>57.14</v>
      </c>
    </row>
    <row r="2388" spans="1:5" x14ac:dyDescent="0.2">
      <c r="A2388">
        <v>92369</v>
      </c>
      <c r="B2388" t="s">
        <v>10</v>
      </c>
      <c r="C2388">
        <v>92369</v>
      </c>
      <c r="D2388" t="str">
        <f>"92369"</f>
        <v>92369</v>
      </c>
      <c r="E2388" t="s">
        <v>6</v>
      </c>
    </row>
    <row r="2389" spans="1:5" x14ac:dyDescent="0.2">
      <c r="A2389">
        <v>92371</v>
      </c>
      <c r="B2389" t="s">
        <v>10</v>
      </c>
      <c r="C2389">
        <v>92371</v>
      </c>
      <c r="D2389" t="str">
        <f>"92371"</f>
        <v>92371</v>
      </c>
      <c r="E2389">
        <v>63.04</v>
      </c>
    </row>
    <row r="2390" spans="1:5" x14ac:dyDescent="0.2">
      <c r="A2390">
        <v>92372</v>
      </c>
      <c r="B2390" t="s">
        <v>10</v>
      </c>
      <c r="C2390">
        <v>92372</v>
      </c>
      <c r="D2390" t="str">
        <f>"92372"</f>
        <v>92372</v>
      </c>
      <c r="E2390">
        <v>68.66</v>
      </c>
    </row>
    <row r="2391" spans="1:5" x14ac:dyDescent="0.2">
      <c r="A2391">
        <v>92373</v>
      </c>
      <c r="B2391" t="s">
        <v>10</v>
      </c>
      <c r="C2391">
        <v>92373</v>
      </c>
      <c r="D2391" t="str">
        <f>"92373"</f>
        <v>92373</v>
      </c>
      <c r="E2391">
        <v>79.790000000000006</v>
      </c>
    </row>
    <row r="2392" spans="1:5" x14ac:dyDescent="0.2">
      <c r="A2392">
        <v>92374</v>
      </c>
      <c r="B2392" t="s">
        <v>10</v>
      </c>
      <c r="C2392">
        <v>92374</v>
      </c>
      <c r="D2392" t="str">
        <f>"92374"</f>
        <v>92374</v>
      </c>
      <c r="E2392">
        <v>72.25</v>
      </c>
    </row>
    <row r="2393" spans="1:5" x14ac:dyDescent="0.2">
      <c r="A2393">
        <v>92376</v>
      </c>
      <c r="B2393" t="s">
        <v>10</v>
      </c>
      <c r="C2393">
        <v>92376</v>
      </c>
      <c r="D2393" t="str">
        <f>"92376"</f>
        <v>92376</v>
      </c>
      <c r="E2393">
        <v>59.63</v>
      </c>
    </row>
    <row r="2394" spans="1:5" x14ac:dyDescent="0.2">
      <c r="A2394">
        <v>92377</v>
      </c>
      <c r="B2394" t="s">
        <v>10</v>
      </c>
      <c r="C2394">
        <v>92377</v>
      </c>
      <c r="D2394" t="str">
        <f>"92377"</f>
        <v>92377</v>
      </c>
      <c r="E2394">
        <v>70.319999999999993</v>
      </c>
    </row>
    <row r="2395" spans="1:5" x14ac:dyDescent="0.2">
      <c r="A2395">
        <v>92378</v>
      </c>
      <c r="B2395" t="s">
        <v>10</v>
      </c>
      <c r="C2395">
        <v>92378</v>
      </c>
      <c r="D2395" t="str">
        <f>"92378"</f>
        <v>92378</v>
      </c>
      <c r="E2395" t="s">
        <v>6</v>
      </c>
    </row>
    <row r="2396" spans="1:5" x14ac:dyDescent="0.2">
      <c r="A2396">
        <v>92382</v>
      </c>
      <c r="B2396" t="s">
        <v>10</v>
      </c>
      <c r="C2396">
        <v>92382</v>
      </c>
      <c r="D2396" t="str">
        <f>"92382"</f>
        <v>92382</v>
      </c>
      <c r="E2396" t="s">
        <v>6</v>
      </c>
    </row>
    <row r="2397" spans="1:5" x14ac:dyDescent="0.2">
      <c r="A2397">
        <v>92384</v>
      </c>
      <c r="B2397" t="s">
        <v>10</v>
      </c>
      <c r="C2397">
        <v>92384</v>
      </c>
      <c r="D2397" t="str">
        <f>"92384"</f>
        <v>92384</v>
      </c>
      <c r="E2397" t="s">
        <v>6</v>
      </c>
    </row>
    <row r="2398" spans="1:5" x14ac:dyDescent="0.2">
      <c r="A2398">
        <v>92385</v>
      </c>
      <c r="B2398" t="s">
        <v>10</v>
      </c>
      <c r="C2398">
        <v>92385</v>
      </c>
      <c r="D2398" t="str">
        <f>"92385"</f>
        <v>92385</v>
      </c>
      <c r="E2398" t="s">
        <v>6</v>
      </c>
    </row>
    <row r="2399" spans="1:5" x14ac:dyDescent="0.2">
      <c r="A2399">
        <v>92386</v>
      </c>
      <c r="B2399" t="s">
        <v>10</v>
      </c>
      <c r="C2399">
        <v>92386</v>
      </c>
      <c r="D2399" t="str">
        <f>"92386"</f>
        <v>92386</v>
      </c>
      <c r="E2399" t="s">
        <v>6</v>
      </c>
    </row>
    <row r="2400" spans="1:5" x14ac:dyDescent="0.2">
      <c r="A2400">
        <v>92389</v>
      </c>
      <c r="B2400" t="s">
        <v>10</v>
      </c>
      <c r="C2400">
        <v>92389</v>
      </c>
      <c r="D2400" t="str">
        <f>"92389"</f>
        <v>92389</v>
      </c>
      <c r="E2400" t="s">
        <v>6</v>
      </c>
    </row>
    <row r="2401" spans="1:5" x14ac:dyDescent="0.2">
      <c r="A2401">
        <v>92391</v>
      </c>
      <c r="B2401" t="s">
        <v>10</v>
      </c>
      <c r="C2401">
        <v>92391</v>
      </c>
      <c r="D2401" t="str">
        <f>"92391"</f>
        <v>92391</v>
      </c>
      <c r="E2401" t="s">
        <v>6</v>
      </c>
    </row>
    <row r="2402" spans="1:5" x14ac:dyDescent="0.2">
      <c r="A2402">
        <v>92392</v>
      </c>
      <c r="B2402" t="s">
        <v>10</v>
      </c>
      <c r="C2402">
        <v>92392</v>
      </c>
      <c r="D2402" t="str">
        <f>"92392"</f>
        <v>92392</v>
      </c>
      <c r="E2402">
        <v>60.18</v>
      </c>
    </row>
    <row r="2403" spans="1:5" x14ac:dyDescent="0.2">
      <c r="A2403">
        <v>92394</v>
      </c>
      <c r="B2403" t="s">
        <v>10</v>
      </c>
      <c r="C2403">
        <v>92394</v>
      </c>
      <c r="D2403" t="str">
        <f>"92394"</f>
        <v>92394</v>
      </c>
      <c r="E2403">
        <v>54.79</v>
      </c>
    </row>
    <row r="2404" spans="1:5" x14ac:dyDescent="0.2">
      <c r="A2404">
        <v>92395</v>
      </c>
      <c r="B2404" t="s">
        <v>10</v>
      </c>
      <c r="C2404">
        <v>92395</v>
      </c>
      <c r="D2404" t="str">
        <f>"92395"</f>
        <v>92395</v>
      </c>
      <c r="E2404">
        <v>56.89</v>
      </c>
    </row>
    <row r="2405" spans="1:5" x14ac:dyDescent="0.2">
      <c r="A2405">
        <v>92397</v>
      </c>
      <c r="B2405" t="s">
        <v>10</v>
      </c>
      <c r="C2405">
        <v>92397</v>
      </c>
      <c r="D2405" t="str">
        <f>"92397"</f>
        <v>92397</v>
      </c>
      <c r="E2405">
        <v>78.69</v>
      </c>
    </row>
    <row r="2406" spans="1:5" x14ac:dyDescent="0.2">
      <c r="A2406">
        <v>92398</v>
      </c>
      <c r="B2406" t="s">
        <v>10</v>
      </c>
      <c r="C2406">
        <v>92398</v>
      </c>
      <c r="D2406" t="str">
        <f>"92398"</f>
        <v>92398</v>
      </c>
      <c r="E2406" t="s">
        <v>6</v>
      </c>
    </row>
    <row r="2407" spans="1:5" x14ac:dyDescent="0.2">
      <c r="A2407">
        <v>92399</v>
      </c>
      <c r="B2407" t="s">
        <v>10</v>
      </c>
      <c r="C2407">
        <v>92399</v>
      </c>
      <c r="D2407" t="str">
        <f>"92399"</f>
        <v>92399</v>
      </c>
      <c r="E2407">
        <v>73.09</v>
      </c>
    </row>
    <row r="2408" spans="1:5" x14ac:dyDescent="0.2">
      <c r="A2408">
        <v>92401</v>
      </c>
      <c r="B2408" t="s">
        <v>10</v>
      </c>
      <c r="C2408">
        <v>92401</v>
      </c>
      <c r="D2408" t="str">
        <f>"92401"</f>
        <v>92401</v>
      </c>
      <c r="E2408">
        <v>35.380000000000003</v>
      </c>
    </row>
    <row r="2409" spans="1:5" x14ac:dyDescent="0.2">
      <c r="A2409">
        <v>92404</v>
      </c>
      <c r="B2409" t="s">
        <v>10</v>
      </c>
      <c r="C2409">
        <v>92404</v>
      </c>
      <c r="D2409" t="str">
        <f>"92404"</f>
        <v>92404</v>
      </c>
      <c r="E2409">
        <v>56.17</v>
      </c>
    </row>
    <row r="2410" spans="1:5" x14ac:dyDescent="0.2">
      <c r="A2410">
        <v>92405</v>
      </c>
      <c r="B2410" t="s">
        <v>10</v>
      </c>
      <c r="C2410">
        <v>92405</v>
      </c>
      <c r="D2410" t="str">
        <f>"92405"</f>
        <v>92405</v>
      </c>
      <c r="E2410">
        <v>56.04</v>
      </c>
    </row>
    <row r="2411" spans="1:5" x14ac:dyDescent="0.2">
      <c r="A2411">
        <v>92407</v>
      </c>
      <c r="B2411" t="s">
        <v>10</v>
      </c>
      <c r="C2411">
        <v>92407</v>
      </c>
      <c r="D2411" t="str">
        <f>"92407"</f>
        <v>92407</v>
      </c>
      <c r="E2411">
        <v>64.540000000000006</v>
      </c>
    </row>
    <row r="2412" spans="1:5" x14ac:dyDescent="0.2">
      <c r="A2412">
        <v>92408</v>
      </c>
      <c r="B2412" t="s">
        <v>10</v>
      </c>
      <c r="C2412">
        <v>92408</v>
      </c>
      <c r="D2412" t="str">
        <f>"92408"</f>
        <v>92408</v>
      </c>
      <c r="E2412">
        <v>54.05</v>
      </c>
    </row>
    <row r="2413" spans="1:5" x14ac:dyDescent="0.2">
      <c r="A2413">
        <v>92410</v>
      </c>
      <c r="B2413" t="s">
        <v>10</v>
      </c>
      <c r="C2413">
        <v>92410</v>
      </c>
      <c r="D2413" t="str">
        <f>"92410"</f>
        <v>92410</v>
      </c>
      <c r="E2413">
        <v>47.99</v>
      </c>
    </row>
    <row r="2414" spans="1:5" x14ac:dyDescent="0.2">
      <c r="A2414">
        <v>92411</v>
      </c>
      <c r="B2414" t="s">
        <v>10</v>
      </c>
      <c r="C2414">
        <v>92411</v>
      </c>
      <c r="D2414" t="str">
        <f>"92411"</f>
        <v>92411</v>
      </c>
      <c r="E2414">
        <v>49.29</v>
      </c>
    </row>
    <row r="2415" spans="1:5" x14ac:dyDescent="0.2">
      <c r="A2415">
        <v>92415</v>
      </c>
      <c r="B2415" t="s">
        <v>10</v>
      </c>
      <c r="C2415">
        <v>92415</v>
      </c>
      <c r="D2415" t="str">
        <f>"92415"</f>
        <v>92415</v>
      </c>
      <c r="E2415" t="s">
        <v>6</v>
      </c>
    </row>
    <row r="2416" spans="1:5" x14ac:dyDescent="0.2">
      <c r="A2416">
        <v>92418</v>
      </c>
      <c r="B2416" t="s">
        <v>10</v>
      </c>
      <c r="C2416">
        <v>92418</v>
      </c>
      <c r="D2416" t="str">
        <f>"92418"</f>
        <v>92418</v>
      </c>
      <c r="E2416" t="s">
        <v>6</v>
      </c>
    </row>
    <row r="2417" spans="1:5" x14ac:dyDescent="0.2">
      <c r="A2417">
        <v>92501</v>
      </c>
      <c r="B2417" t="s">
        <v>10</v>
      </c>
      <c r="C2417">
        <v>92501</v>
      </c>
      <c r="D2417" t="str">
        <f>"92501"</f>
        <v>92501</v>
      </c>
      <c r="E2417">
        <v>68.37</v>
      </c>
    </row>
    <row r="2418" spans="1:5" x14ac:dyDescent="0.2">
      <c r="A2418">
        <v>92503</v>
      </c>
      <c r="B2418" t="s">
        <v>10</v>
      </c>
      <c r="C2418">
        <v>92503</v>
      </c>
      <c r="D2418" t="str">
        <f>"92503"</f>
        <v>92503</v>
      </c>
      <c r="E2418">
        <v>68.2</v>
      </c>
    </row>
    <row r="2419" spans="1:5" x14ac:dyDescent="0.2">
      <c r="A2419">
        <v>92504</v>
      </c>
      <c r="B2419" t="s">
        <v>10</v>
      </c>
      <c r="C2419">
        <v>92504</v>
      </c>
      <c r="D2419" t="str">
        <f>"92504"</f>
        <v>92504</v>
      </c>
      <c r="E2419">
        <v>69.42</v>
      </c>
    </row>
    <row r="2420" spans="1:5" x14ac:dyDescent="0.2">
      <c r="A2420">
        <v>92505</v>
      </c>
      <c r="B2420" t="s">
        <v>10</v>
      </c>
      <c r="C2420">
        <v>92505</v>
      </c>
      <c r="D2420" t="str">
        <f>"92505"</f>
        <v>92505</v>
      </c>
      <c r="E2420">
        <v>67.16</v>
      </c>
    </row>
    <row r="2421" spans="1:5" x14ac:dyDescent="0.2">
      <c r="A2421">
        <v>92506</v>
      </c>
      <c r="B2421" t="s">
        <v>10</v>
      </c>
      <c r="C2421">
        <v>92506</v>
      </c>
      <c r="D2421" t="str">
        <f>"92506"</f>
        <v>92506</v>
      </c>
      <c r="E2421">
        <v>78.680000000000007</v>
      </c>
    </row>
    <row r="2422" spans="1:5" x14ac:dyDescent="0.2">
      <c r="A2422">
        <v>92507</v>
      </c>
      <c r="B2422" t="s">
        <v>10</v>
      </c>
      <c r="C2422">
        <v>92507</v>
      </c>
      <c r="D2422" t="str">
        <f>"92507"</f>
        <v>92507</v>
      </c>
      <c r="E2422">
        <v>65.72</v>
      </c>
    </row>
    <row r="2423" spans="1:5" x14ac:dyDescent="0.2">
      <c r="A2423">
        <v>92508</v>
      </c>
      <c r="B2423" t="s">
        <v>10</v>
      </c>
      <c r="C2423">
        <v>92508</v>
      </c>
      <c r="D2423" t="str">
        <f>"92508"</f>
        <v>92508</v>
      </c>
      <c r="E2423">
        <v>76.56</v>
      </c>
    </row>
    <row r="2424" spans="1:5" x14ac:dyDescent="0.2">
      <c r="A2424">
        <v>92509</v>
      </c>
      <c r="B2424" t="s">
        <v>10</v>
      </c>
      <c r="C2424">
        <v>92509</v>
      </c>
      <c r="D2424" t="str">
        <f>"92509"</f>
        <v>92509</v>
      </c>
      <c r="E2424">
        <v>64.62</v>
      </c>
    </row>
    <row r="2425" spans="1:5" x14ac:dyDescent="0.2">
      <c r="A2425">
        <v>92518</v>
      </c>
      <c r="B2425" t="s">
        <v>10</v>
      </c>
      <c r="C2425">
        <v>92518</v>
      </c>
      <c r="D2425" t="str">
        <f>"92518"</f>
        <v>92518</v>
      </c>
      <c r="E2425">
        <v>78.430000000000007</v>
      </c>
    </row>
    <row r="2426" spans="1:5" x14ac:dyDescent="0.2">
      <c r="A2426">
        <v>92521</v>
      </c>
      <c r="B2426" t="s">
        <v>10</v>
      </c>
      <c r="C2426">
        <v>92521</v>
      </c>
      <c r="D2426" t="str">
        <f>"92521"</f>
        <v>92521</v>
      </c>
      <c r="E2426" t="s">
        <v>6</v>
      </c>
    </row>
    <row r="2427" spans="1:5" x14ac:dyDescent="0.2">
      <c r="A2427">
        <v>92530</v>
      </c>
      <c r="B2427" t="s">
        <v>10</v>
      </c>
      <c r="C2427">
        <v>92530</v>
      </c>
      <c r="D2427" t="str">
        <f>"92530"</f>
        <v>92530</v>
      </c>
      <c r="E2427">
        <v>65.45</v>
      </c>
    </row>
    <row r="2428" spans="1:5" x14ac:dyDescent="0.2">
      <c r="A2428">
        <v>92532</v>
      </c>
      <c r="B2428" t="s">
        <v>10</v>
      </c>
      <c r="C2428">
        <v>92532</v>
      </c>
      <c r="D2428" t="str">
        <f>"92532"</f>
        <v>92532</v>
      </c>
      <c r="E2428">
        <v>73.72</v>
      </c>
    </row>
    <row r="2429" spans="1:5" x14ac:dyDescent="0.2">
      <c r="A2429">
        <v>92536</v>
      </c>
      <c r="B2429" t="s">
        <v>10</v>
      </c>
      <c r="C2429">
        <v>92536</v>
      </c>
      <c r="D2429" t="str">
        <f>"92536"</f>
        <v>92536</v>
      </c>
      <c r="E2429">
        <v>71.64</v>
      </c>
    </row>
    <row r="2430" spans="1:5" x14ac:dyDescent="0.2">
      <c r="A2430">
        <v>92539</v>
      </c>
      <c r="B2430" t="s">
        <v>10</v>
      </c>
      <c r="C2430">
        <v>92539</v>
      </c>
      <c r="D2430" t="str">
        <f>"92539"</f>
        <v>92539</v>
      </c>
      <c r="E2430">
        <v>60.53</v>
      </c>
    </row>
    <row r="2431" spans="1:5" x14ac:dyDescent="0.2">
      <c r="A2431">
        <v>92543</v>
      </c>
      <c r="B2431" t="s">
        <v>10</v>
      </c>
      <c r="C2431">
        <v>92543</v>
      </c>
      <c r="D2431" t="str">
        <f>"92543"</f>
        <v>92543</v>
      </c>
      <c r="E2431">
        <v>52.88</v>
      </c>
    </row>
    <row r="2432" spans="1:5" x14ac:dyDescent="0.2">
      <c r="A2432">
        <v>92544</v>
      </c>
      <c r="B2432" t="s">
        <v>10</v>
      </c>
      <c r="C2432">
        <v>92544</v>
      </c>
      <c r="D2432" t="str">
        <f>"92544"</f>
        <v>92544</v>
      </c>
      <c r="E2432">
        <v>61.96</v>
      </c>
    </row>
    <row r="2433" spans="1:5" x14ac:dyDescent="0.2">
      <c r="A2433">
        <v>92545</v>
      </c>
      <c r="B2433" t="s">
        <v>10</v>
      </c>
      <c r="C2433">
        <v>92545</v>
      </c>
      <c r="D2433" t="str">
        <f>"92545"</f>
        <v>92545</v>
      </c>
      <c r="E2433">
        <v>64.73</v>
      </c>
    </row>
    <row r="2434" spans="1:5" x14ac:dyDescent="0.2">
      <c r="A2434">
        <v>92548</v>
      </c>
      <c r="B2434" t="s">
        <v>10</v>
      </c>
      <c r="C2434">
        <v>92548</v>
      </c>
      <c r="D2434" t="str">
        <f>"92548"</f>
        <v>92548</v>
      </c>
      <c r="E2434">
        <v>56.59</v>
      </c>
    </row>
    <row r="2435" spans="1:5" x14ac:dyDescent="0.2">
      <c r="A2435">
        <v>92549</v>
      </c>
      <c r="B2435" t="s">
        <v>10</v>
      </c>
      <c r="C2435">
        <v>92549</v>
      </c>
      <c r="D2435" t="str">
        <f>"92549"</f>
        <v>92549</v>
      </c>
      <c r="E2435" t="s">
        <v>6</v>
      </c>
    </row>
    <row r="2436" spans="1:5" x14ac:dyDescent="0.2">
      <c r="A2436">
        <v>92551</v>
      </c>
      <c r="B2436" t="s">
        <v>10</v>
      </c>
      <c r="C2436">
        <v>92551</v>
      </c>
      <c r="D2436" t="str">
        <f>"92551"</f>
        <v>92551</v>
      </c>
      <c r="E2436">
        <v>61.19</v>
      </c>
    </row>
    <row r="2437" spans="1:5" x14ac:dyDescent="0.2">
      <c r="A2437">
        <v>92553</v>
      </c>
      <c r="B2437" t="s">
        <v>10</v>
      </c>
      <c r="C2437">
        <v>92553</v>
      </c>
      <c r="D2437" t="str">
        <f>"92553"</f>
        <v>92553</v>
      </c>
      <c r="E2437">
        <v>57.42</v>
      </c>
    </row>
    <row r="2438" spans="1:5" x14ac:dyDescent="0.2">
      <c r="A2438">
        <v>92555</v>
      </c>
      <c r="B2438" t="s">
        <v>10</v>
      </c>
      <c r="C2438">
        <v>92555</v>
      </c>
      <c r="D2438" t="str">
        <f>"92555"</f>
        <v>92555</v>
      </c>
      <c r="E2438">
        <v>69.709999999999994</v>
      </c>
    </row>
    <row r="2439" spans="1:5" x14ac:dyDescent="0.2">
      <c r="A2439">
        <v>92557</v>
      </c>
      <c r="B2439" t="s">
        <v>10</v>
      </c>
      <c r="C2439">
        <v>92557</v>
      </c>
      <c r="D2439" t="str">
        <f>"92557"</f>
        <v>92557</v>
      </c>
      <c r="E2439">
        <v>66.87</v>
      </c>
    </row>
    <row r="2440" spans="1:5" x14ac:dyDescent="0.2">
      <c r="A2440">
        <v>92561</v>
      </c>
      <c r="B2440" t="s">
        <v>10</v>
      </c>
      <c r="C2440">
        <v>92561</v>
      </c>
      <c r="D2440" t="str">
        <f>"92561"</f>
        <v>92561</v>
      </c>
      <c r="E2440">
        <v>74.599999999999994</v>
      </c>
    </row>
    <row r="2441" spans="1:5" x14ac:dyDescent="0.2">
      <c r="A2441">
        <v>92562</v>
      </c>
      <c r="B2441" t="s">
        <v>10</v>
      </c>
      <c r="C2441">
        <v>92562</v>
      </c>
      <c r="D2441" t="str">
        <f>"92562"</f>
        <v>92562</v>
      </c>
      <c r="E2441">
        <v>75.69</v>
      </c>
    </row>
    <row r="2442" spans="1:5" x14ac:dyDescent="0.2">
      <c r="A2442">
        <v>92563</v>
      </c>
      <c r="B2442" t="s">
        <v>10</v>
      </c>
      <c r="C2442">
        <v>92563</v>
      </c>
      <c r="D2442" t="str">
        <f>"92563"</f>
        <v>92563</v>
      </c>
      <c r="E2442">
        <v>74.53</v>
      </c>
    </row>
    <row r="2443" spans="1:5" x14ac:dyDescent="0.2">
      <c r="A2443">
        <v>92567</v>
      </c>
      <c r="B2443" t="s">
        <v>10</v>
      </c>
      <c r="C2443">
        <v>92567</v>
      </c>
      <c r="D2443" t="str">
        <f>"92567"</f>
        <v>92567</v>
      </c>
      <c r="E2443">
        <v>63.39</v>
      </c>
    </row>
    <row r="2444" spans="1:5" x14ac:dyDescent="0.2">
      <c r="A2444">
        <v>92570</v>
      </c>
      <c r="B2444" t="s">
        <v>10</v>
      </c>
      <c r="C2444">
        <v>92570</v>
      </c>
      <c r="D2444" t="str">
        <f>"92570"</f>
        <v>92570</v>
      </c>
      <c r="E2444">
        <v>56.35</v>
      </c>
    </row>
    <row r="2445" spans="1:5" x14ac:dyDescent="0.2">
      <c r="A2445">
        <v>92571</v>
      </c>
      <c r="B2445" t="s">
        <v>10</v>
      </c>
      <c r="C2445">
        <v>92571</v>
      </c>
      <c r="D2445" t="str">
        <f>"92571"</f>
        <v>92571</v>
      </c>
      <c r="E2445">
        <v>60.18</v>
      </c>
    </row>
    <row r="2446" spans="1:5" x14ac:dyDescent="0.2">
      <c r="A2446">
        <v>92582</v>
      </c>
      <c r="B2446" t="s">
        <v>10</v>
      </c>
      <c r="C2446">
        <v>92582</v>
      </c>
      <c r="D2446" t="str">
        <f>"92582"</f>
        <v>92582</v>
      </c>
      <c r="E2446">
        <v>62.31</v>
      </c>
    </row>
    <row r="2447" spans="1:5" x14ac:dyDescent="0.2">
      <c r="A2447">
        <v>92583</v>
      </c>
      <c r="B2447" t="s">
        <v>10</v>
      </c>
      <c r="C2447">
        <v>92583</v>
      </c>
      <c r="D2447" t="str">
        <f>"92583"</f>
        <v>92583</v>
      </c>
      <c r="E2447">
        <v>56.21</v>
      </c>
    </row>
    <row r="2448" spans="1:5" x14ac:dyDescent="0.2">
      <c r="A2448">
        <v>92584</v>
      </c>
      <c r="B2448" t="s">
        <v>10</v>
      </c>
      <c r="C2448">
        <v>92584</v>
      </c>
      <c r="D2448" t="str">
        <f>"92584"</f>
        <v>92584</v>
      </c>
      <c r="E2448">
        <v>73.930000000000007</v>
      </c>
    </row>
    <row r="2449" spans="1:5" x14ac:dyDescent="0.2">
      <c r="A2449">
        <v>92585</v>
      </c>
      <c r="B2449" t="s">
        <v>10</v>
      </c>
      <c r="C2449">
        <v>92585</v>
      </c>
      <c r="D2449" t="str">
        <f>"92585"</f>
        <v>92585</v>
      </c>
      <c r="E2449">
        <v>70.09</v>
      </c>
    </row>
    <row r="2450" spans="1:5" x14ac:dyDescent="0.2">
      <c r="A2450">
        <v>92586</v>
      </c>
      <c r="B2450" t="s">
        <v>10</v>
      </c>
      <c r="C2450">
        <v>92586</v>
      </c>
      <c r="D2450" t="str">
        <f>"92586"</f>
        <v>92586</v>
      </c>
      <c r="E2450">
        <v>69.17</v>
      </c>
    </row>
    <row r="2451" spans="1:5" x14ac:dyDescent="0.2">
      <c r="A2451">
        <v>92587</v>
      </c>
      <c r="B2451" t="s">
        <v>10</v>
      </c>
      <c r="C2451">
        <v>92587</v>
      </c>
      <c r="D2451" t="str">
        <f>"92587"</f>
        <v>92587</v>
      </c>
      <c r="E2451">
        <v>72.25</v>
      </c>
    </row>
    <row r="2452" spans="1:5" x14ac:dyDescent="0.2">
      <c r="A2452">
        <v>92590</v>
      </c>
      <c r="B2452" t="s">
        <v>10</v>
      </c>
      <c r="C2452">
        <v>92590</v>
      </c>
      <c r="D2452" t="str">
        <f>"92590"</f>
        <v>92590</v>
      </c>
      <c r="E2452">
        <v>71.5</v>
      </c>
    </row>
    <row r="2453" spans="1:5" x14ac:dyDescent="0.2">
      <c r="A2453">
        <v>92591</v>
      </c>
      <c r="B2453" t="s">
        <v>10</v>
      </c>
      <c r="C2453">
        <v>92591</v>
      </c>
      <c r="D2453" t="str">
        <f>"92591"</f>
        <v>92591</v>
      </c>
      <c r="E2453">
        <v>75.53</v>
      </c>
    </row>
    <row r="2454" spans="1:5" x14ac:dyDescent="0.2">
      <c r="A2454">
        <v>92592</v>
      </c>
      <c r="B2454" t="s">
        <v>10</v>
      </c>
      <c r="C2454">
        <v>92592</v>
      </c>
      <c r="D2454" t="str">
        <f>"92592"</f>
        <v>92592</v>
      </c>
      <c r="E2454">
        <v>77</v>
      </c>
    </row>
    <row r="2455" spans="1:5" x14ac:dyDescent="0.2">
      <c r="A2455">
        <v>92595</v>
      </c>
      <c r="B2455" t="s">
        <v>10</v>
      </c>
      <c r="C2455">
        <v>92595</v>
      </c>
      <c r="D2455" t="str">
        <f>"92595"</f>
        <v>92595</v>
      </c>
      <c r="E2455">
        <v>71.62</v>
      </c>
    </row>
    <row r="2456" spans="1:5" x14ac:dyDescent="0.2">
      <c r="A2456">
        <v>92596</v>
      </c>
      <c r="B2456" t="s">
        <v>10</v>
      </c>
      <c r="C2456">
        <v>92596</v>
      </c>
      <c r="D2456" t="str">
        <f>"92596"</f>
        <v>92596</v>
      </c>
      <c r="E2456">
        <v>74.319999999999993</v>
      </c>
    </row>
    <row r="2457" spans="1:5" x14ac:dyDescent="0.2">
      <c r="A2457">
        <v>92602</v>
      </c>
      <c r="B2457" t="s">
        <v>10</v>
      </c>
      <c r="C2457">
        <v>92602</v>
      </c>
      <c r="D2457" t="str">
        <f>"92602"</f>
        <v>92602</v>
      </c>
      <c r="E2457">
        <v>79.45</v>
      </c>
    </row>
    <row r="2458" spans="1:5" x14ac:dyDescent="0.2">
      <c r="A2458">
        <v>92603</v>
      </c>
      <c r="B2458" t="s">
        <v>10</v>
      </c>
      <c r="C2458">
        <v>92603</v>
      </c>
      <c r="D2458" t="str">
        <f>"92603"</f>
        <v>92603</v>
      </c>
      <c r="E2458">
        <v>80.989999999999995</v>
      </c>
    </row>
    <row r="2459" spans="1:5" x14ac:dyDescent="0.2">
      <c r="A2459">
        <v>92604</v>
      </c>
      <c r="B2459" t="s">
        <v>10</v>
      </c>
      <c r="C2459">
        <v>92604</v>
      </c>
      <c r="D2459" t="str">
        <f>"92604"</f>
        <v>92604</v>
      </c>
      <c r="E2459">
        <v>79.02</v>
      </c>
    </row>
    <row r="2460" spans="1:5" x14ac:dyDescent="0.2">
      <c r="A2460">
        <v>92606</v>
      </c>
      <c r="B2460" t="s">
        <v>10</v>
      </c>
      <c r="C2460">
        <v>92606</v>
      </c>
      <c r="D2460" t="str">
        <f>"92606"</f>
        <v>92606</v>
      </c>
      <c r="E2460">
        <v>78.09</v>
      </c>
    </row>
    <row r="2461" spans="1:5" x14ac:dyDescent="0.2">
      <c r="A2461">
        <v>92610</v>
      </c>
      <c r="B2461" t="s">
        <v>10</v>
      </c>
      <c r="C2461">
        <v>92610</v>
      </c>
      <c r="D2461" t="str">
        <f>"92610"</f>
        <v>92610</v>
      </c>
      <c r="E2461">
        <v>83.39</v>
      </c>
    </row>
    <row r="2462" spans="1:5" x14ac:dyDescent="0.2">
      <c r="A2462">
        <v>92612</v>
      </c>
      <c r="B2462" t="s">
        <v>10</v>
      </c>
      <c r="C2462">
        <v>92612</v>
      </c>
      <c r="D2462" t="str">
        <f>"92612"</f>
        <v>92612</v>
      </c>
      <c r="E2462">
        <v>76.930000000000007</v>
      </c>
    </row>
    <row r="2463" spans="1:5" x14ac:dyDescent="0.2">
      <c r="A2463">
        <v>92614</v>
      </c>
      <c r="B2463" t="s">
        <v>10</v>
      </c>
      <c r="C2463">
        <v>92614</v>
      </c>
      <c r="D2463" t="str">
        <f>"92614"</f>
        <v>92614</v>
      </c>
      <c r="E2463">
        <v>79.650000000000006</v>
      </c>
    </row>
    <row r="2464" spans="1:5" x14ac:dyDescent="0.2">
      <c r="A2464">
        <v>92617</v>
      </c>
      <c r="B2464" t="s">
        <v>10</v>
      </c>
      <c r="C2464">
        <v>92617</v>
      </c>
      <c r="D2464" t="str">
        <f>"92617"</f>
        <v>92617</v>
      </c>
      <c r="E2464">
        <v>79.819999999999993</v>
      </c>
    </row>
    <row r="2465" spans="1:5" x14ac:dyDescent="0.2">
      <c r="A2465">
        <v>92618</v>
      </c>
      <c r="B2465" t="s">
        <v>10</v>
      </c>
      <c r="C2465">
        <v>92618</v>
      </c>
      <c r="D2465" t="str">
        <f>"92618"</f>
        <v>92618</v>
      </c>
      <c r="E2465">
        <v>81.459999999999994</v>
      </c>
    </row>
    <row r="2466" spans="1:5" x14ac:dyDescent="0.2">
      <c r="A2466">
        <v>92620</v>
      </c>
      <c r="B2466" t="s">
        <v>10</v>
      </c>
      <c r="C2466">
        <v>92620</v>
      </c>
      <c r="D2466" t="str">
        <f>"92620"</f>
        <v>92620</v>
      </c>
      <c r="E2466">
        <v>78.819999999999993</v>
      </c>
    </row>
    <row r="2467" spans="1:5" x14ac:dyDescent="0.2">
      <c r="A2467">
        <v>92624</v>
      </c>
      <c r="B2467" t="s">
        <v>10</v>
      </c>
      <c r="C2467">
        <v>92624</v>
      </c>
      <c r="D2467" t="str">
        <f>"92624"</f>
        <v>92624</v>
      </c>
      <c r="E2467">
        <v>76.58</v>
      </c>
    </row>
    <row r="2468" spans="1:5" x14ac:dyDescent="0.2">
      <c r="A2468">
        <v>92625</v>
      </c>
      <c r="B2468" t="s">
        <v>10</v>
      </c>
      <c r="C2468">
        <v>92625</v>
      </c>
      <c r="D2468" t="str">
        <f>"92625"</f>
        <v>92625</v>
      </c>
      <c r="E2468">
        <v>83.44</v>
      </c>
    </row>
    <row r="2469" spans="1:5" x14ac:dyDescent="0.2">
      <c r="A2469">
        <v>92626</v>
      </c>
      <c r="B2469" t="s">
        <v>10</v>
      </c>
      <c r="C2469">
        <v>92626</v>
      </c>
      <c r="D2469" t="str">
        <f>"92626"</f>
        <v>92626</v>
      </c>
      <c r="E2469">
        <v>78.7</v>
      </c>
    </row>
    <row r="2470" spans="1:5" x14ac:dyDescent="0.2">
      <c r="A2470">
        <v>92627</v>
      </c>
      <c r="B2470" t="s">
        <v>10</v>
      </c>
      <c r="C2470">
        <v>92627</v>
      </c>
      <c r="D2470" t="str">
        <f>"92627"</f>
        <v>92627</v>
      </c>
      <c r="E2470">
        <v>73.08</v>
      </c>
    </row>
    <row r="2471" spans="1:5" x14ac:dyDescent="0.2">
      <c r="A2471">
        <v>92628</v>
      </c>
      <c r="B2471" t="s">
        <v>10</v>
      </c>
      <c r="C2471">
        <v>92628</v>
      </c>
      <c r="D2471" t="str">
        <f>"92628"</f>
        <v>92628</v>
      </c>
      <c r="E2471" t="s">
        <v>6</v>
      </c>
    </row>
    <row r="2472" spans="1:5" x14ac:dyDescent="0.2">
      <c r="A2472">
        <v>92629</v>
      </c>
      <c r="B2472" t="s">
        <v>10</v>
      </c>
      <c r="C2472">
        <v>92629</v>
      </c>
      <c r="D2472" t="str">
        <f>"92629"</f>
        <v>92629</v>
      </c>
      <c r="E2472">
        <v>79.2</v>
      </c>
    </row>
    <row r="2473" spans="1:5" x14ac:dyDescent="0.2">
      <c r="A2473">
        <v>92630</v>
      </c>
      <c r="B2473" t="s">
        <v>10</v>
      </c>
      <c r="C2473">
        <v>92630</v>
      </c>
      <c r="D2473" t="str">
        <f>"92630"</f>
        <v>92630</v>
      </c>
      <c r="E2473">
        <v>79.040000000000006</v>
      </c>
    </row>
    <row r="2474" spans="1:5" x14ac:dyDescent="0.2">
      <c r="A2474">
        <v>92637</v>
      </c>
      <c r="B2474" t="s">
        <v>10</v>
      </c>
      <c r="C2474">
        <v>92637</v>
      </c>
      <c r="D2474" t="str">
        <f>"92637"</f>
        <v>92637</v>
      </c>
      <c r="E2474">
        <v>74.650000000000006</v>
      </c>
    </row>
    <row r="2475" spans="1:5" x14ac:dyDescent="0.2">
      <c r="A2475">
        <v>92646</v>
      </c>
      <c r="B2475" t="s">
        <v>10</v>
      </c>
      <c r="C2475">
        <v>92646</v>
      </c>
      <c r="D2475" t="str">
        <f>"92646"</f>
        <v>92646</v>
      </c>
      <c r="E2475">
        <v>81.66</v>
      </c>
    </row>
    <row r="2476" spans="1:5" x14ac:dyDescent="0.2">
      <c r="A2476">
        <v>92647</v>
      </c>
      <c r="B2476" t="s">
        <v>10</v>
      </c>
      <c r="C2476">
        <v>92647</v>
      </c>
      <c r="D2476" t="str">
        <f>"92647"</f>
        <v>92647</v>
      </c>
      <c r="E2476">
        <v>76.239999999999995</v>
      </c>
    </row>
    <row r="2477" spans="1:5" x14ac:dyDescent="0.2">
      <c r="A2477">
        <v>92648</v>
      </c>
      <c r="B2477" t="s">
        <v>10</v>
      </c>
      <c r="C2477">
        <v>92648</v>
      </c>
      <c r="D2477" t="str">
        <f>"92648"</f>
        <v>92648</v>
      </c>
      <c r="E2477">
        <v>82.27</v>
      </c>
    </row>
    <row r="2478" spans="1:5" x14ac:dyDescent="0.2">
      <c r="A2478">
        <v>92649</v>
      </c>
      <c r="B2478" t="s">
        <v>10</v>
      </c>
      <c r="C2478">
        <v>92649</v>
      </c>
      <c r="D2478" t="str">
        <f>"92649"</f>
        <v>92649</v>
      </c>
      <c r="E2478">
        <v>82.83</v>
      </c>
    </row>
    <row r="2479" spans="1:5" x14ac:dyDescent="0.2">
      <c r="A2479">
        <v>92651</v>
      </c>
      <c r="B2479" t="s">
        <v>10</v>
      </c>
      <c r="C2479">
        <v>92651</v>
      </c>
      <c r="D2479" t="str">
        <f>"92651"</f>
        <v>92651</v>
      </c>
      <c r="E2479">
        <v>80.23</v>
      </c>
    </row>
    <row r="2480" spans="1:5" x14ac:dyDescent="0.2">
      <c r="A2480">
        <v>92653</v>
      </c>
      <c r="B2480" t="s">
        <v>10</v>
      </c>
      <c r="C2480">
        <v>92653</v>
      </c>
      <c r="D2480" t="str">
        <f>"92653"</f>
        <v>92653</v>
      </c>
      <c r="E2480">
        <v>77.28</v>
      </c>
    </row>
    <row r="2481" spans="1:5" x14ac:dyDescent="0.2">
      <c r="A2481">
        <v>92655</v>
      </c>
      <c r="B2481" t="s">
        <v>10</v>
      </c>
      <c r="C2481">
        <v>92655</v>
      </c>
      <c r="D2481" t="str">
        <f>"92655"</f>
        <v>92655</v>
      </c>
      <c r="E2481">
        <v>57.43</v>
      </c>
    </row>
    <row r="2482" spans="1:5" x14ac:dyDescent="0.2">
      <c r="A2482">
        <v>92656</v>
      </c>
      <c r="B2482" t="s">
        <v>10</v>
      </c>
      <c r="C2482">
        <v>92656</v>
      </c>
      <c r="D2482" t="str">
        <f>"92656"</f>
        <v>92656</v>
      </c>
      <c r="E2482">
        <v>82.15</v>
      </c>
    </row>
    <row r="2483" spans="1:5" x14ac:dyDescent="0.2">
      <c r="A2483">
        <v>92657</v>
      </c>
      <c r="B2483" t="s">
        <v>10</v>
      </c>
      <c r="C2483">
        <v>92657</v>
      </c>
      <c r="D2483" t="str">
        <f>"92657"</f>
        <v>92657</v>
      </c>
      <c r="E2483">
        <v>81.78</v>
      </c>
    </row>
    <row r="2484" spans="1:5" x14ac:dyDescent="0.2">
      <c r="A2484">
        <v>92660</v>
      </c>
      <c r="B2484" t="s">
        <v>10</v>
      </c>
      <c r="C2484">
        <v>92660</v>
      </c>
      <c r="D2484" t="str">
        <f>"92660"</f>
        <v>92660</v>
      </c>
      <c r="E2484">
        <v>81.900000000000006</v>
      </c>
    </row>
    <row r="2485" spans="1:5" x14ac:dyDescent="0.2">
      <c r="A2485">
        <v>92661</v>
      </c>
      <c r="B2485" t="s">
        <v>10</v>
      </c>
      <c r="C2485">
        <v>92661</v>
      </c>
      <c r="D2485" t="str">
        <f>"92661"</f>
        <v>92661</v>
      </c>
      <c r="E2485">
        <v>83.43</v>
      </c>
    </row>
    <row r="2486" spans="1:5" x14ac:dyDescent="0.2">
      <c r="A2486">
        <v>92662</v>
      </c>
      <c r="B2486" t="s">
        <v>10</v>
      </c>
      <c r="C2486">
        <v>92662</v>
      </c>
      <c r="D2486" t="str">
        <f>"92662"</f>
        <v>92662</v>
      </c>
      <c r="E2486">
        <v>80.69</v>
      </c>
    </row>
    <row r="2487" spans="1:5" x14ac:dyDescent="0.2">
      <c r="A2487">
        <v>92663</v>
      </c>
      <c r="B2487" t="s">
        <v>10</v>
      </c>
      <c r="C2487">
        <v>92663</v>
      </c>
      <c r="D2487" t="str">
        <f>"92663"</f>
        <v>92663</v>
      </c>
      <c r="E2487">
        <v>83.75</v>
      </c>
    </row>
    <row r="2488" spans="1:5" x14ac:dyDescent="0.2">
      <c r="A2488">
        <v>92672</v>
      </c>
      <c r="B2488" t="s">
        <v>10</v>
      </c>
      <c r="C2488">
        <v>92672</v>
      </c>
      <c r="D2488" t="str">
        <f>"92672"</f>
        <v>92672</v>
      </c>
      <c r="E2488">
        <v>77.08</v>
      </c>
    </row>
    <row r="2489" spans="1:5" x14ac:dyDescent="0.2">
      <c r="A2489">
        <v>92673</v>
      </c>
      <c r="B2489" t="s">
        <v>10</v>
      </c>
      <c r="C2489">
        <v>92673</v>
      </c>
      <c r="D2489" t="str">
        <f>"92673"</f>
        <v>92673</v>
      </c>
      <c r="E2489">
        <v>79.94</v>
      </c>
    </row>
    <row r="2490" spans="1:5" x14ac:dyDescent="0.2">
      <c r="A2490">
        <v>92675</v>
      </c>
      <c r="B2490" t="s">
        <v>10</v>
      </c>
      <c r="C2490">
        <v>92675</v>
      </c>
      <c r="D2490" t="str">
        <f>"92675"</f>
        <v>92675</v>
      </c>
      <c r="E2490">
        <v>73.62</v>
      </c>
    </row>
    <row r="2491" spans="1:5" x14ac:dyDescent="0.2">
      <c r="A2491">
        <v>92676</v>
      </c>
      <c r="B2491" t="s">
        <v>10</v>
      </c>
      <c r="C2491">
        <v>92676</v>
      </c>
      <c r="D2491" t="str">
        <f>"92676"</f>
        <v>92676</v>
      </c>
      <c r="E2491">
        <v>80.41</v>
      </c>
    </row>
    <row r="2492" spans="1:5" x14ac:dyDescent="0.2">
      <c r="A2492">
        <v>92677</v>
      </c>
      <c r="B2492" t="s">
        <v>10</v>
      </c>
      <c r="C2492">
        <v>92677</v>
      </c>
      <c r="D2492" t="str">
        <f>"92677"</f>
        <v>92677</v>
      </c>
      <c r="E2492">
        <v>79.72</v>
      </c>
    </row>
    <row r="2493" spans="1:5" x14ac:dyDescent="0.2">
      <c r="A2493">
        <v>92678</v>
      </c>
      <c r="B2493" t="s">
        <v>10</v>
      </c>
      <c r="C2493">
        <v>92678</v>
      </c>
      <c r="D2493" t="str">
        <f>"92678"</f>
        <v>92678</v>
      </c>
      <c r="E2493" t="s">
        <v>6</v>
      </c>
    </row>
    <row r="2494" spans="1:5" x14ac:dyDescent="0.2">
      <c r="A2494">
        <v>92679</v>
      </c>
      <c r="B2494" t="s">
        <v>10</v>
      </c>
      <c r="C2494">
        <v>92679</v>
      </c>
      <c r="D2494" t="str">
        <f>"92679"</f>
        <v>92679</v>
      </c>
      <c r="E2494">
        <v>82.49</v>
      </c>
    </row>
    <row r="2495" spans="1:5" x14ac:dyDescent="0.2">
      <c r="A2495">
        <v>92683</v>
      </c>
      <c r="B2495" t="s">
        <v>10</v>
      </c>
      <c r="C2495">
        <v>92683</v>
      </c>
      <c r="D2495" t="str">
        <f>"92683"</f>
        <v>92683</v>
      </c>
      <c r="E2495">
        <v>65.930000000000007</v>
      </c>
    </row>
    <row r="2496" spans="1:5" x14ac:dyDescent="0.2">
      <c r="A2496">
        <v>92688</v>
      </c>
      <c r="B2496" t="s">
        <v>10</v>
      </c>
      <c r="C2496">
        <v>92688</v>
      </c>
      <c r="D2496" t="str">
        <f>"92688"</f>
        <v>92688</v>
      </c>
      <c r="E2496">
        <v>81.709999999999994</v>
      </c>
    </row>
    <row r="2497" spans="1:5" x14ac:dyDescent="0.2">
      <c r="A2497">
        <v>92691</v>
      </c>
      <c r="B2497" t="s">
        <v>10</v>
      </c>
      <c r="C2497">
        <v>92691</v>
      </c>
      <c r="D2497" t="str">
        <f>"92691"</f>
        <v>92691</v>
      </c>
      <c r="E2497">
        <v>79.44</v>
      </c>
    </row>
    <row r="2498" spans="1:5" x14ac:dyDescent="0.2">
      <c r="A2498">
        <v>92692</v>
      </c>
      <c r="B2498" t="s">
        <v>10</v>
      </c>
      <c r="C2498">
        <v>92692</v>
      </c>
      <c r="D2498" t="str">
        <f>"92692"</f>
        <v>92692</v>
      </c>
      <c r="E2498">
        <v>81</v>
      </c>
    </row>
    <row r="2499" spans="1:5" x14ac:dyDescent="0.2">
      <c r="A2499">
        <v>92694</v>
      </c>
      <c r="B2499" t="s">
        <v>10</v>
      </c>
      <c r="C2499">
        <v>92694</v>
      </c>
      <c r="D2499" t="str">
        <f>"92694"</f>
        <v>92694</v>
      </c>
      <c r="E2499">
        <v>84.15</v>
      </c>
    </row>
    <row r="2500" spans="1:5" x14ac:dyDescent="0.2">
      <c r="A2500">
        <v>92697</v>
      </c>
      <c r="B2500" t="s">
        <v>10</v>
      </c>
      <c r="C2500">
        <v>92697</v>
      </c>
      <c r="D2500" t="str">
        <f>"92697"</f>
        <v>92697</v>
      </c>
      <c r="E2500" t="s">
        <v>6</v>
      </c>
    </row>
    <row r="2501" spans="1:5" x14ac:dyDescent="0.2">
      <c r="A2501">
        <v>92701</v>
      </c>
      <c r="B2501" t="s">
        <v>10</v>
      </c>
      <c r="C2501">
        <v>92701</v>
      </c>
      <c r="D2501" t="str">
        <f>"92701"</f>
        <v>92701</v>
      </c>
      <c r="E2501">
        <v>56.85</v>
      </c>
    </row>
    <row r="2502" spans="1:5" x14ac:dyDescent="0.2">
      <c r="A2502">
        <v>92703</v>
      </c>
      <c r="B2502" t="s">
        <v>10</v>
      </c>
      <c r="C2502">
        <v>92703</v>
      </c>
      <c r="D2502" t="str">
        <f>"92703"</f>
        <v>92703</v>
      </c>
      <c r="E2502">
        <v>57.47</v>
      </c>
    </row>
    <row r="2503" spans="1:5" x14ac:dyDescent="0.2">
      <c r="A2503">
        <v>92704</v>
      </c>
      <c r="B2503" t="s">
        <v>10</v>
      </c>
      <c r="C2503">
        <v>92704</v>
      </c>
      <c r="D2503" t="str">
        <f>"92704"</f>
        <v>92704</v>
      </c>
      <c r="E2503">
        <v>63.78</v>
      </c>
    </row>
    <row r="2504" spans="1:5" x14ac:dyDescent="0.2">
      <c r="A2504">
        <v>92705</v>
      </c>
      <c r="B2504" t="s">
        <v>10</v>
      </c>
      <c r="C2504">
        <v>92705</v>
      </c>
      <c r="D2504" t="str">
        <f>"92705"</f>
        <v>92705</v>
      </c>
      <c r="E2504">
        <v>75.53</v>
      </c>
    </row>
    <row r="2505" spans="1:5" x14ac:dyDescent="0.2">
      <c r="A2505">
        <v>92706</v>
      </c>
      <c r="B2505" t="s">
        <v>10</v>
      </c>
      <c r="C2505">
        <v>92706</v>
      </c>
      <c r="D2505" t="str">
        <f>"92706"</f>
        <v>92706</v>
      </c>
      <c r="E2505">
        <v>66.790000000000006</v>
      </c>
    </row>
    <row r="2506" spans="1:5" x14ac:dyDescent="0.2">
      <c r="A2506">
        <v>92707</v>
      </c>
      <c r="B2506" t="s">
        <v>10</v>
      </c>
      <c r="C2506">
        <v>92707</v>
      </c>
      <c r="D2506" t="str">
        <f>"92707"</f>
        <v>92707</v>
      </c>
      <c r="E2506">
        <v>64.78</v>
      </c>
    </row>
    <row r="2507" spans="1:5" x14ac:dyDescent="0.2">
      <c r="A2507">
        <v>92708</v>
      </c>
      <c r="B2507" t="s">
        <v>10</v>
      </c>
      <c r="C2507">
        <v>92708</v>
      </c>
      <c r="D2507" t="str">
        <f>"92708"</f>
        <v>92708</v>
      </c>
      <c r="E2507">
        <v>76.88</v>
      </c>
    </row>
    <row r="2508" spans="1:5" x14ac:dyDescent="0.2">
      <c r="A2508">
        <v>92780</v>
      </c>
      <c r="B2508" t="s">
        <v>10</v>
      </c>
      <c r="C2508">
        <v>92780</v>
      </c>
      <c r="D2508" t="str">
        <f>"92780"</f>
        <v>92780</v>
      </c>
      <c r="E2508">
        <v>72.540000000000006</v>
      </c>
    </row>
    <row r="2509" spans="1:5" x14ac:dyDescent="0.2">
      <c r="A2509">
        <v>92782</v>
      </c>
      <c r="B2509" t="s">
        <v>10</v>
      </c>
      <c r="C2509">
        <v>92782</v>
      </c>
      <c r="D2509" t="str">
        <f>"92782"</f>
        <v>92782</v>
      </c>
      <c r="E2509">
        <v>82.4</v>
      </c>
    </row>
    <row r="2510" spans="1:5" x14ac:dyDescent="0.2">
      <c r="A2510">
        <v>92799</v>
      </c>
      <c r="B2510" t="s">
        <v>10</v>
      </c>
      <c r="C2510">
        <v>92799</v>
      </c>
      <c r="D2510" t="str">
        <f>"92799"</f>
        <v>92799</v>
      </c>
      <c r="E2510" t="s">
        <v>6</v>
      </c>
    </row>
    <row r="2511" spans="1:5" x14ac:dyDescent="0.2">
      <c r="A2511">
        <v>92801</v>
      </c>
      <c r="B2511" t="s">
        <v>10</v>
      </c>
      <c r="C2511">
        <v>92801</v>
      </c>
      <c r="D2511" t="str">
        <f>"92801"</f>
        <v>92801</v>
      </c>
      <c r="E2511">
        <v>65.209999999999994</v>
      </c>
    </row>
    <row r="2512" spans="1:5" x14ac:dyDescent="0.2">
      <c r="A2512">
        <v>92802</v>
      </c>
      <c r="B2512" t="s">
        <v>10</v>
      </c>
      <c r="C2512">
        <v>92802</v>
      </c>
      <c r="D2512" t="str">
        <f>"92802"</f>
        <v>92802</v>
      </c>
      <c r="E2512">
        <v>64.73</v>
      </c>
    </row>
    <row r="2513" spans="1:5" x14ac:dyDescent="0.2">
      <c r="A2513">
        <v>92804</v>
      </c>
      <c r="B2513" t="s">
        <v>10</v>
      </c>
      <c r="C2513">
        <v>92804</v>
      </c>
      <c r="D2513" t="str">
        <f>"92804"</f>
        <v>92804</v>
      </c>
      <c r="E2513">
        <v>66.38</v>
      </c>
    </row>
    <row r="2514" spans="1:5" x14ac:dyDescent="0.2">
      <c r="A2514">
        <v>92805</v>
      </c>
      <c r="B2514" t="s">
        <v>10</v>
      </c>
      <c r="C2514">
        <v>92805</v>
      </c>
      <c r="D2514" t="str">
        <f>"92805"</f>
        <v>92805</v>
      </c>
      <c r="E2514">
        <v>65.709999999999994</v>
      </c>
    </row>
    <row r="2515" spans="1:5" x14ac:dyDescent="0.2">
      <c r="A2515">
        <v>92806</v>
      </c>
      <c r="B2515" t="s">
        <v>10</v>
      </c>
      <c r="C2515">
        <v>92806</v>
      </c>
      <c r="D2515" t="str">
        <f>"92806"</f>
        <v>92806</v>
      </c>
      <c r="E2515">
        <v>72.64</v>
      </c>
    </row>
    <row r="2516" spans="1:5" x14ac:dyDescent="0.2">
      <c r="A2516">
        <v>92807</v>
      </c>
      <c r="B2516" t="s">
        <v>10</v>
      </c>
      <c r="C2516">
        <v>92807</v>
      </c>
      <c r="D2516" t="str">
        <f>"92807"</f>
        <v>92807</v>
      </c>
      <c r="E2516">
        <v>80.66</v>
      </c>
    </row>
    <row r="2517" spans="1:5" x14ac:dyDescent="0.2">
      <c r="A2517">
        <v>92808</v>
      </c>
      <c r="B2517" t="s">
        <v>10</v>
      </c>
      <c r="C2517">
        <v>92808</v>
      </c>
      <c r="D2517" t="str">
        <f>"92808"</f>
        <v>92808</v>
      </c>
      <c r="E2517">
        <v>82.58</v>
      </c>
    </row>
    <row r="2518" spans="1:5" x14ac:dyDescent="0.2">
      <c r="A2518">
        <v>92821</v>
      </c>
      <c r="B2518" t="s">
        <v>10</v>
      </c>
      <c r="C2518">
        <v>92821</v>
      </c>
      <c r="D2518" t="str">
        <f>"92821"</f>
        <v>92821</v>
      </c>
      <c r="E2518">
        <v>79.599999999999994</v>
      </c>
    </row>
    <row r="2519" spans="1:5" x14ac:dyDescent="0.2">
      <c r="A2519">
        <v>92822</v>
      </c>
      <c r="B2519" t="s">
        <v>10</v>
      </c>
      <c r="C2519">
        <v>92822</v>
      </c>
      <c r="D2519" t="str">
        <f>"92822"</f>
        <v>92822</v>
      </c>
      <c r="E2519" t="s">
        <v>6</v>
      </c>
    </row>
    <row r="2520" spans="1:5" x14ac:dyDescent="0.2">
      <c r="A2520">
        <v>92823</v>
      </c>
      <c r="B2520" t="s">
        <v>10</v>
      </c>
      <c r="C2520">
        <v>92823</v>
      </c>
      <c r="D2520" t="str">
        <f>"92823"</f>
        <v>92823</v>
      </c>
      <c r="E2520">
        <v>81.59</v>
      </c>
    </row>
    <row r="2521" spans="1:5" x14ac:dyDescent="0.2">
      <c r="A2521">
        <v>92831</v>
      </c>
      <c r="B2521" t="s">
        <v>10</v>
      </c>
      <c r="C2521">
        <v>92831</v>
      </c>
      <c r="D2521" t="str">
        <f>"92831"</f>
        <v>92831</v>
      </c>
      <c r="E2521">
        <v>73.930000000000007</v>
      </c>
    </row>
    <row r="2522" spans="1:5" x14ac:dyDescent="0.2">
      <c r="A2522">
        <v>92832</v>
      </c>
      <c r="B2522" t="s">
        <v>10</v>
      </c>
      <c r="C2522">
        <v>92832</v>
      </c>
      <c r="D2522" t="str">
        <f>"92832"</f>
        <v>92832</v>
      </c>
      <c r="E2522">
        <v>72.37</v>
      </c>
    </row>
    <row r="2523" spans="1:5" x14ac:dyDescent="0.2">
      <c r="A2523">
        <v>92833</v>
      </c>
      <c r="B2523" t="s">
        <v>10</v>
      </c>
      <c r="C2523">
        <v>92833</v>
      </c>
      <c r="D2523" t="str">
        <f>"92833"</f>
        <v>92833</v>
      </c>
      <c r="E2523">
        <v>72.62</v>
      </c>
    </row>
    <row r="2524" spans="1:5" x14ac:dyDescent="0.2">
      <c r="A2524">
        <v>92834</v>
      </c>
      <c r="B2524" t="s">
        <v>10</v>
      </c>
      <c r="C2524">
        <v>92834</v>
      </c>
      <c r="D2524" t="str">
        <f>"92834"</f>
        <v>92834</v>
      </c>
      <c r="E2524" t="s">
        <v>6</v>
      </c>
    </row>
    <row r="2525" spans="1:5" x14ac:dyDescent="0.2">
      <c r="A2525">
        <v>92835</v>
      </c>
      <c r="B2525" t="s">
        <v>10</v>
      </c>
      <c r="C2525">
        <v>92835</v>
      </c>
      <c r="D2525" t="str">
        <f>"92835"</f>
        <v>92835</v>
      </c>
      <c r="E2525">
        <v>79.69</v>
      </c>
    </row>
    <row r="2526" spans="1:5" x14ac:dyDescent="0.2">
      <c r="A2526">
        <v>92840</v>
      </c>
      <c r="B2526" t="s">
        <v>10</v>
      </c>
      <c r="C2526">
        <v>92840</v>
      </c>
      <c r="D2526" t="str">
        <f>"92840"</f>
        <v>92840</v>
      </c>
      <c r="E2526">
        <v>67.180000000000007</v>
      </c>
    </row>
    <row r="2527" spans="1:5" x14ac:dyDescent="0.2">
      <c r="A2527">
        <v>92841</v>
      </c>
      <c r="B2527" t="s">
        <v>10</v>
      </c>
      <c r="C2527">
        <v>92841</v>
      </c>
      <c r="D2527" t="str">
        <f>"92841"</f>
        <v>92841</v>
      </c>
      <c r="E2527">
        <v>65.5</v>
      </c>
    </row>
    <row r="2528" spans="1:5" x14ac:dyDescent="0.2">
      <c r="A2528">
        <v>92843</v>
      </c>
      <c r="B2528" t="s">
        <v>10</v>
      </c>
      <c r="C2528">
        <v>92843</v>
      </c>
      <c r="D2528" t="str">
        <f>"92843"</f>
        <v>92843</v>
      </c>
      <c r="E2528">
        <v>61.53</v>
      </c>
    </row>
    <row r="2529" spans="1:5" x14ac:dyDescent="0.2">
      <c r="A2529">
        <v>92844</v>
      </c>
      <c r="B2529" t="s">
        <v>10</v>
      </c>
      <c r="C2529">
        <v>92844</v>
      </c>
      <c r="D2529" t="str">
        <f>"92844"</f>
        <v>92844</v>
      </c>
      <c r="E2529">
        <v>61.39</v>
      </c>
    </row>
    <row r="2530" spans="1:5" x14ac:dyDescent="0.2">
      <c r="A2530">
        <v>92845</v>
      </c>
      <c r="B2530" t="s">
        <v>10</v>
      </c>
      <c r="C2530">
        <v>92845</v>
      </c>
      <c r="D2530" t="str">
        <f>"92845"</f>
        <v>92845</v>
      </c>
      <c r="E2530">
        <v>81.94</v>
      </c>
    </row>
    <row r="2531" spans="1:5" x14ac:dyDescent="0.2">
      <c r="A2531">
        <v>92860</v>
      </c>
      <c r="B2531" t="s">
        <v>10</v>
      </c>
      <c r="C2531">
        <v>92860</v>
      </c>
      <c r="D2531" t="str">
        <f>"92860"</f>
        <v>92860</v>
      </c>
      <c r="E2531">
        <v>76.260000000000005</v>
      </c>
    </row>
    <row r="2532" spans="1:5" x14ac:dyDescent="0.2">
      <c r="A2532">
        <v>92861</v>
      </c>
      <c r="B2532" t="s">
        <v>10</v>
      </c>
      <c r="C2532">
        <v>92861</v>
      </c>
      <c r="D2532" t="str">
        <f>"92861"</f>
        <v>92861</v>
      </c>
      <c r="E2532">
        <v>82.7</v>
      </c>
    </row>
    <row r="2533" spans="1:5" x14ac:dyDescent="0.2">
      <c r="A2533">
        <v>92863</v>
      </c>
      <c r="B2533" t="s">
        <v>10</v>
      </c>
      <c r="C2533">
        <v>92863</v>
      </c>
      <c r="D2533" t="str">
        <f>"92863"</f>
        <v>92863</v>
      </c>
      <c r="E2533" t="s">
        <v>6</v>
      </c>
    </row>
    <row r="2534" spans="1:5" x14ac:dyDescent="0.2">
      <c r="A2534">
        <v>92865</v>
      </c>
      <c r="B2534" t="s">
        <v>10</v>
      </c>
      <c r="C2534">
        <v>92865</v>
      </c>
      <c r="D2534" t="str">
        <f>"92865"</f>
        <v>92865</v>
      </c>
      <c r="E2534">
        <v>77.02</v>
      </c>
    </row>
    <row r="2535" spans="1:5" x14ac:dyDescent="0.2">
      <c r="A2535">
        <v>92866</v>
      </c>
      <c r="B2535" t="s">
        <v>10</v>
      </c>
      <c r="C2535">
        <v>92866</v>
      </c>
      <c r="D2535" t="str">
        <f>"92866"</f>
        <v>92866</v>
      </c>
      <c r="E2535">
        <v>76.38</v>
      </c>
    </row>
    <row r="2536" spans="1:5" x14ac:dyDescent="0.2">
      <c r="A2536">
        <v>92867</v>
      </c>
      <c r="B2536" t="s">
        <v>10</v>
      </c>
      <c r="C2536">
        <v>92867</v>
      </c>
      <c r="D2536" t="str">
        <f>"92867"</f>
        <v>92867</v>
      </c>
      <c r="E2536">
        <v>75.510000000000005</v>
      </c>
    </row>
    <row r="2537" spans="1:5" x14ac:dyDescent="0.2">
      <c r="A2537">
        <v>92868</v>
      </c>
      <c r="B2537" t="s">
        <v>10</v>
      </c>
      <c r="C2537">
        <v>92868</v>
      </c>
      <c r="D2537" t="str">
        <f>"92868"</f>
        <v>92868</v>
      </c>
      <c r="E2537">
        <v>74.150000000000006</v>
      </c>
    </row>
    <row r="2538" spans="1:5" x14ac:dyDescent="0.2">
      <c r="A2538">
        <v>92869</v>
      </c>
      <c r="B2538" t="s">
        <v>10</v>
      </c>
      <c r="C2538">
        <v>92869</v>
      </c>
      <c r="D2538" t="str">
        <f>"92869"</f>
        <v>92869</v>
      </c>
      <c r="E2538">
        <v>75.84</v>
      </c>
    </row>
    <row r="2539" spans="1:5" x14ac:dyDescent="0.2">
      <c r="A2539">
        <v>92870</v>
      </c>
      <c r="B2539" t="s">
        <v>10</v>
      </c>
      <c r="C2539">
        <v>92870</v>
      </c>
      <c r="D2539" t="str">
        <f>"92870"</f>
        <v>92870</v>
      </c>
      <c r="E2539">
        <v>75.89</v>
      </c>
    </row>
    <row r="2540" spans="1:5" x14ac:dyDescent="0.2">
      <c r="A2540">
        <v>92879</v>
      </c>
      <c r="B2540" t="s">
        <v>10</v>
      </c>
      <c r="C2540">
        <v>92879</v>
      </c>
      <c r="D2540" t="str">
        <f>"92879"</f>
        <v>92879</v>
      </c>
      <c r="E2540">
        <v>69.58</v>
      </c>
    </row>
    <row r="2541" spans="1:5" x14ac:dyDescent="0.2">
      <c r="A2541">
        <v>92880</v>
      </c>
      <c r="B2541" t="s">
        <v>10</v>
      </c>
      <c r="C2541">
        <v>92880</v>
      </c>
      <c r="D2541" t="str">
        <f>"92880"</f>
        <v>92880</v>
      </c>
      <c r="E2541">
        <v>74.94</v>
      </c>
    </row>
    <row r="2542" spans="1:5" x14ac:dyDescent="0.2">
      <c r="A2542">
        <v>92881</v>
      </c>
      <c r="B2542" t="s">
        <v>10</v>
      </c>
      <c r="C2542">
        <v>92881</v>
      </c>
      <c r="D2542" t="str">
        <f>"92881"</f>
        <v>92881</v>
      </c>
      <c r="E2542">
        <v>76.739999999999995</v>
      </c>
    </row>
    <row r="2543" spans="1:5" x14ac:dyDescent="0.2">
      <c r="A2543">
        <v>92882</v>
      </c>
      <c r="B2543" t="s">
        <v>10</v>
      </c>
      <c r="C2543">
        <v>92882</v>
      </c>
      <c r="D2543" t="str">
        <f>"92882"</f>
        <v>92882</v>
      </c>
      <c r="E2543">
        <v>72.19</v>
      </c>
    </row>
    <row r="2544" spans="1:5" x14ac:dyDescent="0.2">
      <c r="A2544">
        <v>92883</v>
      </c>
      <c r="B2544" t="s">
        <v>10</v>
      </c>
      <c r="C2544">
        <v>92883</v>
      </c>
      <c r="D2544" t="str">
        <f>"92883"</f>
        <v>92883</v>
      </c>
      <c r="E2544">
        <v>78.959999999999994</v>
      </c>
    </row>
    <row r="2545" spans="1:5" x14ac:dyDescent="0.2">
      <c r="A2545">
        <v>92886</v>
      </c>
      <c r="B2545" t="s">
        <v>10</v>
      </c>
      <c r="C2545">
        <v>92886</v>
      </c>
      <c r="D2545" t="str">
        <f>"92886"</f>
        <v>92886</v>
      </c>
      <c r="E2545">
        <v>81.39</v>
      </c>
    </row>
    <row r="2546" spans="1:5" x14ac:dyDescent="0.2">
      <c r="A2546">
        <v>92887</v>
      </c>
      <c r="B2546" t="s">
        <v>10</v>
      </c>
      <c r="C2546">
        <v>92887</v>
      </c>
      <c r="D2546" t="str">
        <f>"92887"</f>
        <v>92887</v>
      </c>
      <c r="E2546">
        <v>81.400000000000006</v>
      </c>
    </row>
    <row r="2547" spans="1:5" x14ac:dyDescent="0.2">
      <c r="A2547">
        <v>93001</v>
      </c>
      <c r="B2547" t="s">
        <v>10</v>
      </c>
      <c r="C2547">
        <v>93001</v>
      </c>
      <c r="D2547" t="str">
        <f>"93001"</f>
        <v>93001</v>
      </c>
      <c r="E2547">
        <v>74.3</v>
      </c>
    </row>
    <row r="2548" spans="1:5" x14ac:dyDescent="0.2">
      <c r="A2548">
        <v>93003</v>
      </c>
      <c r="B2548" t="s">
        <v>10</v>
      </c>
      <c r="C2548">
        <v>93003</v>
      </c>
      <c r="D2548" t="str">
        <f>"93003"</f>
        <v>93003</v>
      </c>
      <c r="E2548">
        <v>78.709999999999994</v>
      </c>
    </row>
    <row r="2549" spans="1:5" x14ac:dyDescent="0.2">
      <c r="A2549">
        <v>93004</v>
      </c>
      <c r="B2549" t="s">
        <v>10</v>
      </c>
      <c r="C2549">
        <v>93004</v>
      </c>
      <c r="D2549" t="str">
        <f>"93004"</f>
        <v>93004</v>
      </c>
      <c r="E2549">
        <v>78.44</v>
      </c>
    </row>
    <row r="2550" spans="1:5" x14ac:dyDescent="0.2">
      <c r="A2550">
        <v>93009</v>
      </c>
      <c r="B2550" t="s">
        <v>10</v>
      </c>
      <c r="C2550">
        <v>93009</v>
      </c>
      <c r="D2550" t="str">
        <f>"93009"</f>
        <v>93009</v>
      </c>
      <c r="E2550" t="s">
        <v>6</v>
      </c>
    </row>
    <row r="2551" spans="1:5" x14ac:dyDescent="0.2">
      <c r="A2551">
        <v>93010</v>
      </c>
      <c r="B2551" t="s">
        <v>10</v>
      </c>
      <c r="C2551">
        <v>93010</v>
      </c>
      <c r="D2551" t="str">
        <f>"93010"</f>
        <v>93010</v>
      </c>
      <c r="E2551">
        <v>79.45</v>
      </c>
    </row>
    <row r="2552" spans="1:5" x14ac:dyDescent="0.2">
      <c r="A2552">
        <v>93012</v>
      </c>
      <c r="B2552" t="s">
        <v>10</v>
      </c>
      <c r="C2552">
        <v>93012</v>
      </c>
      <c r="D2552" t="str">
        <f>"93012"</f>
        <v>93012</v>
      </c>
      <c r="E2552">
        <v>81.33</v>
      </c>
    </row>
    <row r="2553" spans="1:5" x14ac:dyDescent="0.2">
      <c r="A2553">
        <v>93013</v>
      </c>
      <c r="B2553" t="s">
        <v>10</v>
      </c>
      <c r="C2553">
        <v>93013</v>
      </c>
      <c r="D2553" t="str">
        <f>"93013"</f>
        <v>93013</v>
      </c>
      <c r="E2553">
        <v>75.16</v>
      </c>
    </row>
    <row r="2554" spans="1:5" x14ac:dyDescent="0.2">
      <c r="A2554">
        <v>93015</v>
      </c>
      <c r="B2554" t="s">
        <v>10</v>
      </c>
      <c r="C2554">
        <v>93015</v>
      </c>
      <c r="D2554" t="str">
        <f>"93015"</f>
        <v>93015</v>
      </c>
      <c r="E2554">
        <v>68.430000000000007</v>
      </c>
    </row>
    <row r="2555" spans="1:5" x14ac:dyDescent="0.2">
      <c r="A2555">
        <v>93021</v>
      </c>
      <c r="B2555" t="s">
        <v>10</v>
      </c>
      <c r="C2555">
        <v>93021</v>
      </c>
      <c r="D2555" t="str">
        <f>"93021"</f>
        <v>93021</v>
      </c>
      <c r="E2555">
        <v>78.8</v>
      </c>
    </row>
    <row r="2556" spans="1:5" x14ac:dyDescent="0.2">
      <c r="A2556">
        <v>93022</v>
      </c>
      <c r="B2556" t="s">
        <v>10</v>
      </c>
      <c r="C2556">
        <v>93022</v>
      </c>
      <c r="D2556" t="str">
        <f>"93022"</f>
        <v>93022</v>
      </c>
      <c r="E2556">
        <v>73.62</v>
      </c>
    </row>
    <row r="2557" spans="1:5" x14ac:dyDescent="0.2">
      <c r="A2557">
        <v>93023</v>
      </c>
      <c r="B2557" t="s">
        <v>10</v>
      </c>
      <c r="C2557">
        <v>93023</v>
      </c>
      <c r="D2557" t="str">
        <f>"93023"</f>
        <v>93023</v>
      </c>
      <c r="E2557">
        <v>75</v>
      </c>
    </row>
    <row r="2558" spans="1:5" x14ac:dyDescent="0.2">
      <c r="A2558">
        <v>93030</v>
      </c>
      <c r="B2558" t="s">
        <v>10</v>
      </c>
      <c r="C2558">
        <v>93030</v>
      </c>
      <c r="D2558" t="str">
        <f>"93030"</f>
        <v>93030</v>
      </c>
      <c r="E2558">
        <v>64.040000000000006</v>
      </c>
    </row>
    <row r="2559" spans="1:5" x14ac:dyDescent="0.2">
      <c r="A2559">
        <v>93033</v>
      </c>
      <c r="B2559" t="s">
        <v>10</v>
      </c>
      <c r="C2559">
        <v>93033</v>
      </c>
      <c r="D2559" t="str">
        <f>"93033"</f>
        <v>93033</v>
      </c>
      <c r="E2559">
        <v>58.97</v>
      </c>
    </row>
    <row r="2560" spans="1:5" x14ac:dyDescent="0.2">
      <c r="A2560">
        <v>93035</v>
      </c>
      <c r="B2560" t="s">
        <v>10</v>
      </c>
      <c r="C2560">
        <v>93035</v>
      </c>
      <c r="D2560" t="str">
        <f>"93035"</f>
        <v>93035</v>
      </c>
      <c r="E2560">
        <v>78.11</v>
      </c>
    </row>
    <row r="2561" spans="1:5" x14ac:dyDescent="0.2">
      <c r="A2561">
        <v>93036</v>
      </c>
      <c r="B2561" t="s">
        <v>10</v>
      </c>
      <c r="C2561">
        <v>93036</v>
      </c>
      <c r="D2561" t="str">
        <f>"93036"</f>
        <v>93036</v>
      </c>
      <c r="E2561">
        <v>71.17</v>
      </c>
    </row>
    <row r="2562" spans="1:5" x14ac:dyDescent="0.2">
      <c r="A2562">
        <v>93040</v>
      </c>
      <c r="B2562" t="s">
        <v>10</v>
      </c>
      <c r="C2562">
        <v>93040</v>
      </c>
      <c r="D2562" t="str">
        <f>"93040"</f>
        <v>93040</v>
      </c>
      <c r="E2562" t="s">
        <v>6</v>
      </c>
    </row>
    <row r="2563" spans="1:5" x14ac:dyDescent="0.2">
      <c r="A2563">
        <v>93041</v>
      </c>
      <c r="B2563" t="s">
        <v>10</v>
      </c>
      <c r="C2563">
        <v>93041</v>
      </c>
      <c r="D2563" t="str">
        <f>"93041"</f>
        <v>93041</v>
      </c>
      <c r="E2563">
        <v>69.25</v>
      </c>
    </row>
    <row r="2564" spans="1:5" x14ac:dyDescent="0.2">
      <c r="A2564">
        <v>93042</v>
      </c>
      <c r="B2564" t="s">
        <v>10</v>
      </c>
      <c r="C2564">
        <v>93042</v>
      </c>
      <c r="D2564" t="str">
        <f>"93042"</f>
        <v>93042</v>
      </c>
      <c r="E2564" t="s">
        <v>6</v>
      </c>
    </row>
    <row r="2565" spans="1:5" x14ac:dyDescent="0.2">
      <c r="A2565">
        <v>93043</v>
      </c>
      <c r="B2565" t="s">
        <v>10</v>
      </c>
      <c r="C2565">
        <v>93043</v>
      </c>
      <c r="D2565" t="str">
        <f>"93043"</f>
        <v>93043</v>
      </c>
      <c r="E2565" t="s">
        <v>6</v>
      </c>
    </row>
    <row r="2566" spans="1:5" x14ac:dyDescent="0.2">
      <c r="A2566">
        <v>93060</v>
      </c>
      <c r="B2566" t="s">
        <v>10</v>
      </c>
      <c r="C2566">
        <v>93060</v>
      </c>
      <c r="D2566" t="str">
        <f>"93060"</f>
        <v>93060</v>
      </c>
      <c r="E2566">
        <v>65.040000000000006</v>
      </c>
    </row>
    <row r="2567" spans="1:5" x14ac:dyDescent="0.2">
      <c r="A2567">
        <v>93063</v>
      </c>
      <c r="B2567" t="s">
        <v>10</v>
      </c>
      <c r="C2567">
        <v>93063</v>
      </c>
      <c r="D2567" t="str">
        <f>"93063"</f>
        <v>93063</v>
      </c>
      <c r="E2567">
        <v>79.16</v>
      </c>
    </row>
    <row r="2568" spans="1:5" x14ac:dyDescent="0.2">
      <c r="A2568">
        <v>93064</v>
      </c>
      <c r="B2568" t="s">
        <v>10</v>
      </c>
      <c r="C2568">
        <v>93064</v>
      </c>
      <c r="D2568" t="str">
        <f>"93064"</f>
        <v>93064</v>
      </c>
      <c r="E2568" t="s">
        <v>6</v>
      </c>
    </row>
    <row r="2569" spans="1:5" x14ac:dyDescent="0.2">
      <c r="A2569">
        <v>93065</v>
      </c>
      <c r="B2569" t="s">
        <v>10</v>
      </c>
      <c r="C2569">
        <v>93065</v>
      </c>
      <c r="D2569" t="str">
        <f>"93065"</f>
        <v>93065</v>
      </c>
      <c r="E2569">
        <v>78.16</v>
      </c>
    </row>
    <row r="2570" spans="1:5" x14ac:dyDescent="0.2">
      <c r="A2570">
        <v>93066</v>
      </c>
      <c r="B2570" t="s">
        <v>10</v>
      </c>
      <c r="C2570">
        <v>93066</v>
      </c>
      <c r="D2570" t="str">
        <f>"93066"</f>
        <v>93066</v>
      </c>
      <c r="E2570">
        <v>77.3</v>
      </c>
    </row>
    <row r="2571" spans="1:5" x14ac:dyDescent="0.2">
      <c r="A2571">
        <v>93067</v>
      </c>
      <c r="B2571" t="s">
        <v>10</v>
      </c>
      <c r="C2571">
        <v>93067</v>
      </c>
      <c r="D2571" t="str">
        <f>"93067"</f>
        <v>93067</v>
      </c>
      <c r="E2571" t="s">
        <v>6</v>
      </c>
    </row>
    <row r="2572" spans="1:5" x14ac:dyDescent="0.2">
      <c r="A2572">
        <v>93101</v>
      </c>
      <c r="B2572" t="s">
        <v>10</v>
      </c>
      <c r="C2572">
        <v>93101</v>
      </c>
      <c r="D2572" t="str">
        <f>"93101"</f>
        <v>93101</v>
      </c>
      <c r="E2572">
        <v>75.05</v>
      </c>
    </row>
    <row r="2573" spans="1:5" x14ac:dyDescent="0.2">
      <c r="A2573">
        <v>93103</v>
      </c>
      <c r="B2573" t="s">
        <v>10</v>
      </c>
      <c r="C2573">
        <v>93103</v>
      </c>
      <c r="D2573" t="str">
        <f>"93103"</f>
        <v>93103</v>
      </c>
      <c r="E2573">
        <v>75.05</v>
      </c>
    </row>
    <row r="2574" spans="1:5" x14ac:dyDescent="0.2">
      <c r="A2574">
        <v>93105</v>
      </c>
      <c r="B2574" t="s">
        <v>10</v>
      </c>
      <c r="C2574">
        <v>93105</v>
      </c>
      <c r="D2574" t="str">
        <f>"93105"</f>
        <v>93105</v>
      </c>
      <c r="E2574">
        <v>82.2</v>
      </c>
    </row>
    <row r="2575" spans="1:5" x14ac:dyDescent="0.2">
      <c r="A2575">
        <v>93106</v>
      </c>
      <c r="B2575" t="s">
        <v>10</v>
      </c>
      <c r="C2575">
        <v>93106</v>
      </c>
      <c r="D2575" t="str">
        <f>"93106"</f>
        <v>93106</v>
      </c>
      <c r="E2575" t="s">
        <v>6</v>
      </c>
    </row>
    <row r="2576" spans="1:5" x14ac:dyDescent="0.2">
      <c r="A2576">
        <v>93108</v>
      </c>
      <c r="B2576" t="s">
        <v>10</v>
      </c>
      <c r="C2576">
        <v>93108</v>
      </c>
      <c r="D2576" t="str">
        <f>"93108"</f>
        <v>93108</v>
      </c>
      <c r="E2576">
        <v>79.42</v>
      </c>
    </row>
    <row r="2577" spans="1:5" x14ac:dyDescent="0.2">
      <c r="A2577">
        <v>93109</v>
      </c>
      <c r="B2577" t="s">
        <v>10</v>
      </c>
      <c r="C2577">
        <v>93109</v>
      </c>
      <c r="D2577" t="str">
        <f>"93109"</f>
        <v>93109</v>
      </c>
      <c r="E2577">
        <v>81.06</v>
      </c>
    </row>
    <row r="2578" spans="1:5" x14ac:dyDescent="0.2">
      <c r="A2578">
        <v>93110</v>
      </c>
      <c r="B2578" t="s">
        <v>10</v>
      </c>
      <c r="C2578">
        <v>93110</v>
      </c>
      <c r="D2578" t="str">
        <f>"93110"</f>
        <v>93110</v>
      </c>
      <c r="E2578">
        <v>79.08</v>
      </c>
    </row>
    <row r="2579" spans="1:5" x14ac:dyDescent="0.2">
      <c r="A2579">
        <v>93111</v>
      </c>
      <c r="B2579" t="s">
        <v>10</v>
      </c>
      <c r="C2579">
        <v>93111</v>
      </c>
      <c r="D2579" t="str">
        <f>"93111"</f>
        <v>93111</v>
      </c>
      <c r="E2579">
        <v>81.260000000000005</v>
      </c>
    </row>
    <row r="2580" spans="1:5" x14ac:dyDescent="0.2">
      <c r="A2580">
        <v>93117</v>
      </c>
      <c r="B2580" t="s">
        <v>10</v>
      </c>
      <c r="C2580">
        <v>93117</v>
      </c>
      <c r="D2580" t="str">
        <f>"93117"</f>
        <v>93117</v>
      </c>
      <c r="E2580">
        <v>77.09</v>
      </c>
    </row>
    <row r="2581" spans="1:5" x14ac:dyDescent="0.2">
      <c r="A2581">
        <v>93201</v>
      </c>
      <c r="B2581" t="s">
        <v>10</v>
      </c>
      <c r="C2581">
        <v>93201</v>
      </c>
      <c r="D2581" t="str">
        <f>"93201"</f>
        <v>93201</v>
      </c>
      <c r="E2581" t="s">
        <v>6</v>
      </c>
    </row>
    <row r="2582" spans="1:5" x14ac:dyDescent="0.2">
      <c r="A2582">
        <v>93202</v>
      </c>
      <c r="B2582" t="s">
        <v>10</v>
      </c>
      <c r="C2582">
        <v>93202</v>
      </c>
      <c r="D2582" t="str">
        <f>"93202"</f>
        <v>93202</v>
      </c>
      <c r="E2582">
        <v>56.71</v>
      </c>
    </row>
    <row r="2583" spans="1:5" x14ac:dyDescent="0.2">
      <c r="A2583">
        <v>93203</v>
      </c>
      <c r="B2583" t="s">
        <v>10</v>
      </c>
      <c r="C2583">
        <v>93203</v>
      </c>
      <c r="D2583" t="str">
        <f>"93203"</f>
        <v>93203</v>
      </c>
      <c r="E2583">
        <v>43.1</v>
      </c>
    </row>
    <row r="2584" spans="1:5" x14ac:dyDescent="0.2">
      <c r="A2584">
        <v>93204</v>
      </c>
      <c r="B2584" t="s">
        <v>10</v>
      </c>
      <c r="C2584">
        <v>93204</v>
      </c>
      <c r="D2584" t="str">
        <f>"93204"</f>
        <v>93204</v>
      </c>
      <c r="E2584">
        <v>42.86</v>
      </c>
    </row>
    <row r="2585" spans="1:5" x14ac:dyDescent="0.2">
      <c r="A2585">
        <v>93205</v>
      </c>
      <c r="B2585" t="s">
        <v>10</v>
      </c>
      <c r="C2585">
        <v>93205</v>
      </c>
      <c r="D2585" t="str">
        <f>"93205"</f>
        <v>93205</v>
      </c>
      <c r="E2585">
        <v>61.19</v>
      </c>
    </row>
    <row r="2586" spans="1:5" x14ac:dyDescent="0.2">
      <c r="A2586">
        <v>93206</v>
      </c>
      <c r="B2586" t="s">
        <v>10</v>
      </c>
      <c r="C2586">
        <v>93206</v>
      </c>
      <c r="D2586" t="str">
        <f>"93206"</f>
        <v>93206</v>
      </c>
      <c r="E2586">
        <v>54.76</v>
      </c>
    </row>
    <row r="2587" spans="1:5" x14ac:dyDescent="0.2">
      <c r="A2587">
        <v>93207</v>
      </c>
      <c r="B2587" t="s">
        <v>10</v>
      </c>
      <c r="C2587">
        <v>93207</v>
      </c>
      <c r="D2587" t="str">
        <f>"93207"</f>
        <v>93207</v>
      </c>
      <c r="E2587" t="s">
        <v>6</v>
      </c>
    </row>
    <row r="2588" spans="1:5" x14ac:dyDescent="0.2">
      <c r="A2588">
        <v>93208</v>
      </c>
      <c r="B2588" t="s">
        <v>10</v>
      </c>
      <c r="C2588">
        <v>93208</v>
      </c>
      <c r="D2588" t="str">
        <f>"93208"</f>
        <v>93208</v>
      </c>
      <c r="E2588" t="s">
        <v>6</v>
      </c>
    </row>
    <row r="2589" spans="1:5" x14ac:dyDescent="0.2">
      <c r="A2589">
        <v>93210</v>
      </c>
      <c r="B2589" t="s">
        <v>10</v>
      </c>
      <c r="C2589">
        <v>93210</v>
      </c>
      <c r="D2589" t="str">
        <f>"93210"</f>
        <v>93210</v>
      </c>
      <c r="E2589">
        <v>64.05</v>
      </c>
    </row>
    <row r="2590" spans="1:5" x14ac:dyDescent="0.2">
      <c r="A2590">
        <v>93212</v>
      </c>
      <c r="B2590" t="s">
        <v>10</v>
      </c>
      <c r="C2590">
        <v>93212</v>
      </c>
      <c r="D2590" t="str">
        <f>"93212"</f>
        <v>93212</v>
      </c>
      <c r="E2590">
        <v>52.59</v>
      </c>
    </row>
    <row r="2591" spans="1:5" x14ac:dyDescent="0.2">
      <c r="A2591">
        <v>93215</v>
      </c>
      <c r="B2591" t="s">
        <v>10</v>
      </c>
      <c r="C2591">
        <v>93215</v>
      </c>
      <c r="D2591" t="str">
        <f>"93215"</f>
        <v>93215</v>
      </c>
      <c r="E2591">
        <v>53.11</v>
      </c>
    </row>
    <row r="2592" spans="1:5" x14ac:dyDescent="0.2">
      <c r="A2592">
        <v>93218</v>
      </c>
      <c r="B2592" t="s">
        <v>10</v>
      </c>
      <c r="C2592">
        <v>93218</v>
      </c>
      <c r="D2592" t="str">
        <f>"93218"</f>
        <v>93218</v>
      </c>
      <c r="E2592" t="s">
        <v>6</v>
      </c>
    </row>
    <row r="2593" spans="1:5" x14ac:dyDescent="0.2">
      <c r="A2593">
        <v>93219</v>
      </c>
      <c r="B2593" t="s">
        <v>10</v>
      </c>
      <c r="C2593">
        <v>93219</v>
      </c>
      <c r="D2593" t="str">
        <f>"93219"</f>
        <v>93219</v>
      </c>
      <c r="E2593">
        <v>41.04</v>
      </c>
    </row>
    <row r="2594" spans="1:5" x14ac:dyDescent="0.2">
      <c r="A2594">
        <v>93221</v>
      </c>
      <c r="B2594" t="s">
        <v>10</v>
      </c>
      <c r="C2594">
        <v>93221</v>
      </c>
      <c r="D2594" t="str">
        <f>"93221"</f>
        <v>93221</v>
      </c>
      <c r="E2594">
        <v>66.38</v>
      </c>
    </row>
    <row r="2595" spans="1:5" x14ac:dyDescent="0.2">
      <c r="A2595">
        <v>93222</v>
      </c>
      <c r="B2595" t="s">
        <v>10</v>
      </c>
      <c r="C2595">
        <v>93222</v>
      </c>
      <c r="D2595" t="str">
        <f>"93222"</f>
        <v>93222</v>
      </c>
      <c r="E2595" t="s">
        <v>6</v>
      </c>
    </row>
    <row r="2596" spans="1:5" x14ac:dyDescent="0.2">
      <c r="A2596">
        <v>93223</v>
      </c>
      <c r="B2596" t="s">
        <v>10</v>
      </c>
      <c r="C2596">
        <v>93223</v>
      </c>
      <c r="D2596" t="str">
        <f>"93223"</f>
        <v>93223</v>
      </c>
      <c r="E2596">
        <v>48.08</v>
      </c>
    </row>
    <row r="2597" spans="1:5" x14ac:dyDescent="0.2">
      <c r="A2597">
        <v>93224</v>
      </c>
      <c r="B2597" t="s">
        <v>10</v>
      </c>
      <c r="C2597">
        <v>93224</v>
      </c>
      <c r="D2597" t="str">
        <f>"93224"</f>
        <v>93224</v>
      </c>
      <c r="E2597">
        <v>71.430000000000007</v>
      </c>
    </row>
    <row r="2598" spans="1:5" x14ac:dyDescent="0.2">
      <c r="A2598">
        <v>93225</v>
      </c>
      <c r="B2598" t="s">
        <v>10</v>
      </c>
      <c r="C2598">
        <v>93225</v>
      </c>
      <c r="D2598" t="str">
        <f>"93225"</f>
        <v>93225</v>
      </c>
      <c r="E2598">
        <v>72.459999999999994</v>
      </c>
    </row>
    <row r="2599" spans="1:5" x14ac:dyDescent="0.2">
      <c r="A2599">
        <v>93226</v>
      </c>
      <c r="B2599" t="s">
        <v>10</v>
      </c>
      <c r="C2599">
        <v>93226</v>
      </c>
      <c r="D2599" t="str">
        <f>"93226"</f>
        <v>93226</v>
      </c>
      <c r="E2599">
        <v>77.78</v>
      </c>
    </row>
    <row r="2600" spans="1:5" x14ac:dyDescent="0.2">
      <c r="A2600">
        <v>93227</v>
      </c>
      <c r="B2600" t="s">
        <v>10</v>
      </c>
      <c r="C2600">
        <v>93227</v>
      </c>
      <c r="D2600" t="str">
        <f>"93227"</f>
        <v>93227</v>
      </c>
      <c r="E2600" t="s">
        <v>6</v>
      </c>
    </row>
    <row r="2601" spans="1:5" x14ac:dyDescent="0.2">
      <c r="A2601">
        <v>93230</v>
      </c>
      <c r="B2601" t="s">
        <v>10</v>
      </c>
      <c r="C2601">
        <v>93230</v>
      </c>
      <c r="D2601" t="str">
        <f>"93230"</f>
        <v>93230</v>
      </c>
      <c r="E2601">
        <v>66.25</v>
      </c>
    </row>
    <row r="2602" spans="1:5" x14ac:dyDescent="0.2">
      <c r="A2602">
        <v>93234</v>
      </c>
      <c r="B2602" t="s">
        <v>10</v>
      </c>
      <c r="C2602">
        <v>93234</v>
      </c>
      <c r="D2602" t="str">
        <f>"93234"</f>
        <v>93234</v>
      </c>
      <c r="E2602" t="s">
        <v>6</v>
      </c>
    </row>
    <row r="2603" spans="1:5" x14ac:dyDescent="0.2">
      <c r="A2603">
        <v>93235</v>
      </c>
      <c r="B2603" t="s">
        <v>10</v>
      </c>
      <c r="C2603">
        <v>93235</v>
      </c>
      <c r="D2603" t="str">
        <f>"93235"</f>
        <v>93235</v>
      </c>
      <c r="E2603">
        <v>50.3</v>
      </c>
    </row>
    <row r="2604" spans="1:5" x14ac:dyDescent="0.2">
      <c r="A2604">
        <v>93238</v>
      </c>
      <c r="B2604" t="s">
        <v>10</v>
      </c>
      <c r="C2604">
        <v>93238</v>
      </c>
      <c r="D2604" t="str">
        <f>"93238"</f>
        <v>93238</v>
      </c>
      <c r="E2604">
        <v>74.239999999999995</v>
      </c>
    </row>
    <row r="2605" spans="1:5" x14ac:dyDescent="0.2">
      <c r="A2605">
        <v>93239</v>
      </c>
      <c r="B2605" t="s">
        <v>10</v>
      </c>
      <c r="C2605">
        <v>93239</v>
      </c>
      <c r="D2605" t="str">
        <f>"93239"</f>
        <v>93239</v>
      </c>
      <c r="E2605">
        <v>44.64</v>
      </c>
    </row>
    <row r="2606" spans="1:5" x14ac:dyDescent="0.2">
      <c r="A2606">
        <v>93240</v>
      </c>
      <c r="B2606" t="s">
        <v>10</v>
      </c>
      <c r="C2606">
        <v>93240</v>
      </c>
      <c r="D2606" t="str">
        <f>"93240"</f>
        <v>93240</v>
      </c>
      <c r="E2606">
        <v>61.81</v>
      </c>
    </row>
    <row r="2607" spans="1:5" x14ac:dyDescent="0.2">
      <c r="A2607">
        <v>93241</v>
      </c>
      <c r="B2607" t="s">
        <v>10</v>
      </c>
      <c r="C2607">
        <v>93241</v>
      </c>
      <c r="D2607" t="str">
        <f>"93241"</f>
        <v>93241</v>
      </c>
      <c r="E2607">
        <v>40.159999999999997</v>
      </c>
    </row>
    <row r="2608" spans="1:5" x14ac:dyDescent="0.2">
      <c r="A2608">
        <v>93242</v>
      </c>
      <c r="B2608" t="s">
        <v>10</v>
      </c>
      <c r="C2608">
        <v>93242</v>
      </c>
      <c r="D2608" t="str">
        <f>"93242"</f>
        <v>93242</v>
      </c>
      <c r="E2608">
        <v>59.7</v>
      </c>
    </row>
    <row r="2609" spans="1:5" x14ac:dyDescent="0.2">
      <c r="A2609">
        <v>93243</v>
      </c>
      <c r="B2609" t="s">
        <v>10</v>
      </c>
      <c r="C2609">
        <v>93243</v>
      </c>
      <c r="D2609" t="str">
        <f>"93243"</f>
        <v>93243</v>
      </c>
      <c r="E2609" t="s">
        <v>6</v>
      </c>
    </row>
    <row r="2610" spans="1:5" x14ac:dyDescent="0.2">
      <c r="A2610">
        <v>93244</v>
      </c>
      <c r="B2610" t="s">
        <v>10</v>
      </c>
      <c r="C2610">
        <v>93244</v>
      </c>
      <c r="D2610" t="str">
        <f>"93244"</f>
        <v>93244</v>
      </c>
      <c r="E2610">
        <v>70</v>
      </c>
    </row>
    <row r="2611" spans="1:5" x14ac:dyDescent="0.2">
      <c r="A2611">
        <v>93245</v>
      </c>
      <c r="B2611" t="s">
        <v>10</v>
      </c>
      <c r="C2611">
        <v>93245</v>
      </c>
      <c r="D2611" t="str">
        <f>"93245"</f>
        <v>93245</v>
      </c>
      <c r="E2611">
        <v>69.349999999999994</v>
      </c>
    </row>
    <row r="2612" spans="1:5" x14ac:dyDescent="0.2">
      <c r="A2612">
        <v>93246</v>
      </c>
      <c r="B2612" t="s">
        <v>10</v>
      </c>
      <c r="C2612">
        <v>93246</v>
      </c>
      <c r="D2612" t="str">
        <f>"93246"</f>
        <v>93246</v>
      </c>
      <c r="E2612" t="s">
        <v>6</v>
      </c>
    </row>
    <row r="2613" spans="1:5" x14ac:dyDescent="0.2">
      <c r="A2613">
        <v>93247</v>
      </c>
      <c r="B2613" t="s">
        <v>10</v>
      </c>
      <c r="C2613">
        <v>93247</v>
      </c>
      <c r="D2613" t="str">
        <f>"93247"</f>
        <v>93247</v>
      </c>
      <c r="E2613">
        <v>48.8</v>
      </c>
    </row>
    <row r="2614" spans="1:5" x14ac:dyDescent="0.2">
      <c r="A2614">
        <v>93249</v>
      </c>
      <c r="B2614" t="s">
        <v>10</v>
      </c>
      <c r="C2614">
        <v>93249</v>
      </c>
      <c r="D2614" t="str">
        <f>"93249"</f>
        <v>93249</v>
      </c>
      <c r="E2614">
        <v>46</v>
      </c>
    </row>
    <row r="2615" spans="1:5" x14ac:dyDescent="0.2">
      <c r="A2615">
        <v>93250</v>
      </c>
      <c r="B2615" t="s">
        <v>10</v>
      </c>
      <c r="C2615">
        <v>93250</v>
      </c>
      <c r="D2615" t="str">
        <f>"93250"</f>
        <v>93250</v>
      </c>
      <c r="E2615">
        <v>46.88</v>
      </c>
    </row>
    <row r="2616" spans="1:5" x14ac:dyDescent="0.2">
      <c r="A2616">
        <v>93251</v>
      </c>
      <c r="B2616" t="s">
        <v>10</v>
      </c>
      <c r="C2616">
        <v>93251</v>
      </c>
      <c r="D2616" t="str">
        <f>"93251"</f>
        <v>93251</v>
      </c>
      <c r="E2616" t="s">
        <v>6</v>
      </c>
    </row>
    <row r="2617" spans="1:5" x14ac:dyDescent="0.2">
      <c r="A2617">
        <v>93252</v>
      </c>
      <c r="B2617" t="s">
        <v>10</v>
      </c>
      <c r="C2617">
        <v>93252</v>
      </c>
      <c r="D2617" t="str">
        <f>"93252"</f>
        <v>93252</v>
      </c>
      <c r="E2617">
        <v>57.14</v>
      </c>
    </row>
    <row r="2618" spans="1:5" x14ac:dyDescent="0.2">
      <c r="A2618">
        <v>93254</v>
      </c>
      <c r="B2618" t="s">
        <v>10</v>
      </c>
      <c r="C2618">
        <v>93254</v>
      </c>
      <c r="D2618" t="str">
        <f>"93254"</f>
        <v>93254</v>
      </c>
      <c r="E2618">
        <v>58.62</v>
      </c>
    </row>
    <row r="2619" spans="1:5" x14ac:dyDescent="0.2">
      <c r="A2619">
        <v>93255</v>
      </c>
      <c r="B2619" t="s">
        <v>10</v>
      </c>
      <c r="C2619">
        <v>93255</v>
      </c>
      <c r="D2619" t="str">
        <f>"93255"</f>
        <v>93255</v>
      </c>
      <c r="E2619">
        <v>66.67</v>
      </c>
    </row>
    <row r="2620" spans="1:5" x14ac:dyDescent="0.2">
      <c r="A2620">
        <v>93256</v>
      </c>
      <c r="B2620" t="s">
        <v>10</v>
      </c>
      <c r="C2620">
        <v>93256</v>
      </c>
      <c r="D2620" t="str">
        <f>"93256"</f>
        <v>93256</v>
      </c>
      <c r="E2620">
        <v>43.01</v>
      </c>
    </row>
    <row r="2621" spans="1:5" x14ac:dyDescent="0.2">
      <c r="A2621">
        <v>93257</v>
      </c>
      <c r="B2621" t="s">
        <v>10</v>
      </c>
      <c r="C2621">
        <v>93257</v>
      </c>
      <c r="D2621" t="str">
        <f>"93257"</f>
        <v>93257</v>
      </c>
      <c r="E2621">
        <v>55.88</v>
      </c>
    </row>
    <row r="2622" spans="1:5" x14ac:dyDescent="0.2">
      <c r="A2622">
        <v>93260</v>
      </c>
      <c r="B2622" t="s">
        <v>10</v>
      </c>
      <c r="C2622">
        <v>93260</v>
      </c>
      <c r="D2622" t="str">
        <f>"93260"</f>
        <v>93260</v>
      </c>
      <c r="E2622" t="s">
        <v>6</v>
      </c>
    </row>
    <row r="2623" spans="1:5" x14ac:dyDescent="0.2">
      <c r="A2623">
        <v>93261</v>
      </c>
      <c r="B2623" t="s">
        <v>10</v>
      </c>
      <c r="C2623">
        <v>93261</v>
      </c>
      <c r="D2623" t="str">
        <f>"93261"</f>
        <v>93261</v>
      </c>
      <c r="E2623" t="s">
        <v>6</v>
      </c>
    </row>
    <row r="2624" spans="1:5" x14ac:dyDescent="0.2">
      <c r="A2624">
        <v>93262</v>
      </c>
      <c r="B2624" t="s">
        <v>10</v>
      </c>
      <c r="C2624">
        <v>93262</v>
      </c>
      <c r="D2624" t="str">
        <f>"93262"</f>
        <v>93262</v>
      </c>
      <c r="E2624" t="s">
        <v>6</v>
      </c>
    </row>
    <row r="2625" spans="1:5" x14ac:dyDescent="0.2">
      <c r="A2625">
        <v>93263</v>
      </c>
      <c r="B2625" t="s">
        <v>10</v>
      </c>
      <c r="C2625">
        <v>93263</v>
      </c>
      <c r="D2625" t="str">
        <f>"93263"</f>
        <v>93263</v>
      </c>
      <c r="E2625">
        <v>55.49</v>
      </c>
    </row>
    <row r="2626" spans="1:5" x14ac:dyDescent="0.2">
      <c r="A2626">
        <v>93265</v>
      </c>
      <c r="B2626" t="s">
        <v>10</v>
      </c>
      <c r="C2626">
        <v>93265</v>
      </c>
      <c r="D2626" t="str">
        <f>"93265"</f>
        <v>93265</v>
      </c>
      <c r="E2626">
        <v>75.599999999999994</v>
      </c>
    </row>
    <row r="2627" spans="1:5" x14ac:dyDescent="0.2">
      <c r="A2627">
        <v>93266</v>
      </c>
      <c r="B2627" t="s">
        <v>10</v>
      </c>
      <c r="C2627">
        <v>93266</v>
      </c>
      <c r="D2627" t="str">
        <f>"93266"</f>
        <v>93266</v>
      </c>
      <c r="E2627">
        <v>57.63</v>
      </c>
    </row>
    <row r="2628" spans="1:5" x14ac:dyDescent="0.2">
      <c r="A2628">
        <v>93267</v>
      </c>
      <c r="B2628" t="s">
        <v>10</v>
      </c>
      <c r="C2628">
        <v>93267</v>
      </c>
      <c r="D2628" t="str">
        <f>"93267"</f>
        <v>93267</v>
      </c>
      <c r="E2628">
        <v>48.48</v>
      </c>
    </row>
    <row r="2629" spans="1:5" x14ac:dyDescent="0.2">
      <c r="A2629">
        <v>93268</v>
      </c>
      <c r="B2629" t="s">
        <v>10</v>
      </c>
      <c r="C2629">
        <v>93268</v>
      </c>
      <c r="D2629" t="str">
        <f>"93268"</f>
        <v>93268</v>
      </c>
      <c r="E2629">
        <v>57.91</v>
      </c>
    </row>
    <row r="2630" spans="1:5" x14ac:dyDescent="0.2">
      <c r="A2630">
        <v>93270</v>
      </c>
      <c r="B2630" t="s">
        <v>10</v>
      </c>
      <c r="C2630">
        <v>93270</v>
      </c>
      <c r="D2630" t="str">
        <f>"93270"</f>
        <v>93270</v>
      </c>
      <c r="E2630">
        <v>48.33</v>
      </c>
    </row>
    <row r="2631" spans="1:5" x14ac:dyDescent="0.2">
      <c r="A2631">
        <v>93271</v>
      </c>
      <c r="B2631" t="s">
        <v>10</v>
      </c>
      <c r="C2631">
        <v>93271</v>
      </c>
      <c r="D2631" t="str">
        <f>"93271"</f>
        <v>93271</v>
      </c>
      <c r="E2631">
        <v>79.81</v>
      </c>
    </row>
    <row r="2632" spans="1:5" x14ac:dyDescent="0.2">
      <c r="A2632">
        <v>93272</v>
      </c>
      <c r="B2632" t="s">
        <v>10</v>
      </c>
      <c r="C2632">
        <v>93272</v>
      </c>
      <c r="D2632" t="str">
        <f>"93272"</f>
        <v>93272</v>
      </c>
      <c r="E2632">
        <v>50</v>
      </c>
    </row>
    <row r="2633" spans="1:5" x14ac:dyDescent="0.2">
      <c r="A2633">
        <v>93274</v>
      </c>
      <c r="B2633" t="s">
        <v>10</v>
      </c>
      <c r="C2633">
        <v>93274</v>
      </c>
      <c r="D2633" t="str">
        <f>"93274"</f>
        <v>93274</v>
      </c>
      <c r="E2633">
        <v>60.12</v>
      </c>
    </row>
    <row r="2634" spans="1:5" x14ac:dyDescent="0.2">
      <c r="A2634">
        <v>93276</v>
      </c>
      <c r="B2634" t="s">
        <v>10</v>
      </c>
      <c r="C2634">
        <v>93276</v>
      </c>
      <c r="D2634" t="str">
        <f>"93276"</f>
        <v>93276</v>
      </c>
      <c r="E2634" t="s">
        <v>6</v>
      </c>
    </row>
    <row r="2635" spans="1:5" x14ac:dyDescent="0.2">
      <c r="A2635">
        <v>93277</v>
      </c>
      <c r="B2635" t="s">
        <v>10</v>
      </c>
      <c r="C2635">
        <v>93277</v>
      </c>
      <c r="D2635" t="str">
        <f>"93277"</f>
        <v>93277</v>
      </c>
      <c r="E2635">
        <v>68.17</v>
      </c>
    </row>
    <row r="2636" spans="1:5" x14ac:dyDescent="0.2">
      <c r="A2636">
        <v>93280</v>
      </c>
      <c r="B2636" t="s">
        <v>10</v>
      </c>
      <c r="C2636">
        <v>93280</v>
      </c>
      <c r="D2636" t="str">
        <f>"93280"</f>
        <v>93280</v>
      </c>
      <c r="E2636">
        <v>53.1</v>
      </c>
    </row>
    <row r="2637" spans="1:5" x14ac:dyDescent="0.2">
      <c r="A2637">
        <v>93283</v>
      </c>
      <c r="B2637" t="s">
        <v>10</v>
      </c>
      <c r="C2637">
        <v>93283</v>
      </c>
      <c r="D2637" t="str">
        <f>"93283"</f>
        <v>93283</v>
      </c>
      <c r="E2637">
        <v>56.9</v>
      </c>
    </row>
    <row r="2638" spans="1:5" x14ac:dyDescent="0.2">
      <c r="A2638">
        <v>93285</v>
      </c>
      <c r="B2638" t="s">
        <v>10</v>
      </c>
      <c r="C2638">
        <v>93285</v>
      </c>
      <c r="D2638" t="str">
        <f>"93285"</f>
        <v>93285</v>
      </c>
      <c r="E2638">
        <v>62.65</v>
      </c>
    </row>
    <row r="2639" spans="1:5" x14ac:dyDescent="0.2">
      <c r="A2639">
        <v>93286</v>
      </c>
      <c r="B2639" t="s">
        <v>10</v>
      </c>
      <c r="C2639">
        <v>93286</v>
      </c>
      <c r="D2639" t="str">
        <f>"93286"</f>
        <v>93286</v>
      </c>
      <c r="E2639">
        <v>54.52</v>
      </c>
    </row>
    <row r="2640" spans="1:5" x14ac:dyDescent="0.2">
      <c r="A2640">
        <v>93287</v>
      </c>
      <c r="B2640" t="s">
        <v>10</v>
      </c>
      <c r="C2640">
        <v>93287</v>
      </c>
      <c r="D2640" t="str">
        <f>"93287"</f>
        <v>93287</v>
      </c>
      <c r="E2640" t="s">
        <v>6</v>
      </c>
    </row>
    <row r="2641" spans="1:5" x14ac:dyDescent="0.2">
      <c r="A2641">
        <v>93291</v>
      </c>
      <c r="B2641" t="s">
        <v>10</v>
      </c>
      <c r="C2641">
        <v>93291</v>
      </c>
      <c r="D2641" t="str">
        <f>"93291"</f>
        <v>93291</v>
      </c>
      <c r="E2641">
        <v>64.510000000000005</v>
      </c>
    </row>
    <row r="2642" spans="1:5" x14ac:dyDescent="0.2">
      <c r="A2642">
        <v>93292</v>
      </c>
      <c r="B2642" t="s">
        <v>10</v>
      </c>
      <c r="C2642">
        <v>93292</v>
      </c>
      <c r="D2642" t="str">
        <f>"93292"</f>
        <v>93292</v>
      </c>
      <c r="E2642">
        <v>65.7</v>
      </c>
    </row>
    <row r="2643" spans="1:5" x14ac:dyDescent="0.2">
      <c r="A2643">
        <v>93301</v>
      </c>
      <c r="B2643" t="s">
        <v>10</v>
      </c>
      <c r="C2643">
        <v>93301</v>
      </c>
      <c r="D2643" t="str">
        <f>"93301"</f>
        <v>93301</v>
      </c>
      <c r="E2643">
        <v>58.47</v>
      </c>
    </row>
    <row r="2644" spans="1:5" x14ac:dyDescent="0.2">
      <c r="A2644">
        <v>93304</v>
      </c>
      <c r="B2644" t="s">
        <v>10</v>
      </c>
      <c r="C2644">
        <v>93304</v>
      </c>
      <c r="D2644" t="str">
        <f>"93304"</f>
        <v>93304</v>
      </c>
      <c r="E2644">
        <v>49.83</v>
      </c>
    </row>
    <row r="2645" spans="1:5" x14ac:dyDescent="0.2">
      <c r="A2645">
        <v>93305</v>
      </c>
      <c r="B2645" t="s">
        <v>10</v>
      </c>
      <c r="C2645">
        <v>93305</v>
      </c>
      <c r="D2645" t="str">
        <f>"93305"</f>
        <v>93305</v>
      </c>
      <c r="E2645">
        <v>46.2</v>
      </c>
    </row>
    <row r="2646" spans="1:5" x14ac:dyDescent="0.2">
      <c r="A2646">
        <v>93306</v>
      </c>
      <c r="B2646" t="s">
        <v>10</v>
      </c>
      <c r="C2646">
        <v>93306</v>
      </c>
      <c r="D2646" t="str">
        <f>"93306"</f>
        <v>93306</v>
      </c>
      <c r="E2646">
        <v>61.28</v>
      </c>
    </row>
    <row r="2647" spans="1:5" x14ac:dyDescent="0.2">
      <c r="A2647">
        <v>93307</v>
      </c>
      <c r="B2647" t="s">
        <v>10</v>
      </c>
      <c r="C2647">
        <v>93307</v>
      </c>
      <c r="D2647" t="str">
        <f>"93307"</f>
        <v>93307</v>
      </c>
      <c r="E2647">
        <v>47.74</v>
      </c>
    </row>
    <row r="2648" spans="1:5" x14ac:dyDescent="0.2">
      <c r="A2648">
        <v>93308</v>
      </c>
      <c r="B2648" t="s">
        <v>10</v>
      </c>
      <c r="C2648">
        <v>93308</v>
      </c>
      <c r="D2648" t="str">
        <f>"93308"</f>
        <v>93308</v>
      </c>
      <c r="E2648">
        <v>65.83</v>
      </c>
    </row>
    <row r="2649" spans="1:5" x14ac:dyDescent="0.2">
      <c r="A2649">
        <v>93309</v>
      </c>
      <c r="B2649" t="s">
        <v>10</v>
      </c>
      <c r="C2649">
        <v>93309</v>
      </c>
      <c r="D2649" t="str">
        <f>"93309"</f>
        <v>93309</v>
      </c>
      <c r="E2649">
        <v>64.739999999999995</v>
      </c>
    </row>
    <row r="2650" spans="1:5" x14ac:dyDescent="0.2">
      <c r="A2650">
        <v>93311</v>
      </c>
      <c r="B2650" t="s">
        <v>10</v>
      </c>
      <c r="C2650">
        <v>93311</v>
      </c>
      <c r="D2650" t="str">
        <f>"93311"</f>
        <v>93311</v>
      </c>
      <c r="E2650">
        <v>75.94</v>
      </c>
    </row>
    <row r="2651" spans="1:5" x14ac:dyDescent="0.2">
      <c r="A2651">
        <v>93312</v>
      </c>
      <c r="B2651" t="s">
        <v>10</v>
      </c>
      <c r="C2651">
        <v>93312</v>
      </c>
      <c r="D2651" t="str">
        <f>"93312"</f>
        <v>93312</v>
      </c>
      <c r="E2651">
        <v>77.98</v>
      </c>
    </row>
    <row r="2652" spans="1:5" x14ac:dyDescent="0.2">
      <c r="A2652">
        <v>93313</v>
      </c>
      <c r="B2652" t="s">
        <v>10</v>
      </c>
      <c r="C2652">
        <v>93313</v>
      </c>
      <c r="D2652" t="str">
        <f>"93313"</f>
        <v>93313</v>
      </c>
      <c r="E2652">
        <v>65.81</v>
      </c>
    </row>
    <row r="2653" spans="1:5" x14ac:dyDescent="0.2">
      <c r="A2653">
        <v>93314</v>
      </c>
      <c r="B2653" t="s">
        <v>10</v>
      </c>
      <c r="C2653">
        <v>93314</v>
      </c>
      <c r="D2653" t="str">
        <f>"93314"</f>
        <v>93314</v>
      </c>
      <c r="E2653">
        <v>78.72</v>
      </c>
    </row>
    <row r="2654" spans="1:5" x14ac:dyDescent="0.2">
      <c r="A2654">
        <v>93401</v>
      </c>
      <c r="B2654" t="s">
        <v>10</v>
      </c>
      <c r="C2654">
        <v>93401</v>
      </c>
      <c r="D2654" t="str">
        <f>"93401"</f>
        <v>93401</v>
      </c>
      <c r="E2654">
        <v>80.53</v>
      </c>
    </row>
    <row r="2655" spans="1:5" x14ac:dyDescent="0.2">
      <c r="A2655">
        <v>93402</v>
      </c>
      <c r="B2655" t="s">
        <v>10</v>
      </c>
      <c r="C2655">
        <v>93402</v>
      </c>
      <c r="D2655" t="str">
        <f>"93402"</f>
        <v>93402</v>
      </c>
      <c r="E2655">
        <v>77.92</v>
      </c>
    </row>
    <row r="2656" spans="1:5" x14ac:dyDescent="0.2">
      <c r="A2656">
        <v>93405</v>
      </c>
      <c r="B2656" t="s">
        <v>10</v>
      </c>
      <c r="C2656">
        <v>93405</v>
      </c>
      <c r="D2656" t="str">
        <f>"93405"</f>
        <v>93405</v>
      </c>
      <c r="E2656">
        <v>75.680000000000007</v>
      </c>
    </row>
    <row r="2657" spans="1:5" x14ac:dyDescent="0.2">
      <c r="A2657">
        <v>93407</v>
      </c>
      <c r="B2657" t="s">
        <v>10</v>
      </c>
      <c r="C2657">
        <v>93407</v>
      </c>
      <c r="D2657" t="str">
        <f>"93407"</f>
        <v>93407</v>
      </c>
      <c r="E2657" t="s">
        <v>6</v>
      </c>
    </row>
    <row r="2658" spans="1:5" x14ac:dyDescent="0.2">
      <c r="A2658">
        <v>93408</v>
      </c>
      <c r="B2658" t="s">
        <v>10</v>
      </c>
      <c r="C2658">
        <v>93408</v>
      </c>
      <c r="D2658" t="str">
        <f>"93408"</f>
        <v>93408</v>
      </c>
      <c r="E2658" t="s">
        <v>6</v>
      </c>
    </row>
    <row r="2659" spans="1:5" x14ac:dyDescent="0.2">
      <c r="A2659">
        <v>93420</v>
      </c>
      <c r="B2659" t="s">
        <v>10</v>
      </c>
      <c r="C2659">
        <v>93420</v>
      </c>
      <c r="D2659" t="str">
        <f>"93420"</f>
        <v>93420</v>
      </c>
      <c r="E2659">
        <v>78.989999999999995</v>
      </c>
    </row>
    <row r="2660" spans="1:5" x14ac:dyDescent="0.2">
      <c r="A2660">
        <v>93421</v>
      </c>
      <c r="B2660" t="s">
        <v>10</v>
      </c>
      <c r="C2660">
        <v>93421</v>
      </c>
      <c r="D2660" t="str">
        <f>"93421"</f>
        <v>93421</v>
      </c>
      <c r="E2660" t="s">
        <v>6</v>
      </c>
    </row>
    <row r="2661" spans="1:5" x14ac:dyDescent="0.2">
      <c r="A2661">
        <v>93422</v>
      </c>
      <c r="B2661" t="s">
        <v>10</v>
      </c>
      <c r="C2661">
        <v>93422</v>
      </c>
      <c r="D2661" t="str">
        <f>"93422"</f>
        <v>93422</v>
      </c>
      <c r="E2661">
        <v>79.42</v>
      </c>
    </row>
    <row r="2662" spans="1:5" x14ac:dyDescent="0.2">
      <c r="A2662">
        <v>93424</v>
      </c>
      <c r="B2662" t="s">
        <v>10</v>
      </c>
      <c r="C2662">
        <v>93424</v>
      </c>
      <c r="D2662" t="str">
        <f>"93424"</f>
        <v>93424</v>
      </c>
      <c r="E2662" t="s">
        <v>6</v>
      </c>
    </row>
    <row r="2663" spans="1:5" x14ac:dyDescent="0.2">
      <c r="A2663">
        <v>93426</v>
      </c>
      <c r="B2663" t="s">
        <v>10</v>
      </c>
      <c r="C2663">
        <v>93426</v>
      </c>
      <c r="D2663" t="str">
        <f>"93426"</f>
        <v>93426</v>
      </c>
      <c r="E2663">
        <v>72</v>
      </c>
    </row>
    <row r="2664" spans="1:5" x14ac:dyDescent="0.2">
      <c r="A2664">
        <v>93427</v>
      </c>
      <c r="B2664" t="s">
        <v>10</v>
      </c>
      <c r="C2664">
        <v>93427</v>
      </c>
      <c r="D2664" t="str">
        <f>"93427"</f>
        <v>93427</v>
      </c>
      <c r="E2664">
        <v>77.180000000000007</v>
      </c>
    </row>
    <row r="2665" spans="1:5" x14ac:dyDescent="0.2">
      <c r="A2665">
        <v>93428</v>
      </c>
      <c r="B2665" t="s">
        <v>10</v>
      </c>
      <c r="C2665">
        <v>93428</v>
      </c>
      <c r="D2665" t="str">
        <f>"93428"</f>
        <v>93428</v>
      </c>
      <c r="E2665">
        <v>74.55</v>
      </c>
    </row>
    <row r="2666" spans="1:5" x14ac:dyDescent="0.2">
      <c r="A2666">
        <v>93429</v>
      </c>
      <c r="B2666" t="s">
        <v>10</v>
      </c>
      <c r="C2666">
        <v>93429</v>
      </c>
      <c r="D2666" t="str">
        <f>"93429"</f>
        <v>93429</v>
      </c>
      <c r="E2666" t="s">
        <v>6</v>
      </c>
    </row>
    <row r="2667" spans="1:5" x14ac:dyDescent="0.2">
      <c r="A2667">
        <v>93430</v>
      </c>
      <c r="B2667" t="s">
        <v>10</v>
      </c>
      <c r="C2667">
        <v>93430</v>
      </c>
      <c r="D2667" t="str">
        <f>"93430"</f>
        <v>93430</v>
      </c>
      <c r="E2667">
        <v>77.849999999999994</v>
      </c>
    </row>
    <row r="2668" spans="1:5" x14ac:dyDescent="0.2">
      <c r="A2668">
        <v>93432</v>
      </c>
      <c r="B2668" t="s">
        <v>10</v>
      </c>
      <c r="C2668">
        <v>93432</v>
      </c>
      <c r="D2668" t="str">
        <f>"93432"</f>
        <v>93432</v>
      </c>
      <c r="E2668">
        <v>77.14</v>
      </c>
    </row>
    <row r="2669" spans="1:5" x14ac:dyDescent="0.2">
      <c r="A2669">
        <v>93433</v>
      </c>
      <c r="B2669" t="s">
        <v>10</v>
      </c>
      <c r="C2669">
        <v>93433</v>
      </c>
      <c r="D2669" t="str">
        <f>"93433"</f>
        <v>93433</v>
      </c>
      <c r="E2669">
        <v>76.39</v>
      </c>
    </row>
    <row r="2670" spans="1:5" x14ac:dyDescent="0.2">
      <c r="A2670">
        <v>93434</v>
      </c>
      <c r="B2670" t="s">
        <v>10</v>
      </c>
      <c r="C2670">
        <v>93434</v>
      </c>
      <c r="D2670" t="str">
        <f>"93434"</f>
        <v>93434</v>
      </c>
      <c r="E2670">
        <v>61.06</v>
      </c>
    </row>
    <row r="2671" spans="1:5" x14ac:dyDescent="0.2">
      <c r="A2671">
        <v>93435</v>
      </c>
      <c r="B2671" t="s">
        <v>10</v>
      </c>
      <c r="C2671">
        <v>93435</v>
      </c>
      <c r="D2671" t="str">
        <f>"93435"</f>
        <v>93435</v>
      </c>
      <c r="E2671" t="s">
        <v>6</v>
      </c>
    </row>
    <row r="2672" spans="1:5" x14ac:dyDescent="0.2">
      <c r="A2672">
        <v>93436</v>
      </c>
      <c r="B2672" t="s">
        <v>10</v>
      </c>
      <c r="C2672">
        <v>93436</v>
      </c>
      <c r="D2672" t="str">
        <f>"93436"</f>
        <v>93436</v>
      </c>
      <c r="E2672">
        <v>71.709999999999994</v>
      </c>
    </row>
    <row r="2673" spans="1:5" x14ac:dyDescent="0.2">
      <c r="A2673">
        <v>93437</v>
      </c>
      <c r="B2673" t="s">
        <v>10</v>
      </c>
      <c r="C2673">
        <v>93437</v>
      </c>
      <c r="D2673" t="str">
        <f>"93437"</f>
        <v>93437</v>
      </c>
      <c r="E2673">
        <v>73.23</v>
      </c>
    </row>
    <row r="2674" spans="1:5" x14ac:dyDescent="0.2">
      <c r="A2674">
        <v>93440</v>
      </c>
      <c r="B2674" t="s">
        <v>10</v>
      </c>
      <c r="C2674">
        <v>93440</v>
      </c>
      <c r="D2674" t="str">
        <f>"93440"</f>
        <v>93440</v>
      </c>
      <c r="E2674" t="s">
        <v>6</v>
      </c>
    </row>
    <row r="2675" spans="1:5" x14ac:dyDescent="0.2">
      <c r="A2675">
        <v>93441</v>
      </c>
      <c r="B2675" t="s">
        <v>10</v>
      </c>
      <c r="C2675">
        <v>93441</v>
      </c>
      <c r="D2675" t="str">
        <f>"93441"</f>
        <v>93441</v>
      </c>
      <c r="E2675" t="s">
        <v>6</v>
      </c>
    </row>
    <row r="2676" spans="1:5" x14ac:dyDescent="0.2">
      <c r="A2676">
        <v>93442</v>
      </c>
      <c r="B2676" t="s">
        <v>10</v>
      </c>
      <c r="C2676">
        <v>93442</v>
      </c>
      <c r="D2676" t="str">
        <f>"93442"</f>
        <v>93442</v>
      </c>
      <c r="E2676">
        <v>76.989999999999995</v>
      </c>
    </row>
    <row r="2677" spans="1:5" x14ac:dyDescent="0.2">
      <c r="A2677">
        <v>93444</v>
      </c>
      <c r="B2677" t="s">
        <v>10</v>
      </c>
      <c r="C2677">
        <v>93444</v>
      </c>
      <c r="D2677" t="str">
        <f>"93444"</f>
        <v>93444</v>
      </c>
      <c r="E2677">
        <v>76.209999999999994</v>
      </c>
    </row>
    <row r="2678" spans="1:5" x14ac:dyDescent="0.2">
      <c r="A2678">
        <v>93445</v>
      </c>
      <c r="B2678" t="s">
        <v>10</v>
      </c>
      <c r="C2678">
        <v>93445</v>
      </c>
      <c r="D2678" t="str">
        <f>"93445"</f>
        <v>93445</v>
      </c>
      <c r="E2678">
        <v>70.31</v>
      </c>
    </row>
    <row r="2679" spans="1:5" x14ac:dyDescent="0.2">
      <c r="A2679">
        <v>93446</v>
      </c>
      <c r="B2679" t="s">
        <v>10</v>
      </c>
      <c r="C2679">
        <v>93446</v>
      </c>
      <c r="D2679" t="str">
        <f>"93446"</f>
        <v>93446</v>
      </c>
      <c r="E2679">
        <v>73.16</v>
      </c>
    </row>
    <row r="2680" spans="1:5" x14ac:dyDescent="0.2">
      <c r="A2680">
        <v>93447</v>
      </c>
      <c r="B2680" t="s">
        <v>10</v>
      </c>
      <c r="C2680">
        <v>93447</v>
      </c>
      <c r="D2680" t="str">
        <f>"93447"</f>
        <v>93447</v>
      </c>
      <c r="E2680" t="s">
        <v>6</v>
      </c>
    </row>
    <row r="2681" spans="1:5" x14ac:dyDescent="0.2">
      <c r="A2681">
        <v>93449</v>
      </c>
      <c r="B2681" t="s">
        <v>10</v>
      </c>
      <c r="C2681">
        <v>93449</v>
      </c>
      <c r="D2681" t="str">
        <f>"93449"</f>
        <v>93449</v>
      </c>
      <c r="E2681">
        <v>81.28</v>
      </c>
    </row>
    <row r="2682" spans="1:5" x14ac:dyDescent="0.2">
      <c r="A2682">
        <v>93450</v>
      </c>
      <c r="B2682" t="s">
        <v>10</v>
      </c>
      <c r="C2682">
        <v>93450</v>
      </c>
      <c r="D2682" t="str">
        <f>"93450"</f>
        <v>93450</v>
      </c>
      <c r="E2682">
        <v>57.14</v>
      </c>
    </row>
    <row r="2683" spans="1:5" x14ac:dyDescent="0.2">
      <c r="A2683">
        <v>93451</v>
      </c>
      <c r="B2683" t="s">
        <v>10</v>
      </c>
      <c r="C2683">
        <v>93451</v>
      </c>
      <c r="D2683" t="str">
        <f>"93451"</f>
        <v>93451</v>
      </c>
      <c r="E2683">
        <v>67.739999999999995</v>
      </c>
    </row>
    <row r="2684" spans="1:5" x14ac:dyDescent="0.2">
      <c r="A2684">
        <v>93452</v>
      </c>
      <c r="B2684" t="s">
        <v>10</v>
      </c>
      <c r="C2684">
        <v>93452</v>
      </c>
      <c r="D2684" t="str">
        <f>"93452"</f>
        <v>93452</v>
      </c>
      <c r="E2684">
        <v>73.91</v>
      </c>
    </row>
    <row r="2685" spans="1:5" x14ac:dyDescent="0.2">
      <c r="A2685">
        <v>93453</v>
      </c>
      <c r="B2685" t="s">
        <v>10</v>
      </c>
      <c r="C2685">
        <v>93453</v>
      </c>
      <c r="D2685" t="str">
        <f>"93453"</f>
        <v>93453</v>
      </c>
      <c r="E2685">
        <v>77.69</v>
      </c>
    </row>
    <row r="2686" spans="1:5" x14ac:dyDescent="0.2">
      <c r="A2686">
        <v>93454</v>
      </c>
      <c r="B2686" t="s">
        <v>10</v>
      </c>
      <c r="C2686">
        <v>93454</v>
      </c>
      <c r="D2686" t="str">
        <f>"93454"</f>
        <v>93454</v>
      </c>
      <c r="E2686">
        <v>63.41</v>
      </c>
    </row>
    <row r="2687" spans="1:5" x14ac:dyDescent="0.2">
      <c r="A2687">
        <v>93455</v>
      </c>
      <c r="B2687" t="s">
        <v>10</v>
      </c>
      <c r="C2687">
        <v>93455</v>
      </c>
      <c r="D2687" t="str">
        <f>"93455"</f>
        <v>93455</v>
      </c>
      <c r="E2687">
        <v>77.569999999999993</v>
      </c>
    </row>
    <row r="2688" spans="1:5" x14ac:dyDescent="0.2">
      <c r="A2688">
        <v>93458</v>
      </c>
      <c r="B2688" t="s">
        <v>10</v>
      </c>
      <c r="C2688">
        <v>93458</v>
      </c>
      <c r="D2688" t="str">
        <f>"93458"</f>
        <v>93458</v>
      </c>
      <c r="E2688">
        <v>52.43</v>
      </c>
    </row>
    <row r="2689" spans="1:5" x14ac:dyDescent="0.2">
      <c r="A2689">
        <v>93460</v>
      </c>
      <c r="B2689" t="s">
        <v>10</v>
      </c>
      <c r="C2689">
        <v>93460</v>
      </c>
      <c r="D2689" t="str">
        <f>"93460"</f>
        <v>93460</v>
      </c>
      <c r="E2689">
        <v>76.34</v>
      </c>
    </row>
    <row r="2690" spans="1:5" x14ac:dyDescent="0.2">
      <c r="A2690">
        <v>93461</v>
      </c>
      <c r="B2690" t="s">
        <v>10</v>
      </c>
      <c r="C2690">
        <v>93461</v>
      </c>
      <c r="D2690" t="str">
        <f>"93461"</f>
        <v>93461</v>
      </c>
      <c r="E2690">
        <v>63.93</v>
      </c>
    </row>
    <row r="2691" spans="1:5" x14ac:dyDescent="0.2">
      <c r="A2691">
        <v>93463</v>
      </c>
      <c r="B2691" t="s">
        <v>10</v>
      </c>
      <c r="C2691">
        <v>93463</v>
      </c>
      <c r="D2691" t="str">
        <f>"93463"</f>
        <v>93463</v>
      </c>
      <c r="E2691">
        <v>78.02</v>
      </c>
    </row>
    <row r="2692" spans="1:5" x14ac:dyDescent="0.2">
      <c r="A2692">
        <v>93465</v>
      </c>
      <c r="B2692" t="s">
        <v>10</v>
      </c>
      <c r="C2692">
        <v>93465</v>
      </c>
      <c r="D2692" t="str">
        <f>"93465"</f>
        <v>93465</v>
      </c>
      <c r="E2692">
        <v>77.760000000000005</v>
      </c>
    </row>
    <row r="2693" spans="1:5" x14ac:dyDescent="0.2">
      <c r="A2693">
        <v>93501</v>
      </c>
      <c r="B2693" t="s">
        <v>10</v>
      </c>
      <c r="C2693">
        <v>93501</v>
      </c>
      <c r="D2693" t="str">
        <f>"93501"</f>
        <v>93501</v>
      </c>
      <c r="E2693">
        <v>52.91</v>
      </c>
    </row>
    <row r="2694" spans="1:5" x14ac:dyDescent="0.2">
      <c r="A2694">
        <v>93505</v>
      </c>
      <c r="B2694" t="s">
        <v>10</v>
      </c>
      <c r="C2694">
        <v>93505</v>
      </c>
      <c r="D2694" t="str">
        <f>"93505"</f>
        <v>93505</v>
      </c>
      <c r="E2694">
        <v>60.29</v>
      </c>
    </row>
    <row r="2695" spans="1:5" x14ac:dyDescent="0.2">
      <c r="A2695">
        <v>93510</v>
      </c>
      <c r="B2695" t="s">
        <v>10</v>
      </c>
      <c r="C2695">
        <v>93510</v>
      </c>
      <c r="D2695" t="str">
        <f>"93510"</f>
        <v>93510</v>
      </c>
      <c r="E2695">
        <v>78.98</v>
      </c>
    </row>
    <row r="2696" spans="1:5" x14ac:dyDescent="0.2">
      <c r="A2696">
        <v>93512</v>
      </c>
      <c r="B2696" t="s">
        <v>10</v>
      </c>
      <c r="C2696">
        <v>93512</v>
      </c>
      <c r="D2696" t="str">
        <f>"93512"</f>
        <v>93512</v>
      </c>
      <c r="E2696" t="s">
        <v>6</v>
      </c>
    </row>
    <row r="2697" spans="1:5" x14ac:dyDescent="0.2">
      <c r="A2697">
        <v>93513</v>
      </c>
      <c r="B2697" t="s">
        <v>10</v>
      </c>
      <c r="C2697">
        <v>93513</v>
      </c>
      <c r="D2697" t="str">
        <f>"93513"</f>
        <v>93513</v>
      </c>
      <c r="E2697">
        <v>74.36</v>
      </c>
    </row>
    <row r="2698" spans="1:5" x14ac:dyDescent="0.2">
      <c r="A2698">
        <v>93514</v>
      </c>
      <c r="B2698" t="s">
        <v>10</v>
      </c>
      <c r="C2698">
        <v>93514</v>
      </c>
      <c r="D2698" t="str">
        <f>"93514"</f>
        <v>93514</v>
      </c>
      <c r="E2698">
        <v>74.3</v>
      </c>
    </row>
    <row r="2699" spans="1:5" x14ac:dyDescent="0.2">
      <c r="A2699">
        <v>93516</v>
      </c>
      <c r="B2699" t="s">
        <v>10</v>
      </c>
      <c r="C2699">
        <v>93516</v>
      </c>
      <c r="D2699" t="str">
        <f>"93516"</f>
        <v>93516</v>
      </c>
      <c r="E2699">
        <v>64.06</v>
      </c>
    </row>
    <row r="2700" spans="1:5" x14ac:dyDescent="0.2">
      <c r="A2700">
        <v>93517</v>
      </c>
      <c r="B2700" t="s">
        <v>10</v>
      </c>
      <c r="C2700">
        <v>93517</v>
      </c>
      <c r="D2700" t="str">
        <f>"93517"</f>
        <v>93517</v>
      </c>
      <c r="E2700">
        <v>78.38</v>
      </c>
    </row>
    <row r="2701" spans="1:5" x14ac:dyDescent="0.2">
      <c r="A2701">
        <v>93518</v>
      </c>
      <c r="B2701" t="s">
        <v>10</v>
      </c>
      <c r="C2701">
        <v>93518</v>
      </c>
      <c r="D2701" t="str">
        <f>"93518"</f>
        <v>93518</v>
      </c>
      <c r="E2701">
        <v>68.290000000000006</v>
      </c>
    </row>
    <row r="2702" spans="1:5" x14ac:dyDescent="0.2">
      <c r="A2702">
        <v>93519</v>
      </c>
      <c r="B2702" t="s">
        <v>10</v>
      </c>
      <c r="C2702">
        <v>93519</v>
      </c>
      <c r="D2702" t="str">
        <f>"93519"</f>
        <v>93519</v>
      </c>
      <c r="E2702" t="s">
        <v>6</v>
      </c>
    </row>
    <row r="2703" spans="1:5" x14ac:dyDescent="0.2">
      <c r="A2703">
        <v>93522</v>
      </c>
      <c r="B2703" t="s">
        <v>10</v>
      </c>
      <c r="C2703">
        <v>93522</v>
      </c>
      <c r="D2703" t="str">
        <f>"93522"</f>
        <v>93522</v>
      </c>
      <c r="E2703" t="s">
        <v>6</v>
      </c>
    </row>
    <row r="2704" spans="1:5" x14ac:dyDescent="0.2">
      <c r="A2704">
        <v>93523</v>
      </c>
      <c r="B2704" t="s">
        <v>10</v>
      </c>
      <c r="C2704">
        <v>93523</v>
      </c>
      <c r="D2704" t="str">
        <f>"93523"</f>
        <v>93523</v>
      </c>
      <c r="E2704">
        <v>68.7</v>
      </c>
    </row>
    <row r="2705" spans="1:5" x14ac:dyDescent="0.2">
      <c r="A2705">
        <v>93524</v>
      </c>
      <c r="B2705" t="s">
        <v>10</v>
      </c>
      <c r="C2705">
        <v>93524</v>
      </c>
      <c r="D2705" t="str">
        <f>"93524"</f>
        <v>93524</v>
      </c>
      <c r="E2705" t="s">
        <v>6</v>
      </c>
    </row>
    <row r="2706" spans="1:5" x14ac:dyDescent="0.2">
      <c r="A2706">
        <v>93526</v>
      </c>
      <c r="B2706" t="s">
        <v>10</v>
      </c>
      <c r="C2706">
        <v>93526</v>
      </c>
      <c r="D2706" t="str">
        <f>"93526"</f>
        <v>93526</v>
      </c>
      <c r="E2706">
        <v>79.31</v>
      </c>
    </row>
    <row r="2707" spans="1:5" x14ac:dyDescent="0.2">
      <c r="A2707">
        <v>93527</v>
      </c>
      <c r="B2707" t="s">
        <v>10</v>
      </c>
      <c r="C2707">
        <v>93527</v>
      </c>
      <c r="D2707" t="str">
        <f>"93527"</f>
        <v>93527</v>
      </c>
      <c r="E2707">
        <v>74.44</v>
      </c>
    </row>
    <row r="2708" spans="1:5" x14ac:dyDescent="0.2">
      <c r="A2708">
        <v>93528</v>
      </c>
      <c r="B2708" t="s">
        <v>10</v>
      </c>
      <c r="C2708">
        <v>93528</v>
      </c>
      <c r="D2708" t="str">
        <f>"93528"</f>
        <v>93528</v>
      </c>
      <c r="E2708" t="s">
        <v>6</v>
      </c>
    </row>
    <row r="2709" spans="1:5" x14ac:dyDescent="0.2">
      <c r="A2709">
        <v>93529</v>
      </c>
      <c r="B2709" t="s">
        <v>10</v>
      </c>
      <c r="C2709">
        <v>93529</v>
      </c>
      <c r="D2709" t="str">
        <f>"93529"</f>
        <v>93529</v>
      </c>
      <c r="E2709" t="s">
        <v>6</v>
      </c>
    </row>
    <row r="2710" spans="1:5" x14ac:dyDescent="0.2">
      <c r="A2710">
        <v>93530</v>
      </c>
      <c r="B2710" t="s">
        <v>10</v>
      </c>
      <c r="C2710">
        <v>93530</v>
      </c>
      <c r="D2710" t="str">
        <f>"93530"</f>
        <v>93530</v>
      </c>
      <c r="E2710" t="s">
        <v>6</v>
      </c>
    </row>
    <row r="2711" spans="1:5" x14ac:dyDescent="0.2">
      <c r="A2711">
        <v>93531</v>
      </c>
      <c r="B2711" t="s">
        <v>10</v>
      </c>
      <c r="C2711">
        <v>93531</v>
      </c>
      <c r="D2711" t="str">
        <f>"93531"</f>
        <v>93531</v>
      </c>
      <c r="E2711">
        <v>84</v>
      </c>
    </row>
    <row r="2712" spans="1:5" x14ac:dyDescent="0.2">
      <c r="A2712">
        <v>93532</v>
      </c>
      <c r="B2712" t="s">
        <v>10</v>
      </c>
      <c r="C2712">
        <v>93532</v>
      </c>
      <c r="D2712" t="str">
        <f>"93532"</f>
        <v>93532</v>
      </c>
      <c r="E2712">
        <v>78.260000000000005</v>
      </c>
    </row>
    <row r="2713" spans="1:5" x14ac:dyDescent="0.2">
      <c r="A2713">
        <v>93534</v>
      </c>
      <c r="B2713" t="s">
        <v>10</v>
      </c>
      <c r="C2713">
        <v>93534</v>
      </c>
      <c r="D2713" t="str">
        <f>"93534"</f>
        <v>93534</v>
      </c>
      <c r="E2713">
        <v>59.36</v>
      </c>
    </row>
    <row r="2714" spans="1:5" x14ac:dyDescent="0.2">
      <c r="A2714">
        <v>93535</v>
      </c>
      <c r="B2714" t="s">
        <v>10</v>
      </c>
      <c r="C2714">
        <v>93535</v>
      </c>
      <c r="D2714" t="str">
        <f>"93535"</f>
        <v>93535</v>
      </c>
      <c r="E2714">
        <v>54.28</v>
      </c>
    </row>
    <row r="2715" spans="1:5" x14ac:dyDescent="0.2">
      <c r="A2715">
        <v>93536</v>
      </c>
      <c r="B2715" t="s">
        <v>10</v>
      </c>
      <c r="C2715">
        <v>93536</v>
      </c>
      <c r="D2715" t="str">
        <f>"93536"</f>
        <v>93536</v>
      </c>
      <c r="E2715">
        <v>73.12</v>
      </c>
    </row>
    <row r="2716" spans="1:5" x14ac:dyDescent="0.2">
      <c r="A2716">
        <v>93539</v>
      </c>
      <c r="B2716" t="s">
        <v>10</v>
      </c>
      <c r="C2716">
        <v>93539</v>
      </c>
      <c r="D2716" t="str">
        <f>"93539"</f>
        <v>93539</v>
      </c>
      <c r="E2716" t="s">
        <v>6</v>
      </c>
    </row>
    <row r="2717" spans="1:5" x14ac:dyDescent="0.2">
      <c r="A2717">
        <v>93541</v>
      </c>
      <c r="B2717" t="s">
        <v>10</v>
      </c>
      <c r="C2717">
        <v>93541</v>
      </c>
      <c r="D2717" t="str">
        <f>"93541"</f>
        <v>93541</v>
      </c>
      <c r="E2717" t="s">
        <v>6</v>
      </c>
    </row>
    <row r="2718" spans="1:5" x14ac:dyDescent="0.2">
      <c r="A2718">
        <v>93543</v>
      </c>
      <c r="B2718" t="s">
        <v>10</v>
      </c>
      <c r="C2718">
        <v>93543</v>
      </c>
      <c r="D2718" t="str">
        <f>"93543"</f>
        <v>93543</v>
      </c>
      <c r="E2718">
        <v>60</v>
      </c>
    </row>
    <row r="2719" spans="1:5" x14ac:dyDescent="0.2">
      <c r="A2719">
        <v>93544</v>
      </c>
      <c r="B2719" t="s">
        <v>10</v>
      </c>
      <c r="C2719">
        <v>93544</v>
      </c>
      <c r="D2719" t="str">
        <f>"93544"</f>
        <v>93544</v>
      </c>
      <c r="E2719">
        <v>71.790000000000006</v>
      </c>
    </row>
    <row r="2720" spans="1:5" x14ac:dyDescent="0.2">
      <c r="A2720">
        <v>93545</v>
      </c>
      <c r="B2720" t="s">
        <v>10</v>
      </c>
      <c r="C2720">
        <v>93545</v>
      </c>
      <c r="D2720" t="str">
        <f>"93545"</f>
        <v>93545</v>
      </c>
      <c r="E2720">
        <v>70.59</v>
      </c>
    </row>
    <row r="2721" spans="1:5" x14ac:dyDescent="0.2">
      <c r="A2721">
        <v>93546</v>
      </c>
      <c r="B2721" t="s">
        <v>10</v>
      </c>
      <c r="C2721">
        <v>93546</v>
      </c>
      <c r="D2721" t="str">
        <f>"93546"</f>
        <v>93546</v>
      </c>
      <c r="E2721">
        <v>77.2</v>
      </c>
    </row>
    <row r="2722" spans="1:5" x14ac:dyDescent="0.2">
      <c r="A2722">
        <v>93549</v>
      </c>
      <c r="B2722" t="s">
        <v>10</v>
      </c>
      <c r="C2722">
        <v>93549</v>
      </c>
      <c r="D2722" t="str">
        <f>"93549"</f>
        <v>93549</v>
      </c>
      <c r="E2722" t="s">
        <v>6</v>
      </c>
    </row>
    <row r="2723" spans="1:5" x14ac:dyDescent="0.2">
      <c r="A2723">
        <v>93550</v>
      </c>
      <c r="B2723" t="s">
        <v>10</v>
      </c>
      <c r="C2723">
        <v>93550</v>
      </c>
      <c r="D2723" t="str">
        <f>"93550"</f>
        <v>93550</v>
      </c>
      <c r="E2723">
        <v>55.57</v>
      </c>
    </row>
    <row r="2724" spans="1:5" x14ac:dyDescent="0.2">
      <c r="A2724">
        <v>93551</v>
      </c>
      <c r="B2724" t="s">
        <v>10</v>
      </c>
      <c r="C2724">
        <v>93551</v>
      </c>
      <c r="D2724" t="str">
        <f>"93551"</f>
        <v>93551</v>
      </c>
      <c r="E2724">
        <v>74.52</v>
      </c>
    </row>
    <row r="2725" spans="1:5" x14ac:dyDescent="0.2">
      <c r="A2725">
        <v>93552</v>
      </c>
      <c r="B2725" t="s">
        <v>10</v>
      </c>
      <c r="C2725">
        <v>93552</v>
      </c>
      <c r="D2725" t="str">
        <f>"93552"</f>
        <v>93552</v>
      </c>
      <c r="E2725">
        <v>60.64</v>
      </c>
    </row>
    <row r="2726" spans="1:5" x14ac:dyDescent="0.2">
      <c r="A2726">
        <v>93553</v>
      </c>
      <c r="B2726" t="s">
        <v>10</v>
      </c>
      <c r="C2726">
        <v>93553</v>
      </c>
      <c r="D2726" t="str">
        <f>"93553"</f>
        <v>93553</v>
      </c>
      <c r="E2726">
        <v>69.33</v>
      </c>
    </row>
    <row r="2727" spans="1:5" x14ac:dyDescent="0.2">
      <c r="A2727">
        <v>93554</v>
      </c>
      <c r="B2727" t="s">
        <v>10</v>
      </c>
      <c r="C2727">
        <v>93554</v>
      </c>
      <c r="D2727" t="str">
        <f>"93554"</f>
        <v>93554</v>
      </c>
      <c r="E2727" t="s">
        <v>6</v>
      </c>
    </row>
    <row r="2728" spans="1:5" x14ac:dyDescent="0.2">
      <c r="A2728">
        <v>93555</v>
      </c>
      <c r="B2728" t="s">
        <v>10</v>
      </c>
      <c r="C2728">
        <v>93555</v>
      </c>
      <c r="D2728" t="str">
        <f>"93555"</f>
        <v>93555</v>
      </c>
      <c r="E2728">
        <v>76.61</v>
      </c>
    </row>
    <row r="2729" spans="1:5" x14ac:dyDescent="0.2">
      <c r="A2729">
        <v>93560</v>
      </c>
      <c r="B2729" t="s">
        <v>10</v>
      </c>
      <c r="C2729">
        <v>93560</v>
      </c>
      <c r="D2729" t="str">
        <f>"93560"</f>
        <v>93560</v>
      </c>
      <c r="E2729">
        <v>67.55</v>
      </c>
    </row>
    <row r="2730" spans="1:5" x14ac:dyDescent="0.2">
      <c r="A2730">
        <v>93561</v>
      </c>
      <c r="B2730" t="s">
        <v>10</v>
      </c>
      <c r="C2730">
        <v>93561</v>
      </c>
      <c r="D2730" t="str">
        <f>"93561"</f>
        <v>93561</v>
      </c>
      <c r="E2730">
        <v>75.930000000000007</v>
      </c>
    </row>
    <row r="2731" spans="1:5" x14ac:dyDescent="0.2">
      <c r="A2731">
        <v>93562</v>
      </c>
      <c r="B2731" t="s">
        <v>10</v>
      </c>
      <c r="C2731">
        <v>93562</v>
      </c>
      <c r="D2731" t="str">
        <f>"93562"</f>
        <v>93562</v>
      </c>
      <c r="E2731">
        <v>65.31</v>
      </c>
    </row>
    <row r="2732" spans="1:5" x14ac:dyDescent="0.2">
      <c r="A2732">
        <v>93563</v>
      </c>
      <c r="B2732" t="s">
        <v>10</v>
      </c>
      <c r="C2732">
        <v>93563</v>
      </c>
      <c r="D2732" t="str">
        <f>"93563"</f>
        <v>93563</v>
      </c>
      <c r="E2732" t="s">
        <v>6</v>
      </c>
    </row>
    <row r="2733" spans="1:5" x14ac:dyDescent="0.2">
      <c r="A2733">
        <v>93591</v>
      </c>
      <c r="B2733" t="s">
        <v>10</v>
      </c>
      <c r="C2733">
        <v>93591</v>
      </c>
      <c r="D2733" t="str">
        <f>"93591"</f>
        <v>93591</v>
      </c>
      <c r="E2733">
        <v>54.51</v>
      </c>
    </row>
    <row r="2734" spans="1:5" x14ac:dyDescent="0.2">
      <c r="A2734">
        <v>93592</v>
      </c>
      <c r="B2734" t="s">
        <v>10</v>
      </c>
      <c r="C2734">
        <v>93592</v>
      </c>
      <c r="D2734" t="str">
        <f>"93592"</f>
        <v>93592</v>
      </c>
      <c r="E2734" t="s">
        <v>6</v>
      </c>
    </row>
    <row r="2735" spans="1:5" x14ac:dyDescent="0.2">
      <c r="A2735">
        <v>93599</v>
      </c>
      <c r="B2735" t="s">
        <v>10</v>
      </c>
      <c r="C2735">
        <v>93599</v>
      </c>
      <c r="D2735" t="str">
        <f>"93599"</f>
        <v>93599</v>
      </c>
      <c r="E2735" t="s">
        <v>6</v>
      </c>
    </row>
    <row r="2736" spans="1:5" x14ac:dyDescent="0.2">
      <c r="A2736">
        <v>93601</v>
      </c>
      <c r="B2736" t="s">
        <v>10</v>
      </c>
      <c r="C2736">
        <v>93601</v>
      </c>
      <c r="D2736" t="str">
        <f>"93601"</f>
        <v>93601</v>
      </c>
      <c r="E2736">
        <v>73.489999999999995</v>
      </c>
    </row>
    <row r="2737" spans="1:5" x14ac:dyDescent="0.2">
      <c r="A2737">
        <v>93602</v>
      </c>
      <c r="B2737" t="s">
        <v>10</v>
      </c>
      <c r="C2737">
        <v>93602</v>
      </c>
      <c r="D2737" t="str">
        <f>"93602"</f>
        <v>93602</v>
      </c>
      <c r="E2737">
        <v>74.150000000000006</v>
      </c>
    </row>
    <row r="2738" spans="1:5" x14ac:dyDescent="0.2">
      <c r="A2738">
        <v>93603</v>
      </c>
      <c r="B2738" t="s">
        <v>10</v>
      </c>
      <c r="C2738">
        <v>93603</v>
      </c>
      <c r="D2738" t="str">
        <f>"93603"</f>
        <v>93603</v>
      </c>
      <c r="E2738" t="s">
        <v>6</v>
      </c>
    </row>
    <row r="2739" spans="1:5" x14ac:dyDescent="0.2">
      <c r="A2739">
        <v>93604</v>
      </c>
      <c r="B2739" t="s">
        <v>10</v>
      </c>
      <c r="C2739">
        <v>93604</v>
      </c>
      <c r="D2739" t="str">
        <f>"93604"</f>
        <v>93604</v>
      </c>
      <c r="E2739">
        <v>74.290000000000006</v>
      </c>
    </row>
    <row r="2740" spans="1:5" x14ac:dyDescent="0.2">
      <c r="A2740">
        <v>93605</v>
      </c>
      <c r="B2740" t="s">
        <v>10</v>
      </c>
      <c r="C2740">
        <v>93605</v>
      </c>
      <c r="D2740" t="str">
        <f>"93605"</f>
        <v>93605</v>
      </c>
      <c r="E2740" t="s">
        <v>6</v>
      </c>
    </row>
    <row r="2741" spans="1:5" x14ac:dyDescent="0.2">
      <c r="A2741">
        <v>93606</v>
      </c>
      <c r="B2741" t="s">
        <v>10</v>
      </c>
      <c r="C2741">
        <v>93606</v>
      </c>
      <c r="D2741" t="str">
        <f>"93606"</f>
        <v>93606</v>
      </c>
      <c r="E2741" t="s">
        <v>6</v>
      </c>
    </row>
    <row r="2742" spans="1:5" x14ac:dyDescent="0.2">
      <c r="A2742">
        <v>93608</v>
      </c>
      <c r="B2742" t="s">
        <v>10</v>
      </c>
      <c r="C2742">
        <v>93608</v>
      </c>
      <c r="D2742" t="str">
        <f>"93608"</f>
        <v>93608</v>
      </c>
      <c r="E2742">
        <v>50</v>
      </c>
    </row>
    <row r="2743" spans="1:5" x14ac:dyDescent="0.2">
      <c r="A2743">
        <v>93609</v>
      </c>
      <c r="B2743" t="s">
        <v>10</v>
      </c>
      <c r="C2743">
        <v>93609</v>
      </c>
      <c r="D2743" t="str">
        <f>"93609"</f>
        <v>93609</v>
      </c>
      <c r="E2743">
        <v>55.41</v>
      </c>
    </row>
    <row r="2744" spans="1:5" x14ac:dyDescent="0.2">
      <c r="A2744">
        <v>93610</v>
      </c>
      <c r="B2744" t="s">
        <v>10</v>
      </c>
      <c r="C2744">
        <v>93610</v>
      </c>
      <c r="D2744" t="str">
        <f>"93610"</f>
        <v>93610</v>
      </c>
      <c r="E2744">
        <v>61.39</v>
      </c>
    </row>
    <row r="2745" spans="1:5" x14ac:dyDescent="0.2">
      <c r="A2745">
        <v>93611</v>
      </c>
      <c r="B2745" t="s">
        <v>10</v>
      </c>
      <c r="C2745">
        <v>93611</v>
      </c>
      <c r="D2745" t="str">
        <f>"93611"</f>
        <v>93611</v>
      </c>
      <c r="E2745">
        <v>76.92</v>
      </c>
    </row>
    <row r="2746" spans="1:5" x14ac:dyDescent="0.2">
      <c r="A2746">
        <v>93612</v>
      </c>
      <c r="B2746" t="s">
        <v>10</v>
      </c>
      <c r="C2746">
        <v>93612</v>
      </c>
      <c r="D2746" t="str">
        <f>"93612"</f>
        <v>93612</v>
      </c>
      <c r="E2746">
        <v>66.22</v>
      </c>
    </row>
    <row r="2747" spans="1:5" x14ac:dyDescent="0.2">
      <c r="A2747">
        <v>93614</v>
      </c>
      <c r="B2747" t="s">
        <v>10</v>
      </c>
      <c r="C2747">
        <v>93614</v>
      </c>
      <c r="D2747" t="str">
        <f>"93614"</f>
        <v>93614</v>
      </c>
      <c r="E2747">
        <v>73.61</v>
      </c>
    </row>
    <row r="2748" spans="1:5" x14ac:dyDescent="0.2">
      <c r="A2748">
        <v>93615</v>
      </c>
      <c r="B2748" t="s">
        <v>10</v>
      </c>
      <c r="C2748">
        <v>93615</v>
      </c>
      <c r="D2748" t="str">
        <f>"93615"</f>
        <v>93615</v>
      </c>
      <c r="E2748">
        <v>41.35</v>
      </c>
    </row>
    <row r="2749" spans="1:5" x14ac:dyDescent="0.2">
      <c r="A2749">
        <v>93616</v>
      </c>
      <c r="B2749" t="s">
        <v>10</v>
      </c>
      <c r="C2749">
        <v>93616</v>
      </c>
      <c r="D2749" t="str">
        <f>"93616"</f>
        <v>93616</v>
      </c>
      <c r="E2749">
        <v>50</v>
      </c>
    </row>
    <row r="2750" spans="1:5" x14ac:dyDescent="0.2">
      <c r="A2750">
        <v>93618</v>
      </c>
      <c r="B2750" t="s">
        <v>10</v>
      </c>
      <c r="C2750">
        <v>93618</v>
      </c>
      <c r="D2750" t="str">
        <f>"93618"</f>
        <v>93618</v>
      </c>
      <c r="E2750">
        <v>51.96</v>
      </c>
    </row>
    <row r="2751" spans="1:5" x14ac:dyDescent="0.2">
      <c r="A2751">
        <v>93619</v>
      </c>
      <c r="B2751" t="s">
        <v>10</v>
      </c>
      <c r="C2751">
        <v>93619</v>
      </c>
      <c r="D2751" t="str">
        <f>"93619"</f>
        <v>93619</v>
      </c>
      <c r="E2751">
        <v>81.75</v>
      </c>
    </row>
    <row r="2752" spans="1:5" x14ac:dyDescent="0.2">
      <c r="A2752">
        <v>93620</v>
      </c>
      <c r="B2752" t="s">
        <v>10</v>
      </c>
      <c r="C2752">
        <v>93620</v>
      </c>
      <c r="D2752" t="str">
        <f>"93620"</f>
        <v>93620</v>
      </c>
      <c r="E2752">
        <v>60.26</v>
      </c>
    </row>
    <row r="2753" spans="1:5" x14ac:dyDescent="0.2">
      <c r="A2753">
        <v>93621</v>
      </c>
      <c r="B2753" t="s">
        <v>10</v>
      </c>
      <c r="C2753">
        <v>93621</v>
      </c>
      <c r="D2753" t="str">
        <f>"93621"</f>
        <v>93621</v>
      </c>
      <c r="E2753">
        <v>55</v>
      </c>
    </row>
    <row r="2754" spans="1:5" x14ac:dyDescent="0.2">
      <c r="A2754">
        <v>93622</v>
      </c>
      <c r="B2754" t="s">
        <v>10</v>
      </c>
      <c r="C2754">
        <v>93622</v>
      </c>
      <c r="D2754" t="str">
        <f>"93622"</f>
        <v>93622</v>
      </c>
      <c r="E2754">
        <v>57.71</v>
      </c>
    </row>
    <row r="2755" spans="1:5" x14ac:dyDescent="0.2">
      <c r="A2755">
        <v>93623</v>
      </c>
      <c r="B2755" t="s">
        <v>10</v>
      </c>
      <c r="C2755">
        <v>93623</v>
      </c>
      <c r="D2755" t="str">
        <f>"93623"</f>
        <v>93623</v>
      </c>
      <c r="E2755" t="s">
        <v>6</v>
      </c>
    </row>
    <row r="2756" spans="1:5" x14ac:dyDescent="0.2">
      <c r="A2756">
        <v>93624</v>
      </c>
      <c r="B2756" t="s">
        <v>10</v>
      </c>
      <c r="C2756">
        <v>93624</v>
      </c>
      <c r="D2756" t="str">
        <f>"93624"</f>
        <v>93624</v>
      </c>
      <c r="E2756" t="s">
        <v>6</v>
      </c>
    </row>
    <row r="2757" spans="1:5" x14ac:dyDescent="0.2">
      <c r="A2757">
        <v>93625</v>
      </c>
      <c r="B2757" t="s">
        <v>10</v>
      </c>
      <c r="C2757">
        <v>93625</v>
      </c>
      <c r="D2757" t="str">
        <f>"93625"</f>
        <v>93625</v>
      </c>
      <c r="E2757">
        <v>66.959999999999994</v>
      </c>
    </row>
    <row r="2758" spans="1:5" x14ac:dyDescent="0.2">
      <c r="A2758">
        <v>93626</v>
      </c>
      <c r="B2758" t="s">
        <v>10</v>
      </c>
      <c r="C2758">
        <v>93626</v>
      </c>
      <c r="D2758" t="str">
        <f>"93626"</f>
        <v>93626</v>
      </c>
      <c r="E2758">
        <v>79.78</v>
      </c>
    </row>
    <row r="2759" spans="1:5" x14ac:dyDescent="0.2">
      <c r="A2759">
        <v>93627</v>
      </c>
      <c r="B2759" t="s">
        <v>10</v>
      </c>
      <c r="C2759">
        <v>93627</v>
      </c>
      <c r="D2759" t="str">
        <f>"93627"</f>
        <v>93627</v>
      </c>
      <c r="E2759" t="s">
        <v>6</v>
      </c>
    </row>
    <row r="2760" spans="1:5" x14ac:dyDescent="0.2">
      <c r="A2760">
        <v>93628</v>
      </c>
      <c r="B2760" t="s">
        <v>10</v>
      </c>
      <c r="C2760">
        <v>93628</v>
      </c>
      <c r="D2760" t="str">
        <f>"93628"</f>
        <v>93628</v>
      </c>
      <c r="E2760">
        <v>69.23</v>
      </c>
    </row>
    <row r="2761" spans="1:5" x14ac:dyDescent="0.2">
      <c r="A2761">
        <v>93630</v>
      </c>
      <c r="B2761" t="s">
        <v>10</v>
      </c>
      <c r="C2761">
        <v>93630</v>
      </c>
      <c r="D2761" t="str">
        <f>"93630"</f>
        <v>93630</v>
      </c>
      <c r="E2761">
        <v>59.61</v>
      </c>
    </row>
    <row r="2762" spans="1:5" x14ac:dyDescent="0.2">
      <c r="A2762">
        <v>93631</v>
      </c>
      <c r="B2762" t="s">
        <v>10</v>
      </c>
      <c r="C2762">
        <v>93631</v>
      </c>
      <c r="D2762" t="str">
        <f>"93631"</f>
        <v>93631</v>
      </c>
      <c r="E2762">
        <v>70.709999999999994</v>
      </c>
    </row>
    <row r="2763" spans="1:5" x14ac:dyDescent="0.2">
      <c r="A2763">
        <v>93633</v>
      </c>
      <c r="B2763" t="s">
        <v>10</v>
      </c>
      <c r="C2763">
        <v>93633</v>
      </c>
      <c r="D2763" t="str">
        <f>"93633"</f>
        <v>93633</v>
      </c>
      <c r="E2763" t="s">
        <v>6</v>
      </c>
    </row>
    <row r="2764" spans="1:5" x14ac:dyDescent="0.2">
      <c r="A2764">
        <v>93634</v>
      </c>
      <c r="B2764" t="s">
        <v>10</v>
      </c>
      <c r="C2764">
        <v>93634</v>
      </c>
      <c r="D2764" t="str">
        <f>"93634"</f>
        <v>93634</v>
      </c>
      <c r="E2764" t="s">
        <v>6</v>
      </c>
    </row>
    <row r="2765" spans="1:5" x14ac:dyDescent="0.2">
      <c r="A2765">
        <v>93635</v>
      </c>
      <c r="B2765" t="s">
        <v>10</v>
      </c>
      <c r="C2765">
        <v>93635</v>
      </c>
      <c r="D2765" t="str">
        <f>"93635"</f>
        <v>93635</v>
      </c>
      <c r="E2765">
        <v>64.16</v>
      </c>
    </row>
    <row r="2766" spans="1:5" x14ac:dyDescent="0.2">
      <c r="A2766">
        <v>93636</v>
      </c>
      <c r="B2766" t="s">
        <v>10</v>
      </c>
      <c r="C2766">
        <v>93636</v>
      </c>
      <c r="D2766" t="str">
        <f>"93636"</f>
        <v>93636</v>
      </c>
      <c r="E2766">
        <v>76.87</v>
      </c>
    </row>
    <row r="2767" spans="1:5" x14ac:dyDescent="0.2">
      <c r="A2767">
        <v>93637</v>
      </c>
      <c r="B2767" t="s">
        <v>10</v>
      </c>
      <c r="C2767">
        <v>93637</v>
      </c>
      <c r="D2767" t="str">
        <f>"93637"</f>
        <v>93637</v>
      </c>
      <c r="E2767">
        <v>61.67</v>
      </c>
    </row>
    <row r="2768" spans="1:5" x14ac:dyDescent="0.2">
      <c r="A2768">
        <v>93638</v>
      </c>
      <c r="B2768" t="s">
        <v>10</v>
      </c>
      <c r="C2768">
        <v>93638</v>
      </c>
      <c r="D2768" t="str">
        <f>"93638"</f>
        <v>93638</v>
      </c>
      <c r="E2768">
        <v>45.1</v>
      </c>
    </row>
    <row r="2769" spans="1:5" x14ac:dyDescent="0.2">
      <c r="A2769">
        <v>93640</v>
      </c>
      <c r="B2769" t="s">
        <v>10</v>
      </c>
      <c r="C2769">
        <v>93640</v>
      </c>
      <c r="D2769" t="str">
        <f>"93640"</f>
        <v>93640</v>
      </c>
      <c r="E2769">
        <v>40.68</v>
      </c>
    </row>
    <row r="2770" spans="1:5" x14ac:dyDescent="0.2">
      <c r="A2770">
        <v>93641</v>
      </c>
      <c r="B2770" t="s">
        <v>10</v>
      </c>
      <c r="C2770">
        <v>93641</v>
      </c>
      <c r="D2770" t="str">
        <f>"93641"</f>
        <v>93641</v>
      </c>
      <c r="E2770">
        <v>76.92</v>
      </c>
    </row>
    <row r="2771" spans="1:5" x14ac:dyDescent="0.2">
      <c r="A2771">
        <v>93642</v>
      </c>
      <c r="B2771" t="s">
        <v>10</v>
      </c>
      <c r="C2771">
        <v>93642</v>
      </c>
      <c r="D2771" t="str">
        <f>"93642"</f>
        <v>93642</v>
      </c>
      <c r="E2771" t="s">
        <v>6</v>
      </c>
    </row>
    <row r="2772" spans="1:5" x14ac:dyDescent="0.2">
      <c r="A2772">
        <v>93643</v>
      </c>
      <c r="B2772" t="s">
        <v>10</v>
      </c>
      <c r="C2772">
        <v>93643</v>
      </c>
      <c r="D2772" t="str">
        <f>"93643"</f>
        <v>93643</v>
      </c>
      <c r="E2772">
        <v>70.23</v>
      </c>
    </row>
    <row r="2773" spans="1:5" x14ac:dyDescent="0.2">
      <c r="A2773">
        <v>93644</v>
      </c>
      <c r="B2773" t="s">
        <v>10</v>
      </c>
      <c r="C2773">
        <v>93644</v>
      </c>
      <c r="D2773" t="str">
        <f>"93644"</f>
        <v>93644</v>
      </c>
      <c r="E2773">
        <v>70.56</v>
      </c>
    </row>
    <row r="2774" spans="1:5" x14ac:dyDescent="0.2">
      <c r="A2774">
        <v>93645</v>
      </c>
      <c r="B2774" t="s">
        <v>10</v>
      </c>
      <c r="C2774">
        <v>93645</v>
      </c>
      <c r="D2774" t="str">
        <f>"93645"</f>
        <v>93645</v>
      </c>
      <c r="E2774">
        <v>78.569999999999993</v>
      </c>
    </row>
    <row r="2775" spans="1:5" x14ac:dyDescent="0.2">
      <c r="A2775">
        <v>93646</v>
      </c>
      <c r="B2775" t="s">
        <v>10</v>
      </c>
      <c r="C2775">
        <v>93646</v>
      </c>
      <c r="D2775" t="str">
        <f>"93646"</f>
        <v>93646</v>
      </c>
      <c r="E2775">
        <v>45.11</v>
      </c>
    </row>
    <row r="2776" spans="1:5" x14ac:dyDescent="0.2">
      <c r="A2776">
        <v>93647</v>
      </c>
      <c r="B2776" t="s">
        <v>10</v>
      </c>
      <c r="C2776">
        <v>93647</v>
      </c>
      <c r="D2776" t="str">
        <f>"93647"</f>
        <v>93647</v>
      </c>
      <c r="E2776">
        <v>43.91</v>
      </c>
    </row>
    <row r="2777" spans="1:5" x14ac:dyDescent="0.2">
      <c r="A2777">
        <v>93648</v>
      </c>
      <c r="B2777" t="s">
        <v>10</v>
      </c>
      <c r="C2777">
        <v>93648</v>
      </c>
      <c r="D2777" t="str">
        <f>"93648"</f>
        <v>93648</v>
      </c>
      <c r="E2777">
        <v>45.37</v>
      </c>
    </row>
    <row r="2778" spans="1:5" x14ac:dyDescent="0.2">
      <c r="A2778">
        <v>93650</v>
      </c>
      <c r="B2778" t="s">
        <v>10</v>
      </c>
      <c r="C2778">
        <v>93650</v>
      </c>
      <c r="D2778" t="str">
        <f>"93650"</f>
        <v>93650</v>
      </c>
      <c r="E2778">
        <v>54.12</v>
      </c>
    </row>
    <row r="2779" spans="1:5" x14ac:dyDescent="0.2">
      <c r="A2779">
        <v>93651</v>
      </c>
      <c r="B2779" t="s">
        <v>10</v>
      </c>
      <c r="C2779">
        <v>93651</v>
      </c>
      <c r="D2779" t="str">
        <f>"93651"</f>
        <v>93651</v>
      </c>
      <c r="E2779">
        <v>78.569999999999993</v>
      </c>
    </row>
    <row r="2780" spans="1:5" x14ac:dyDescent="0.2">
      <c r="A2780">
        <v>93652</v>
      </c>
      <c r="B2780" t="s">
        <v>10</v>
      </c>
      <c r="C2780">
        <v>93652</v>
      </c>
      <c r="D2780" t="str">
        <f>"93652"</f>
        <v>93652</v>
      </c>
      <c r="E2780">
        <v>44.44</v>
      </c>
    </row>
    <row r="2781" spans="1:5" x14ac:dyDescent="0.2">
      <c r="A2781">
        <v>93653</v>
      </c>
      <c r="B2781" t="s">
        <v>10</v>
      </c>
      <c r="C2781">
        <v>93653</v>
      </c>
      <c r="D2781" t="str">
        <f>"93653"</f>
        <v>93653</v>
      </c>
      <c r="E2781">
        <v>70.45</v>
      </c>
    </row>
    <row r="2782" spans="1:5" x14ac:dyDescent="0.2">
      <c r="A2782">
        <v>93654</v>
      </c>
      <c r="B2782" t="s">
        <v>10</v>
      </c>
      <c r="C2782">
        <v>93654</v>
      </c>
      <c r="D2782" t="str">
        <f>"93654"</f>
        <v>93654</v>
      </c>
      <c r="E2782">
        <v>57.59</v>
      </c>
    </row>
    <row r="2783" spans="1:5" x14ac:dyDescent="0.2">
      <c r="A2783">
        <v>93656</v>
      </c>
      <c r="B2783" t="s">
        <v>10</v>
      </c>
      <c r="C2783">
        <v>93656</v>
      </c>
      <c r="D2783" t="str">
        <f>"93656"</f>
        <v>93656</v>
      </c>
      <c r="E2783">
        <v>58.05</v>
      </c>
    </row>
    <row r="2784" spans="1:5" x14ac:dyDescent="0.2">
      <c r="A2784">
        <v>93657</v>
      </c>
      <c r="B2784" t="s">
        <v>10</v>
      </c>
      <c r="C2784">
        <v>93657</v>
      </c>
      <c r="D2784" t="str">
        <f>"93657"</f>
        <v>93657</v>
      </c>
      <c r="E2784">
        <v>61.78</v>
      </c>
    </row>
    <row r="2785" spans="1:5" x14ac:dyDescent="0.2">
      <c r="A2785">
        <v>93660</v>
      </c>
      <c r="B2785" t="s">
        <v>10</v>
      </c>
      <c r="C2785">
        <v>93660</v>
      </c>
      <c r="D2785" t="str">
        <f>"93660"</f>
        <v>93660</v>
      </c>
      <c r="E2785">
        <v>48.47</v>
      </c>
    </row>
    <row r="2786" spans="1:5" x14ac:dyDescent="0.2">
      <c r="A2786">
        <v>93661</v>
      </c>
      <c r="B2786" t="s">
        <v>10</v>
      </c>
      <c r="C2786">
        <v>93661</v>
      </c>
      <c r="D2786" t="str">
        <f>"93661"</f>
        <v>93661</v>
      </c>
      <c r="E2786" t="s">
        <v>6</v>
      </c>
    </row>
    <row r="2787" spans="1:5" x14ac:dyDescent="0.2">
      <c r="A2787">
        <v>93662</v>
      </c>
      <c r="B2787" t="s">
        <v>10</v>
      </c>
      <c r="C2787">
        <v>93662</v>
      </c>
      <c r="D2787" t="str">
        <f>"93662"</f>
        <v>93662</v>
      </c>
      <c r="E2787">
        <v>55.33</v>
      </c>
    </row>
    <row r="2788" spans="1:5" x14ac:dyDescent="0.2">
      <c r="A2788">
        <v>93664</v>
      </c>
      <c r="B2788" t="s">
        <v>10</v>
      </c>
      <c r="C2788">
        <v>93664</v>
      </c>
      <c r="D2788" t="str">
        <f>"93664"</f>
        <v>93664</v>
      </c>
      <c r="E2788">
        <v>80</v>
      </c>
    </row>
    <row r="2789" spans="1:5" x14ac:dyDescent="0.2">
      <c r="A2789">
        <v>93665</v>
      </c>
      <c r="B2789" t="s">
        <v>10</v>
      </c>
      <c r="C2789">
        <v>93665</v>
      </c>
      <c r="D2789" t="str">
        <f>"93665"</f>
        <v>93665</v>
      </c>
      <c r="E2789" t="s">
        <v>6</v>
      </c>
    </row>
    <row r="2790" spans="1:5" x14ac:dyDescent="0.2">
      <c r="A2790">
        <v>93667</v>
      </c>
      <c r="B2790" t="s">
        <v>10</v>
      </c>
      <c r="C2790">
        <v>93667</v>
      </c>
      <c r="D2790" t="str">
        <f>"93667"</f>
        <v>93667</v>
      </c>
      <c r="E2790">
        <v>73.2</v>
      </c>
    </row>
    <row r="2791" spans="1:5" x14ac:dyDescent="0.2">
      <c r="A2791">
        <v>93668</v>
      </c>
      <c r="B2791" t="s">
        <v>10</v>
      </c>
      <c r="C2791">
        <v>93668</v>
      </c>
      <c r="D2791" t="str">
        <f>"93668"</f>
        <v>93668</v>
      </c>
      <c r="E2791">
        <v>64.290000000000006</v>
      </c>
    </row>
    <row r="2792" spans="1:5" x14ac:dyDescent="0.2">
      <c r="A2792">
        <v>93669</v>
      </c>
      <c r="B2792" t="s">
        <v>10</v>
      </c>
      <c r="C2792">
        <v>93669</v>
      </c>
      <c r="D2792" t="str">
        <f>"93669"</f>
        <v>93669</v>
      </c>
      <c r="E2792">
        <v>72.73</v>
      </c>
    </row>
    <row r="2793" spans="1:5" x14ac:dyDescent="0.2">
      <c r="A2793">
        <v>93673</v>
      </c>
      <c r="B2793" t="s">
        <v>10</v>
      </c>
      <c r="C2793">
        <v>93673</v>
      </c>
      <c r="D2793" t="str">
        <f>"93673"</f>
        <v>93673</v>
      </c>
      <c r="E2793" t="s">
        <v>6</v>
      </c>
    </row>
    <row r="2794" spans="1:5" x14ac:dyDescent="0.2">
      <c r="A2794">
        <v>93675</v>
      </c>
      <c r="B2794" t="s">
        <v>10</v>
      </c>
      <c r="C2794">
        <v>93675</v>
      </c>
      <c r="D2794" t="str">
        <f>"93675"</f>
        <v>93675</v>
      </c>
      <c r="E2794">
        <v>68.150000000000006</v>
      </c>
    </row>
    <row r="2795" spans="1:5" x14ac:dyDescent="0.2">
      <c r="A2795">
        <v>93701</v>
      </c>
      <c r="B2795" t="s">
        <v>10</v>
      </c>
      <c r="C2795">
        <v>93701</v>
      </c>
      <c r="D2795" t="str">
        <f>"93701"</f>
        <v>93701</v>
      </c>
      <c r="E2795">
        <v>36.57</v>
      </c>
    </row>
    <row r="2796" spans="1:5" x14ac:dyDescent="0.2">
      <c r="A2796">
        <v>93702</v>
      </c>
      <c r="B2796" t="s">
        <v>10</v>
      </c>
      <c r="C2796">
        <v>93702</v>
      </c>
      <c r="D2796" t="str">
        <f>"93702"</f>
        <v>93702</v>
      </c>
      <c r="E2796">
        <v>40.520000000000003</v>
      </c>
    </row>
    <row r="2797" spans="1:5" x14ac:dyDescent="0.2">
      <c r="A2797">
        <v>93703</v>
      </c>
      <c r="B2797" t="s">
        <v>10</v>
      </c>
      <c r="C2797">
        <v>93703</v>
      </c>
      <c r="D2797" t="str">
        <f>"93703"</f>
        <v>93703</v>
      </c>
      <c r="E2797">
        <v>48.29</v>
      </c>
    </row>
    <row r="2798" spans="1:5" x14ac:dyDescent="0.2">
      <c r="A2798">
        <v>93704</v>
      </c>
      <c r="B2798" t="s">
        <v>10</v>
      </c>
      <c r="C2798">
        <v>93704</v>
      </c>
      <c r="D2798" t="str">
        <f>"93704"</f>
        <v>93704</v>
      </c>
      <c r="E2798">
        <v>69.28</v>
      </c>
    </row>
    <row r="2799" spans="1:5" x14ac:dyDescent="0.2">
      <c r="A2799">
        <v>93705</v>
      </c>
      <c r="B2799" t="s">
        <v>10</v>
      </c>
      <c r="C2799">
        <v>93705</v>
      </c>
      <c r="D2799" t="str">
        <f>"93705"</f>
        <v>93705</v>
      </c>
      <c r="E2799">
        <v>55.12</v>
      </c>
    </row>
    <row r="2800" spans="1:5" x14ac:dyDescent="0.2">
      <c r="A2800">
        <v>93706</v>
      </c>
      <c r="B2800" t="s">
        <v>10</v>
      </c>
      <c r="C2800">
        <v>93706</v>
      </c>
      <c r="D2800" t="str">
        <f>"93706"</f>
        <v>93706</v>
      </c>
      <c r="E2800">
        <v>44.45</v>
      </c>
    </row>
    <row r="2801" spans="1:5" x14ac:dyDescent="0.2">
      <c r="A2801">
        <v>93710</v>
      </c>
      <c r="B2801" t="s">
        <v>10</v>
      </c>
      <c r="C2801">
        <v>93710</v>
      </c>
      <c r="D2801" t="str">
        <f>"93710"</f>
        <v>93710</v>
      </c>
      <c r="E2801">
        <v>68.3</v>
      </c>
    </row>
    <row r="2802" spans="1:5" x14ac:dyDescent="0.2">
      <c r="A2802">
        <v>93711</v>
      </c>
      <c r="B2802" t="s">
        <v>10</v>
      </c>
      <c r="C2802">
        <v>93711</v>
      </c>
      <c r="D2802" t="str">
        <f>"93711"</f>
        <v>93711</v>
      </c>
      <c r="E2802">
        <v>78.8</v>
      </c>
    </row>
    <row r="2803" spans="1:5" x14ac:dyDescent="0.2">
      <c r="A2803">
        <v>93720</v>
      </c>
      <c r="B2803" t="s">
        <v>10</v>
      </c>
      <c r="C2803">
        <v>93720</v>
      </c>
      <c r="D2803" t="str">
        <f>"93720"</f>
        <v>93720</v>
      </c>
      <c r="E2803">
        <v>79.02</v>
      </c>
    </row>
    <row r="2804" spans="1:5" x14ac:dyDescent="0.2">
      <c r="A2804">
        <v>93721</v>
      </c>
      <c r="B2804" t="s">
        <v>10</v>
      </c>
      <c r="C2804">
        <v>93721</v>
      </c>
      <c r="D2804" t="str">
        <f>"93721"</f>
        <v>93721</v>
      </c>
      <c r="E2804">
        <v>61.59</v>
      </c>
    </row>
    <row r="2805" spans="1:5" x14ac:dyDescent="0.2">
      <c r="A2805">
        <v>93722</v>
      </c>
      <c r="B2805" t="s">
        <v>10</v>
      </c>
      <c r="C2805">
        <v>93722</v>
      </c>
      <c r="D2805" t="str">
        <f>"93722"</f>
        <v>93722</v>
      </c>
      <c r="E2805">
        <v>64.14</v>
      </c>
    </row>
    <row r="2806" spans="1:5" x14ac:dyDescent="0.2">
      <c r="A2806">
        <v>93723</v>
      </c>
      <c r="B2806" t="s">
        <v>10</v>
      </c>
      <c r="C2806">
        <v>93723</v>
      </c>
      <c r="D2806" t="str">
        <f>"93723"</f>
        <v>93723</v>
      </c>
      <c r="E2806">
        <v>70.39</v>
      </c>
    </row>
    <row r="2807" spans="1:5" x14ac:dyDescent="0.2">
      <c r="A2807">
        <v>93724</v>
      </c>
      <c r="B2807" t="s">
        <v>10</v>
      </c>
      <c r="C2807">
        <v>93724</v>
      </c>
      <c r="D2807" t="str">
        <f>"93724"</f>
        <v>93724</v>
      </c>
      <c r="E2807" t="s">
        <v>6</v>
      </c>
    </row>
    <row r="2808" spans="1:5" x14ac:dyDescent="0.2">
      <c r="A2808">
        <v>93725</v>
      </c>
      <c r="B2808" t="s">
        <v>10</v>
      </c>
      <c r="C2808">
        <v>93725</v>
      </c>
      <c r="D2808" t="str">
        <f>"93725"</f>
        <v>93725</v>
      </c>
      <c r="E2808">
        <v>50.97</v>
      </c>
    </row>
    <row r="2809" spans="1:5" x14ac:dyDescent="0.2">
      <c r="A2809">
        <v>93726</v>
      </c>
      <c r="B2809" t="s">
        <v>10</v>
      </c>
      <c r="C2809">
        <v>93726</v>
      </c>
      <c r="D2809" t="str">
        <f>"93726"</f>
        <v>93726</v>
      </c>
      <c r="E2809">
        <v>57.39</v>
      </c>
    </row>
    <row r="2810" spans="1:5" x14ac:dyDescent="0.2">
      <c r="A2810">
        <v>93727</v>
      </c>
      <c r="B2810" t="s">
        <v>10</v>
      </c>
      <c r="C2810">
        <v>93727</v>
      </c>
      <c r="D2810" t="str">
        <f>"93727"</f>
        <v>93727</v>
      </c>
      <c r="E2810">
        <v>61.82</v>
      </c>
    </row>
    <row r="2811" spans="1:5" x14ac:dyDescent="0.2">
      <c r="A2811">
        <v>93728</v>
      </c>
      <c r="B2811" t="s">
        <v>10</v>
      </c>
      <c r="C2811">
        <v>93728</v>
      </c>
      <c r="D2811" t="str">
        <f>"93728"</f>
        <v>93728</v>
      </c>
      <c r="E2811">
        <v>59.49</v>
      </c>
    </row>
    <row r="2812" spans="1:5" x14ac:dyDescent="0.2">
      <c r="A2812">
        <v>93730</v>
      </c>
      <c r="B2812" t="s">
        <v>10</v>
      </c>
      <c r="C2812">
        <v>93730</v>
      </c>
      <c r="D2812" t="str">
        <f>"93730"</f>
        <v>93730</v>
      </c>
      <c r="E2812">
        <v>84.28</v>
      </c>
    </row>
    <row r="2813" spans="1:5" x14ac:dyDescent="0.2">
      <c r="A2813">
        <v>93737</v>
      </c>
      <c r="B2813" t="s">
        <v>10</v>
      </c>
      <c r="C2813">
        <v>93737</v>
      </c>
      <c r="D2813" t="str">
        <f>"93737"</f>
        <v>93737</v>
      </c>
      <c r="E2813" t="s">
        <v>6</v>
      </c>
    </row>
    <row r="2814" spans="1:5" x14ac:dyDescent="0.2">
      <c r="A2814">
        <v>93740</v>
      </c>
      <c r="B2814" t="s">
        <v>10</v>
      </c>
      <c r="C2814">
        <v>93740</v>
      </c>
      <c r="D2814" t="str">
        <f>"93740"</f>
        <v>93740</v>
      </c>
      <c r="E2814" t="s">
        <v>6</v>
      </c>
    </row>
    <row r="2815" spans="1:5" x14ac:dyDescent="0.2">
      <c r="A2815">
        <v>93901</v>
      </c>
      <c r="B2815" t="s">
        <v>10</v>
      </c>
      <c r="C2815">
        <v>93901</v>
      </c>
      <c r="D2815" t="str">
        <f>"93901"</f>
        <v>93901</v>
      </c>
      <c r="E2815">
        <v>74.11</v>
      </c>
    </row>
    <row r="2816" spans="1:5" x14ac:dyDescent="0.2">
      <c r="A2816">
        <v>93905</v>
      </c>
      <c r="B2816" t="s">
        <v>10</v>
      </c>
      <c r="C2816">
        <v>93905</v>
      </c>
      <c r="D2816" t="str">
        <f>"93905"</f>
        <v>93905</v>
      </c>
      <c r="E2816">
        <v>53.32</v>
      </c>
    </row>
    <row r="2817" spans="1:5" x14ac:dyDescent="0.2">
      <c r="A2817">
        <v>93906</v>
      </c>
      <c r="B2817" t="s">
        <v>10</v>
      </c>
      <c r="C2817">
        <v>93906</v>
      </c>
      <c r="D2817" t="str">
        <f>"93906"</f>
        <v>93906</v>
      </c>
      <c r="E2817">
        <v>68.790000000000006</v>
      </c>
    </row>
    <row r="2818" spans="1:5" x14ac:dyDescent="0.2">
      <c r="A2818">
        <v>93907</v>
      </c>
      <c r="B2818" t="s">
        <v>10</v>
      </c>
      <c r="C2818">
        <v>93907</v>
      </c>
      <c r="D2818" t="str">
        <f>"93907"</f>
        <v>93907</v>
      </c>
      <c r="E2818">
        <v>77.02</v>
      </c>
    </row>
    <row r="2819" spans="1:5" x14ac:dyDescent="0.2">
      <c r="A2819">
        <v>93908</v>
      </c>
      <c r="B2819" t="s">
        <v>10</v>
      </c>
      <c r="C2819">
        <v>93908</v>
      </c>
      <c r="D2819" t="str">
        <f>"93908"</f>
        <v>93908</v>
      </c>
      <c r="E2819">
        <v>82.81</v>
      </c>
    </row>
    <row r="2820" spans="1:5" x14ac:dyDescent="0.2">
      <c r="A2820">
        <v>93920</v>
      </c>
      <c r="B2820" t="s">
        <v>10</v>
      </c>
      <c r="C2820">
        <v>93920</v>
      </c>
      <c r="D2820" t="str">
        <f>"93920"</f>
        <v>93920</v>
      </c>
      <c r="E2820">
        <v>71.209999999999994</v>
      </c>
    </row>
    <row r="2821" spans="1:5" x14ac:dyDescent="0.2">
      <c r="A2821">
        <v>93921</v>
      </c>
      <c r="B2821" t="s">
        <v>10</v>
      </c>
      <c r="C2821">
        <v>93921</v>
      </c>
      <c r="D2821" t="str">
        <f>"93921"</f>
        <v>93921</v>
      </c>
      <c r="E2821" t="s">
        <v>6</v>
      </c>
    </row>
    <row r="2822" spans="1:5" x14ac:dyDescent="0.2">
      <c r="A2822">
        <v>93923</v>
      </c>
      <c r="B2822" t="s">
        <v>10</v>
      </c>
      <c r="C2822">
        <v>93923</v>
      </c>
      <c r="D2822" t="str">
        <f>"93923"</f>
        <v>93923</v>
      </c>
      <c r="E2822">
        <v>81.41</v>
      </c>
    </row>
    <row r="2823" spans="1:5" x14ac:dyDescent="0.2">
      <c r="A2823">
        <v>93924</v>
      </c>
      <c r="B2823" t="s">
        <v>10</v>
      </c>
      <c r="C2823">
        <v>93924</v>
      </c>
      <c r="D2823" t="str">
        <f>"93924"</f>
        <v>93924</v>
      </c>
      <c r="E2823">
        <v>77.42</v>
      </c>
    </row>
    <row r="2824" spans="1:5" x14ac:dyDescent="0.2">
      <c r="A2824">
        <v>93925</v>
      </c>
      <c r="B2824" t="s">
        <v>10</v>
      </c>
      <c r="C2824">
        <v>93925</v>
      </c>
      <c r="D2824" t="str">
        <f>"93925"</f>
        <v>93925</v>
      </c>
      <c r="E2824">
        <v>63.86</v>
      </c>
    </row>
    <row r="2825" spans="1:5" x14ac:dyDescent="0.2">
      <c r="A2825">
        <v>93926</v>
      </c>
      <c r="B2825" t="s">
        <v>10</v>
      </c>
      <c r="C2825">
        <v>93926</v>
      </c>
      <c r="D2825" t="str">
        <f>"93926"</f>
        <v>93926</v>
      </c>
      <c r="E2825">
        <v>67.37</v>
      </c>
    </row>
    <row r="2826" spans="1:5" x14ac:dyDescent="0.2">
      <c r="A2826">
        <v>93927</v>
      </c>
      <c r="B2826" t="s">
        <v>10</v>
      </c>
      <c r="C2826">
        <v>93927</v>
      </c>
      <c r="D2826" t="str">
        <f>"93927"</f>
        <v>93927</v>
      </c>
      <c r="E2826">
        <v>52.55</v>
      </c>
    </row>
    <row r="2827" spans="1:5" x14ac:dyDescent="0.2">
      <c r="A2827">
        <v>93928</v>
      </c>
      <c r="B2827" t="s">
        <v>10</v>
      </c>
      <c r="C2827">
        <v>93928</v>
      </c>
      <c r="D2827" t="str">
        <f>"93928"</f>
        <v>93928</v>
      </c>
      <c r="E2827" t="s">
        <v>6</v>
      </c>
    </row>
    <row r="2828" spans="1:5" x14ac:dyDescent="0.2">
      <c r="A2828">
        <v>93930</v>
      </c>
      <c r="B2828" t="s">
        <v>10</v>
      </c>
      <c r="C2828">
        <v>93930</v>
      </c>
      <c r="D2828" t="str">
        <f>"93930"</f>
        <v>93930</v>
      </c>
      <c r="E2828">
        <v>54.36</v>
      </c>
    </row>
    <row r="2829" spans="1:5" x14ac:dyDescent="0.2">
      <c r="A2829">
        <v>93932</v>
      </c>
      <c r="B2829" t="s">
        <v>10</v>
      </c>
      <c r="C2829">
        <v>93932</v>
      </c>
      <c r="D2829" t="str">
        <f>"93932"</f>
        <v>93932</v>
      </c>
      <c r="E2829" t="s">
        <v>6</v>
      </c>
    </row>
    <row r="2830" spans="1:5" x14ac:dyDescent="0.2">
      <c r="A2830">
        <v>93933</v>
      </c>
      <c r="B2830" t="s">
        <v>10</v>
      </c>
      <c r="C2830">
        <v>93933</v>
      </c>
      <c r="D2830" t="str">
        <f>"93933"</f>
        <v>93933</v>
      </c>
      <c r="E2830">
        <v>75.25</v>
      </c>
    </row>
    <row r="2831" spans="1:5" x14ac:dyDescent="0.2">
      <c r="A2831">
        <v>93940</v>
      </c>
      <c r="B2831" t="s">
        <v>10</v>
      </c>
      <c r="C2831">
        <v>93940</v>
      </c>
      <c r="D2831" t="str">
        <f>"93940"</f>
        <v>93940</v>
      </c>
      <c r="E2831">
        <v>82.52</v>
      </c>
    </row>
    <row r="2832" spans="1:5" x14ac:dyDescent="0.2">
      <c r="A2832">
        <v>93943</v>
      </c>
      <c r="B2832" t="s">
        <v>10</v>
      </c>
      <c r="C2832">
        <v>93943</v>
      </c>
      <c r="D2832" t="str">
        <f>"93943"</f>
        <v>93943</v>
      </c>
      <c r="E2832" t="s">
        <v>6</v>
      </c>
    </row>
    <row r="2833" spans="1:5" x14ac:dyDescent="0.2">
      <c r="A2833">
        <v>93944</v>
      </c>
      <c r="B2833" t="s">
        <v>10</v>
      </c>
      <c r="C2833">
        <v>93944</v>
      </c>
      <c r="D2833" t="str">
        <f>"93944"</f>
        <v>93944</v>
      </c>
      <c r="E2833" t="s">
        <v>6</v>
      </c>
    </row>
    <row r="2834" spans="1:5" x14ac:dyDescent="0.2">
      <c r="A2834">
        <v>93950</v>
      </c>
      <c r="B2834" t="s">
        <v>10</v>
      </c>
      <c r="C2834">
        <v>93950</v>
      </c>
      <c r="D2834" t="str">
        <f>"93950"</f>
        <v>93950</v>
      </c>
      <c r="E2834">
        <v>81.42</v>
      </c>
    </row>
    <row r="2835" spans="1:5" x14ac:dyDescent="0.2">
      <c r="A2835">
        <v>93953</v>
      </c>
      <c r="B2835" t="s">
        <v>10</v>
      </c>
      <c r="C2835">
        <v>93953</v>
      </c>
      <c r="D2835" t="str">
        <f>"93953"</f>
        <v>93953</v>
      </c>
      <c r="E2835">
        <v>83.81</v>
      </c>
    </row>
    <row r="2836" spans="1:5" x14ac:dyDescent="0.2">
      <c r="A2836">
        <v>93954</v>
      </c>
      <c r="B2836" t="s">
        <v>10</v>
      </c>
      <c r="C2836">
        <v>93954</v>
      </c>
      <c r="D2836" t="str">
        <f>"93954"</f>
        <v>93954</v>
      </c>
      <c r="E2836" t="s">
        <v>6</v>
      </c>
    </row>
    <row r="2837" spans="1:5" x14ac:dyDescent="0.2">
      <c r="A2837">
        <v>93955</v>
      </c>
      <c r="B2837" t="s">
        <v>10</v>
      </c>
      <c r="C2837">
        <v>93955</v>
      </c>
      <c r="D2837" t="str">
        <f>"93955"</f>
        <v>93955</v>
      </c>
      <c r="E2837">
        <v>71.39</v>
      </c>
    </row>
    <row r="2838" spans="1:5" x14ac:dyDescent="0.2">
      <c r="A2838">
        <v>93960</v>
      </c>
      <c r="B2838" t="s">
        <v>10</v>
      </c>
      <c r="C2838">
        <v>93960</v>
      </c>
      <c r="D2838" t="str">
        <f>"93960"</f>
        <v>93960</v>
      </c>
      <c r="E2838">
        <v>64.599999999999994</v>
      </c>
    </row>
    <row r="2839" spans="1:5" x14ac:dyDescent="0.2">
      <c r="A2839">
        <v>93962</v>
      </c>
      <c r="B2839" t="s">
        <v>10</v>
      </c>
      <c r="C2839">
        <v>93962</v>
      </c>
      <c r="D2839" t="str">
        <f>"93962"</f>
        <v>93962</v>
      </c>
      <c r="E2839" t="s">
        <v>6</v>
      </c>
    </row>
    <row r="2840" spans="1:5" x14ac:dyDescent="0.2">
      <c r="A2840">
        <v>94002</v>
      </c>
      <c r="B2840" t="s">
        <v>10</v>
      </c>
      <c r="C2840">
        <v>94002</v>
      </c>
      <c r="D2840" t="str">
        <f>"94002"</f>
        <v>94002</v>
      </c>
      <c r="E2840">
        <v>86.61</v>
      </c>
    </row>
    <row r="2841" spans="1:5" x14ac:dyDescent="0.2">
      <c r="A2841">
        <v>94005</v>
      </c>
      <c r="B2841" t="s">
        <v>10</v>
      </c>
      <c r="C2841">
        <v>94005</v>
      </c>
      <c r="D2841" t="str">
        <f>"94005"</f>
        <v>94005</v>
      </c>
      <c r="E2841">
        <v>87.28</v>
      </c>
    </row>
    <row r="2842" spans="1:5" x14ac:dyDescent="0.2">
      <c r="A2842">
        <v>94010</v>
      </c>
      <c r="B2842" t="s">
        <v>10</v>
      </c>
      <c r="C2842">
        <v>94010</v>
      </c>
      <c r="D2842" t="str">
        <f>"94010"</f>
        <v>94010</v>
      </c>
      <c r="E2842">
        <v>84.94</v>
      </c>
    </row>
    <row r="2843" spans="1:5" x14ac:dyDescent="0.2">
      <c r="A2843">
        <v>94014</v>
      </c>
      <c r="B2843" t="s">
        <v>10</v>
      </c>
      <c r="C2843">
        <v>94014</v>
      </c>
      <c r="D2843" t="str">
        <f>"94014"</f>
        <v>94014</v>
      </c>
      <c r="E2843">
        <v>80.36</v>
      </c>
    </row>
    <row r="2844" spans="1:5" x14ac:dyDescent="0.2">
      <c r="A2844">
        <v>94015</v>
      </c>
      <c r="B2844" t="s">
        <v>10</v>
      </c>
      <c r="C2844">
        <v>94015</v>
      </c>
      <c r="D2844" t="str">
        <f>"94015"</f>
        <v>94015</v>
      </c>
      <c r="E2844">
        <v>81.86</v>
      </c>
    </row>
    <row r="2845" spans="1:5" x14ac:dyDescent="0.2">
      <c r="A2845">
        <v>94018</v>
      </c>
      <c r="B2845" t="s">
        <v>10</v>
      </c>
      <c r="C2845">
        <v>94018</v>
      </c>
      <c r="D2845" t="str">
        <f>"94018"</f>
        <v>94018</v>
      </c>
      <c r="E2845" t="s">
        <v>6</v>
      </c>
    </row>
    <row r="2846" spans="1:5" x14ac:dyDescent="0.2">
      <c r="A2846">
        <v>94019</v>
      </c>
      <c r="B2846" t="s">
        <v>10</v>
      </c>
      <c r="C2846">
        <v>94019</v>
      </c>
      <c r="D2846" t="str">
        <f>"94019"</f>
        <v>94019</v>
      </c>
      <c r="E2846">
        <v>81.13</v>
      </c>
    </row>
    <row r="2847" spans="1:5" x14ac:dyDescent="0.2">
      <c r="A2847">
        <v>94020</v>
      </c>
      <c r="B2847" t="s">
        <v>10</v>
      </c>
      <c r="C2847">
        <v>94020</v>
      </c>
      <c r="D2847" t="str">
        <f>"94020"</f>
        <v>94020</v>
      </c>
      <c r="E2847">
        <v>85.9</v>
      </c>
    </row>
    <row r="2848" spans="1:5" x14ac:dyDescent="0.2">
      <c r="A2848">
        <v>94021</v>
      </c>
      <c r="B2848" t="s">
        <v>10</v>
      </c>
      <c r="C2848">
        <v>94021</v>
      </c>
      <c r="D2848" t="str">
        <f>"94021"</f>
        <v>94021</v>
      </c>
      <c r="E2848" t="s">
        <v>6</v>
      </c>
    </row>
    <row r="2849" spans="1:5" x14ac:dyDescent="0.2">
      <c r="A2849">
        <v>94022</v>
      </c>
      <c r="B2849" t="s">
        <v>10</v>
      </c>
      <c r="C2849">
        <v>94022</v>
      </c>
      <c r="D2849" t="str">
        <f>"94022"</f>
        <v>94022</v>
      </c>
      <c r="E2849">
        <v>85.16</v>
      </c>
    </row>
    <row r="2850" spans="1:5" x14ac:dyDescent="0.2">
      <c r="A2850">
        <v>94024</v>
      </c>
      <c r="B2850" t="s">
        <v>10</v>
      </c>
      <c r="C2850">
        <v>94024</v>
      </c>
      <c r="D2850" t="str">
        <f>"94024"</f>
        <v>94024</v>
      </c>
      <c r="E2850">
        <v>85.48</v>
      </c>
    </row>
    <row r="2851" spans="1:5" x14ac:dyDescent="0.2">
      <c r="A2851">
        <v>94025</v>
      </c>
      <c r="B2851" t="s">
        <v>10</v>
      </c>
      <c r="C2851">
        <v>94025</v>
      </c>
      <c r="D2851" t="str">
        <f>"94025"</f>
        <v>94025</v>
      </c>
      <c r="E2851">
        <v>84.9</v>
      </c>
    </row>
    <row r="2852" spans="1:5" x14ac:dyDescent="0.2">
      <c r="A2852">
        <v>94027</v>
      </c>
      <c r="B2852" t="s">
        <v>10</v>
      </c>
      <c r="C2852">
        <v>94027</v>
      </c>
      <c r="D2852" t="str">
        <f>"94027"</f>
        <v>94027</v>
      </c>
      <c r="E2852">
        <v>84.57</v>
      </c>
    </row>
    <row r="2853" spans="1:5" x14ac:dyDescent="0.2">
      <c r="A2853">
        <v>94028</v>
      </c>
      <c r="B2853" t="s">
        <v>10</v>
      </c>
      <c r="C2853">
        <v>94028</v>
      </c>
      <c r="D2853" t="str">
        <f>"94028"</f>
        <v>94028</v>
      </c>
      <c r="E2853">
        <v>84.77</v>
      </c>
    </row>
    <row r="2854" spans="1:5" x14ac:dyDescent="0.2">
      <c r="A2854">
        <v>94030</v>
      </c>
      <c r="B2854" t="s">
        <v>10</v>
      </c>
      <c r="C2854">
        <v>94030</v>
      </c>
      <c r="D2854" t="str">
        <f>"94030"</f>
        <v>94030</v>
      </c>
      <c r="E2854">
        <v>83.08</v>
      </c>
    </row>
    <row r="2855" spans="1:5" x14ac:dyDescent="0.2">
      <c r="A2855">
        <v>94035</v>
      </c>
      <c r="B2855" t="s">
        <v>10</v>
      </c>
      <c r="C2855">
        <v>94035</v>
      </c>
      <c r="D2855" t="str">
        <f>"94035"</f>
        <v>94035</v>
      </c>
      <c r="E2855" t="s">
        <v>6</v>
      </c>
    </row>
    <row r="2856" spans="1:5" x14ac:dyDescent="0.2">
      <c r="A2856">
        <v>94037</v>
      </c>
      <c r="B2856" t="s">
        <v>10</v>
      </c>
      <c r="C2856">
        <v>94037</v>
      </c>
      <c r="D2856" t="str">
        <f>"94037"</f>
        <v>94037</v>
      </c>
      <c r="E2856" t="s">
        <v>6</v>
      </c>
    </row>
    <row r="2857" spans="1:5" x14ac:dyDescent="0.2">
      <c r="A2857">
        <v>94038</v>
      </c>
      <c r="B2857" t="s">
        <v>10</v>
      </c>
      <c r="C2857">
        <v>94038</v>
      </c>
      <c r="D2857" t="str">
        <f>"94038"</f>
        <v>94038</v>
      </c>
      <c r="E2857">
        <v>82.31</v>
      </c>
    </row>
    <row r="2858" spans="1:5" x14ac:dyDescent="0.2">
      <c r="A2858">
        <v>94040</v>
      </c>
      <c r="B2858" t="s">
        <v>10</v>
      </c>
      <c r="C2858">
        <v>94040</v>
      </c>
      <c r="D2858" t="str">
        <f>"94040"</f>
        <v>94040</v>
      </c>
      <c r="E2858">
        <v>86.05</v>
      </c>
    </row>
    <row r="2859" spans="1:5" x14ac:dyDescent="0.2">
      <c r="A2859">
        <v>94041</v>
      </c>
      <c r="B2859" t="s">
        <v>10</v>
      </c>
      <c r="C2859">
        <v>94041</v>
      </c>
      <c r="D2859" t="str">
        <f>"94041"</f>
        <v>94041</v>
      </c>
      <c r="E2859">
        <v>88.53</v>
      </c>
    </row>
    <row r="2860" spans="1:5" x14ac:dyDescent="0.2">
      <c r="A2860">
        <v>94043</v>
      </c>
      <c r="B2860" t="s">
        <v>10</v>
      </c>
      <c r="C2860">
        <v>94043</v>
      </c>
      <c r="D2860" t="str">
        <f>"94043"</f>
        <v>94043</v>
      </c>
      <c r="E2860">
        <v>88.38</v>
      </c>
    </row>
    <row r="2861" spans="1:5" x14ac:dyDescent="0.2">
      <c r="A2861">
        <v>94044</v>
      </c>
      <c r="B2861" t="s">
        <v>10</v>
      </c>
      <c r="C2861">
        <v>94044</v>
      </c>
      <c r="D2861" t="str">
        <f>"94044"</f>
        <v>94044</v>
      </c>
      <c r="E2861">
        <v>85.52</v>
      </c>
    </row>
    <row r="2862" spans="1:5" x14ac:dyDescent="0.2">
      <c r="A2862">
        <v>94060</v>
      </c>
      <c r="B2862" t="s">
        <v>10</v>
      </c>
      <c r="C2862">
        <v>94060</v>
      </c>
      <c r="D2862" t="str">
        <f>"94060"</f>
        <v>94060</v>
      </c>
      <c r="E2862">
        <v>75</v>
      </c>
    </row>
    <row r="2863" spans="1:5" x14ac:dyDescent="0.2">
      <c r="A2863">
        <v>94061</v>
      </c>
      <c r="B2863" t="s">
        <v>10</v>
      </c>
      <c r="C2863">
        <v>94061</v>
      </c>
      <c r="D2863" t="str">
        <f>"94061"</f>
        <v>94061</v>
      </c>
      <c r="E2863">
        <v>82.59</v>
      </c>
    </row>
    <row r="2864" spans="1:5" x14ac:dyDescent="0.2">
      <c r="A2864">
        <v>94062</v>
      </c>
      <c r="B2864" t="s">
        <v>10</v>
      </c>
      <c r="C2864">
        <v>94062</v>
      </c>
      <c r="D2864" t="str">
        <f>"94062"</f>
        <v>94062</v>
      </c>
      <c r="E2864">
        <v>86.02</v>
      </c>
    </row>
    <row r="2865" spans="1:5" x14ac:dyDescent="0.2">
      <c r="A2865">
        <v>94063</v>
      </c>
      <c r="B2865" t="s">
        <v>10</v>
      </c>
      <c r="C2865">
        <v>94063</v>
      </c>
      <c r="D2865" t="str">
        <f>"94063"</f>
        <v>94063</v>
      </c>
      <c r="E2865">
        <v>76.44</v>
      </c>
    </row>
    <row r="2866" spans="1:5" x14ac:dyDescent="0.2">
      <c r="A2866">
        <v>94065</v>
      </c>
      <c r="B2866" t="s">
        <v>10</v>
      </c>
      <c r="C2866">
        <v>94065</v>
      </c>
      <c r="D2866" t="str">
        <f>"94065"</f>
        <v>94065</v>
      </c>
      <c r="E2866">
        <v>88.11</v>
      </c>
    </row>
    <row r="2867" spans="1:5" x14ac:dyDescent="0.2">
      <c r="A2867">
        <v>94066</v>
      </c>
      <c r="B2867" t="s">
        <v>10</v>
      </c>
      <c r="C2867">
        <v>94066</v>
      </c>
      <c r="D2867" t="str">
        <f>"94066"</f>
        <v>94066</v>
      </c>
      <c r="E2867">
        <v>83.25</v>
      </c>
    </row>
    <row r="2868" spans="1:5" x14ac:dyDescent="0.2">
      <c r="A2868">
        <v>94070</v>
      </c>
      <c r="B2868" t="s">
        <v>10</v>
      </c>
      <c r="C2868">
        <v>94070</v>
      </c>
      <c r="D2868" t="str">
        <f>"94070"</f>
        <v>94070</v>
      </c>
      <c r="E2868">
        <v>86.91</v>
      </c>
    </row>
    <row r="2869" spans="1:5" x14ac:dyDescent="0.2">
      <c r="A2869">
        <v>94074</v>
      </c>
      <c r="B2869" t="s">
        <v>10</v>
      </c>
      <c r="C2869">
        <v>94074</v>
      </c>
      <c r="D2869" t="str">
        <f>"94074"</f>
        <v>94074</v>
      </c>
      <c r="E2869">
        <v>75</v>
      </c>
    </row>
    <row r="2870" spans="1:5" x14ac:dyDescent="0.2">
      <c r="A2870">
        <v>94080</v>
      </c>
      <c r="B2870" t="s">
        <v>10</v>
      </c>
      <c r="C2870">
        <v>94080</v>
      </c>
      <c r="D2870" t="str">
        <f>"94080"</f>
        <v>94080</v>
      </c>
      <c r="E2870">
        <v>82.91</v>
      </c>
    </row>
    <row r="2871" spans="1:5" x14ac:dyDescent="0.2">
      <c r="A2871">
        <v>94085</v>
      </c>
      <c r="B2871" t="s">
        <v>10</v>
      </c>
      <c r="C2871">
        <v>94085</v>
      </c>
      <c r="D2871" t="str">
        <f>"94085"</f>
        <v>94085</v>
      </c>
      <c r="E2871">
        <v>85.36</v>
      </c>
    </row>
    <row r="2872" spans="1:5" x14ac:dyDescent="0.2">
      <c r="A2872">
        <v>94086</v>
      </c>
      <c r="B2872" t="s">
        <v>10</v>
      </c>
      <c r="C2872">
        <v>94086</v>
      </c>
      <c r="D2872" t="str">
        <f>"94086"</f>
        <v>94086</v>
      </c>
      <c r="E2872">
        <v>87.21</v>
      </c>
    </row>
    <row r="2873" spans="1:5" x14ac:dyDescent="0.2">
      <c r="A2873">
        <v>94087</v>
      </c>
      <c r="B2873" t="s">
        <v>10</v>
      </c>
      <c r="C2873">
        <v>94087</v>
      </c>
      <c r="D2873" t="str">
        <f>"94087"</f>
        <v>94087</v>
      </c>
      <c r="E2873">
        <v>85.8</v>
      </c>
    </row>
    <row r="2874" spans="1:5" x14ac:dyDescent="0.2">
      <c r="A2874">
        <v>94089</v>
      </c>
      <c r="B2874" t="s">
        <v>10</v>
      </c>
      <c r="C2874">
        <v>94089</v>
      </c>
      <c r="D2874" t="str">
        <f>"94089"</f>
        <v>94089</v>
      </c>
      <c r="E2874">
        <v>86.09</v>
      </c>
    </row>
    <row r="2875" spans="1:5" x14ac:dyDescent="0.2">
      <c r="A2875">
        <v>94102</v>
      </c>
      <c r="B2875" t="s">
        <v>10</v>
      </c>
      <c r="C2875">
        <v>94102</v>
      </c>
      <c r="D2875" t="str">
        <f>"94102"</f>
        <v>94102</v>
      </c>
      <c r="E2875">
        <v>82.13</v>
      </c>
    </row>
    <row r="2876" spans="1:5" x14ac:dyDescent="0.2">
      <c r="A2876">
        <v>94103</v>
      </c>
      <c r="B2876" t="s">
        <v>10</v>
      </c>
      <c r="C2876">
        <v>94103</v>
      </c>
      <c r="D2876" t="str">
        <f>"94103"</f>
        <v>94103</v>
      </c>
      <c r="E2876">
        <v>85.31</v>
      </c>
    </row>
    <row r="2877" spans="1:5" x14ac:dyDescent="0.2">
      <c r="A2877">
        <v>94104</v>
      </c>
      <c r="B2877" t="s">
        <v>10</v>
      </c>
      <c r="C2877">
        <v>94104</v>
      </c>
      <c r="D2877" t="str">
        <f>"94104"</f>
        <v>94104</v>
      </c>
      <c r="E2877">
        <v>85.27</v>
      </c>
    </row>
    <row r="2878" spans="1:5" x14ac:dyDescent="0.2">
      <c r="A2878">
        <v>94105</v>
      </c>
      <c r="B2878" t="s">
        <v>10</v>
      </c>
      <c r="C2878">
        <v>94105</v>
      </c>
      <c r="D2878" t="str">
        <f>"94105"</f>
        <v>94105</v>
      </c>
      <c r="E2878">
        <v>92.66</v>
      </c>
    </row>
    <row r="2879" spans="1:5" x14ac:dyDescent="0.2">
      <c r="A2879">
        <v>94107</v>
      </c>
      <c r="B2879" t="s">
        <v>10</v>
      </c>
      <c r="C2879">
        <v>94107</v>
      </c>
      <c r="D2879" t="str">
        <f>"94107"</f>
        <v>94107</v>
      </c>
      <c r="E2879">
        <v>89.93</v>
      </c>
    </row>
    <row r="2880" spans="1:5" x14ac:dyDescent="0.2">
      <c r="A2880">
        <v>94108</v>
      </c>
      <c r="B2880" t="s">
        <v>10</v>
      </c>
      <c r="C2880">
        <v>94108</v>
      </c>
      <c r="D2880" t="str">
        <f>"94108"</f>
        <v>94108</v>
      </c>
      <c r="E2880">
        <v>79.47</v>
      </c>
    </row>
    <row r="2881" spans="1:5" x14ac:dyDescent="0.2">
      <c r="A2881">
        <v>94109</v>
      </c>
      <c r="B2881" t="s">
        <v>10</v>
      </c>
      <c r="C2881">
        <v>94109</v>
      </c>
      <c r="D2881" t="str">
        <f>"94109"</f>
        <v>94109</v>
      </c>
      <c r="E2881">
        <v>88.43</v>
      </c>
    </row>
    <row r="2882" spans="1:5" x14ac:dyDescent="0.2">
      <c r="A2882">
        <v>94110</v>
      </c>
      <c r="B2882" t="s">
        <v>10</v>
      </c>
      <c r="C2882">
        <v>94110</v>
      </c>
      <c r="D2882" t="str">
        <f>"94110"</f>
        <v>94110</v>
      </c>
      <c r="E2882">
        <v>84.85</v>
      </c>
    </row>
    <row r="2883" spans="1:5" x14ac:dyDescent="0.2">
      <c r="A2883">
        <v>94111</v>
      </c>
      <c r="B2883" t="s">
        <v>10</v>
      </c>
      <c r="C2883">
        <v>94111</v>
      </c>
      <c r="D2883" t="str">
        <f>"94111"</f>
        <v>94111</v>
      </c>
      <c r="E2883">
        <v>84.04</v>
      </c>
    </row>
    <row r="2884" spans="1:5" x14ac:dyDescent="0.2">
      <c r="A2884">
        <v>94112</v>
      </c>
      <c r="B2884" t="s">
        <v>10</v>
      </c>
      <c r="C2884">
        <v>94112</v>
      </c>
      <c r="D2884" t="str">
        <f>"94112"</f>
        <v>94112</v>
      </c>
      <c r="E2884">
        <v>76.03</v>
      </c>
    </row>
    <row r="2885" spans="1:5" x14ac:dyDescent="0.2">
      <c r="A2885">
        <v>94114</v>
      </c>
      <c r="B2885" t="s">
        <v>10</v>
      </c>
      <c r="C2885">
        <v>94114</v>
      </c>
      <c r="D2885" t="str">
        <f>"94114"</f>
        <v>94114</v>
      </c>
      <c r="E2885">
        <v>91.3</v>
      </c>
    </row>
    <row r="2886" spans="1:5" x14ac:dyDescent="0.2">
      <c r="A2886">
        <v>94115</v>
      </c>
      <c r="B2886" t="s">
        <v>10</v>
      </c>
      <c r="C2886">
        <v>94115</v>
      </c>
      <c r="D2886" t="str">
        <f>"94115"</f>
        <v>94115</v>
      </c>
      <c r="E2886">
        <v>87.97</v>
      </c>
    </row>
    <row r="2887" spans="1:5" x14ac:dyDescent="0.2">
      <c r="A2887">
        <v>94116</v>
      </c>
      <c r="B2887" t="s">
        <v>10</v>
      </c>
      <c r="C2887">
        <v>94116</v>
      </c>
      <c r="D2887" t="str">
        <f>"94116"</f>
        <v>94116</v>
      </c>
      <c r="E2887">
        <v>81.84</v>
      </c>
    </row>
    <row r="2888" spans="1:5" x14ac:dyDescent="0.2">
      <c r="A2888">
        <v>94117</v>
      </c>
      <c r="B2888" t="s">
        <v>10</v>
      </c>
      <c r="C2888">
        <v>94117</v>
      </c>
      <c r="D2888" t="str">
        <f>"94117"</f>
        <v>94117</v>
      </c>
      <c r="E2888">
        <v>91.22</v>
      </c>
    </row>
    <row r="2889" spans="1:5" x14ac:dyDescent="0.2">
      <c r="A2889">
        <v>94118</v>
      </c>
      <c r="B2889" t="s">
        <v>10</v>
      </c>
      <c r="C2889">
        <v>94118</v>
      </c>
      <c r="D2889" t="str">
        <f>"94118"</f>
        <v>94118</v>
      </c>
      <c r="E2889">
        <v>86.48</v>
      </c>
    </row>
    <row r="2890" spans="1:5" x14ac:dyDescent="0.2">
      <c r="A2890">
        <v>94121</v>
      </c>
      <c r="B2890" t="s">
        <v>10</v>
      </c>
      <c r="C2890">
        <v>94121</v>
      </c>
      <c r="D2890" t="str">
        <f>"94121"</f>
        <v>94121</v>
      </c>
      <c r="E2890">
        <v>83.58</v>
      </c>
    </row>
    <row r="2891" spans="1:5" x14ac:dyDescent="0.2">
      <c r="A2891">
        <v>94122</v>
      </c>
      <c r="B2891" t="s">
        <v>10</v>
      </c>
      <c r="C2891">
        <v>94122</v>
      </c>
      <c r="D2891" t="str">
        <f>"94122"</f>
        <v>94122</v>
      </c>
      <c r="E2891">
        <v>84.34</v>
      </c>
    </row>
    <row r="2892" spans="1:5" x14ac:dyDescent="0.2">
      <c r="A2892">
        <v>94123</v>
      </c>
      <c r="B2892" t="s">
        <v>10</v>
      </c>
      <c r="C2892">
        <v>94123</v>
      </c>
      <c r="D2892" t="str">
        <f>"94123"</f>
        <v>94123</v>
      </c>
      <c r="E2892">
        <v>92.77</v>
      </c>
    </row>
    <row r="2893" spans="1:5" x14ac:dyDescent="0.2">
      <c r="A2893">
        <v>94124</v>
      </c>
      <c r="B2893" t="s">
        <v>10</v>
      </c>
      <c r="C2893">
        <v>94124</v>
      </c>
      <c r="D2893" t="str">
        <f>"94124"</f>
        <v>94124</v>
      </c>
      <c r="E2893">
        <v>69.319999999999993</v>
      </c>
    </row>
    <row r="2894" spans="1:5" x14ac:dyDescent="0.2">
      <c r="A2894">
        <v>94127</v>
      </c>
      <c r="B2894" t="s">
        <v>10</v>
      </c>
      <c r="C2894">
        <v>94127</v>
      </c>
      <c r="D2894" t="str">
        <f>"94127"</f>
        <v>94127</v>
      </c>
      <c r="E2894">
        <v>86.24</v>
      </c>
    </row>
    <row r="2895" spans="1:5" x14ac:dyDescent="0.2">
      <c r="A2895">
        <v>94128</v>
      </c>
      <c r="B2895" t="s">
        <v>10</v>
      </c>
      <c r="C2895">
        <v>94128</v>
      </c>
      <c r="D2895" t="str">
        <f>"94128"</f>
        <v>94128</v>
      </c>
      <c r="E2895" t="s">
        <v>6</v>
      </c>
    </row>
    <row r="2896" spans="1:5" x14ac:dyDescent="0.2">
      <c r="A2896">
        <v>94129</v>
      </c>
      <c r="B2896" t="s">
        <v>10</v>
      </c>
      <c r="C2896">
        <v>94129</v>
      </c>
      <c r="D2896" t="str">
        <f>"94129"</f>
        <v>94129</v>
      </c>
      <c r="E2896">
        <v>91.24</v>
      </c>
    </row>
    <row r="2897" spans="1:5" x14ac:dyDescent="0.2">
      <c r="A2897">
        <v>94130</v>
      </c>
      <c r="B2897" t="s">
        <v>10</v>
      </c>
      <c r="C2897">
        <v>94130</v>
      </c>
      <c r="D2897" t="str">
        <f>"94130"</f>
        <v>94130</v>
      </c>
      <c r="E2897">
        <v>67.92</v>
      </c>
    </row>
    <row r="2898" spans="1:5" x14ac:dyDescent="0.2">
      <c r="A2898">
        <v>94131</v>
      </c>
      <c r="B2898" t="s">
        <v>10</v>
      </c>
      <c r="C2898">
        <v>94131</v>
      </c>
      <c r="D2898" t="str">
        <f>"94131"</f>
        <v>94131</v>
      </c>
      <c r="E2898">
        <v>89.17</v>
      </c>
    </row>
    <row r="2899" spans="1:5" x14ac:dyDescent="0.2">
      <c r="A2899">
        <v>94132</v>
      </c>
      <c r="B2899" t="s">
        <v>10</v>
      </c>
      <c r="C2899">
        <v>94132</v>
      </c>
      <c r="D2899" t="str">
        <f>"94132"</f>
        <v>94132</v>
      </c>
      <c r="E2899">
        <v>79.209999999999994</v>
      </c>
    </row>
    <row r="2900" spans="1:5" x14ac:dyDescent="0.2">
      <c r="A2900">
        <v>94133</v>
      </c>
      <c r="B2900" t="s">
        <v>10</v>
      </c>
      <c r="C2900">
        <v>94133</v>
      </c>
      <c r="D2900" t="str">
        <f>"94133"</f>
        <v>94133</v>
      </c>
      <c r="E2900">
        <v>80.61</v>
      </c>
    </row>
    <row r="2901" spans="1:5" x14ac:dyDescent="0.2">
      <c r="A2901">
        <v>94134</v>
      </c>
      <c r="B2901" t="s">
        <v>10</v>
      </c>
      <c r="C2901">
        <v>94134</v>
      </c>
      <c r="D2901" t="str">
        <f>"94134"</f>
        <v>94134</v>
      </c>
      <c r="E2901">
        <v>72.97</v>
      </c>
    </row>
    <row r="2902" spans="1:5" x14ac:dyDescent="0.2">
      <c r="A2902">
        <v>94143</v>
      </c>
      <c r="B2902" t="s">
        <v>10</v>
      </c>
      <c r="C2902">
        <v>94143</v>
      </c>
      <c r="D2902" t="str">
        <f>"94143"</f>
        <v>94143</v>
      </c>
      <c r="E2902" t="s">
        <v>6</v>
      </c>
    </row>
    <row r="2903" spans="1:5" x14ac:dyDescent="0.2">
      <c r="A2903">
        <v>94158</v>
      </c>
      <c r="B2903" t="s">
        <v>10</v>
      </c>
      <c r="C2903">
        <v>94158</v>
      </c>
      <c r="D2903" t="str">
        <f>"94158"</f>
        <v>94158</v>
      </c>
      <c r="E2903">
        <v>89.42</v>
      </c>
    </row>
    <row r="2904" spans="1:5" x14ac:dyDescent="0.2">
      <c r="A2904">
        <v>94301</v>
      </c>
      <c r="B2904" t="s">
        <v>10</v>
      </c>
      <c r="C2904">
        <v>94301</v>
      </c>
      <c r="D2904" t="str">
        <f>"94301"</f>
        <v>94301</v>
      </c>
      <c r="E2904">
        <v>86.67</v>
      </c>
    </row>
    <row r="2905" spans="1:5" x14ac:dyDescent="0.2">
      <c r="A2905">
        <v>94303</v>
      </c>
      <c r="B2905" t="s">
        <v>10</v>
      </c>
      <c r="C2905">
        <v>94303</v>
      </c>
      <c r="D2905" t="str">
        <f>"94303"</f>
        <v>94303</v>
      </c>
      <c r="E2905">
        <v>75.17</v>
      </c>
    </row>
    <row r="2906" spans="1:5" x14ac:dyDescent="0.2">
      <c r="A2906">
        <v>94304</v>
      </c>
      <c r="B2906" t="s">
        <v>10</v>
      </c>
      <c r="C2906">
        <v>94304</v>
      </c>
      <c r="D2906" t="str">
        <f>"94304"</f>
        <v>94304</v>
      </c>
      <c r="E2906">
        <v>90.1</v>
      </c>
    </row>
    <row r="2907" spans="1:5" x14ac:dyDescent="0.2">
      <c r="A2907">
        <v>94305</v>
      </c>
      <c r="B2907" t="s">
        <v>10</v>
      </c>
      <c r="C2907">
        <v>94305</v>
      </c>
      <c r="D2907" t="str">
        <f>"94305"</f>
        <v>94305</v>
      </c>
      <c r="E2907">
        <v>83.77</v>
      </c>
    </row>
    <row r="2908" spans="1:5" x14ac:dyDescent="0.2">
      <c r="A2908">
        <v>94306</v>
      </c>
      <c r="B2908" t="s">
        <v>10</v>
      </c>
      <c r="C2908">
        <v>94306</v>
      </c>
      <c r="D2908" t="str">
        <f>"94306"</f>
        <v>94306</v>
      </c>
      <c r="E2908">
        <v>84.94</v>
      </c>
    </row>
    <row r="2909" spans="1:5" x14ac:dyDescent="0.2">
      <c r="A2909">
        <v>94401</v>
      </c>
      <c r="B2909" t="s">
        <v>10</v>
      </c>
      <c r="C2909">
        <v>94401</v>
      </c>
      <c r="D2909" t="str">
        <f>"94401"</f>
        <v>94401</v>
      </c>
      <c r="E2909">
        <v>79.89</v>
      </c>
    </row>
    <row r="2910" spans="1:5" x14ac:dyDescent="0.2">
      <c r="A2910">
        <v>94402</v>
      </c>
      <c r="B2910" t="s">
        <v>10</v>
      </c>
      <c r="C2910">
        <v>94402</v>
      </c>
      <c r="D2910" t="str">
        <f>"94402"</f>
        <v>94402</v>
      </c>
      <c r="E2910">
        <v>85.7</v>
      </c>
    </row>
    <row r="2911" spans="1:5" x14ac:dyDescent="0.2">
      <c r="A2911">
        <v>94403</v>
      </c>
      <c r="B2911" t="s">
        <v>10</v>
      </c>
      <c r="C2911">
        <v>94403</v>
      </c>
      <c r="D2911" t="str">
        <f>"94403"</f>
        <v>94403</v>
      </c>
      <c r="E2911">
        <v>84.56</v>
      </c>
    </row>
    <row r="2912" spans="1:5" x14ac:dyDescent="0.2">
      <c r="A2912">
        <v>94404</v>
      </c>
      <c r="B2912" t="s">
        <v>10</v>
      </c>
      <c r="C2912">
        <v>94404</v>
      </c>
      <c r="D2912" t="str">
        <f>"94404"</f>
        <v>94404</v>
      </c>
      <c r="E2912">
        <v>87.59</v>
      </c>
    </row>
    <row r="2913" spans="1:5" x14ac:dyDescent="0.2">
      <c r="A2913">
        <v>94501</v>
      </c>
      <c r="B2913" t="s">
        <v>10</v>
      </c>
      <c r="C2913">
        <v>94501</v>
      </c>
      <c r="D2913" t="str">
        <f>"94501"</f>
        <v>94501</v>
      </c>
      <c r="E2913">
        <v>82.22</v>
      </c>
    </row>
    <row r="2914" spans="1:5" x14ac:dyDescent="0.2">
      <c r="A2914">
        <v>94502</v>
      </c>
      <c r="B2914" t="s">
        <v>10</v>
      </c>
      <c r="C2914">
        <v>94502</v>
      </c>
      <c r="D2914" t="str">
        <f>"94502"</f>
        <v>94502</v>
      </c>
      <c r="E2914">
        <v>84.78</v>
      </c>
    </row>
    <row r="2915" spans="1:5" x14ac:dyDescent="0.2">
      <c r="A2915">
        <v>94503</v>
      </c>
      <c r="B2915" t="s">
        <v>10</v>
      </c>
      <c r="C2915">
        <v>94503</v>
      </c>
      <c r="D2915" t="str">
        <f>"94503"</f>
        <v>94503</v>
      </c>
      <c r="E2915">
        <v>78.69</v>
      </c>
    </row>
    <row r="2916" spans="1:5" x14ac:dyDescent="0.2">
      <c r="A2916">
        <v>94505</v>
      </c>
      <c r="B2916" t="s">
        <v>10</v>
      </c>
      <c r="C2916">
        <v>94505</v>
      </c>
      <c r="D2916" t="str">
        <f>"94505"</f>
        <v>94505</v>
      </c>
      <c r="E2916">
        <v>82.6</v>
      </c>
    </row>
    <row r="2917" spans="1:5" x14ac:dyDescent="0.2">
      <c r="A2917">
        <v>94506</v>
      </c>
      <c r="B2917" t="s">
        <v>10</v>
      </c>
      <c r="C2917">
        <v>94506</v>
      </c>
      <c r="D2917" t="str">
        <f>"94506"</f>
        <v>94506</v>
      </c>
      <c r="E2917">
        <v>84.45</v>
      </c>
    </row>
    <row r="2918" spans="1:5" x14ac:dyDescent="0.2">
      <c r="A2918">
        <v>94507</v>
      </c>
      <c r="B2918" t="s">
        <v>10</v>
      </c>
      <c r="C2918">
        <v>94507</v>
      </c>
      <c r="D2918" t="str">
        <f>"94507"</f>
        <v>94507</v>
      </c>
      <c r="E2918">
        <v>83.66</v>
      </c>
    </row>
    <row r="2919" spans="1:5" x14ac:dyDescent="0.2">
      <c r="A2919">
        <v>94508</v>
      </c>
      <c r="B2919" t="s">
        <v>10</v>
      </c>
      <c r="C2919">
        <v>94508</v>
      </c>
      <c r="D2919" t="str">
        <f>"94508"</f>
        <v>94508</v>
      </c>
      <c r="E2919">
        <v>77.61</v>
      </c>
    </row>
    <row r="2920" spans="1:5" x14ac:dyDescent="0.2">
      <c r="A2920">
        <v>94509</v>
      </c>
      <c r="B2920" t="s">
        <v>10</v>
      </c>
      <c r="C2920">
        <v>94509</v>
      </c>
      <c r="D2920" t="str">
        <f>"94509"</f>
        <v>94509</v>
      </c>
      <c r="E2920">
        <v>71.64</v>
      </c>
    </row>
    <row r="2921" spans="1:5" x14ac:dyDescent="0.2">
      <c r="A2921">
        <v>94510</v>
      </c>
      <c r="B2921" t="s">
        <v>10</v>
      </c>
      <c r="C2921">
        <v>94510</v>
      </c>
      <c r="D2921" t="str">
        <f>"94510"</f>
        <v>94510</v>
      </c>
      <c r="E2921">
        <v>83.84</v>
      </c>
    </row>
    <row r="2922" spans="1:5" x14ac:dyDescent="0.2">
      <c r="A2922">
        <v>94511</v>
      </c>
      <c r="B2922" t="s">
        <v>10</v>
      </c>
      <c r="C2922">
        <v>94511</v>
      </c>
      <c r="D2922" t="str">
        <f>"94511"</f>
        <v>94511</v>
      </c>
      <c r="E2922" t="s">
        <v>6</v>
      </c>
    </row>
    <row r="2923" spans="1:5" x14ac:dyDescent="0.2">
      <c r="A2923">
        <v>94512</v>
      </c>
      <c r="B2923" t="s">
        <v>10</v>
      </c>
      <c r="C2923">
        <v>94512</v>
      </c>
      <c r="D2923" t="str">
        <f>"94512"</f>
        <v>94512</v>
      </c>
      <c r="E2923" t="s">
        <v>6</v>
      </c>
    </row>
    <row r="2924" spans="1:5" x14ac:dyDescent="0.2">
      <c r="A2924">
        <v>94513</v>
      </c>
      <c r="B2924" t="s">
        <v>10</v>
      </c>
      <c r="C2924">
        <v>94513</v>
      </c>
      <c r="D2924" t="str">
        <f>"94513"</f>
        <v>94513</v>
      </c>
      <c r="E2924">
        <v>80.17</v>
      </c>
    </row>
    <row r="2925" spans="1:5" x14ac:dyDescent="0.2">
      <c r="A2925">
        <v>94514</v>
      </c>
      <c r="B2925" t="s">
        <v>10</v>
      </c>
      <c r="C2925">
        <v>94514</v>
      </c>
      <c r="D2925" t="str">
        <f>"94514"</f>
        <v>94514</v>
      </c>
      <c r="E2925">
        <v>75.930000000000007</v>
      </c>
    </row>
    <row r="2926" spans="1:5" x14ac:dyDescent="0.2">
      <c r="A2926">
        <v>94515</v>
      </c>
      <c r="B2926" t="s">
        <v>10</v>
      </c>
      <c r="C2926">
        <v>94515</v>
      </c>
      <c r="D2926" t="str">
        <f>"94515"</f>
        <v>94515</v>
      </c>
      <c r="E2926">
        <v>75.930000000000007</v>
      </c>
    </row>
    <row r="2927" spans="1:5" x14ac:dyDescent="0.2">
      <c r="A2927">
        <v>94517</v>
      </c>
      <c r="B2927" t="s">
        <v>10</v>
      </c>
      <c r="C2927">
        <v>94517</v>
      </c>
      <c r="D2927" t="str">
        <f>"94517"</f>
        <v>94517</v>
      </c>
      <c r="E2927">
        <v>84.16</v>
      </c>
    </row>
    <row r="2928" spans="1:5" x14ac:dyDescent="0.2">
      <c r="A2928">
        <v>94518</v>
      </c>
      <c r="B2928" t="s">
        <v>10</v>
      </c>
      <c r="C2928">
        <v>94518</v>
      </c>
      <c r="D2928" t="str">
        <f>"94518"</f>
        <v>94518</v>
      </c>
      <c r="E2928">
        <v>80.42</v>
      </c>
    </row>
    <row r="2929" spans="1:5" x14ac:dyDescent="0.2">
      <c r="A2929">
        <v>94519</v>
      </c>
      <c r="B2929" t="s">
        <v>10</v>
      </c>
      <c r="C2929">
        <v>94519</v>
      </c>
      <c r="D2929" t="str">
        <f>"94519"</f>
        <v>94519</v>
      </c>
      <c r="E2929">
        <v>81.05</v>
      </c>
    </row>
    <row r="2930" spans="1:5" x14ac:dyDescent="0.2">
      <c r="A2930">
        <v>94520</v>
      </c>
      <c r="B2930" t="s">
        <v>10</v>
      </c>
      <c r="C2930">
        <v>94520</v>
      </c>
      <c r="D2930" t="str">
        <f>"94520"</f>
        <v>94520</v>
      </c>
      <c r="E2930">
        <v>70.52</v>
      </c>
    </row>
    <row r="2931" spans="1:5" x14ac:dyDescent="0.2">
      <c r="A2931">
        <v>94521</v>
      </c>
      <c r="B2931" t="s">
        <v>10</v>
      </c>
      <c r="C2931">
        <v>94521</v>
      </c>
      <c r="D2931" t="str">
        <f>"94521"</f>
        <v>94521</v>
      </c>
      <c r="E2931">
        <v>82.01</v>
      </c>
    </row>
    <row r="2932" spans="1:5" x14ac:dyDescent="0.2">
      <c r="A2932">
        <v>94523</v>
      </c>
      <c r="B2932" t="s">
        <v>10</v>
      </c>
      <c r="C2932">
        <v>94523</v>
      </c>
      <c r="D2932" t="str">
        <f>"94523"</f>
        <v>94523</v>
      </c>
      <c r="E2932">
        <v>83.75</v>
      </c>
    </row>
    <row r="2933" spans="1:5" x14ac:dyDescent="0.2">
      <c r="A2933">
        <v>94525</v>
      </c>
      <c r="B2933" t="s">
        <v>10</v>
      </c>
      <c r="C2933">
        <v>94525</v>
      </c>
      <c r="D2933" t="str">
        <f>"94525"</f>
        <v>94525</v>
      </c>
      <c r="E2933">
        <v>84.75</v>
      </c>
    </row>
    <row r="2934" spans="1:5" x14ac:dyDescent="0.2">
      <c r="A2934">
        <v>94526</v>
      </c>
      <c r="B2934" t="s">
        <v>10</v>
      </c>
      <c r="C2934">
        <v>94526</v>
      </c>
      <c r="D2934" t="str">
        <f>"94526"</f>
        <v>94526</v>
      </c>
      <c r="E2934">
        <v>84.54</v>
      </c>
    </row>
    <row r="2935" spans="1:5" x14ac:dyDescent="0.2">
      <c r="A2935">
        <v>94528</v>
      </c>
      <c r="B2935" t="s">
        <v>10</v>
      </c>
      <c r="C2935">
        <v>94528</v>
      </c>
      <c r="D2935" t="str">
        <f>"94528"</f>
        <v>94528</v>
      </c>
      <c r="E2935" t="s">
        <v>6</v>
      </c>
    </row>
    <row r="2936" spans="1:5" x14ac:dyDescent="0.2">
      <c r="A2936">
        <v>94530</v>
      </c>
      <c r="B2936" t="s">
        <v>10</v>
      </c>
      <c r="C2936">
        <v>94530</v>
      </c>
      <c r="D2936" t="str">
        <f>"94530"</f>
        <v>94530</v>
      </c>
      <c r="E2936">
        <v>83.02</v>
      </c>
    </row>
    <row r="2937" spans="1:5" x14ac:dyDescent="0.2">
      <c r="A2937">
        <v>94531</v>
      </c>
      <c r="B2937" t="s">
        <v>10</v>
      </c>
      <c r="C2937">
        <v>94531</v>
      </c>
      <c r="D2937" t="str">
        <f>"94531"</f>
        <v>94531</v>
      </c>
      <c r="E2937">
        <v>75.959999999999994</v>
      </c>
    </row>
    <row r="2938" spans="1:5" x14ac:dyDescent="0.2">
      <c r="A2938">
        <v>94533</v>
      </c>
      <c r="B2938" t="s">
        <v>10</v>
      </c>
      <c r="C2938">
        <v>94533</v>
      </c>
      <c r="D2938" t="str">
        <f>"94533"</f>
        <v>94533</v>
      </c>
      <c r="E2938">
        <v>72.89</v>
      </c>
    </row>
    <row r="2939" spans="1:5" x14ac:dyDescent="0.2">
      <c r="A2939">
        <v>94534</v>
      </c>
      <c r="B2939" t="s">
        <v>10</v>
      </c>
      <c r="C2939">
        <v>94534</v>
      </c>
      <c r="D2939" t="str">
        <f>"94534"</f>
        <v>94534</v>
      </c>
      <c r="E2939">
        <v>83.38</v>
      </c>
    </row>
    <row r="2940" spans="1:5" x14ac:dyDescent="0.2">
      <c r="A2940">
        <v>94535</v>
      </c>
      <c r="B2940" t="s">
        <v>10</v>
      </c>
      <c r="C2940">
        <v>94535</v>
      </c>
      <c r="D2940" t="str">
        <f>"94535"</f>
        <v>94535</v>
      </c>
      <c r="E2940">
        <v>69.760000000000005</v>
      </c>
    </row>
    <row r="2941" spans="1:5" x14ac:dyDescent="0.2">
      <c r="A2941">
        <v>94536</v>
      </c>
      <c r="B2941" t="s">
        <v>10</v>
      </c>
      <c r="C2941">
        <v>94536</v>
      </c>
      <c r="D2941" t="str">
        <f>"94536"</f>
        <v>94536</v>
      </c>
      <c r="E2941">
        <v>83.66</v>
      </c>
    </row>
    <row r="2942" spans="1:5" x14ac:dyDescent="0.2">
      <c r="A2942">
        <v>94538</v>
      </c>
      <c r="B2942" t="s">
        <v>10</v>
      </c>
      <c r="C2942">
        <v>94538</v>
      </c>
      <c r="D2942" t="str">
        <f>"94538"</f>
        <v>94538</v>
      </c>
      <c r="E2942">
        <v>82.14</v>
      </c>
    </row>
    <row r="2943" spans="1:5" x14ac:dyDescent="0.2">
      <c r="A2943">
        <v>94539</v>
      </c>
      <c r="B2943" t="s">
        <v>10</v>
      </c>
      <c r="C2943">
        <v>94539</v>
      </c>
      <c r="D2943" t="str">
        <f>"94539"</f>
        <v>94539</v>
      </c>
      <c r="E2943">
        <v>84.45</v>
      </c>
    </row>
    <row r="2944" spans="1:5" x14ac:dyDescent="0.2">
      <c r="A2944">
        <v>94541</v>
      </c>
      <c r="B2944" t="s">
        <v>10</v>
      </c>
      <c r="C2944">
        <v>94541</v>
      </c>
      <c r="D2944" t="str">
        <f>"94541"</f>
        <v>94541</v>
      </c>
      <c r="E2944">
        <v>76.400000000000006</v>
      </c>
    </row>
    <row r="2945" spans="1:5" x14ac:dyDescent="0.2">
      <c r="A2945">
        <v>94542</v>
      </c>
      <c r="B2945" t="s">
        <v>10</v>
      </c>
      <c r="C2945">
        <v>94542</v>
      </c>
      <c r="D2945" t="str">
        <f>"94542"</f>
        <v>94542</v>
      </c>
      <c r="E2945">
        <v>81.78</v>
      </c>
    </row>
    <row r="2946" spans="1:5" x14ac:dyDescent="0.2">
      <c r="A2946">
        <v>94544</v>
      </c>
      <c r="B2946" t="s">
        <v>10</v>
      </c>
      <c r="C2946">
        <v>94544</v>
      </c>
      <c r="D2946" t="str">
        <f>"94544"</f>
        <v>94544</v>
      </c>
      <c r="E2946">
        <v>76.099999999999994</v>
      </c>
    </row>
    <row r="2947" spans="1:5" x14ac:dyDescent="0.2">
      <c r="A2947">
        <v>94545</v>
      </c>
      <c r="B2947" t="s">
        <v>10</v>
      </c>
      <c r="C2947">
        <v>94545</v>
      </c>
      <c r="D2947" t="str">
        <f>"94545"</f>
        <v>94545</v>
      </c>
      <c r="E2947">
        <v>79.72</v>
      </c>
    </row>
    <row r="2948" spans="1:5" x14ac:dyDescent="0.2">
      <c r="A2948">
        <v>94546</v>
      </c>
      <c r="B2948" t="s">
        <v>10</v>
      </c>
      <c r="C2948">
        <v>94546</v>
      </c>
      <c r="D2948" t="str">
        <f>"94546"</f>
        <v>94546</v>
      </c>
      <c r="E2948">
        <v>82.21</v>
      </c>
    </row>
    <row r="2949" spans="1:5" x14ac:dyDescent="0.2">
      <c r="A2949">
        <v>94547</v>
      </c>
      <c r="B2949" t="s">
        <v>10</v>
      </c>
      <c r="C2949">
        <v>94547</v>
      </c>
      <c r="D2949" t="str">
        <f>"94547"</f>
        <v>94547</v>
      </c>
      <c r="E2949">
        <v>83.5</v>
      </c>
    </row>
    <row r="2950" spans="1:5" x14ac:dyDescent="0.2">
      <c r="A2950">
        <v>94548</v>
      </c>
      <c r="B2950" t="s">
        <v>10</v>
      </c>
      <c r="C2950">
        <v>94548</v>
      </c>
      <c r="D2950" t="str">
        <f>"94548"</f>
        <v>94548</v>
      </c>
      <c r="E2950" t="s">
        <v>6</v>
      </c>
    </row>
    <row r="2951" spans="1:5" x14ac:dyDescent="0.2">
      <c r="A2951">
        <v>94549</v>
      </c>
      <c r="B2951" t="s">
        <v>10</v>
      </c>
      <c r="C2951">
        <v>94549</v>
      </c>
      <c r="D2951" t="str">
        <f>"94549"</f>
        <v>94549</v>
      </c>
      <c r="E2951">
        <v>84.75</v>
      </c>
    </row>
    <row r="2952" spans="1:5" x14ac:dyDescent="0.2">
      <c r="A2952">
        <v>94550</v>
      </c>
      <c r="B2952" t="s">
        <v>10</v>
      </c>
      <c r="C2952">
        <v>94550</v>
      </c>
      <c r="D2952" t="str">
        <f>"94550"</f>
        <v>94550</v>
      </c>
      <c r="E2952">
        <v>84.65</v>
      </c>
    </row>
    <row r="2953" spans="1:5" x14ac:dyDescent="0.2">
      <c r="A2953">
        <v>94551</v>
      </c>
      <c r="B2953" t="s">
        <v>10</v>
      </c>
      <c r="C2953">
        <v>94551</v>
      </c>
      <c r="D2953" t="str">
        <f>"94551"</f>
        <v>94551</v>
      </c>
      <c r="E2953">
        <v>83.46</v>
      </c>
    </row>
    <row r="2954" spans="1:5" x14ac:dyDescent="0.2">
      <c r="A2954">
        <v>94552</v>
      </c>
      <c r="B2954" t="s">
        <v>10</v>
      </c>
      <c r="C2954">
        <v>94552</v>
      </c>
      <c r="D2954" t="str">
        <f>"94552"</f>
        <v>94552</v>
      </c>
      <c r="E2954">
        <v>85.46</v>
      </c>
    </row>
    <row r="2955" spans="1:5" x14ac:dyDescent="0.2">
      <c r="A2955">
        <v>94553</v>
      </c>
      <c r="B2955" t="s">
        <v>10</v>
      </c>
      <c r="C2955">
        <v>94553</v>
      </c>
      <c r="D2955" t="str">
        <f>"94553"</f>
        <v>94553</v>
      </c>
      <c r="E2955">
        <v>82.85</v>
      </c>
    </row>
    <row r="2956" spans="1:5" x14ac:dyDescent="0.2">
      <c r="A2956">
        <v>94555</v>
      </c>
      <c r="B2956" t="s">
        <v>10</v>
      </c>
      <c r="C2956">
        <v>94555</v>
      </c>
      <c r="D2956" t="str">
        <f>"94555"</f>
        <v>94555</v>
      </c>
      <c r="E2956">
        <v>85.06</v>
      </c>
    </row>
    <row r="2957" spans="1:5" x14ac:dyDescent="0.2">
      <c r="A2957">
        <v>94556</v>
      </c>
      <c r="B2957" t="s">
        <v>10</v>
      </c>
      <c r="C2957">
        <v>94556</v>
      </c>
      <c r="D2957" t="str">
        <f>"94556"</f>
        <v>94556</v>
      </c>
      <c r="E2957">
        <v>85.06</v>
      </c>
    </row>
    <row r="2958" spans="1:5" x14ac:dyDescent="0.2">
      <c r="A2958">
        <v>94558</v>
      </c>
      <c r="B2958" t="s">
        <v>10</v>
      </c>
      <c r="C2958">
        <v>94558</v>
      </c>
      <c r="D2958" t="str">
        <f>"94558"</f>
        <v>94558</v>
      </c>
      <c r="E2958">
        <v>79.849999999999994</v>
      </c>
    </row>
    <row r="2959" spans="1:5" x14ac:dyDescent="0.2">
      <c r="A2959">
        <v>94559</v>
      </c>
      <c r="B2959" t="s">
        <v>10</v>
      </c>
      <c r="C2959">
        <v>94559</v>
      </c>
      <c r="D2959" t="str">
        <f>"94559"</f>
        <v>94559</v>
      </c>
      <c r="E2959">
        <v>79.47</v>
      </c>
    </row>
    <row r="2960" spans="1:5" x14ac:dyDescent="0.2">
      <c r="A2960">
        <v>94560</v>
      </c>
      <c r="B2960" t="s">
        <v>10</v>
      </c>
      <c r="C2960">
        <v>94560</v>
      </c>
      <c r="D2960" t="str">
        <f>"94560"</f>
        <v>94560</v>
      </c>
      <c r="E2960">
        <v>81.599999999999994</v>
      </c>
    </row>
    <row r="2961" spans="1:5" x14ac:dyDescent="0.2">
      <c r="A2961">
        <v>94561</v>
      </c>
      <c r="B2961" t="s">
        <v>10</v>
      </c>
      <c r="C2961">
        <v>94561</v>
      </c>
      <c r="D2961" t="str">
        <f>"94561"</f>
        <v>94561</v>
      </c>
      <c r="E2961">
        <v>78.87</v>
      </c>
    </row>
    <row r="2962" spans="1:5" x14ac:dyDescent="0.2">
      <c r="A2962">
        <v>94563</v>
      </c>
      <c r="B2962" t="s">
        <v>10</v>
      </c>
      <c r="C2962">
        <v>94563</v>
      </c>
      <c r="D2962" t="str">
        <f>"94563"</f>
        <v>94563</v>
      </c>
      <c r="E2962">
        <v>85.36</v>
      </c>
    </row>
    <row r="2963" spans="1:5" x14ac:dyDescent="0.2">
      <c r="A2963">
        <v>94564</v>
      </c>
      <c r="B2963" t="s">
        <v>10</v>
      </c>
      <c r="C2963">
        <v>94564</v>
      </c>
      <c r="D2963" t="str">
        <f>"94564"</f>
        <v>94564</v>
      </c>
      <c r="E2963">
        <v>81.34</v>
      </c>
    </row>
    <row r="2964" spans="1:5" x14ac:dyDescent="0.2">
      <c r="A2964">
        <v>94565</v>
      </c>
      <c r="B2964" t="s">
        <v>10</v>
      </c>
      <c r="C2964">
        <v>94565</v>
      </c>
      <c r="D2964" t="str">
        <f>"94565"</f>
        <v>94565</v>
      </c>
      <c r="E2964">
        <v>71.41</v>
      </c>
    </row>
    <row r="2965" spans="1:5" x14ac:dyDescent="0.2">
      <c r="A2965">
        <v>94566</v>
      </c>
      <c r="B2965" t="s">
        <v>10</v>
      </c>
      <c r="C2965">
        <v>94566</v>
      </c>
      <c r="D2965" t="str">
        <f>"94566"</f>
        <v>94566</v>
      </c>
      <c r="E2965">
        <v>83.82</v>
      </c>
    </row>
    <row r="2966" spans="1:5" x14ac:dyDescent="0.2">
      <c r="A2966">
        <v>94567</v>
      </c>
      <c r="B2966" t="s">
        <v>10</v>
      </c>
      <c r="C2966">
        <v>94567</v>
      </c>
      <c r="D2966" t="str">
        <f>"94567"</f>
        <v>94567</v>
      </c>
      <c r="E2966">
        <v>73.33</v>
      </c>
    </row>
    <row r="2967" spans="1:5" x14ac:dyDescent="0.2">
      <c r="A2967">
        <v>94568</v>
      </c>
      <c r="B2967" t="s">
        <v>10</v>
      </c>
      <c r="C2967">
        <v>94568</v>
      </c>
      <c r="D2967" t="str">
        <f>"94568"</f>
        <v>94568</v>
      </c>
      <c r="E2967">
        <v>86.21</v>
      </c>
    </row>
    <row r="2968" spans="1:5" x14ac:dyDescent="0.2">
      <c r="A2968">
        <v>94569</v>
      </c>
      <c r="B2968" t="s">
        <v>10</v>
      </c>
      <c r="C2968">
        <v>94569</v>
      </c>
      <c r="D2968" t="str">
        <f>"94569"</f>
        <v>94569</v>
      </c>
      <c r="E2968" t="s">
        <v>6</v>
      </c>
    </row>
    <row r="2969" spans="1:5" x14ac:dyDescent="0.2">
      <c r="A2969">
        <v>94571</v>
      </c>
      <c r="B2969" t="s">
        <v>10</v>
      </c>
      <c r="C2969">
        <v>94571</v>
      </c>
      <c r="D2969" t="str">
        <f>"94571"</f>
        <v>94571</v>
      </c>
      <c r="E2969">
        <v>78.819999999999993</v>
      </c>
    </row>
    <row r="2970" spans="1:5" x14ac:dyDescent="0.2">
      <c r="A2970">
        <v>94572</v>
      </c>
      <c r="B2970" t="s">
        <v>10</v>
      </c>
      <c r="C2970">
        <v>94572</v>
      </c>
      <c r="D2970" t="str">
        <f>"94572"</f>
        <v>94572</v>
      </c>
      <c r="E2970">
        <v>76.69</v>
      </c>
    </row>
    <row r="2971" spans="1:5" x14ac:dyDescent="0.2">
      <c r="A2971">
        <v>94573</v>
      </c>
      <c r="B2971" t="s">
        <v>10</v>
      </c>
      <c r="C2971">
        <v>94573</v>
      </c>
      <c r="D2971" t="str">
        <f>"94573"</f>
        <v>94573</v>
      </c>
      <c r="E2971" t="s">
        <v>6</v>
      </c>
    </row>
    <row r="2972" spans="1:5" x14ac:dyDescent="0.2">
      <c r="A2972">
        <v>94574</v>
      </c>
      <c r="B2972" t="s">
        <v>10</v>
      </c>
      <c r="C2972">
        <v>94574</v>
      </c>
      <c r="D2972" t="str">
        <f>"94574"</f>
        <v>94574</v>
      </c>
      <c r="E2972">
        <v>79.81</v>
      </c>
    </row>
    <row r="2973" spans="1:5" x14ac:dyDescent="0.2">
      <c r="A2973">
        <v>94575</v>
      </c>
      <c r="B2973" t="s">
        <v>10</v>
      </c>
      <c r="C2973">
        <v>94575</v>
      </c>
      <c r="D2973" t="str">
        <f>"94575"</f>
        <v>94575</v>
      </c>
      <c r="E2973" t="s">
        <v>6</v>
      </c>
    </row>
    <row r="2974" spans="1:5" x14ac:dyDescent="0.2">
      <c r="A2974">
        <v>94576</v>
      </c>
      <c r="B2974" t="s">
        <v>10</v>
      </c>
      <c r="C2974">
        <v>94576</v>
      </c>
      <c r="D2974" t="str">
        <f>"94576"</f>
        <v>94576</v>
      </c>
      <c r="E2974" t="s">
        <v>6</v>
      </c>
    </row>
    <row r="2975" spans="1:5" x14ac:dyDescent="0.2">
      <c r="A2975">
        <v>94577</v>
      </c>
      <c r="B2975" t="s">
        <v>10</v>
      </c>
      <c r="C2975">
        <v>94577</v>
      </c>
      <c r="D2975" t="str">
        <f>"94577"</f>
        <v>94577</v>
      </c>
      <c r="E2975">
        <v>78.66</v>
      </c>
    </row>
    <row r="2976" spans="1:5" x14ac:dyDescent="0.2">
      <c r="A2976">
        <v>94578</v>
      </c>
      <c r="B2976" t="s">
        <v>10</v>
      </c>
      <c r="C2976">
        <v>94578</v>
      </c>
      <c r="D2976" t="str">
        <f>"94578"</f>
        <v>94578</v>
      </c>
      <c r="E2976">
        <v>75.38</v>
      </c>
    </row>
    <row r="2977" spans="1:5" x14ac:dyDescent="0.2">
      <c r="A2977">
        <v>94579</v>
      </c>
      <c r="B2977" t="s">
        <v>10</v>
      </c>
      <c r="C2977">
        <v>94579</v>
      </c>
      <c r="D2977" t="str">
        <f>"94579"</f>
        <v>94579</v>
      </c>
      <c r="E2977">
        <v>77.569999999999993</v>
      </c>
    </row>
    <row r="2978" spans="1:5" x14ac:dyDescent="0.2">
      <c r="A2978">
        <v>94580</v>
      </c>
      <c r="B2978" t="s">
        <v>10</v>
      </c>
      <c r="C2978">
        <v>94580</v>
      </c>
      <c r="D2978" t="str">
        <f>"94580"</f>
        <v>94580</v>
      </c>
      <c r="E2978">
        <v>78.89</v>
      </c>
    </row>
    <row r="2979" spans="1:5" x14ac:dyDescent="0.2">
      <c r="A2979">
        <v>94582</v>
      </c>
      <c r="B2979" t="s">
        <v>10</v>
      </c>
      <c r="C2979">
        <v>94582</v>
      </c>
      <c r="D2979" t="str">
        <f>"94582"</f>
        <v>94582</v>
      </c>
      <c r="E2979">
        <v>84.8</v>
      </c>
    </row>
    <row r="2980" spans="1:5" x14ac:dyDescent="0.2">
      <c r="A2980">
        <v>94583</v>
      </c>
      <c r="B2980" t="s">
        <v>10</v>
      </c>
      <c r="C2980">
        <v>94583</v>
      </c>
      <c r="D2980" t="str">
        <f>"94583"</f>
        <v>94583</v>
      </c>
      <c r="E2980">
        <v>87.26</v>
      </c>
    </row>
    <row r="2981" spans="1:5" x14ac:dyDescent="0.2">
      <c r="A2981">
        <v>94585</v>
      </c>
      <c r="B2981" t="s">
        <v>10</v>
      </c>
      <c r="C2981">
        <v>94585</v>
      </c>
      <c r="D2981" t="str">
        <f>"94585"</f>
        <v>94585</v>
      </c>
      <c r="E2981">
        <v>77.25</v>
      </c>
    </row>
    <row r="2982" spans="1:5" x14ac:dyDescent="0.2">
      <c r="A2982">
        <v>94586</v>
      </c>
      <c r="B2982" t="s">
        <v>10</v>
      </c>
      <c r="C2982">
        <v>94586</v>
      </c>
      <c r="D2982" t="str">
        <f>"94586"</f>
        <v>94586</v>
      </c>
      <c r="E2982">
        <v>83.64</v>
      </c>
    </row>
    <row r="2983" spans="1:5" x14ac:dyDescent="0.2">
      <c r="A2983">
        <v>94587</v>
      </c>
      <c r="B2983" t="s">
        <v>10</v>
      </c>
      <c r="C2983">
        <v>94587</v>
      </c>
      <c r="D2983" t="str">
        <f>"94587"</f>
        <v>94587</v>
      </c>
      <c r="E2983">
        <v>79.989999999999995</v>
      </c>
    </row>
    <row r="2984" spans="1:5" x14ac:dyDescent="0.2">
      <c r="A2984">
        <v>94588</v>
      </c>
      <c r="B2984" t="s">
        <v>10</v>
      </c>
      <c r="C2984">
        <v>94588</v>
      </c>
      <c r="D2984" t="str">
        <f>"94588"</f>
        <v>94588</v>
      </c>
      <c r="E2984">
        <v>85.82</v>
      </c>
    </row>
    <row r="2985" spans="1:5" x14ac:dyDescent="0.2">
      <c r="A2985">
        <v>94589</v>
      </c>
      <c r="B2985" t="s">
        <v>10</v>
      </c>
      <c r="C2985">
        <v>94589</v>
      </c>
      <c r="D2985" t="str">
        <f>"94589"</f>
        <v>94589</v>
      </c>
      <c r="E2985">
        <v>72.63</v>
      </c>
    </row>
    <row r="2986" spans="1:5" x14ac:dyDescent="0.2">
      <c r="A2986">
        <v>94590</v>
      </c>
      <c r="B2986" t="s">
        <v>10</v>
      </c>
      <c r="C2986">
        <v>94590</v>
      </c>
      <c r="D2986" t="str">
        <f>"94590"</f>
        <v>94590</v>
      </c>
      <c r="E2986">
        <v>70.95</v>
      </c>
    </row>
    <row r="2987" spans="1:5" x14ac:dyDescent="0.2">
      <c r="A2987">
        <v>94591</v>
      </c>
      <c r="B2987" t="s">
        <v>10</v>
      </c>
      <c r="C2987">
        <v>94591</v>
      </c>
      <c r="D2987" t="str">
        <f>"94591"</f>
        <v>94591</v>
      </c>
      <c r="E2987">
        <v>79.16</v>
      </c>
    </row>
    <row r="2988" spans="1:5" x14ac:dyDescent="0.2">
      <c r="A2988">
        <v>94592</v>
      </c>
      <c r="B2988" t="s">
        <v>10</v>
      </c>
      <c r="C2988">
        <v>94592</v>
      </c>
      <c r="D2988" t="str">
        <f>"94592"</f>
        <v>94592</v>
      </c>
      <c r="E2988">
        <v>83.72</v>
      </c>
    </row>
    <row r="2989" spans="1:5" x14ac:dyDescent="0.2">
      <c r="A2989">
        <v>94595</v>
      </c>
      <c r="B2989" t="s">
        <v>10</v>
      </c>
      <c r="C2989">
        <v>94595</v>
      </c>
      <c r="D2989" t="str">
        <f>"94595"</f>
        <v>94595</v>
      </c>
      <c r="E2989">
        <v>82.68</v>
      </c>
    </row>
    <row r="2990" spans="1:5" x14ac:dyDescent="0.2">
      <c r="A2990">
        <v>94596</v>
      </c>
      <c r="B2990" t="s">
        <v>10</v>
      </c>
      <c r="C2990">
        <v>94596</v>
      </c>
      <c r="D2990" t="str">
        <f>"94596"</f>
        <v>94596</v>
      </c>
      <c r="E2990">
        <v>84.86</v>
      </c>
    </row>
    <row r="2991" spans="1:5" x14ac:dyDescent="0.2">
      <c r="A2991">
        <v>94597</v>
      </c>
      <c r="B2991" t="s">
        <v>10</v>
      </c>
      <c r="C2991">
        <v>94597</v>
      </c>
      <c r="D2991" t="str">
        <f>"94597"</f>
        <v>94597</v>
      </c>
      <c r="E2991">
        <v>85.31</v>
      </c>
    </row>
    <row r="2992" spans="1:5" x14ac:dyDescent="0.2">
      <c r="A2992">
        <v>94598</v>
      </c>
      <c r="B2992" t="s">
        <v>10</v>
      </c>
      <c r="C2992">
        <v>94598</v>
      </c>
      <c r="D2992" t="str">
        <f>"94598"</f>
        <v>94598</v>
      </c>
      <c r="E2992">
        <v>85.17</v>
      </c>
    </row>
    <row r="2993" spans="1:5" x14ac:dyDescent="0.2">
      <c r="A2993">
        <v>94599</v>
      </c>
      <c r="B2993" t="s">
        <v>10</v>
      </c>
      <c r="C2993">
        <v>94599</v>
      </c>
      <c r="D2993" t="str">
        <f>"94599"</f>
        <v>94599</v>
      </c>
      <c r="E2993">
        <v>79.87</v>
      </c>
    </row>
    <row r="2994" spans="1:5" x14ac:dyDescent="0.2">
      <c r="A2994">
        <v>94601</v>
      </c>
      <c r="B2994" t="s">
        <v>10</v>
      </c>
      <c r="C2994">
        <v>94601</v>
      </c>
      <c r="D2994" t="str">
        <f>"94601"</f>
        <v>94601</v>
      </c>
      <c r="E2994">
        <v>66.38</v>
      </c>
    </row>
    <row r="2995" spans="1:5" x14ac:dyDescent="0.2">
      <c r="A2995">
        <v>94602</v>
      </c>
      <c r="B2995" t="s">
        <v>10</v>
      </c>
      <c r="C2995">
        <v>94602</v>
      </c>
      <c r="D2995" t="str">
        <f>"94602"</f>
        <v>94602</v>
      </c>
      <c r="E2995">
        <v>81.55</v>
      </c>
    </row>
    <row r="2996" spans="1:5" x14ac:dyDescent="0.2">
      <c r="A2996">
        <v>94603</v>
      </c>
      <c r="B2996" t="s">
        <v>10</v>
      </c>
      <c r="C2996">
        <v>94603</v>
      </c>
      <c r="D2996" t="str">
        <f>"94603"</f>
        <v>94603</v>
      </c>
      <c r="E2996">
        <v>65.98</v>
      </c>
    </row>
    <row r="2997" spans="1:5" x14ac:dyDescent="0.2">
      <c r="A2997">
        <v>94605</v>
      </c>
      <c r="B2997" t="s">
        <v>10</v>
      </c>
      <c r="C2997">
        <v>94605</v>
      </c>
      <c r="D2997" t="str">
        <f>"94605"</f>
        <v>94605</v>
      </c>
      <c r="E2997">
        <v>75.38</v>
      </c>
    </row>
    <row r="2998" spans="1:5" x14ac:dyDescent="0.2">
      <c r="A2998">
        <v>94606</v>
      </c>
      <c r="B2998" t="s">
        <v>10</v>
      </c>
      <c r="C2998">
        <v>94606</v>
      </c>
      <c r="D2998" t="str">
        <f>"94606"</f>
        <v>94606</v>
      </c>
      <c r="E2998">
        <v>72.83</v>
      </c>
    </row>
    <row r="2999" spans="1:5" x14ac:dyDescent="0.2">
      <c r="A2999">
        <v>94607</v>
      </c>
      <c r="B2999" t="s">
        <v>10</v>
      </c>
      <c r="C2999">
        <v>94607</v>
      </c>
      <c r="D2999" t="str">
        <f>"94607"</f>
        <v>94607</v>
      </c>
      <c r="E2999">
        <v>73.849999999999994</v>
      </c>
    </row>
    <row r="3000" spans="1:5" x14ac:dyDescent="0.2">
      <c r="A3000">
        <v>94608</v>
      </c>
      <c r="B3000" t="s">
        <v>10</v>
      </c>
      <c r="C3000">
        <v>94608</v>
      </c>
      <c r="D3000" t="str">
        <f>"94608"</f>
        <v>94608</v>
      </c>
      <c r="E3000">
        <v>83.25</v>
      </c>
    </row>
    <row r="3001" spans="1:5" x14ac:dyDescent="0.2">
      <c r="A3001">
        <v>94609</v>
      </c>
      <c r="B3001" t="s">
        <v>10</v>
      </c>
      <c r="C3001">
        <v>94609</v>
      </c>
      <c r="D3001" t="str">
        <f>"94609"</f>
        <v>94609</v>
      </c>
      <c r="E3001">
        <v>82.93</v>
      </c>
    </row>
    <row r="3002" spans="1:5" x14ac:dyDescent="0.2">
      <c r="A3002">
        <v>94610</v>
      </c>
      <c r="B3002" t="s">
        <v>10</v>
      </c>
      <c r="C3002">
        <v>94610</v>
      </c>
      <c r="D3002" t="str">
        <f>"94610"</f>
        <v>94610</v>
      </c>
      <c r="E3002">
        <v>87.88</v>
      </c>
    </row>
    <row r="3003" spans="1:5" x14ac:dyDescent="0.2">
      <c r="A3003">
        <v>94611</v>
      </c>
      <c r="B3003" t="s">
        <v>10</v>
      </c>
      <c r="C3003">
        <v>94611</v>
      </c>
      <c r="D3003" t="str">
        <f>"94611"</f>
        <v>94611</v>
      </c>
      <c r="E3003">
        <v>86.73</v>
      </c>
    </row>
    <row r="3004" spans="1:5" x14ac:dyDescent="0.2">
      <c r="A3004">
        <v>94612</v>
      </c>
      <c r="B3004" t="s">
        <v>10</v>
      </c>
      <c r="C3004">
        <v>94612</v>
      </c>
      <c r="D3004" t="str">
        <f>"94612"</f>
        <v>94612</v>
      </c>
      <c r="E3004">
        <v>82.05</v>
      </c>
    </row>
    <row r="3005" spans="1:5" x14ac:dyDescent="0.2">
      <c r="A3005">
        <v>94615</v>
      </c>
      <c r="B3005" t="s">
        <v>10</v>
      </c>
      <c r="C3005">
        <v>94615</v>
      </c>
      <c r="D3005" t="str">
        <f>"94615"</f>
        <v>94615</v>
      </c>
      <c r="E3005" t="s">
        <v>6</v>
      </c>
    </row>
    <row r="3006" spans="1:5" x14ac:dyDescent="0.2">
      <c r="A3006">
        <v>94618</v>
      </c>
      <c r="B3006" t="s">
        <v>10</v>
      </c>
      <c r="C3006">
        <v>94618</v>
      </c>
      <c r="D3006" t="str">
        <f>"94618"</f>
        <v>94618</v>
      </c>
      <c r="E3006">
        <v>88.61</v>
      </c>
    </row>
    <row r="3007" spans="1:5" x14ac:dyDescent="0.2">
      <c r="A3007">
        <v>94619</v>
      </c>
      <c r="B3007" t="s">
        <v>10</v>
      </c>
      <c r="C3007">
        <v>94619</v>
      </c>
      <c r="D3007" t="str">
        <f>"94619"</f>
        <v>94619</v>
      </c>
      <c r="E3007">
        <v>80.08</v>
      </c>
    </row>
    <row r="3008" spans="1:5" x14ac:dyDescent="0.2">
      <c r="A3008">
        <v>94621</v>
      </c>
      <c r="B3008" t="s">
        <v>10</v>
      </c>
      <c r="C3008">
        <v>94621</v>
      </c>
      <c r="D3008" t="str">
        <f>"94621"</f>
        <v>94621</v>
      </c>
      <c r="E3008">
        <v>60.77</v>
      </c>
    </row>
    <row r="3009" spans="1:5" x14ac:dyDescent="0.2">
      <c r="A3009">
        <v>94702</v>
      </c>
      <c r="B3009" t="s">
        <v>10</v>
      </c>
      <c r="C3009">
        <v>94702</v>
      </c>
      <c r="D3009" t="str">
        <f>"94702"</f>
        <v>94702</v>
      </c>
      <c r="E3009">
        <v>81.849999999999994</v>
      </c>
    </row>
    <row r="3010" spans="1:5" x14ac:dyDescent="0.2">
      <c r="A3010">
        <v>94703</v>
      </c>
      <c r="B3010" t="s">
        <v>10</v>
      </c>
      <c r="C3010">
        <v>94703</v>
      </c>
      <c r="D3010" t="str">
        <f>"94703"</f>
        <v>94703</v>
      </c>
      <c r="E3010">
        <v>82.07</v>
      </c>
    </row>
    <row r="3011" spans="1:5" x14ac:dyDescent="0.2">
      <c r="A3011">
        <v>94704</v>
      </c>
      <c r="B3011" t="s">
        <v>10</v>
      </c>
      <c r="C3011">
        <v>94704</v>
      </c>
      <c r="D3011" t="str">
        <f>"94704"</f>
        <v>94704</v>
      </c>
      <c r="E3011">
        <v>74.89</v>
      </c>
    </row>
    <row r="3012" spans="1:5" x14ac:dyDescent="0.2">
      <c r="A3012">
        <v>94705</v>
      </c>
      <c r="B3012" t="s">
        <v>10</v>
      </c>
      <c r="C3012">
        <v>94705</v>
      </c>
      <c r="D3012" t="str">
        <f>"94705"</f>
        <v>94705</v>
      </c>
      <c r="E3012">
        <v>85.01</v>
      </c>
    </row>
    <row r="3013" spans="1:5" x14ac:dyDescent="0.2">
      <c r="A3013">
        <v>94706</v>
      </c>
      <c r="B3013" t="s">
        <v>10</v>
      </c>
      <c r="C3013">
        <v>94706</v>
      </c>
      <c r="D3013" t="str">
        <f>"94706"</f>
        <v>94706</v>
      </c>
      <c r="E3013">
        <v>82.54</v>
      </c>
    </row>
    <row r="3014" spans="1:5" x14ac:dyDescent="0.2">
      <c r="A3014">
        <v>94707</v>
      </c>
      <c r="B3014" t="s">
        <v>10</v>
      </c>
      <c r="C3014">
        <v>94707</v>
      </c>
      <c r="D3014" t="str">
        <f>"94707"</f>
        <v>94707</v>
      </c>
      <c r="E3014">
        <v>85.76</v>
      </c>
    </row>
    <row r="3015" spans="1:5" x14ac:dyDescent="0.2">
      <c r="A3015">
        <v>94708</v>
      </c>
      <c r="B3015" t="s">
        <v>10</v>
      </c>
      <c r="C3015">
        <v>94708</v>
      </c>
      <c r="D3015" t="str">
        <f>"94708"</f>
        <v>94708</v>
      </c>
      <c r="E3015">
        <v>86.39</v>
      </c>
    </row>
    <row r="3016" spans="1:5" x14ac:dyDescent="0.2">
      <c r="A3016">
        <v>94709</v>
      </c>
      <c r="B3016" t="s">
        <v>10</v>
      </c>
      <c r="C3016">
        <v>94709</v>
      </c>
      <c r="D3016" t="str">
        <f>"94709"</f>
        <v>94709</v>
      </c>
      <c r="E3016">
        <v>81.45</v>
      </c>
    </row>
    <row r="3017" spans="1:5" x14ac:dyDescent="0.2">
      <c r="A3017">
        <v>94710</v>
      </c>
      <c r="B3017" t="s">
        <v>10</v>
      </c>
      <c r="C3017">
        <v>94710</v>
      </c>
      <c r="D3017" t="str">
        <f>"94710"</f>
        <v>94710</v>
      </c>
      <c r="E3017">
        <v>79.12</v>
      </c>
    </row>
    <row r="3018" spans="1:5" x14ac:dyDescent="0.2">
      <c r="A3018">
        <v>94720</v>
      </c>
      <c r="B3018" t="s">
        <v>10</v>
      </c>
      <c r="C3018">
        <v>94720</v>
      </c>
      <c r="D3018" t="str">
        <f>"94720"</f>
        <v>94720</v>
      </c>
      <c r="E3018" t="s">
        <v>6</v>
      </c>
    </row>
    <row r="3019" spans="1:5" x14ac:dyDescent="0.2">
      <c r="A3019">
        <v>94801</v>
      </c>
      <c r="B3019" t="s">
        <v>10</v>
      </c>
      <c r="C3019">
        <v>94801</v>
      </c>
      <c r="D3019" t="str">
        <f>"94801"</f>
        <v>94801</v>
      </c>
      <c r="E3019">
        <v>67.11</v>
      </c>
    </row>
    <row r="3020" spans="1:5" x14ac:dyDescent="0.2">
      <c r="A3020">
        <v>94803</v>
      </c>
      <c r="B3020" t="s">
        <v>10</v>
      </c>
      <c r="C3020">
        <v>94803</v>
      </c>
      <c r="D3020" t="str">
        <f>"94803"</f>
        <v>94803</v>
      </c>
      <c r="E3020">
        <v>79.290000000000006</v>
      </c>
    </row>
    <row r="3021" spans="1:5" x14ac:dyDescent="0.2">
      <c r="A3021">
        <v>94804</v>
      </c>
      <c r="B3021" t="s">
        <v>10</v>
      </c>
      <c r="C3021">
        <v>94804</v>
      </c>
      <c r="D3021" t="str">
        <f>"94804"</f>
        <v>94804</v>
      </c>
      <c r="E3021">
        <v>72.45</v>
      </c>
    </row>
    <row r="3022" spans="1:5" x14ac:dyDescent="0.2">
      <c r="A3022">
        <v>94805</v>
      </c>
      <c r="B3022" t="s">
        <v>10</v>
      </c>
      <c r="C3022">
        <v>94805</v>
      </c>
      <c r="D3022" t="str">
        <f>"94805"</f>
        <v>94805</v>
      </c>
      <c r="E3022">
        <v>78.209999999999994</v>
      </c>
    </row>
    <row r="3023" spans="1:5" x14ac:dyDescent="0.2">
      <c r="A3023">
        <v>94806</v>
      </c>
      <c r="B3023" t="s">
        <v>10</v>
      </c>
      <c r="C3023">
        <v>94806</v>
      </c>
      <c r="D3023" t="str">
        <f>"94806"</f>
        <v>94806</v>
      </c>
      <c r="E3023">
        <v>73.2</v>
      </c>
    </row>
    <row r="3024" spans="1:5" x14ac:dyDescent="0.2">
      <c r="A3024">
        <v>94850</v>
      </c>
      <c r="B3024" t="s">
        <v>10</v>
      </c>
      <c r="C3024">
        <v>94850</v>
      </c>
      <c r="D3024" t="str">
        <f>"94850"</f>
        <v>94850</v>
      </c>
      <c r="E3024" t="s">
        <v>6</v>
      </c>
    </row>
    <row r="3025" spans="1:5" x14ac:dyDescent="0.2">
      <c r="A3025">
        <v>94901</v>
      </c>
      <c r="B3025" t="s">
        <v>10</v>
      </c>
      <c r="C3025">
        <v>94901</v>
      </c>
      <c r="D3025" t="str">
        <f>"94901"</f>
        <v>94901</v>
      </c>
      <c r="E3025">
        <v>76.400000000000006</v>
      </c>
    </row>
    <row r="3026" spans="1:5" x14ac:dyDescent="0.2">
      <c r="A3026">
        <v>94903</v>
      </c>
      <c r="B3026" t="s">
        <v>10</v>
      </c>
      <c r="C3026">
        <v>94903</v>
      </c>
      <c r="D3026" t="str">
        <f>"94903"</f>
        <v>94903</v>
      </c>
      <c r="E3026">
        <v>82.11</v>
      </c>
    </row>
    <row r="3027" spans="1:5" x14ac:dyDescent="0.2">
      <c r="A3027">
        <v>94904</v>
      </c>
      <c r="B3027" t="s">
        <v>10</v>
      </c>
      <c r="C3027">
        <v>94904</v>
      </c>
      <c r="D3027" t="str">
        <f>"94904"</f>
        <v>94904</v>
      </c>
      <c r="E3027">
        <v>82.83</v>
      </c>
    </row>
    <row r="3028" spans="1:5" x14ac:dyDescent="0.2">
      <c r="A3028">
        <v>94920</v>
      </c>
      <c r="B3028" t="s">
        <v>10</v>
      </c>
      <c r="C3028">
        <v>94920</v>
      </c>
      <c r="D3028" t="str">
        <f>"94920"</f>
        <v>94920</v>
      </c>
      <c r="E3028">
        <v>83.52</v>
      </c>
    </row>
    <row r="3029" spans="1:5" x14ac:dyDescent="0.2">
      <c r="A3029">
        <v>94922</v>
      </c>
      <c r="B3029" t="s">
        <v>10</v>
      </c>
      <c r="C3029">
        <v>94922</v>
      </c>
      <c r="D3029" t="str">
        <f>"94922"</f>
        <v>94922</v>
      </c>
      <c r="E3029">
        <v>70.83</v>
      </c>
    </row>
    <row r="3030" spans="1:5" x14ac:dyDescent="0.2">
      <c r="A3030">
        <v>94923</v>
      </c>
      <c r="B3030" t="s">
        <v>10</v>
      </c>
      <c r="C3030">
        <v>94923</v>
      </c>
      <c r="D3030" t="str">
        <f>"94923"</f>
        <v>94923</v>
      </c>
      <c r="E3030">
        <v>80.819999999999993</v>
      </c>
    </row>
    <row r="3031" spans="1:5" x14ac:dyDescent="0.2">
      <c r="A3031">
        <v>94924</v>
      </c>
      <c r="B3031" t="s">
        <v>10</v>
      </c>
      <c r="C3031">
        <v>94924</v>
      </c>
      <c r="D3031" t="str">
        <f>"94924"</f>
        <v>94924</v>
      </c>
      <c r="E3031">
        <v>69.84</v>
      </c>
    </row>
    <row r="3032" spans="1:5" x14ac:dyDescent="0.2">
      <c r="A3032">
        <v>94925</v>
      </c>
      <c r="B3032" t="s">
        <v>10</v>
      </c>
      <c r="C3032">
        <v>94925</v>
      </c>
      <c r="D3032" t="str">
        <f>"94925"</f>
        <v>94925</v>
      </c>
      <c r="E3032">
        <v>83.03</v>
      </c>
    </row>
    <row r="3033" spans="1:5" x14ac:dyDescent="0.2">
      <c r="A3033">
        <v>94928</v>
      </c>
      <c r="B3033" t="s">
        <v>10</v>
      </c>
      <c r="C3033">
        <v>94928</v>
      </c>
      <c r="D3033" t="str">
        <f>"94928"</f>
        <v>94928</v>
      </c>
      <c r="E3033">
        <v>79.930000000000007</v>
      </c>
    </row>
    <row r="3034" spans="1:5" x14ac:dyDescent="0.2">
      <c r="A3034">
        <v>94929</v>
      </c>
      <c r="B3034" t="s">
        <v>10</v>
      </c>
      <c r="C3034">
        <v>94929</v>
      </c>
      <c r="D3034" t="str">
        <f>"94929"</f>
        <v>94929</v>
      </c>
      <c r="E3034" t="s">
        <v>6</v>
      </c>
    </row>
    <row r="3035" spans="1:5" x14ac:dyDescent="0.2">
      <c r="A3035">
        <v>94930</v>
      </c>
      <c r="B3035" t="s">
        <v>10</v>
      </c>
      <c r="C3035">
        <v>94930</v>
      </c>
      <c r="D3035" t="str">
        <f>"94930"</f>
        <v>94930</v>
      </c>
      <c r="E3035">
        <v>81.069999999999993</v>
      </c>
    </row>
    <row r="3036" spans="1:5" x14ac:dyDescent="0.2">
      <c r="A3036">
        <v>94931</v>
      </c>
      <c r="B3036" t="s">
        <v>10</v>
      </c>
      <c r="C3036">
        <v>94931</v>
      </c>
      <c r="D3036" t="str">
        <f>"94931"</f>
        <v>94931</v>
      </c>
      <c r="E3036">
        <v>80.489999999999995</v>
      </c>
    </row>
    <row r="3037" spans="1:5" x14ac:dyDescent="0.2">
      <c r="A3037">
        <v>94933</v>
      </c>
      <c r="B3037" t="s">
        <v>10</v>
      </c>
      <c r="C3037">
        <v>94933</v>
      </c>
      <c r="D3037" t="str">
        <f>"94933"</f>
        <v>94933</v>
      </c>
      <c r="E3037" t="s">
        <v>6</v>
      </c>
    </row>
    <row r="3038" spans="1:5" x14ac:dyDescent="0.2">
      <c r="A3038">
        <v>94937</v>
      </c>
      <c r="B3038" t="s">
        <v>10</v>
      </c>
      <c r="C3038">
        <v>94937</v>
      </c>
      <c r="D3038" t="str">
        <f>"94937"</f>
        <v>94937</v>
      </c>
      <c r="E3038">
        <v>76</v>
      </c>
    </row>
    <row r="3039" spans="1:5" x14ac:dyDescent="0.2">
      <c r="A3039">
        <v>94938</v>
      </c>
      <c r="B3039" t="s">
        <v>10</v>
      </c>
      <c r="C3039">
        <v>94938</v>
      </c>
      <c r="D3039" t="str">
        <f>"94938"</f>
        <v>94938</v>
      </c>
      <c r="E3039" t="s">
        <v>6</v>
      </c>
    </row>
    <row r="3040" spans="1:5" x14ac:dyDescent="0.2">
      <c r="A3040">
        <v>94939</v>
      </c>
      <c r="B3040" t="s">
        <v>10</v>
      </c>
      <c r="C3040">
        <v>94939</v>
      </c>
      <c r="D3040" t="str">
        <f>"94939"</f>
        <v>94939</v>
      </c>
      <c r="E3040">
        <v>84.78</v>
      </c>
    </row>
    <row r="3041" spans="1:5" x14ac:dyDescent="0.2">
      <c r="A3041">
        <v>94940</v>
      </c>
      <c r="B3041" t="s">
        <v>10</v>
      </c>
      <c r="C3041">
        <v>94940</v>
      </c>
      <c r="D3041" t="str">
        <f>"94940"</f>
        <v>94940</v>
      </c>
      <c r="E3041" t="s">
        <v>6</v>
      </c>
    </row>
    <row r="3042" spans="1:5" x14ac:dyDescent="0.2">
      <c r="A3042">
        <v>94941</v>
      </c>
      <c r="B3042" t="s">
        <v>10</v>
      </c>
      <c r="C3042">
        <v>94941</v>
      </c>
      <c r="D3042" t="str">
        <f>"94941"</f>
        <v>94941</v>
      </c>
      <c r="E3042">
        <v>83.97</v>
      </c>
    </row>
    <row r="3043" spans="1:5" x14ac:dyDescent="0.2">
      <c r="A3043">
        <v>94945</v>
      </c>
      <c r="B3043" t="s">
        <v>10</v>
      </c>
      <c r="C3043">
        <v>94945</v>
      </c>
      <c r="D3043" t="str">
        <f>"94945"</f>
        <v>94945</v>
      </c>
      <c r="E3043">
        <v>81.28</v>
      </c>
    </row>
    <row r="3044" spans="1:5" x14ac:dyDescent="0.2">
      <c r="A3044">
        <v>94946</v>
      </c>
      <c r="B3044" t="s">
        <v>10</v>
      </c>
      <c r="C3044">
        <v>94946</v>
      </c>
      <c r="D3044" t="str">
        <f>"94946"</f>
        <v>94946</v>
      </c>
      <c r="E3044">
        <v>77.42</v>
      </c>
    </row>
    <row r="3045" spans="1:5" x14ac:dyDescent="0.2">
      <c r="A3045">
        <v>94947</v>
      </c>
      <c r="B3045" t="s">
        <v>10</v>
      </c>
      <c r="C3045">
        <v>94947</v>
      </c>
      <c r="D3045" t="str">
        <f>"94947"</f>
        <v>94947</v>
      </c>
      <c r="E3045">
        <v>81.25</v>
      </c>
    </row>
    <row r="3046" spans="1:5" x14ac:dyDescent="0.2">
      <c r="A3046">
        <v>94949</v>
      </c>
      <c r="B3046" t="s">
        <v>10</v>
      </c>
      <c r="C3046">
        <v>94949</v>
      </c>
      <c r="D3046" t="str">
        <f>"94949"</f>
        <v>94949</v>
      </c>
      <c r="E3046">
        <v>80.53</v>
      </c>
    </row>
    <row r="3047" spans="1:5" x14ac:dyDescent="0.2">
      <c r="A3047">
        <v>94950</v>
      </c>
      <c r="B3047" t="s">
        <v>10</v>
      </c>
      <c r="C3047">
        <v>94950</v>
      </c>
      <c r="D3047" t="str">
        <f>"94950"</f>
        <v>94950</v>
      </c>
      <c r="E3047" t="s">
        <v>6</v>
      </c>
    </row>
    <row r="3048" spans="1:5" x14ac:dyDescent="0.2">
      <c r="A3048">
        <v>94951</v>
      </c>
      <c r="B3048" t="s">
        <v>10</v>
      </c>
      <c r="C3048">
        <v>94951</v>
      </c>
      <c r="D3048" t="str">
        <f>"94951"</f>
        <v>94951</v>
      </c>
      <c r="E3048">
        <v>81.14</v>
      </c>
    </row>
    <row r="3049" spans="1:5" x14ac:dyDescent="0.2">
      <c r="A3049">
        <v>94952</v>
      </c>
      <c r="B3049" t="s">
        <v>10</v>
      </c>
      <c r="C3049">
        <v>94952</v>
      </c>
      <c r="D3049" t="str">
        <f>"94952"</f>
        <v>94952</v>
      </c>
      <c r="E3049">
        <v>81.33</v>
      </c>
    </row>
    <row r="3050" spans="1:5" x14ac:dyDescent="0.2">
      <c r="A3050">
        <v>94954</v>
      </c>
      <c r="B3050" t="s">
        <v>10</v>
      </c>
      <c r="C3050">
        <v>94954</v>
      </c>
      <c r="D3050" t="str">
        <f>"94954"</f>
        <v>94954</v>
      </c>
      <c r="E3050">
        <v>80.819999999999993</v>
      </c>
    </row>
    <row r="3051" spans="1:5" x14ac:dyDescent="0.2">
      <c r="A3051">
        <v>94956</v>
      </c>
      <c r="B3051" t="s">
        <v>10</v>
      </c>
      <c r="C3051">
        <v>94956</v>
      </c>
      <c r="D3051" t="str">
        <f>"94956"</f>
        <v>94956</v>
      </c>
      <c r="E3051">
        <v>79.010000000000005</v>
      </c>
    </row>
    <row r="3052" spans="1:5" x14ac:dyDescent="0.2">
      <c r="A3052">
        <v>94957</v>
      </c>
      <c r="B3052" t="s">
        <v>10</v>
      </c>
      <c r="C3052">
        <v>94957</v>
      </c>
      <c r="D3052" t="str">
        <f>"94957"</f>
        <v>94957</v>
      </c>
      <c r="E3052" t="s">
        <v>6</v>
      </c>
    </row>
    <row r="3053" spans="1:5" x14ac:dyDescent="0.2">
      <c r="A3053">
        <v>94960</v>
      </c>
      <c r="B3053" t="s">
        <v>10</v>
      </c>
      <c r="C3053">
        <v>94960</v>
      </c>
      <c r="D3053" t="str">
        <f>"94960"</f>
        <v>94960</v>
      </c>
      <c r="E3053">
        <v>83.31</v>
      </c>
    </row>
    <row r="3054" spans="1:5" x14ac:dyDescent="0.2">
      <c r="A3054">
        <v>94963</v>
      </c>
      <c r="B3054" t="s">
        <v>10</v>
      </c>
      <c r="C3054">
        <v>94963</v>
      </c>
      <c r="D3054" t="str">
        <f>"94963"</f>
        <v>94963</v>
      </c>
      <c r="E3054" t="s">
        <v>6</v>
      </c>
    </row>
    <row r="3055" spans="1:5" x14ac:dyDescent="0.2">
      <c r="A3055">
        <v>94964</v>
      </c>
      <c r="B3055" t="s">
        <v>10</v>
      </c>
      <c r="C3055">
        <v>94964</v>
      </c>
      <c r="D3055" t="str">
        <f>"94964"</f>
        <v>94964</v>
      </c>
      <c r="E3055" t="s">
        <v>6</v>
      </c>
    </row>
    <row r="3056" spans="1:5" x14ac:dyDescent="0.2">
      <c r="A3056">
        <v>94965</v>
      </c>
      <c r="B3056" t="s">
        <v>10</v>
      </c>
      <c r="C3056">
        <v>94965</v>
      </c>
      <c r="D3056" t="str">
        <f>"94965"</f>
        <v>94965</v>
      </c>
      <c r="E3056">
        <v>83.82</v>
      </c>
    </row>
    <row r="3057" spans="1:5" x14ac:dyDescent="0.2">
      <c r="A3057">
        <v>94970</v>
      </c>
      <c r="B3057" t="s">
        <v>10</v>
      </c>
      <c r="C3057">
        <v>94970</v>
      </c>
      <c r="D3057" t="str">
        <f>"94970"</f>
        <v>94970</v>
      </c>
      <c r="E3057" t="s">
        <v>6</v>
      </c>
    </row>
    <row r="3058" spans="1:5" x14ac:dyDescent="0.2">
      <c r="A3058">
        <v>94971</v>
      </c>
      <c r="B3058" t="s">
        <v>10</v>
      </c>
      <c r="C3058">
        <v>94971</v>
      </c>
      <c r="D3058" t="str">
        <f>"94971"</f>
        <v>94971</v>
      </c>
      <c r="E3058" t="s">
        <v>6</v>
      </c>
    </row>
    <row r="3059" spans="1:5" x14ac:dyDescent="0.2">
      <c r="A3059">
        <v>94972</v>
      </c>
      <c r="B3059" t="s">
        <v>10</v>
      </c>
      <c r="C3059">
        <v>94972</v>
      </c>
      <c r="D3059" t="str">
        <f>"94972"</f>
        <v>94972</v>
      </c>
      <c r="E3059" t="s">
        <v>6</v>
      </c>
    </row>
    <row r="3060" spans="1:5" x14ac:dyDescent="0.2">
      <c r="A3060">
        <v>94973</v>
      </c>
      <c r="B3060" t="s">
        <v>10</v>
      </c>
      <c r="C3060">
        <v>94973</v>
      </c>
      <c r="D3060" t="str">
        <f>"94973"</f>
        <v>94973</v>
      </c>
      <c r="E3060" t="s">
        <v>6</v>
      </c>
    </row>
    <row r="3061" spans="1:5" x14ac:dyDescent="0.2">
      <c r="A3061">
        <v>95002</v>
      </c>
      <c r="B3061" t="s">
        <v>10</v>
      </c>
      <c r="C3061">
        <v>95002</v>
      </c>
      <c r="D3061" t="str">
        <f>"95002"</f>
        <v>95002</v>
      </c>
      <c r="E3061" t="s">
        <v>6</v>
      </c>
    </row>
    <row r="3062" spans="1:5" x14ac:dyDescent="0.2">
      <c r="A3062">
        <v>95003</v>
      </c>
      <c r="B3062" t="s">
        <v>10</v>
      </c>
      <c r="C3062">
        <v>95003</v>
      </c>
      <c r="D3062" t="str">
        <f>"95003"</f>
        <v>95003</v>
      </c>
      <c r="E3062">
        <v>81.739999999999995</v>
      </c>
    </row>
    <row r="3063" spans="1:5" x14ac:dyDescent="0.2">
      <c r="A3063">
        <v>95004</v>
      </c>
      <c r="B3063" t="s">
        <v>10</v>
      </c>
      <c r="C3063">
        <v>95004</v>
      </c>
      <c r="D3063" t="str">
        <f>"95004"</f>
        <v>95004</v>
      </c>
      <c r="E3063">
        <v>80.709999999999994</v>
      </c>
    </row>
    <row r="3064" spans="1:5" x14ac:dyDescent="0.2">
      <c r="A3064">
        <v>95005</v>
      </c>
      <c r="B3064" t="s">
        <v>10</v>
      </c>
      <c r="C3064">
        <v>95005</v>
      </c>
      <c r="D3064" t="str">
        <f>"95005"</f>
        <v>95005</v>
      </c>
      <c r="E3064">
        <v>81.17</v>
      </c>
    </row>
    <row r="3065" spans="1:5" x14ac:dyDescent="0.2">
      <c r="A3065">
        <v>95006</v>
      </c>
      <c r="B3065" t="s">
        <v>10</v>
      </c>
      <c r="C3065">
        <v>95006</v>
      </c>
      <c r="D3065" t="str">
        <f>"95006"</f>
        <v>95006</v>
      </c>
      <c r="E3065">
        <v>81.61</v>
      </c>
    </row>
    <row r="3066" spans="1:5" x14ac:dyDescent="0.2">
      <c r="A3066">
        <v>95007</v>
      </c>
      <c r="B3066" t="s">
        <v>10</v>
      </c>
      <c r="C3066">
        <v>95007</v>
      </c>
      <c r="D3066" t="str">
        <f>"95007"</f>
        <v>95007</v>
      </c>
      <c r="E3066" t="s">
        <v>6</v>
      </c>
    </row>
    <row r="3067" spans="1:5" x14ac:dyDescent="0.2">
      <c r="A3067">
        <v>95008</v>
      </c>
      <c r="B3067" t="s">
        <v>10</v>
      </c>
      <c r="C3067">
        <v>95008</v>
      </c>
      <c r="D3067" t="str">
        <f>"95008"</f>
        <v>95008</v>
      </c>
      <c r="E3067">
        <v>84.75</v>
      </c>
    </row>
    <row r="3068" spans="1:5" x14ac:dyDescent="0.2">
      <c r="A3068">
        <v>95010</v>
      </c>
      <c r="B3068" t="s">
        <v>10</v>
      </c>
      <c r="C3068">
        <v>95010</v>
      </c>
      <c r="D3068" t="str">
        <f>"95010"</f>
        <v>95010</v>
      </c>
      <c r="E3068">
        <v>81.48</v>
      </c>
    </row>
    <row r="3069" spans="1:5" x14ac:dyDescent="0.2">
      <c r="A3069">
        <v>95012</v>
      </c>
      <c r="B3069" t="s">
        <v>10</v>
      </c>
      <c r="C3069">
        <v>95012</v>
      </c>
      <c r="D3069" t="str">
        <f>"95012"</f>
        <v>95012</v>
      </c>
      <c r="E3069">
        <v>61.83</v>
      </c>
    </row>
    <row r="3070" spans="1:5" x14ac:dyDescent="0.2">
      <c r="A3070">
        <v>95013</v>
      </c>
      <c r="B3070" t="s">
        <v>10</v>
      </c>
      <c r="C3070">
        <v>95013</v>
      </c>
      <c r="D3070" t="str">
        <f>"95013"</f>
        <v>95013</v>
      </c>
      <c r="E3070" t="s">
        <v>6</v>
      </c>
    </row>
    <row r="3071" spans="1:5" x14ac:dyDescent="0.2">
      <c r="A3071">
        <v>95014</v>
      </c>
      <c r="B3071" t="s">
        <v>10</v>
      </c>
      <c r="C3071">
        <v>95014</v>
      </c>
      <c r="D3071" t="str">
        <f>"95014"</f>
        <v>95014</v>
      </c>
      <c r="E3071">
        <v>85.09</v>
      </c>
    </row>
    <row r="3072" spans="1:5" x14ac:dyDescent="0.2">
      <c r="A3072">
        <v>95017</v>
      </c>
      <c r="B3072" t="s">
        <v>10</v>
      </c>
      <c r="C3072">
        <v>95017</v>
      </c>
      <c r="D3072" t="str">
        <f>"95017"</f>
        <v>95017</v>
      </c>
      <c r="E3072">
        <v>70.45</v>
      </c>
    </row>
    <row r="3073" spans="1:5" x14ac:dyDescent="0.2">
      <c r="A3073">
        <v>95018</v>
      </c>
      <c r="B3073" t="s">
        <v>10</v>
      </c>
      <c r="C3073">
        <v>95018</v>
      </c>
      <c r="D3073" t="str">
        <f>"95018"</f>
        <v>95018</v>
      </c>
      <c r="E3073">
        <v>81.06</v>
      </c>
    </row>
    <row r="3074" spans="1:5" x14ac:dyDescent="0.2">
      <c r="A3074">
        <v>95019</v>
      </c>
      <c r="B3074" t="s">
        <v>10</v>
      </c>
      <c r="C3074">
        <v>95019</v>
      </c>
      <c r="D3074" t="str">
        <f>"95019"</f>
        <v>95019</v>
      </c>
      <c r="E3074">
        <v>63.17</v>
      </c>
    </row>
    <row r="3075" spans="1:5" x14ac:dyDescent="0.2">
      <c r="A3075">
        <v>95020</v>
      </c>
      <c r="B3075" t="s">
        <v>10</v>
      </c>
      <c r="C3075">
        <v>95020</v>
      </c>
      <c r="D3075" t="str">
        <f>"95020"</f>
        <v>95020</v>
      </c>
      <c r="E3075">
        <v>76.34</v>
      </c>
    </row>
    <row r="3076" spans="1:5" x14ac:dyDescent="0.2">
      <c r="A3076">
        <v>95023</v>
      </c>
      <c r="B3076" t="s">
        <v>10</v>
      </c>
      <c r="C3076">
        <v>95023</v>
      </c>
      <c r="D3076" t="str">
        <f>"95023"</f>
        <v>95023</v>
      </c>
      <c r="E3076">
        <v>74.94</v>
      </c>
    </row>
    <row r="3077" spans="1:5" x14ac:dyDescent="0.2">
      <c r="A3077">
        <v>95030</v>
      </c>
      <c r="B3077" t="s">
        <v>10</v>
      </c>
      <c r="C3077">
        <v>95030</v>
      </c>
      <c r="D3077" t="str">
        <f>"95030"</f>
        <v>95030</v>
      </c>
      <c r="E3077">
        <v>85.61</v>
      </c>
    </row>
    <row r="3078" spans="1:5" x14ac:dyDescent="0.2">
      <c r="A3078">
        <v>95032</v>
      </c>
      <c r="B3078" t="s">
        <v>10</v>
      </c>
      <c r="C3078">
        <v>95032</v>
      </c>
      <c r="D3078" t="str">
        <f>"95032"</f>
        <v>95032</v>
      </c>
      <c r="E3078">
        <v>85.02</v>
      </c>
    </row>
    <row r="3079" spans="1:5" x14ac:dyDescent="0.2">
      <c r="A3079">
        <v>95033</v>
      </c>
      <c r="B3079" t="s">
        <v>10</v>
      </c>
      <c r="C3079">
        <v>95033</v>
      </c>
      <c r="D3079" t="str">
        <f>"95033"</f>
        <v>95033</v>
      </c>
      <c r="E3079">
        <v>84.67</v>
      </c>
    </row>
    <row r="3080" spans="1:5" x14ac:dyDescent="0.2">
      <c r="A3080">
        <v>95035</v>
      </c>
      <c r="B3080" t="s">
        <v>10</v>
      </c>
      <c r="C3080">
        <v>95035</v>
      </c>
      <c r="D3080" t="str">
        <f>"95035"</f>
        <v>95035</v>
      </c>
      <c r="E3080">
        <v>82.88</v>
      </c>
    </row>
    <row r="3081" spans="1:5" x14ac:dyDescent="0.2">
      <c r="A3081">
        <v>95037</v>
      </c>
      <c r="B3081" t="s">
        <v>10</v>
      </c>
      <c r="C3081">
        <v>95037</v>
      </c>
      <c r="D3081" t="str">
        <f>"95037"</f>
        <v>95037</v>
      </c>
      <c r="E3081">
        <v>81.150000000000006</v>
      </c>
    </row>
    <row r="3082" spans="1:5" x14ac:dyDescent="0.2">
      <c r="A3082">
        <v>95039</v>
      </c>
      <c r="B3082" t="s">
        <v>10</v>
      </c>
      <c r="C3082">
        <v>95039</v>
      </c>
      <c r="D3082" t="str">
        <f>"95039"</f>
        <v>95039</v>
      </c>
      <c r="E3082">
        <v>72.97</v>
      </c>
    </row>
    <row r="3083" spans="1:5" x14ac:dyDescent="0.2">
      <c r="A3083">
        <v>95041</v>
      </c>
      <c r="B3083" t="s">
        <v>10</v>
      </c>
      <c r="C3083">
        <v>95041</v>
      </c>
      <c r="D3083" t="str">
        <f>"95041"</f>
        <v>95041</v>
      </c>
      <c r="E3083" t="s">
        <v>6</v>
      </c>
    </row>
    <row r="3084" spans="1:5" x14ac:dyDescent="0.2">
      <c r="A3084">
        <v>95043</v>
      </c>
      <c r="B3084" t="s">
        <v>10</v>
      </c>
      <c r="C3084">
        <v>95043</v>
      </c>
      <c r="D3084" t="str">
        <f>"95043"</f>
        <v>95043</v>
      </c>
      <c r="E3084">
        <v>74.069999999999993</v>
      </c>
    </row>
    <row r="3085" spans="1:5" x14ac:dyDescent="0.2">
      <c r="A3085">
        <v>95045</v>
      </c>
      <c r="B3085" t="s">
        <v>10</v>
      </c>
      <c r="C3085">
        <v>95045</v>
      </c>
      <c r="D3085" t="str">
        <f>"95045"</f>
        <v>95045</v>
      </c>
      <c r="E3085">
        <v>78.760000000000005</v>
      </c>
    </row>
    <row r="3086" spans="1:5" x14ac:dyDescent="0.2">
      <c r="A3086">
        <v>95046</v>
      </c>
      <c r="B3086" t="s">
        <v>10</v>
      </c>
      <c r="C3086">
        <v>95046</v>
      </c>
      <c r="D3086" t="str">
        <f>"95046"</f>
        <v>95046</v>
      </c>
      <c r="E3086">
        <v>75.22</v>
      </c>
    </row>
    <row r="3087" spans="1:5" x14ac:dyDescent="0.2">
      <c r="A3087">
        <v>95050</v>
      </c>
      <c r="B3087" t="s">
        <v>10</v>
      </c>
      <c r="C3087">
        <v>95050</v>
      </c>
      <c r="D3087" t="str">
        <f>"95050"</f>
        <v>95050</v>
      </c>
      <c r="E3087">
        <v>83.42</v>
      </c>
    </row>
    <row r="3088" spans="1:5" x14ac:dyDescent="0.2">
      <c r="A3088">
        <v>95051</v>
      </c>
      <c r="B3088" t="s">
        <v>10</v>
      </c>
      <c r="C3088">
        <v>95051</v>
      </c>
      <c r="D3088" t="str">
        <f>"95051"</f>
        <v>95051</v>
      </c>
      <c r="E3088">
        <v>85.96</v>
      </c>
    </row>
    <row r="3089" spans="1:5" x14ac:dyDescent="0.2">
      <c r="A3089">
        <v>95054</v>
      </c>
      <c r="B3089" t="s">
        <v>10</v>
      </c>
      <c r="C3089">
        <v>95054</v>
      </c>
      <c r="D3089" t="str">
        <f>"95054"</f>
        <v>95054</v>
      </c>
      <c r="E3089">
        <v>88.19</v>
      </c>
    </row>
    <row r="3090" spans="1:5" x14ac:dyDescent="0.2">
      <c r="A3090">
        <v>95060</v>
      </c>
      <c r="B3090" t="s">
        <v>10</v>
      </c>
      <c r="C3090">
        <v>95060</v>
      </c>
      <c r="D3090" t="str">
        <f>"95060"</f>
        <v>95060</v>
      </c>
      <c r="E3090">
        <v>78.27</v>
      </c>
    </row>
    <row r="3091" spans="1:5" x14ac:dyDescent="0.2">
      <c r="A3091">
        <v>95062</v>
      </c>
      <c r="B3091" t="s">
        <v>10</v>
      </c>
      <c r="C3091">
        <v>95062</v>
      </c>
      <c r="D3091" t="str">
        <f>"95062"</f>
        <v>95062</v>
      </c>
      <c r="E3091">
        <v>79.5</v>
      </c>
    </row>
    <row r="3092" spans="1:5" x14ac:dyDescent="0.2">
      <c r="A3092">
        <v>95064</v>
      </c>
      <c r="B3092" t="s">
        <v>10</v>
      </c>
      <c r="C3092">
        <v>95064</v>
      </c>
      <c r="D3092" t="str">
        <f>"95064"</f>
        <v>95064</v>
      </c>
      <c r="E3092">
        <v>65.569999999999993</v>
      </c>
    </row>
    <row r="3093" spans="1:5" x14ac:dyDescent="0.2">
      <c r="A3093">
        <v>95065</v>
      </c>
      <c r="B3093" t="s">
        <v>10</v>
      </c>
      <c r="C3093">
        <v>95065</v>
      </c>
      <c r="D3093" t="str">
        <f>"95065"</f>
        <v>95065</v>
      </c>
      <c r="E3093">
        <v>80.930000000000007</v>
      </c>
    </row>
    <row r="3094" spans="1:5" x14ac:dyDescent="0.2">
      <c r="A3094">
        <v>95066</v>
      </c>
      <c r="B3094" t="s">
        <v>10</v>
      </c>
      <c r="C3094">
        <v>95066</v>
      </c>
      <c r="D3094" t="str">
        <f>"95066"</f>
        <v>95066</v>
      </c>
      <c r="E3094">
        <v>81.16</v>
      </c>
    </row>
    <row r="3095" spans="1:5" x14ac:dyDescent="0.2">
      <c r="A3095">
        <v>95070</v>
      </c>
      <c r="B3095" t="s">
        <v>10</v>
      </c>
      <c r="C3095">
        <v>95070</v>
      </c>
      <c r="D3095" t="str">
        <f>"95070"</f>
        <v>95070</v>
      </c>
      <c r="E3095">
        <v>83.76</v>
      </c>
    </row>
    <row r="3096" spans="1:5" x14ac:dyDescent="0.2">
      <c r="A3096">
        <v>95073</v>
      </c>
      <c r="B3096" t="s">
        <v>10</v>
      </c>
      <c r="C3096">
        <v>95073</v>
      </c>
      <c r="D3096" t="str">
        <f>"95073"</f>
        <v>95073</v>
      </c>
      <c r="E3096">
        <v>79.55</v>
      </c>
    </row>
    <row r="3097" spans="1:5" x14ac:dyDescent="0.2">
      <c r="A3097">
        <v>95075</v>
      </c>
      <c r="B3097" t="s">
        <v>10</v>
      </c>
      <c r="C3097">
        <v>95075</v>
      </c>
      <c r="D3097" t="str">
        <f>"95075"</f>
        <v>95075</v>
      </c>
      <c r="E3097">
        <v>82.35</v>
      </c>
    </row>
    <row r="3098" spans="1:5" x14ac:dyDescent="0.2">
      <c r="A3098">
        <v>95076</v>
      </c>
      <c r="B3098" t="s">
        <v>10</v>
      </c>
      <c r="C3098">
        <v>95076</v>
      </c>
      <c r="D3098" t="str">
        <f>"95076"</f>
        <v>95076</v>
      </c>
      <c r="E3098">
        <v>64.98</v>
      </c>
    </row>
    <row r="3099" spans="1:5" x14ac:dyDescent="0.2">
      <c r="A3099">
        <v>95110</v>
      </c>
      <c r="B3099" t="s">
        <v>10</v>
      </c>
      <c r="C3099">
        <v>95110</v>
      </c>
      <c r="D3099" t="str">
        <f>"95110"</f>
        <v>95110</v>
      </c>
      <c r="E3099">
        <v>79.569999999999993</v>
      </c>
    </row>
    <row r="3100" spans="1:5" x14ac:dyDescent="0.2">
      <c r="A3100">
        <v>95111</v>
      </c>
      <c r="B3100" t="s">
        <v>10</v>
      </c>
      <c r="C3100">
        <v>95111</v>
      </c>
      <c r="D3100" t="str">
        <f>"95111"</f>
        <v>95111</v>
      </c>
      <c r="E3100">
        <v>71.25</v>
      </c>
    </row>
    <row r="3101" spans="1:5" x14ac:dyDescent="0.2">
      <c r="A3101">
        <v>95112</v>
      </c>
      <c r="B3101" t="s">
        <v>10</v>
      </c>
      <c r="C3101">
        <v>95112</v>
      </c>
      <c r="D3101" t="str">
        <f>"95112"</f>
        <v>95112</v>
      </c>
      <c r="E3101">
        <v>77.05</v>
      </c>
    </row>
    <row r="3102" spans="1:5" x14ac:dyDescent="0.2">
      <c r="A3102">
        <v>95113</v>
      </c>
      <c r="B3102" t="s">
        <v>10</v>
      </c>
      <c r="C3102">
        <v>95113</v>
      </c>
      <c r="D3102" t="str">
        <f>"95113"</f>
        <v>95113</v>
      </c>
      <c r="E3102">
        <v>82.67</v>
      </c>
    </row>
    <row r="3103" spans="1:5" x14ac:dyDescent="0.2">
      <c r="A3103">
        <v>95116</v>
      </c>
      <c r="B3103" t="s">
        <v>10</v>
      </c>
      <c r="C3103">
        <v>95116</v>
      </c>
      <c r="D3103" t="str">
        <f>"95116"</f>
        <v>95116</v>
      </c>
      <c r="E3103">
        <v>69.569999999999993</v>
      </c>
    </row>
    <row r="3104" spans="1:5" x14ac:dyDescent="0.2">
      <c r="A3104">
        <v>95117</v>
      </c>
      <c r="B3104" t="s">
        <v>10</v>
      </c>
      <c r="C3104">
        <v>95117</v>
      </c>
      <c r="D3104" t="str">
        <f>"95117"</f>
        <v>95117</v>
      </c>
      <c r="E3104">
        <v>78.28</v>
      </c>
    </row>
    <row r="3105" spans="1:5" x14ac:dyDescent="0.2">
      <c r="A3105">
        <v>95118</v>
      </c>
      <c r="B3105" t="s">
        <v>10</v>
      </c>
      <c r="C3105">
        <v>95118</v>
      </c>
      <c r="D3105" t="str">
        <f>"95118"</f>
        <v>95118</v>
      </c>
      <c r="E3105">
        <v>82.59</v>
      </c>
    </row>
    <row r="3106" spans="1:5" x14ac:dyDescent="0.2">
      <c r="A3106">
        <v>95119</v>
      </c>
      <c r="B3106" t="s">
        <v>10</v>
      </c>
      <c r="C3106">
        <v>95119</v>
      </c>
      <c r="D3106" t="str">
        <f>"95119"</f>
        <v>95119</v>
      </c>
      <c r="E3106">
        <v>83.47</v>
      </c>
    </row>
    <row r="3107" spans="1:5" x14ac:dyDescent="0.2">
      <c r="A3107">
        <v>95120</v>
      </c>
      <c r="B3107" t="s">
        <v>10</v>
      </c>
      <c r="C3107">
        <v>95120</v>
      </c>
      <c r="D3107" t="str">
        <f>"95120"</f>
        <v>95120</v>
      </c>
      <c r="E3107">
        <v>84.78</v>
      </c>
    </row>
    <row r="3108" spans="1:5" x14ac:dyDescent="0.2">
      <c r="A3108">
        <v>95121</v>
      </c>
      <c r="B3108" t="s">
        <v>10</v>
      </c>
      <c r="C3108">
        <v>95121</v>
      </c>
      <c r="D3108" t="str">
        <f>"95121"</f>
        <v>95121</v>
      </c>
      <c r="E3108">
        <v>76.03</v>
      </c>
    </row>
    <row r="3109" spans="1:5" x14ac:dyDescent="0.2">
      <c r="A3109">
        <v>95122</v>
      </c>
      <c r="B3109" t="s">
        <v>10</v>
      </c>
      <c r="C3109">
        <v>95122</v>
      </c>
      <c r="D3109" t="str">
        <f>"95122"</f>
        <v>95122</v>
      </c>
      <c r="E3109">
        <v>69.48</v>
      </c>
    </row>
    <row r="3110" spans="1:5" x14ac:dyDescent="0.2">
      <c r="A3110">
        <v>95123</v>
      </c>
      <c r="B3110" t="s">
        <v>10</v>
      </c>
      <c r="C3110">
        <v>95123</v>
      </c>
      <c r="D3110" t="str">
        <f>"95123"</f>
        <v>95123</v>
      </c>
      <c r="E3110">
        <v>82.53</v>
      </c>
    </row>
    <row r="3111" spans="1:5" x14ac:dyDescent="0.2">
      <c r="A3111">
        <v>95124</v>
      </c>
      <c r="B3111" t="s">
        <v>10</v>
      </c>
      <c r="C3111">
        <v>95124</v>
      </c>
      <c r="D3111" t="str">
        <f>"95124"</f>
        <v>95124</v>
      </c>
      <c r="E3111">
        <v>84.8</v>
      </c>
    </row>
    <row r="3112" spans="1:5" x14ac:dyDescent="0.2">
      <c r="A3112">
        <v>95125</v>
      </c>
      <c r="B3112" t="s">
        <v>10</v>
      </c>
      <c r="C3112">
        <v>95125</v>
      </c>
      <c r="D3112" t="str">
        <f>"95125"</f>
        <v>95125</v>
      </c>
      <c r="E3112">
        <v>84.2</v>
      </c>
    </row>
    <row r="3113" spans="1:5" x14ac:dyDescent="0.2">
      <c r="A3113">
        <v>95126</v>
      </c>
      <c r="B3113" t="s">
        <v>10</v>
      </c>
      <c r="C3113">
        <v>95126</v>
      </c>
      <c r="D3113" t="str">
        <f>"95126"</f>
        <v>95126</v>
      </c>
      <c r="E3113">
        <v>83.83</v>
      </c>
    </row>
    <row r="3114" spans="1:5" x14ac:dyDescent="0.2">
      <c r="A3114">
        <v>95127</v>
      </c>
      <c r="B3114" t="s">
        <v>10</v>
      </c>
      <c r="C3114">
        <v>95127</v>
      </c>
      <c r="D3114" t="str">
        <f>"95127"</f>
        <v>95127</v>
      </c>
      <c r="E3114">
        <v>75.59</v>
      </c>
    </row>
    <row r="3115" spans="1:5" x14ac:dyDescent="0.2">
      <c r="A3115">
        <v>95128</v>
      </c>
      <c r="B3115" t="s">
        <v>10</v>
      </c>
      <c r="C3115">
        <v>95128</v>
      </c>
      <c r="D3115" t="str">
        <f>"95128"</f>
        <v>95128</v>
      </c>
      <c r="E3115">
        <v>82.1</v>
      </c>
    </row>
    <row r="3116" spans="1:5" x14ac:dyDescent="0.2">
      <c r="A3116">
        <v>95129</v>
      </c>
      <c r="B3116" t="s">
        <v>10</v>
      </c>
      <c r="C3116">
        <v>95129</v>
      </c>
      <c r="D3116" t="str">
        <f>"95129"</f>
        <v>95129</v>
      </c>
      <c r="E3116">
        <v>83.07</v>
      </c>
    </row>
    <row r="3117" spans="1:5" x14ac:dyDescent="0.2">
      <c r="A3117">
        <v>95130</v>
      </c>
      <c r="B3117" t="s">
        <v>10</v>
      </c>
      <c r="C3117">
        <v>95130</v>
      </c>
      <c r="D3117" t="str">
        <f>"95130"</f>
        <v>95130</v>
      </c>
      <c r="E3117">
        <v>83.2</v>
      </c>
    </row>
    <row r="3118" spans="1:5" x14ac:dyDescent="0.2">
      <c r="A3118">
        <v>95131</v>
      </c>
      <c r="B3118" t="s">
        <v>10</v>
      </c>
      <c r="C3118">
        <v>95131</v>
      </c>
      <c r="D3118" t="str">
        <f>"95131"</f>
        <v>95131</v>
      </c>
      <c r="E3118">
        <v>82.62</v>
      </c>
    </row>
    <row r="3119" spans="1:5" x14ac:dyDescent="0.2">
      <c r="A3119">
        <v>95132</v>
      </c>
      <c r="B3119" t="s">
        <v>10</v>
      </c>
      <c r="C3119">
        <v>95132</v>
      </c>
      <c r="D3119" t="str">
        <f>"95132"</f>
        <v>95132</v>
      </c>
      <c r="E3119">
        <v>80.92</v>
      </c>
    </row>
    <row r="3120" spans="1:5" x14ac:dyDescent="0.2">
      <c r="A3120">
        <v>95133</v>
      </c>
      <c r="B3120" t="s">
        <v>10</v>
      </c>
      <c r="C3120">
        <v>95133</v>
      </c>
      <c r="D3120" t="str">
        <f>"95133"</f>
        <v>95133</v>
      </c>
      <c r="E3120">
        <v>77.78</v>
      </c>
    </row>
    <row r="3121" spans="1:5" x14ac:dyDescent="0.2">
      <c r="A3121">
        <v>95134</v>
      </c>
      <c r="B3121" t="s">
        <v>10</v>
      </c>
      <c r="C3121">
        <v>95134</v>
      </c>
      <c r="D3121" t="str">
        <f>"95134"</f>
        <v>95134</v>
      </c>
      <c r="E3121">
        <v>91.13</v>
      </c>
    </row>
    <row r="3122" spans="1:5" x14ac:dyDescent="0.2">
      <c r="A3122">
        <v>95135</v>
      </c>
      <c r="B3122" t="s">
        <v>10</v>
      </c>
      <c r="C3122">
        <v>95135</v>
      </c>
      <c r="D3122" t="str">
        <f>"95135"</f>
        <v>95135</v>
      </c>
      <c r="E3122">
        <v>83.25</v>
      </c>
    </row>
    <row r="3123" spans="1:5" x14ac:dyDescent="0.2">
      <c r="A3123">
        <v>95136</v>
      </c>
      <c r="B3123" t="s">
        <v>10</v>
      </c>
      <c r="C3123">
        <v>95136</v>
      </c>
      <c r="D3123" t="str">
        <f>"95136"</f>
        <v>95136</v>
      </c>
      <c r="E3123">
        <v>82.19</v>
      </c>
    </row>
    <row r="3124" spans="1:5" x14ac:dyDescent="0.2">
      <c r="A3124">
        <v>95138</v>
      </c>
      <c r="B3124" t="s">
        <v>10</v>
      </c>
      <c r="C3124">
        <v>95138</v>
      </c>
      <c r="D3124" t="str">
        <f>"95138"</f>
        <v>95138</v>
      </c>
      <c r="E3124">
        <v>82.39</v>
      </c>
    </row>
    <row r="3125" spans="1:5" x14ac:dyDescent="0.2">
      <c r="A3125">
        <v>95139</v>
      </c>
      <c r="B3125" t="s">
        <v>10</v>
      </c>
      <c r="C3125">
        <v>95139</v>
      </c>
      <c r="D3125" t="str">
        <f>"95139"</f>
        <v>95139</v>
      </c>
      <c r="E3125">
        <v>84.69</v>
      </c>
    </row>
    <row r="3126" spans="1:5" x14ac:dyDescent="0.2">
      <c r="A3126">
        <v>95140</v>
      </c>
      <c r="B3126" t="s">
        <v>10</v>
      </c>
      <c r="C3126">
        <v>95140</v>
      </c>
      <c r="D3126" t="str">
        <f>"95140"</f>
        <v>95140</v>
      </c>
      <c r="E3126">
        <v>78.95</v>
      </c>
    </row>
    <row r="3127" spans="1:5" x14ac:dyDescent="0.2">
      <c r="A3127">
        <v>95141</v>
      </c>
      <c r="B3127" t="s">
        <v>10</v>
      </c>
      <c r="C3127">
        <v>95141</v>
      </c>
      <c r="D3127" t="str">
        <f>"95141"</f>
        <v>95141</v>
      </c>
      <c r="E3127" t="s">
        <v>6</v>
      </c>
    </row>
    <row r="3128" spans="1:5" x14ac:dyDescent="0.2">
      <c r="A3128">
        <v>95148</v>
      </c>
      <c r="B3128" t="s">
        <v>10</v>
      </c>
      <c r="C3128">
        <v>95148</v>
      </c>
      <c r="D3128" t="str">
        <f>"95148"</f>
        <v>95148</v>
      </c>
      <c r="E3128">
        <v>78.5</v>
      </c>
    </row>
    <row r="3129" spans="1:5" x14ac:dyDescent="0.2">
      <c r="A3129">
        <v>95202</v>
      </c>
      <c r="B3129" t="s">
        <v>10</v>
      </c>
      <c r="C3129">
        <v>95202</v>
      </c>
      <c r="D3129" t="str">
        <f>"95202"</f>
        <v>95202</v>
      </c>
      <c r="E3129">
        <v>46.67</v>
      </c>
    </row>
    <row r="3130" spans="1:5" x14ac:dyDescent="0.2">
      <c r="A3130">
        <v>95203</v>
      </c>
      <c r="B3130" t="s">
        <v>10</v>
      </c>
      <c r="C3130">
        <v>95203</v>
      </c>
      <c r="D3130" t="str">
        <f>"95203"</f>
        <v>95203</v>
      </c>
      <c r="E3130">
        <v>57.9</v>
      </c>
    </row>
    <row r="3131" spans="1:5" x14ac:dyDescent="0.2">
      <c r="A3131">
        <v>95204</v>
      </c>
      <c r="B3131" t="s">
        <v>10</v>
      </c>
      <c r="C3131">
        <v>95204</v>
      </c>
      <c r="D3131" t="str">
        <f>"95204"</f>
        <v>95204</v>
      </c>
      <c r="E3131">
        <v>69.89</v>
      </c>
    </row>
    <row r="3132" spans="1:5" x14ac:dyDescent="0.2">
      <c r="A3132">
        <v>95205</v>
      </c>
      <c r="B3132" t="s">
        <v>10</v>
      </c>
      <c r="C3132">
        <v>95205</v>
      </c>
      <c r="D3132" t="str">
        <f>"95205"</f>
        <v>95205</v>
      </c>
      <c r="E3132">
        <v>52.1</v>
      </c>
    </row>
    <row r="3133" spans="1:5" x14ac:dyDescent="0.2">
      <c r="A3133">
        <v>95206</v>
      </c>
      <c r="B3133" t="s">
        <v>10</v>
      </c>
      <c r="C3133">
        <v>95206</v>
      </c>
      <c r="D3133" t="str">
        <f>"95206"</f>
        <v>95206</v>
      </c>
      <c r="E3133">
        <v>59.3</v>
      </c>
    </row>
    <row r="3134" spans="1:5" x14ac:dyDescent="0.2">
      <c r="A3134">
        <v>95207</v>
      </c>
      <c r="B3134" t="s">
        <v>10</v>
      </c>
      <c r="C3134">
        <v>95207</v>
      </c>
      <c r="D3134" t="str">
        <f>"95207"</f>
        <v>95207</v>
      </c>
      <c r="E3134">
        <v>65.84</v>
      </c>
    </row>
    <row r="3135" spans="1:5" x14ac:dyDescent="0.2">
      <c r="A3135">
        <v>95208</v>
      </c>
      <c r="B3135" t="s">
        <v>10</v>
      </c>
      <c r="C3135">
        <v>95208</v>
      </c>
      <c r="D3135" t="str">
        <f>"95208"</f>
        <v>95208</v>
      </c>
      <c r="E3135" t="s">
        <v>6</v>
      </c>
    </row>
    <row r="3136" spans="1:5" x14ac:dyDescent="0.2">
      <c r="A3136">
        <v>95209</v>
      </c>
      <c r="B3136" t="s">
        <v>10</v>
      </c>
      <c r="C3136">
        <v>95209</v>
      </c>
      <c r="D3136" t="str">
        <f>"95209"</f>
        <v>95209</v>
      </c>
      <c r="E3136">
        <v>71.569999999999993</v>
      </c>
    </row>
    <row r="3137" spans="1:5" x14ac:dyDescent="0.2">
      <c r="A3137">
        <v>95210</v>
      </c>
      <c r="B3137" t="s">
        <v>10</v>
      </c>
      <c r="C3137">
        <v>95210</v>
      </c>
      <c r="D3137" t="str">
        <f>"95210"</f>
        <v>95210</v>
      </c>
      <c r="E3137">
        <v>58.1</v>
      </c>
    </row>
    <row r="3138" spans="1:5" x14ac:dyDescent="0.2">
      <c r="A3138">
        <v>95211</v>
      </c>
      <c r="B3138" t="s">
        <v>10</v>
      </c>
      <c r="C3138">
        <v>95211</v>
      </c>
      <c r="D3138" t="str">
        <f>"95211"</f>
        <v>95211</v>
      </c>
      <c r="E3138" t="s">
        <v>6</v>
      </c>
    </row>
    <row r="3139" spans="1:5" x14ac:dyDescent="0.2">
      <c r="A3139">
        <v>95212</v>
      </c>
      <c r="B3139" t="s">
        <v>10</v>
      </c>
      <c r="C3139">
        <v>95212</v>
      </c>
      <c r="D3139" t="str">
        <f>"95212"</f>
        <v>95212</v>
      </c>
      <c r="E3139">
        <v>69.150000000000006</v>
      </c>
    </row>
    <row r="3140" spans="1:5" x14ac:dyDescent="0.2">
      <c r="A3140">
        <v>95215</v>
      </c>
      <c r="B3140" t="s">
        <v>10</v>
      </c>
      <c r="C3140">
        <v>95215</v>
      </c>
      <c r="D3140" t="str">
        <f>"95215"</f>
        <v>95215</v>
      </c>
      <c r="E3140">
        <v>60.74</v>
      </c>
    </row>
    <row r="3141" spans="1:5" x14ac:dyDescent="0.2">
      <c r="A3141">
        <v>95219</v>
      </c>
      <c r="B3141" t="s">
        <v>10</v>
      </c>
      <c r="C3141">
        <v>95219</v>
      </c>
      <c r="D3141" t="str">
        <f>"95219"</f>
        <v>95219</v>
      </c>
      <c r="E3141">
        <v>78.53</v>
      </c>
    </row>
    <row r="3142" spans="1:5" x14ac:dyDescent="0.2">
      <c r="A3142">
        <v>95220</v>
      </c>
      <c r="B3142" t="s">
        <v>10</v>
      </c>
      <c r="C3142">
        <v>95220</v>
      </c>
      <c r="D3142" t="str">
        <f>"95220"</f>
        <v>95220</v>
      </c>
      <c r="E3142">
        <v>71.760000000000005</v>
      </c>
    </row>
    <row r="3143" spans="1:5" x14ac:dyDescent="0.2">
      <c r="A3143">
        <v>95222</v>
      </c>
      <c r="B3143" t="s">
        <v>10</v>
      </c>
      <c r="C3143">
        <v>95222</v>
      </c>
      <c r="D3143" t="str">
        <f>"95222"</f>
        <v>95222</v>
      </c>
      <c r="E3143">
        <v>75.41</v>
      </c>
    </row>
    <row r="3144" spans="1:5" x14ac:dyDescent="0.2">
      <c r="A3144">
        <v>95223</v>
      </c>
      <c r="B3144" t="s">
        <v>10</v>
      </c>
      <c r="C3144">
        <v>95223</v>
      </c>
      <c r="D3144" t="str">
        <f>"95223"</f>
        <v>95223</v>
      </c>
      <c r="E3144">
        <v>75.290000000000006</v>
      </c>
    </row>
    <row r="3145" spans="1:5" x14ac:dyDescent="0.2">
      <c r="A3145">
        <v>95224</v>
      </c>
      <c r="B3145" t="s">
        <v>10</v>
      </c>
      <c r="C3145">
        <v>95224</v>
      </c>
      <c r="D3145" t="str">
        <f>"95224"</f>
        <v>95224</v>
      </c>
      <c r="E3145" t="s">
        <v>6</v>
      </c>
    </row>
    <row r="3146" spans="1:5" x14ac:dyDescent="0.2">
      <c r="A3146">
        <v>95226</v>
      </c>
      <c r="B3146" t="s">
        <v>10</v>
      </c>
      <c r="C3146">
        <v>95226</v>
      </c>
      <c r="D3146" t="str">
        <f>"95226"</f>
        <v>95226</v>
      </c>
      <c r="E3146" t="s">
        <v>6</v>
      </c>
    </row>
    <row r="3147" spans="1:5" x14ac:dyDescent="0.2">
      <c r="A3147">
        <v>95227</v>
      </c>
      <c r="B3147" t="s">
        <v>10</v>
      </c>
      <c r="C3147">
        <v>95227</v>
      </c>
      <c r="D3147" t="str">
        <f>"95227"</f>
        <v>95227</v>
      </c>
      <c r="E3147" t="s">
        <v>6</v>
      </c>
    </row>
    <row r="3148" spans="1:5" x14ac:dyDescent="0.2">
      <c r="A3148">
        <v>95228</v>
      </c>
      <c r="B3148" t="s">
        <v>10</v>
      </c>
      <c r="C3148">
        <v>95228</v>
      </c>
      <c r="D3148" t="str">
        <f>"95228"</f>
        <v>95228</v>
      </c>
      <c r="E3148">
        <v>77.2</v>
      </c>
    </row>
    <row r="3149" spans="1:5" x14ac:dyDescent="0.2">
      <c r="A3149">
        <v>95229</v>
      </c>
      <c r="B3149" t="s">
        <v>10</v>
      </c>
      <c r="C3149">
        <v>95229</v>
      </c>
      <c r="D3149" t="str">
        <f>"95229"</f>
        <v>95229</v>
      </c>
      <c r="E3149" t="s">
        <v>6</v>
      </c>
    </row>
    <row r="3150" spans="1:5" x14ac:dyDescent="0.2">
      <c r="A3150">
        <v>95230</v>
      </c>
      <c r="B3150" t="s">
        <v>10</v>
      </c>
      <c r="C3150">
        <v>95230</v>
      </c>
      <c r="D3150" t="str">
        <f>"95230"</f>
        <v>95230</v>
      </c>
      <c r="E3150">
        <v>66.67</v>
      </c>
    </row>
    <row r="3151" spans="1:5" x14ac:dyDescent="0.2">
      <c r="A3151">
        <v>95231</v>
      </c>
      <c r="B3151" t="s">
        <v>10</v>
      </c>
      <c r="C3151">
        <v>95231</v>
      </c>
      <c r="D3151" t="str">
        <f>"95231"</f>
        <v>95231</v>
      </c>
      <c r="E3151">
        <v>65.5</v>
      </c>
    </row>
    <row r="3152" spans="1:5" x14ac:dyDescent="0.2">
      <c r="A3152">
        <v>95232</v>
      </c>
      <c r="B3152" t="s">
        <v>10</v>
      </c>
      <c r="C3152">
        <v>95232</v>
      </c>
      <c r="D3152" t="str">
        <f>"95232"</f>
        <v>95232</v>
      </c>
      <c r="E3152">
        <v>81.819999999999993</v>
      </c>
    </row>
    <row r="3153" spans="1:5" x14ac:dyDescent="0.2">
      <c r="A3153">
        <v>95233</v>
      </c>
      <c r="B3153" t="s">
        <v>10</v>
      </c>
      <c r="C3153">
        <v>95233</v>
      </c>
      <c r="D3153" t="str">
        <f>"95233"</f>
        <v>95233</v>
      </c>
      <c r="E3153" t="s">
        <v>6</v>
      </c>
    </row>
    <row r="3154" spans="1:5" x14ac:dyDescent="0.2">
      <c r="A3154">
        <v>95234</v>
      </c>
      <c r="B3154" t="s">
        <v>10</v>
      </c>
      <c r="C3154">
        <v>95234</v>
      </c>
      <c r="D3154" t="str">
        <f>"95234"</f>
        <v>95234</v>
      </c>
      <c r="E3154" t="s">
        <v>6</v>
      </c>
    </row>
    <row r="3155" spans="1:5" x14ac:dyDescent="0.2">
      <c r="A3155">
        <v>95236</v>
      </c>
      <c r="B3155" t="s">
        <v>10</v>
      </c>
      <c r="C3155">
        <v>95236</v>
      </c>
      <c r="D3155" t="str">
        <f>"95236"</f>
        <v>95236</v>
      </c>
      <c r="E3155">
        <v>75.400000000000006</v>
      </c>
    </row>
    <row r="3156" spans="1:5" x14ac:dyDescent="0.2">
      <c r="A3156">
        <v>95237</v>
      </c>
      <c r="B3156" t="s">
        <v>10</v>
      </c>
      <c r="C3156">
        <v>95237</v>
      </c>
      <c r="D3156" t="str">
        <f>"95237"</f>
        <v>95237</v>
      </c>
      <c r="E3156">
        <v>68.599999999999994</v>
      </c>
    </row>
    <row r="3157" spans="1:5" x14ac:dyDescent="0.2">
      <c r="A3157">
        <v>95240</v>
      </c>
      <c r="B3157" t="s">
        <v>10</v>
      </c>
      <c r="C3157">
        <v>95240</v>
      </c>
      <c r="D3157" t="str">
        <f>"95240"</f>
        <v>95240</v>
      </c>
      <c r="E3157">
        <v>66.58</v>
      </c>
    </row>
    <row r="3158" spans="1:5" x14ac:dyDescent="0.2">
      <c r="A3158">
        <v>95242</v>
      </c>
      <c r="B3158" t="s">
        <v>10</v>
      </c>
      <c r="C3158">
        <v>95242</v>
      </c>
      <c r="D3158" t="str">
        <f>"95242"</f>
        <v>95242</v>
      </c>
      <c r="E3158">
        <v>78.91</v>
      </c>
    </row>
    <row r="3159" spans="1:5" x14ac:dyDescent="0.2">
      <c r="A3159">
        <v>95245</v>
      </c>
      <c r="B3159" t="s">
        <v>10</v>
      </c>
      <c r="C3159">
        <v>95245</v>
      </c>
      <c r="D3159" t="str">
        <f>"95245"</f>
        <v>95245</v>
      </c>
      <c r="E3159">
        <v>76.319999999999993</v>
      </c>
    </row>
    <row r="3160" spans="1:5" x14ac:dyDescent="0.2">
      <c r="A3160">
        <v>95246</v>
      </c>
      <c r="B3160" t="s">
        <v>10</v>
      </c>
      <c r="C3160">
        <v>95246</v>
      </c>
      <c r="D3160" t="str">
        <f>"95246"</f>
        <v>95246</v>
      </c>
      <c r="E3160">
        <v>70.69</v>
      </c>
    </row>
    <row r="3161" spans="1:5" x14ac:dyDescent="0.2">
      <c r="A3161">
        <v>95247</v>
      </c>
      <c r="B3161" t="s">
        <v>10</v>
      </c>
      <c r="C3161">
        <v>95247</v>
      </c>
      <c r="D3161" t="str">
        <f>"95247"</f>
        <v>95247</v>
      </c>
      <c r="E3161">
        <v>75.239999999999995</v>
      </c>
    </row>
    <row r="3162" spans="1:5" x14ac:dyDescent="0.2">
      <c r="A3162">
        <v>95249</v>
      </c>
      <c r="B3162" t="s">
        <v>10</v>
      </c>
      <c r="C3162">
        <v>95249</v>
      </c>
      <c r="D3162" t="str">
        <f>"95249"</f>
        <v>95249</v>
      </c>
      <c r="E3162">
        <v>70</v>
      </c>
    </row>
    <row r="3163" spans="1:5" x14ac:dyDescent="0.2">
      <c r="A3163">
        <v>95251</v>
      </c>
      <c r="B3163" t="s">
        <v>10</v>
      </c>
      <c r="C3163">
        <v>95251</v>
      </c>
      <c r="D3163" t="str">
        <f>"95251"</f>
        <v>95251</v>
      </c>
      <c r="E3163">
        <v>70</v>
      </c>
    </row>
    <row r="3164" spans="1:5" x14ac:dyDescent="0.2">
      <c r="A3164">
        <v>95252</v>
      </c>
      <c r="B3164" t="s">
        <v>10</v>
      </c>
      <c r="C3164">
        <v>95252</v>
      </c>
      <c r="D3164" t="str">
        <f>"95252"</f>
        <v>95252</v>
      </c>
      <c r="E3164">
        <v>77</v>
      </c>
    </row>
    <row r="3165" spans="1:5" x14ac:dyDescent="0.2">
      <c r="A3165">
        <v>95253</v>
      </c>
      <c r="B3165" t="s">
        <v>10</v>
      </c>
      <c r="C3165">
        <v>95253</v>
      </c>
      <c r="D3165" t="str">
        <f>"95253"</f>
        <v>95253</v>
      </c>
      <c r="E3165" t="s">
        <v>6</v>
      </c>
    </row>
    <row r="3166" spans="1:5" x14ac:dyDescent="0.2">
      <c r="A3166">
        <v>95255</v>
      </c>
      <c r="B3166" t="s">
        <v>10</v>
      </c>
      <c r="C3166">
        <v>95255</v>
      </c>
      <c r="D3166" t="str">
        <f>"95255"</f>
        <v>95255</v>
      </c>
      <c r="E3166">
        <v>68.180000000000007</v>
      </c>
    </row>
    <row r="3167" spans="1:5" x14ac:dyDescent="0.2">
      <c r="A3167">
        <v>95257</v>
      </c>
      <c r="B3167" t="s">
        <v>10</v>
      </c>
      <c r="C3167">
        <v>95257</v>
      </c>
      <c r="D3167" t="str">
        <f>"95257"</f>
        <v>95257</v>
      </c>
      <c r="E3167">
        <v>72.22</v>
      </c>
    </row>
    <row r="3168" spans="1:5" x14ac:dyDescent="0.2">
      <c r="A3168">
        <v>95258</v>
      </c>
      <c r="B3168" t="s">
        <v>10</v>
      </c>
      <c r="C3168">
        <v>95258</v>
      </c>
      <c r="D3168" t="str">
        <f>"95258"</f>
        <v>95258</v>
      </c>
      <c r="E3168">
        <v>73.83</v>
      </c>
    </row>
    <row r="3169" spans="1:5" x14ac:dyDescent="0.2">
      <c r="A3169">
        <v>95301</v>
      </c>
      <c r="B3169" t="s">
        <v>10</v>
      </c>
      <c r="C3169">
        <v>95301</v>
      </c>
      <c r="D3169" t="str">
        <f>"95301"</f>
        <v>95301</v>
      </c>
      <c r="E3169">
        <v>66.19</v>
      </c>
    </row>
    <row r="3170" spans="1:5" x14ac:dyDescent="0.2">
      <c r="A3170">
        <v>95303</v>
      </c>
      <c r="B3170" t="s">
        <v>10</v>
      </c>
      <c r="C3170">
        <v>95303</v>
      </c>
      <c r="D3170" t="str">
        <f>"95303"</f>
        <v>95303</v>
      </c>
      <c r="E3170">
        <v>65.709999999999994</v>
      </c>
    </row>
    <row r="3171" spans="1:5" x14ac:dyDescent="0.2">
      <c r="A3171">
        <v>95304</v>
      </c>
      <c r="B3171" t="s">
        <v>10</v>
      </c>
      <c r="C3171">
        <v>95304</v>
      </c>
      <c r="D3171" t="str">
        <f>"95304"</f>
        <v>95304</v>
      </c>
      <c r="E3171">
        <v>76.83</v>
      </c>
    </row>
    <row r="3172" spans="1:5" x14ac:dyDescent="0.2">
      <c r="A3172">
        <v>95306</v>
      </c>
      <c r="B3172" t="s">
        <v>10</v>
      </c>
      <c r="C3172">
        <v>95306</v>
      </c>
      <c r="D3172" t="str">
        <f>"95306"</f>
        <v>95306</v>
      </c>
      <c r="E3172">
        <v>72.5</v>
      </c>
    </row>
    <row r="3173" spans="1:5" x14ac:dyDescent="0.2">
      <c r="A3173">
        <v>95307</v>
      </c>
      <c r="B3173" t="s">
        <v>10</v>
      </c>
      <c r="C3173">
        <v>95307</v>
      </c>
      <c r="D3173" t="str">
        <f>"95307"</f>
        <v>95307</v>
      </c>
      <c r="E3173">
        <v>64.099999999999994</v>
      </c>
    </row>
    <row r="3174" spans="1:5" x14ac:dyDescent="0.2">
      <c r="A3174">
        <v>95309</v>
      </c>
      <c r="B3174" t="s">
        <v>10</v>
      </c>
      <c r="C3174">
        <v>95309</v>
      </c>
      <c r="D3174" t="str">
        <f>"95309"</f>
        <v>95309</v>
      </c>
      <c r="E3174" t="s">
        <v>6</v>
      </c>
    </row>
    <row r="3175" spans="1:5" x14ac:dyDescent="0.2">
      <c r="A3175">
        <v>95310</v>
      </c>
      <c r="B3175" t="s">
        <v>10</v>
      </c>
      <c r="C3175">
        <v>95310</v>
      </c>
      <c r="D3175" t="str">
        <f>"95310"</f>
        <v>95310</v>
      </c>
      <c r="E3175">
        <v>74.040000000000006</v>
      </c>
    </row>
    <row r="3176" spans="1:5" x14ac:dyDescent="0.2">
      <c r="A3176">
        <v>95311</v>
      </c>
      <c r="B3176" t="s">
        <v>10</v>
      </c>
      <c r="C3176">
        <v>95311</v>
      </c>
      <c r="D3176" t="str">
        <f>"95311"</f>
        <v>95311</v>
      </c>
      <c r="E3176">
        <v>71.05</v>
      </c>
    </row>
    <row r="3177" spans="1:5" x14ac:dyDescent="0.2">
      <c r="A3177">
        <v>95312</v>
      </c>
      <c r="B3177" t="s">
        <v>10</v>
      </c>
      <c r="C3177">
        <v>95312</v>
      </c>
      <c r="D3177" t="str">
        <f>"95312"</f>
        <v>95312</v>
      </c>
      <c r="E3177" t="s">
        <v>6</v>
      </c>
    </row>
    <row r="3178" spans="1:5" x14ac:dyDescent="0.2">
      <c r="A3178">
        <v>95313</v>
      </c>
      <c r="B3178" t="s">
        <v>10</v>
      </c>
      <c r="C3178">
        <v>95313</v>
      </c>
      <c r="D3178" t="str">
        <f>"95313"</f>
        <v>95313</v>
      </c>
      <c r="E3178">
        <v>60</v>
      </c>
    </row>
    <row r="3179" spans="1:5" x14ac:dyDescent="0.2">
      <c r="A3179">
        <v>95315</v>
      </c>
      <c r="B3179" t="s">
        <v>10</v>
      </c>
      <c r="C3179">
        <v>95315</v>
      </c>
      <c r="D3179" t="str">
        <f>"95315"</f>
        <v>95315</v>
      </c>
      <c r="E3179">
        <v>61.31</v>
      </c>
    </row>
    <row r="3180" spans="1:5" x14ac:dyDescent="0.2">
      <c r="A3180">
        <v>95316</v>
      </c>
      <c r="B3180" t="s">
        <v>10</v>
      </c>
      <c r="C3180">
        <v>95316</v>
      </c>
      <c r="D3180" t="str">
        <f>"95316"</f>
        <v>95316</v>
      </c>
      <c r="E3180">
        <v>73.31</v>
      </c>
    </row>
    <row r="3181" spans="1:5" x14ac:dyDescent="0.2">
      <c r="A3181">
        <v>95317</v>
      </c>
      <c r="B3181" t="s">
        <v>10</v>
      </c>
      <c r="C3181">
        <v>95317</v>
      </c>
      <c r="D3181" t="str">
        <f>"95317"</f>
        <v>95317</v>
      </c>
      <c r="E3181">
        <v>62.86</v>
      </c>
    </row>
    <row r="3182" spans="1:5" x14ac:dyDescent="0.2">
      <c r="A3182">
        <v>95318</v>
      </c>
      <c r="B3182" t="s">
        <v>10</v>
      </c>
      <c r="C3182">
        <v>95318</v>
      </c>
      <c r="D3182" t="str">
        <f>"95318"</f>
        <v>95318</v>
      </c>
      <c r="E3182" t="s">
        <v>6</v>
      </c>
    </row>
    <row r="3183" spans="1:5" x14ac:dyDescent="0.2">
      <c r="A3183">
        <v>95320</v>
      </c>
      <c r="B3183" t="s">
        <v>10</v>
      </c>
      <c r="C3183">
        <v>95320</v>
      </c>
      <c r="D3183" t="str">
        <f>"95320"</f>
        <v>95320</v>
      </c>
      <c r="E3183">
        <v>74.91</v>
      </c>
    </row>
    <row r="3184" spans="1:5" x14ac:dyDescent="0.2">
      <c r="A3184">
        <v>95321</v>
      </c>
      <c r="B3184" t="s">
        <v>10</v>
      </c>
      <c r="C3184">
        <v>95321</v>
      </c>
      <c r="D3184" t="str">
        <f>"95321"</f>
        <v>95321</v>
      </c>
      <c r="E3184">
        <v>75.599999999999994</v>
      </c>
    </row>
    <row r="3185" spans="1:5" x14ac:dyDescent="0.2">
      <c r="A3185">
        <v>95322</v>
      </c>
      <c r="B3185" t="s">
        <v>10</v>
      </c>
      <c r="C3185">
        <v>95322</v>
      </c>
      <c r="D3185" t="str">
        <f>"95322"</f>
        <v>95322</v>
      </c>
      <c r="E3185">
        <v>64.34</v>
      </c>
    </row>
    <row r="3186" spans="1:5" x14ac:dyDescent="0.2">
      <c r="A3186">
        <v>95323</v>
      </c>
      <c r="B3186" t="s">
        <v>10</v>
      </c>
      <c r="C3186">
        <v>95323</v>
      </c>
      <c r="D3186" t="str">
        <f>"95323"</f>
        <v>95323</v>
      </c>
      <c r="E3186">
        <v>69.64</v>
      </c>
    </row>
    <row r="3187" spans="1:5" x14ac:dyDescent="0.2">
      <c r="A3187">
        <v>95324</v>
      </c>
      <c r="B3187" t="s">
        <v>10</v>
      </c>
      <c r="C3187">
        <v>95324</v>
      </c>
      <c r="D3187" t="str">
        <f>"95324"</f>
        <v>95324</v>
      </c>
      <c r="E3187">
        <v>73.23</v>
      </c>
    </row>
    <row r="3188" spans="1:5" x14ac:dyDescent="0.2">
      <c r="A3188">
        <v>95325</v>
      </c>
      <c r="B3188" t="s">
        <v>10</v>
      </c>
      <c r="C3188">
        <v>95325</v>
      </c>
      <c r="D3188" t="str">
        <f>"95325"</f>
        <v>95325</v>
      </c>
      <c r="E3188" t="s">
        <v>6</v>
      </c>
    </row>
    <row r="3189" spans="1:5" x14ac:dyDescent="0.2">
      <c r="A3189">
        <v>95326</v>
      </c>
      <c r="B3189" t="s">
        <v>10</v>
      </c>
      <c r="C3189">
        <v>95326</v>
      </c>
      <c r="D3189" t="str">
        <f>"95326"</f>
        <v>95326</v>
      </c>
      <c r="E3189">
        <v>70.959999999999994</v>
      </c>
    </row>
    <row r="3190" spans="1:5" x14ac:dyDescent="0.2">
      <c r="A3190">
        <v>95327</v>
      </c>
      <c r="B3190" t="s">
        <v>10</v>
      </c>
      <c r="C3190">
        <v>95327</v>
      </c>
      <c r="D3190" t="str">
        <f>"95327"</f>
        <v>95327</v>
      </c>
      <c r="E3190">
        <v>72.45</v>
      </c>
    </row>
    <row r="3191" spans="1:5" x14ac:dyDescent="0.2">
      <c r="A3191">
        <v>95328</v>
      </c>
      <c r="B3191" t="s">
        <v>10</v>
      </c>
      <c r="C3191">
        <v>95328</v>
      </c>
      <c r="D3191" t="str">
        <f>"95328"</f>
        <v>95328</v>
      </c>
      <c r="E3191">
        <v>62.2</v>
      </c>
    </row>
    <row r="3192" spans="1:5" x14ac:dyDescent="0.2">
      <c r="A3192">
        <v>95329</v>
      </c>
      <c r="B3192" t="s">
        <v>10</v>
      </c>
      <c r="C3192">
        <v>95329</v>
      </c>
      <c r="D3192" t="str">
        <f>"95329"</f>
        <v>95329</v>
      </c>
      <c r="E3192">
        <v>73.08</v>
      </c>
    </row>
    <row r="3193" spans="1:5" x14ac:dyDescent="0.2">
      <c r="A3193">
        <v>95330</v>
      </c>
      <c r="B3193" t="s">
        <v>10</v>
      </c>
      <c r="C3193">
        <v>95330</v>
      </c>
      <c r="D3193" t="str">
        <f>"95330"</f>
        <v>95330</v>
      </c>
      <c r="E3193">
        <v>73.5</v>
      </c>
    </row>
    <row r="3194" spans="1:5" x14ac:dyDescent="0.2">
      <c r="A3194">
        <v>95333</v>
      </c>
      <c r="B3194" t="s">
        <v>10</v>
      </c>
      <c r="C3194">
        <v>95333</v>
      </c>
      <c r="D3194" t="str">
        <f>"95333"</f>
        <v>95333</v>
      </c>
      <c r="E3194">
        <v>62.26</v>
      </c>
    </row>
    <row r="3195" spans="1:5" x14ac:dyDescent="0.2">
      <c r="A3195">
        <v>95334</v>
      </c>
      <c r="B3195" t="s">
        <v>10</v>
      </c>
      <c r="C3195">
        <v>95334</v>
      </c>
      <c r="D3195" t="str">
        <f>"95334"</f>
        <v>95334</v>
      </c>
      <c r="E3195">
        <v>59.58</v>
      </c>
    </row>
    <row r="3196" spans="1:5" x14ac:dyDescent="0.2">
      <c r="A3196">
        <v>95335</v>
      </c>
      <c r="B3196" t="s">
        <v>10</v>
      </c>
      <c r="C3196">
        <v>95335</v>
      </c>
      <c r="D3196" t="str">
        <f>"95335"</f>
        <v>95335</v>
      </c>
      <c r="E3196">
        <v>76.92</v>
      </c>
    </row>
    <row r="3197" spans="1:5" x14ac:dyDescent="0.2">
      <c r="A3197">
        <v>95336</v>
      </c>
      <c r="B3197" t="s">
        <v>10</v>
      </c>
      <c r="C3197">
        <v>95336</v>
      </c>
      <c r="D3197" t="str">
        <f>"95336"</f>
        <v>95336</v>
      </c>
      <c r="E3197">
        <v>74.150000000000006</v>
      </c>
    </row>
    <row r="3198" spans="1:5" x14ac:dyDescent="0.2">
      <c r="A3198">
        <v>95337</v>
      </c>
      <c r="B3198" t="s">
        <v>10</v>
      </c>
      <c r="C3198">
        <v>95337</v>
      </c>
      <c r="D3198" t="str">
        <f>"95337"</f>
        <v>95337</v>
      </c>
      <c r="E3198">
        <v>74.77</v>
      </c>
    </row>
    <row r="3199" spans="1:5" x14ac:dyDescent="0.2">
      <c r="A3199">
        <v>95338</v>
      </c>
      <c r="B3199" t="s">
        <v>10</v>
      </c>
      <c r="C3199">
        <v>95338</v>
      </c>
      <c r="D3199" t="str">
        <f>"95338"</f>
        <v>95338</v>
      </c>
      <c r="E3199">
        <v>72.06</v>
      </c>
    </row>
    <row r="3200" spans="1:5" x14ac:dyDescent="0.2">
      <c r="A3200">
        <v>95340</v>
      </c>
      <c r="B3200" t="s">
        <v>10</v>
      </c>
      <c r="C3200">
        <v>95340</v>
      </c>
      <c r="D3200" t="str">
        <f>"95340"</f>
        <v>95340</v>
      </c>
      <c r="E3200">
        <v>67.56</v>
      </c>
    </row>
    <row r="3201" spans="1:5" x14ac:dyDescent="0.2">
      <c r="A3201">
        <v>95341</v>
      </c>
      <c r="B3201" t="s">
        <v>10</v>
      </c>
      <c r="C3201">
        <v>95341</v>
      </c>
      <c r="D3201" t="str">
        <f>"95341"</f>
        <v>95341</v>
      </c>
      <c r="E3201">
        <v>48.43</v>
      </c>
    </row>
    <row r="3202" spans="1:5" x14ac:dyDescent="0.2">
      <c r="A3202">
        <v>95343</v>
      </c>
      <c r="B3202" t="s">
        <v>10</v>
      </c>
      <c r="C3202">
        <v>95343</v>
      </c>
      <c r="D3202" t="str">
        <f>"95343"</f>
        <v>95343</v>
      </c>
      <c r="E3202" t="s">
        <v>6</v>
      </c>
    </row>
    <row r="3203" spans="1:5" x14ac:dyDescent="0.2">
      <c r="A3203">
        <v>95345</v>
      </c>
      <c r="B3203" t="s">
        <v>10</v>
      </c>
      <c r="C3203">
        <v>95345</v>
      </c>
      <c r="D3203" t="str">
        <f>"95345"</f>
        <v>95345</v>
      </c>
      <c r="E3203">
        <v>70.59</v>
      </c>
    </row>
    <row r="3204" spans="1:5" x14ac:dyDescent="0.2">
      <c r="A3204">
        <v>95346</v>
      </c>
      <c r="B3204" t="s">
        <v>10</v>
      </c>
      <c r="C3204">
        <v>95346</v>
      </c>
      <c r="D3204" t="str">
        <f>"95346"</f>
        <v>95346</v>
      </c>
      <c r="E3204">
        <v>75.510000000000005</v>
      </c>
    </row>
    <row r="3205" spans="1:5" x14ac:dyDescent="0.2">
      <c r="A3205">
        <v>95347</v>
      </c>
      <c r="B3205" t="s">
        <v>10</v>
      </c>
      <c r="C3205">
        <v>95347</v>
      </c>
      <c r="D3205" t="str">
        <f>"95347"</f>
        <v>95347</v>
      </c>
      <c r="E3205" t="s">
        <v>6</v>
      </c>
    </row>
    <row r="3206" spans="1:5" x14ac:dyDescent="0.2">
      <c r="A3206">
        <v>95348</v>
      </c>
      <c r="B3206" t="s">
        <v>10</v>
      </c>
      <c r="C3206">
        <v>95348</v>
      </c>
      <c r="D3206" t="str">
        <f>"95348"</f>
        <v>95348</v>
      </c>
      <c r="E3206">
        <v>63.49</v>
      </c>
    </row>
    <row r="3207" spans="1:5" x14ac:dyDescent="0.2">
      <c r="A3207">
        <v>95350</v>
      </c>
      <c r="B3207" t="s">
        <v>10</v>
      </c>
      <c r="C3207">
        <v>95350</v>
      </c>
      <c r="D3207" t="str">
        <f>"95350"</f>
        <v>95350</v>
      </c>
      <c r="E3207">
        <v>69.790000000000006</v>
      </c>
    </row>
    <row r="3208" spans="1:5" x14ac:dyDescent="0.2">
      <c r="A3208">
        <v>95351</v>
      </c>
      <c r="B3208" t="s">
        <v>10</v>
      </c>
      <c r="C3208">
        <v>95351</v>
      </c>
      <c r="D3208" t="str">
        <f>"95351"</f>
        <v>95351</v>
      </c>
      <c r="E3208">
        <v>54.64</v>
      </c>
    </row>
    <row r="3209" spans="1:5" x14ac:dyDescent="0.2">
      <c r="A3209">
        <v>95354</v>
      </c>
      <c r="B3209" t="s">
        <v>10</v>
      </c>
      <c r="C3209">
        <v>95354</v>
      </c>
      <c r="D3209" t="str">
        <f>"95354"</f>
        <v>95354</v>
      </c>
      <c r="E3209">
        <v>64.88</v>
      </c>
    </row>
    <row r="3210" spans="1:5" x14ac:dyDescent="0.2">
      <c r="A3210">
        <v>95355</v>
      </c>
      <c r="B3210" t="s">
        <v>10</v>
      </c>
      <c r="C3210">
        <v>95355</v>
      </c>
      <c r="D3210" t="str">
        <f>"95355"</f>
        <v>95355</v>
      </c>
      <c r="E3210">
        <v>74.55</v>
      </c>
    </row>
    <row r="3211" spans="1:5" x14ac:dyDescent="0.2">
      <c r="A3211">
        <v>95356</v>
      </c>
      <c r="B3211" t="s">
        <v>10</v>
      </c>
      <c r="C3211">
        <v>95356</v>
      </c>
      <c r="D3211" t="str">
        <f>"95356"</f>
        <v>95356</v>
      </c>
      <c r="E3211">
        <v>75.349999999999994</v>
      </c>
    </row>
    <row r="3212" spans="1:5" x14ac:dyDescent="0.2">
      <c r="A3212">
        <v>95357</v>
      </c>
      <c r="B3212" t="s">
        <v>10</v>
      </c>
      <c r="C3212">
        <v>95357</v>
      </c>
      <c r="D3212" t="str">
        <f>"95357"</f>
        <v>95357</v>
      </c>
      <c r="E3212">
        <v>71.989999999999995</v>
      </c>
    </row>
    <row r="3213" spans="1:5" x14ac:dyDescent="0.2">
      <c r="A3213">
        <v>95358</v>
      </c>
      <c r="B3213" t="s">
        <v>10</v>
      </c>
      <c r="C3213">
        <v>95358</v>
      </c>
      <c r="D3213" t="str">
        <f>"95358"</f>
        <v>95358</v>
      </c>
      <c r="E3213">
        <v>61.51</v>
      </c>
    </row>
    <row r="3214" spans="1:5" x14ac:dyDescent="0.2">
      <c r="A3214">
        <v>95360</v>
      </c>
      <c r="B3214" t="s">
        <v>10</v>
      </c>
      <c r="C3214">
        <v>95360</v>
      </c>
      <c r="D3214" t="str">
        <f>"95360"</f>
        <v>95360</v>
      </c>
      <c r="E3214">
        <v>63.48</v>
      </c>
    </row>
    <row r="3215" spans="1:5" x14ac:dyDescent="0.2">
      <c r="A3215">
        <v>95361</v>
      </c>
      <c r="B3215" t="s">
        <v>10</v>
      </c>
      <c r="C3215">
        <v>95361</v>
      </c>
      <c r="D3215" t="str">
        <f>"95361"</f>
        <v>95361</v>
      </c>
      <c r="E3215">
        <v>73.98</v>
      </c>
    </row>
    <row r="3216" spans="1:5" x14ac:dyDescent="0.2">
      <c r="A3216">
        <v>95363</v>
      </c>
      <c r="B3216" t="s">
        <v>10</v>
      </c>
      <c r="C3216">
        <v>95363</v>
      </c>
      <c r="D3216" t="str">
        <f>"95363"</f>
        <v>95363</v>
      </c>
      <c r="E3216">
        <v>69.31</v>
      </c>
    </row>
    <row r="3217" spans="1:5" x14ac:dyDescent="0.2">
      <c r="A3217">
        <v>95364</v>
      </c>
      <c r="B3217" t="s">
        <v>10</v>
      </c>
      <c r="C3217">
        <v>95364</v>
      </c>
      <c r="D3217" t="str">
        <f>"95364"</f>
        <v>95364</v>
      </c>
      <c r="E3217" t="s">
        <v>6</v>
      </c>
    </row>
    <row r="3218" spans="1:5" x14ac:dyDescent="0.2">
      <c r="A3218">
        <v>95365</v>
      </c>
      <c r="B3218" t="s">
        <v>10</v>
      </c>
      <c r="C3218">
        <v>95365</v>
      </c>
      <c r="D3218" t="str">
        <f>"95365"</f>
        <v>95365</v>
      </c>
      <c r="E3218">
        <v>54.59</v>
      </c>
    </row>
    <row r="3219" spans="1:5" x14ac:dyDescent="0.2">
      <c r="A3219">
        <v>95366</v>
      </c>
      <c r="B3219" t="s">
        <v>10</v>
      </c>
      <c r="C3219">
        <v>95366</v>
      </c>
      <c r="D3219" t="str">
        <f>"95366"</f>
        <v>95366</v>
      </c>
      <c r="E3219">
        <v>78.89</v>
      </c>
    </row>
    <row r="3220" spans="1:5" x14ac:dyDescent="0.2">
      <c r="A3220">
        <v>95367</v>
      </c>
      <c r="B3220" t="s">
        <v>10</v>
      </c>
      <c r="C3220">
        <v>95367</v>
      </c>
      <c r="D3220" t="str">
        <f>"95367"</f>
        <v>95367</v>
      </c>
      <c r="E3220">
        <v>69.010000000000005</v>
      </c>
    </row>
    <row r="3221" spans="1:5" x14ac:dyDescent="0.2">
      <c r="A3221">
        <v>95368</v>
      </c>
      <c r="B3221" t="s">
        <v>10</v>
      </c>
      <c r="C3221">
        <v>95368</v>
      </c>
      <c r="D3221" t="str">
        <f>"95368"</f>
        <v>95368</v>
      </c>
      <c r="E3221">
        <v>73.42</v>
      </c>
    </row>
    <row r="3222" spans="1:5" x14ac:dyDescent="0.2">
      <c r="A3222">
        <v>95369</v>
      </c>
      <c r="B3222" t="s">
        <v>10</v>
      </c>
      <c r="C3222">
        <v>95369</v>
      </c>
      <c r="D3222" t="str">
        <f>"95369"</f>
        <v>95369</v>
      </c>
      <c r="E3222">
        <v>67.650000000000006</v>
      </c>
    </row>
    <row r="3223" spans="1:5" x14ac:dyDescent="0.2">
      <c r="A3223">
        <v>95370</v>
      </c>
      <c r="B3223" t="s">
        <v>10</v>
      </c>
      <c r="C3223">
        <v>95370</v>
      </c>
      <c r="D3223" t="str">
        <f>"95370"</f>
        <v>95370</v>
      </c>
      <c r="E3223">
        <v>74.27</v>
      </c>
    </row>
    <row r="3224" spans="1:5" x14ac:dyDescent="0.2">
      <c r="A3224">
        <v>95372</v>
      </c>
      <c r="B3224" t="s">
        <v>10</v>
      </c>
      <c r="C3224">
        <v>95372</v>
      </c>
      <c r="D3224" t="str">
        <f>"95372"</f>
        <v>95372</v>
      </c>
      <c r="E3224">
        <v>74.59</v>
      </c>
    </row>
    <row r="3225" spans="1:5" x14ac:dyDescent="0.2">
      <c r="A3225">
        <v>95373</v>
      </c>
      <c r="B3225" t="s">
        <v>10</v>
      </c>
      <c r="C3225">
        <v>95373</v>
      </c>
      <c r="D3225" t="str">
        <f>"95373"</f>
        <v>95373</v>
      </c>
      <c r="E3225" t="s">
        <v>6</v>
      </c>
    </row>
    <row r="3226" spans="1:5" x14ac:dyDescent="0.2">
      <c r="A3226">
        <v>95374</v>
      </c>
      <c r="B3226" t="s">
        <v>10</v>
      </c>
      <c r="C3226">
        <v>95374</v>
      </c>
      <c r="D3226" t="str">
        <f>"95374"</f>
        <v>95374</v>
      </c>
      <c r="E3226">
        <v>60</v>
      </c>
    </row>
    <row r="3227" spans="1:5" x14ac:dyDescent="0.2">
      <c r="A3227">
        <v>95375</v>
      </c>
      <c r="B3227" t="s">
        <v>10</v>
      </c>
      <c r="C3227">
        <v>95375</v>
      </c>
      <c r="D3227" t="str">
        <f>"95375"</f>
        <v>95375</v>
      </c>
      <c r="E3227" t="s">
        <v>6</v>
      </c>
    </row>
    <row r="3228" spans="1:5" x14ac:dyDescent="0.2">
      <c r="A3228">
        <v>95376</v>
      </c>
      <c r="B3228" t="s">
        <v>10</v>
      </c>
      <c r="C3228">
        <v>95376</v>
      </c>
      <c r="D3228" t="str">
        <f>"95376"</f>
        <v>95376</v>
      </c>
      <c r="E3228">
        <v>74.040000000000006</v>
      </c>
    </row>
    <row r="3229" spans="1:5" x14ac:dyDescent="0.2">
      <c r="A3229">
        <v>95377</v>
      </c>
      <c r="B3229" t="s">
        <v>10</v>
      </c>
      <c r="C3229">
        <v>95377</v>
      </c>
      <c r="D3229" t="str">
        <f>"95377"</f>
        <v>95377</v>
      </c>
      <c r="E3229">
        <v>76.94</v>
      </c>
    </row>
    <row r="3230" spans="1:5" x14ac:dyDescent="0.2">
      <c r="A3230">
        <v>95379</v>
      </c>
      <c r="B3230" t="s">
        <v>10</v>
      </c>
      <c r="C3230">
        <v>95379</v>
      </c>
      <c r="D3230" t="str">
        <f>"95379"</f>
        <v>95379</v>
      </c>
      <c r="E3230">
        <v>74.72</v>
      </c>
    </row>
    <row r="3231" spans="1:5" x14ac:dyDescent="0.2">
      <c r="A3231">
        <v>95380</v>
      </c>
      <c r="B3231" t="s">
        <v>10</v>
      </c>
      <c r="C3231">
        <v>95380</v>
      </c>
      <c r="D3231" t="str">
        <f>"95380"</f>
        <v>95380</v>
      </c>
      <c r="E3231">
        <v>63.28</v>
      </c>
    </row>
    <row r="3232" spans="1:5" x14ac:dyDescent="0.2">
      <c r="A3232">
        <v>95382</v>
      </c>
      <c r="B3232" t="s">
        <v>10</v>
      </c>
      <c r="C3232">
        <v>95382</v>
      </c>
      <c r="D3232" t="str">
        <f>"95382"</f>
        <v>95382</v>
      </c>
      <c r="E3232">
        <v>74.78</v>
      </c>
    </row>
    <row r="3233" spans="1:5" x14ac:dyDescent="0.2">
      <c r="A3233">
        <v>95383</v>
      </c>
      <c r="B3233" t="s">
        <v>10</v>
      </c>
      <c r="C3233">
        <v>95383</v>
      </c>
      <c r="D3233" t="str">
        <f>"95383"</f>
        <v>95383</v>
      </c>
      <c r="E3233">
        <v>78.39</v>
      </c>
    </row>
    <row r="3234" spans="1:5" x14ac:dyDescent="0.2">
      <c r="A3234">
        <v>95385</v>
      </c>
      <c r="B3234" t="s">
        <v>10</v>
      </c>
      <c r="C3234">
        <v>95385</v>
      </c>
      <c r="D3234" t="str">
        <f>"95385"</f>
        <v>95385</v>
      </c>
      <c r="E3234">
        <v>61.54</v>
      </c>
    </row>
    <row r="3235" spans="1:5" x14ac:dyDescent="0.2">
      <c r="A3235">
        <v>95386</v>
      </c>
      <c r="B3235" t="s">
        <v>10</v>
      </c>
      <c r="C3235">
        <v>95386</v>
      </c>
      <c r="D3235" t="str">
        <f>"95386"</f>
        <v>95386</v>
      </c>
      <c r="E3235">
        <v>65.400000000000006</v>
      </c>
    </row>
    <row r="3236" spans="1:5" x14ac:dyDescent="0.2">
      <c r="A3236">
        <v>95387</v>
      </c>
      <c r="B3236" t="s">
        <v>10</v>
      </c>
      <c r="C3236">
        <v>95387</v>
      </c>
      <c r="D3236" t="str">
        <f>"95387"</f>
        <v>95387</v>
      </c>
      <c r="E3236" t="s">
        <v>6</v>
      </c>
    </row>
    <row r="3237" spans="1:5" x14ac:dyDescent="0.2">
      <c r="A3237">
        <v>95388</v>
      </c>
      <c r="B3237" t="s">
        <v>10</v>
      </c>
      <c r="C3237">
        <v>95388</v>
      </c>
      <c r="D3237" t="str">
        <f>"95388"</f>
        <v>95388</v>
      </c>
      <c r="E3237">
        <v>54.16</v>
      </c>
    </row>
    <row r="3238" spans="1:5" x14ac:dyDescent="0.2">
      <c r="A3238">
        <v>95389</v>
      </c>
      <c r="B3238" t="s">
        <v>10</v>
      </c>
      <c r="C3238">
        <v>95389</v>
      </c>
      <c r="D3238" t="str">
        <f>"95389"</f>
        <v>95389</v>
      </c>
      <c r="E3238">
        <v>90.16</v>
      </c>
    </row>
    <row r="3239" spans="1:5" x14ac:dyDescent="0.2">
      <c r="A3239">
        <v>95391</v>
      </c>
      <c r="B3239" t="s">
        <v>10</v>
      </c>
      <c r="C3239">
        <v>95391</v>
      </c>
      <c r="D3239" t="str">
        <f>"95391"</f>
        <v>95391</v>
      </c>
      <c r="E3239">
        <v>82.84</v>
      </c>
    </row>
    <row r="3240" spans="1:5" x14ac:dyDescent="0.2">
      <c r="A3240">
        <v>95401</v>
      </c>
      <c r="B3240" t="s">
        <v>10</v>
      </c>
      <c r="C3240">
        <v>95401</v>
      </c>
      <c r="D3240" t="str">
        <f>"95401"</f>
        <v>95401</v>
      </c>
      <c r="E3240">
        <v>76.930000000000007</v>
      </c>
    </row>
    <row r="3241" spans="1:5" x14ac:dyDescent="0.2">
      <c r="A3241">
        <v>95403</v>
      </c>
      <c r="B3241" t="s">
        <v>10</v>
      </c>
      <c r="C3241">
        <v>95403</v>
      </c>
      <c r="D3241" t="str">
        <f>"95403"</f>
        <v>95403</v>
      </c>
      <c r="E3241">
        <v>77.44</v>
      </c>
    </row>
    <row r="3242" spans="1:5" x14ac:dyDescent="0.2">
      <c r="A3242">
        <v>95404</v>
      </c>
      <c r="B3242" t="s">
        <v>10</v>
      </c>
      <c r="C3242">
        <v>95404</v>
      </c>
      <c r="D3242" t="str">
        <f>"95404"</f>
        <v>95404</v>
      </c>
      <c r="E3242">
        <v>79.89</v>
      </c>
    </row>
    <row r="3243" spans="1:5" x14ac:dyDescent="0.2">
      <c r="A3243">
        <v>95405</v>
      </c>
      <c r="B3243" t="s">
        <v>10</v>
      </c>
      <c r="C3243">
        <v>95405</v>
      </c>
      <c r="D3243" t="str">
        <f>"95405"</f>
        <v>95405</v>
      </c>
      <c r="E3243">
        <v>81.739999999999995</v>
      </c>
    </row>
    <row r="3244" spans="1:5" x14ac:dyDescent="0.2">
      <c r="A3244">
        <v>95407</v>
      </c>
      <c r="B3244" t="s">
        <v>10</v>
      </c>
      <c r="C3244">
        <v>95407</v>
      </c>
      <c r="D3244" t="str">
        <f>"95407"</f>
        <v>95407</v>
      </c>
      <c r="E3244">
        <v>70.709999999999994</v>
      </c>
    </row>
    <row r="3245" spans="1:5" x14ac:dyDescent="0.2">
      <c r="A3245">
        <v>95409</v>
      </c>
      <c r="B3245" t="s">
        <v>10</v>
      </c>
      <c r="C3245">
        <v>95409</v>
      </c>
      <c r="D3245" t="str">
        <f>"95409"</f>
        <v>95409</v>
      </c>
      <c r="E3245">
        <v>80.38</v>
      </c>
    </row>
    <row r="3246" spans="1:5" x14ac:dyDescent="0.2">
      <c r="A3246">
        <v>95410</v>
      </c>
      <c r="B3246" t="s">
        <v>10</v>
      </c>
      <c r="C3246">
        <v>95410</v>
      </c>
      <c r="D3246" t="str">
        <f>"95410"</f>
        <v>95410</v>
      </c>
      <c r="E3246">
        <v>61.54</v>
      </c>
    </row>
    <row r="3247" spans="1:5" x14ac:dyDescent="0.2">
      <c r="A3247">
        <v>95412</v>
      </c>
      <c r="B3247" t="s">
        <v>10</v>
      </c>
      <c r="C3247">
        <v>95412</v>
      </c>
      <c r="D3247" t="str">
        <f>"95412"</f>
        <v>95412</v>
      </c>
      <c r="E3247">
        <v>70</v>
      </c>
    </row>
    <row r="3248" spans="1:5" x14ac:dyDescent="0.2">
      <c r="A3248">
        <v>95415</v>
      </c>
      <c r="B3248" t="s">
        <v>10</v>
      </c>
      <c r="C3248">
        <v>95415</v>
      </c>
      <c r="D3248" t="str">
        <f>"95415"</f>
        <v>95415</v>
      </c>
      <c r="E3248">
        <v>62.12</v>
      </c>
    </row>
    <row r="3249" spans="1:5" x14ac:dyDescent="0.2">
      <c r="A3249">
        <v>95416</v>
      </c>
      <c r="B3249" t="s">
        <v>10</v>
      </c>
      <c r="C3249">
        <v>95416</v>
      </c>
      <c r="D3249" t="str">
        <f>"95416"</f>
        <v>95416</v>
      </c>
      <c r="E3249" t="s">
        <v>6</v>
      </c>
    </row>
    <row r="3250" spans="1:5" x14ac:dyDescent="0.2">
      <c r="A3250">
        <v>95417</v>
      </c>
      <c r="B3250" t="s">
        <v>10</v>
      </c>
      <c r="C3250">
        <v>95417</v>
      </c>
      <c r="D3250" t="str">
        <f>"95417"</f>
        <v>95417</v>
      </c>
      <c r="E3250" t="s">
        <v>6</v>
      </c>
    </row>
    <row r="3251" spans="1:5" x14ac:dyDescent="0.2">
      <c r="A3251">
        <v>95419</v>
      </c>
      <c r="B3251" t="s">
        <v>10</v>
      </c>
      <c r="C3251">
        <v>95419</v>
      </c>
      <c r="D3251" t="str">
        <f>"95419"</f>
        <v>95419</v>
      </c>
      <c r="E3251" t="s">
        <v>6</v>
      </c>
    </row>
    <row r="3252" spans="1:5" x14ac:dyDescent="0.2">
      <c r="A3252">
        <v>95420</v>
      </c>
      <c r="B3252" t="s">
        <v>10</v>
      </c>
      <c r="C3252">
        <v>95420</v>
      </c>
      <c r="D3252" t="str">
        <f>"95420"</f>
        <v>95420</v>
      </c>
      <c r="E3252" t="s">
        <v>6</v>
      </c>
    </row>
    <row r="3253" spans="1:5" x14ac:dyDescent="0.2">
      <c r="A3253">
        <v>95421</v>
      </c>
      <c r="B3253" t="s">
        <v>10</v>
      </c>
      <c r="C3253">
        <v>95421</v>
      </c>
      <c r="D3253" t="str">
        <f>"95421"</f>
        <v>95421</v>
      </c>
      <c r="E3253">
        <v>71.430000000000007</v>
      </c>
    </row>
    <row r="3254" spans="1:5" x14ac:dyDescent="0.2">
      <c r="A3254">
        <v>95422</v>
      </c>
      <c r="B3254" t="s">
        <v>10</v>
      </c>
      <c r="C3254">
        <v>95422</v>
      </c>
      <c r="D3254" t="str">
        <f>"95422"</f>
        <v>95422</v>
      </c>
      <c r="E3254">
        <v>55.03</v>
      </c>
    </row>
    <row r="3255" spans="1:5" x14ac:dyDescent="0.2">
      <c r="A3255">
        <v>95423</v>
      </c>
      <c r="B3255" t="s">
        <v>10</v>
      </c>
      <c r="C3255">
        <v>95423</v>
      </c>
      <c r="D3255" t="str">
        <f>"95423"</f>
        <v>95423</v>
      </c>
      <c r="E3255">
        <v>60.45</v>
      </c>
    </row>
    <row r="3256" spans="1:5" x14ac:dyDescent="0.2">
      <c r="A3256">
        <v>95425</v>
      </c>
      <c r="B3256" t="s">
        <v>10</v>
      </c>
      <c r="C3256">
        <v>95425</v>
      </c>
      <c r="D3256" t="str">
        <f>"95425"</f>
        <v>95425</v>
      </c>
      <c r="E3256">
        <v>76.739999999999995</v>
      </c>
    </row>
    <row r="3257" spans="1:5" x14ac:dyDescent="0.2">
      <c r="A3257">
        <v>95426</v>
      </c>
      <c r="B3257" t="s">
        <v>10</v>
      </c>
      <c r="C3257">
        <v>95426</v>
      </c>
      <c r="D3257" t="str">
        <f>"95426"</f>
        <v>95426</v>
      </c>
      <c r="E3257" t="s">
        <v>6</v>
      </c>
    </row>
    <row r="3258" spans="1:5" x14ac:dyDescent="0.2">
      <c r="A3258">
        <v>95427</v>
      </c>
      <c r="B3258" t="s">
        <v>10</v>
      </c>
      <c r="C3258">
        <v>95427</v>
      </c>
      <c r="D3258" t="str">
        <f>"95427"</f>
        <v>95427</v>
      </c>
      <c r="E3258" t="s">
        <v>6</v>
      </c>
    </row>
    <row r="3259" spans="1:5" x14ac:dyDescent="0.2">
      <c r="A3259">
        <v>95428</v>
      </c>
      <c r="B3259" t="s">
        <v>10</v>
      </c>
      <c r="C3259">
        <v>95428</v>
      </c>
      <c r="D3259" t="str">
        <f>"95428"</f>
        <v>95428</v>
      </c>
      <c r="E3259">
        <v>50.67</v>
      </c>
    </row>
    <row r="3260" spans="1:5" x14ac:dyDescent="0.2">
      <c r="A3260">
        <v>95429</v>
      </c>
      <c r="B3260" t="s">
        <v>10</v>
      </c>
      <c r="C3260">
        <v>95429</v>
      </c>
      <c r="D3260" t="str">
        <f>"95429"</f>
        <v>95429</v>
      </c>
      <c r="E3260" t="s">
        <v>6</v>
      </c>
    </row>
    <row r="3261" spans="1:5" x14ac:dyDescent="0.2">
      <c r="A3261">
        <v>95432</v>
      </c>
      <c r="B3261" t="s">
        <v>10</v>
      </c>
      <c r="C3261">
        <v>95432</v>
      </c>
      <c r="D3261" t="str">
        <f>"95432"</f>
        <v>95432</v>
      </c>
      <c r="E3261">
        <v>64.709999999999994</v>
      </c>
    </row>
    <row r="3262" spans="1:5" x14ac:dyDescent="0.2">
      <c r="A3262">
        <v>95436</v>
      </c>
      <c r="B3262" t="s">
        <v>10</v>
      </c>
      <c r="C3262">
        <v>95436</v>
      </c>
      <c r="D3262" t="str">
        <f>"95436"</f>
        <v>95436</v>
      </c>
      <c r="E3262">
        <v>79.239999999999995</v>
      </c>
    </row>
    <row r="3263" spans="1:5" x14ac:dyDescent="0.2">
      <c r="A3263">
        <v>95437</v>
      </c>
      <c r="B3263" t="s">
        <v>10</v>
      </c>
      <c r="C3263">
        <v>95437</v>
      </c>
      <c r="D3263" t="str">
        <f>"95437"</f>
        <v>95437</v>
      </c>
      <c r="E3263">
        <v>68.36</v>
      </c>
    </row>
    <row r="3264" spans="1:5" x14ac:dyDescent="0.2">
      <c r="A3264">
        <v>95439</v>
      </c>
      <c r="B3264" t="s">
        <v>10</v>
      </c>
      <c r="C3264">
        <v>95439</v>
      </c>
      <c r="D3264" t="str">
        <f>"95439"</f>
        <v>95439</v>
      </c>
      <c r="E3264">
        <v>75.47</v>
      </c>
    </row>
    <row r="3265" spans="1:5" x14ac:dyDescent="0.2">
      <c r="A3265">
        <v>95441</v>
      </c>
      <c r="B3265" t="s">
        <v>10</v>
      </c>
      <c r="C3265">
        <v>95441</v>
      </c>
      <c r="D3265" t="str">
        <f>"95441"</f>
        <v>95441</v>
      </c>
      <c r="E3265">
        <v>77.42</v>
      </c>
    </row>
    <row r="3266" spans="1:5" x14ac:dyDescent="0.2">
      <c r="A3266">
        <v>95442</v>
      </c>
      <c r="B3266" t="s">
        <v>10</v>
      </c>
      <c r="C3266">
        <v>95442</v>
      </c>
      <c r="D3266" t="str">
        <f>"95442"</f>
        <v>95442</v>
      </c>
      <c r="E3266">
        <v>79.33</v>
      </c>
    </row>
    <row r="3267" spans="1:5" x14ac:dyDescent="0.2">
      <c r="A3267">
        <v>95443</v>
      </c>
      <c r="B3267" t="s">
        <v>10</v>
      </c>
      <c r="C3267">
        <v>95443</v>
      </c>
      <c r="D3267" t="str">
        <f>"95443"</f>
        <v>95443</v>
      </c>
      <c r="E3267" t="s">
        <v>6</v>
      </c>
    </row>
    <row r="3268" spans="1:5" x14ac:dyDescent="0.2">
      <c r="A3268">
        <v>95444</v>
      </c>
      <c r="B3268" t="s">
        <v>10</v>
      </c>
      <c r="C3268">
        <v>95444</v>
      </c>
      <c r="D3268" t="str">
        <f>"95444"</f>
        <v>95444</v>
      </c>
      <c r="E3268">
        <v>77.459999999999994</v>
      </c>
    </row>
    <row r="3269" spans="1:5" x14ac:dyDescent="0.2">
      <c r="A3269">
        <v>95445</v>
      </c>
      <c r="B3269" t="s">
        <v>10</v>
      </c>
      <c r="C3269">
        <v>95445</v>
      </c>
      <c r="D3269" t="str">
        <f>"95445"</f>
        <v>95445</v>
      </c>
      <c r="E3269">
        <v>73.97</v>
      </c>
    </row>
    <row r="3270" spans="1:5" x14ac:dyDescent="0.2">
      <c r="A3270">
        <v>95446</v>
      </c>
      <c r="B3270" t="s">
        <v>10</v>
      </c>
      <c r="C3270">
        <v>95446</v>
      </c>
      <c r="D3270" t="str">
        <f>"95446"</f>
        <v>95446</v>
      </c>
      <c r="E3270">
        <v>75.209999999999994</v>
      </c>
    </row>
    <row r="3271" spans="1:5" x14ac:dyDescent="0.2">
      <c r="A3271">
        <v>95448</v>
      </c>
      <c r="B3271" t="s">
        <v>10</v>
      </c>
      <c r="C3271">
        <v>95448</v>
      </c>
      <c r="D3271" t="str">
        <f>"95448"</f>
        <v>95448</v>
      </c>
      <c r="E3271">
        <v>78.67</v>
      </c>
    </row>
    <row r="3272" spans="1:5" x14ac:dyDescent="0.2">
      <c r="A3272">
        <v>95449</v>
      </c>
      <c r="B3272" t="s">
        <v>10</v>
      </c>
      <c r="C3272">
        <v>95449</v>
      </c>
      <c r="D3272" t="str">
        <f>"95449"</f>
        <v>95449</v>
      </c>
      <c r="E3272">
        <v>68.06</v>
      </c>
    </row>
    <row r="3273" spans="1:5" x14ac:dyDescent="0.2">
      <c r="A3273">
        <v>95450</v>
      </c>
      <c r="B3273" t="s">
        <v>10</v>
      </c>
      <c r="C3273">
        <v>95450</v>
      </c>
      <c r="D3273" t="str">
        <f>"95450"</f>
        <v>95450</v>
      </c>
      <c r="E3273">
        <v>83.33</v>
      </c>
    </row>
    <row r="3274" spans="1:5" x14ac:dyDescent="0.2">
      <c r="A3274">
        <v>95451</v>
      </c>
      <c r="B3274" t="s">
        <v>10</v>
      </c>
      <c r="C3274">
        <v>95451</v>
      </c>
      <c r="D3274" t="str">
        <f>"95451"</f>
        <v>95451</v>
      </c>
      <c r="E3274">
        <v>69.849999999999994</v>
      </c>
    </row>
    <row r="3275" spans="1:5" x14ac:dyDescent="0.2">
      <c r="A3275">
        <v>95452</v>
      </c>
      <c r="B3275" t="s">
        <v>10</v>
      </c>
      <c r="C3275">
        <v>95452</v>
      </c>
      <c r="D3275" t="str">
        <f>"95452"</f>
        <v>95452</v>
      </c>
      <c r="E3275">
        <v>79.52</v>
      </c>
    </row>
    <row r="3276" spans="1:5" x14ac:dyDescent="0.2">
      <c r="A3276">
        <v>95453</v>
      </c>
      <c r="B3276" t="s">
        <v>10</v>
      </c>
      <c r="C3276">
        <v>95453</v>
      </c>
      <c r="D3276" t="str">
        <f>"95453"</f>
        <v>95453</v>
      </c>
      <c r="E3276">
        <v>71.13</v>
      </c>
    </row>
    <row r="3277" spans="1:5" x14ac:dyDescent="0.2">
      <c r="A3277">
        <v>95454</v>
      </c>
      <c r="B3277" t="s">
        <v>10</v>
      </c>
      <c r="C3277">
        <v>95454</v>
      </c>
      <c r="D3277" t="str">
        <f>"95454"</f>
        <v>95454</v>
      </c>
      <c r="E3277">
        <v>58.33</v>
      </c>
    </row>
    <row r="3278" spans="1:5" x14ac:dyDescent="0.2">
      <c r="A3278">
        <v>95456</v>
      </c>
      <c r="B3278" t="s">
        <v>10</v>
      </c>
      <c r="C3278">
        <v>95456</v>
      </c>
      <c r="D3278" t="str">
        <f>"95456"</f>
        <v>95456</v>
      </c>
      <c r="E3278">
        <v>71.05</v>
      </c>
    </row>
    <row r="3279" spans="1:5" x14ac:dyDescent="0.2">
      <c r="A3279">
        <v>95457</v>
      </c>
      <c r="B3279" t="s">
        <v>10</v>
      </c>
      <c r="C3279">
        <v>95457</v>
      </c>
      <c r="D3279" t="str">
        <f>"95457"</f>
        <v>95457</v>
      </c>
      <c r="E3279">
        <v>66.67</v>
      </c>
    </row>
    <row r="3280" spans="1:5" x14ac:dyDescent="0.2">
      <c r="A3280">
        <v>95458</v>
      </c>
      <c r="B3280" t="s">
        <v>10</v>
      </c>
      <c r="C3280">
        <v>95458</v>
      </c>
      <c r="D3280" t="str">
        <f>"95458"</f>
        <v>95458</v>
      </c>
      <c r="E3280">
        <v>64.95</v>
      </c>
    </row>
    <row r="3281" spans="1:5" x14ac:dyDescent="0.2">
      <c r="A3281">
        <v>95459</v>
      </c>
      <c r="B3281" t="s">
        <v>10</v>
      </c>
      <c r="C3281">
        <v>95459</v>
      </c>
      <c r="D3281" t="str">
        <f>"95459"</f>
        <v>95459</v>
      </c>
      <c r="E3281">
        <v>76.19</v>
      </c>
    </row>
    <row r="3282" spans="1:5" x14ac:dyDescent="0.2">
      <c r="A3282">
        <v>95460</v>
      </c>
      <c r="B3282" t="s">
        <v>10</v>
      </c>
      <c r="C3282">
        <v>95460</v>
      </c>
      <c r="D3282" t="str">
        <f>"95460"</f>
        <v>95460</v>
      </c>
      <c r="E3282">
        <v>71.23</v>
      </c>
    </row>
    <row r="3283" spans="1:5" x14ac:dyDescent="0.2">
      <c r="A3283">
        <v>95461</v>
      </c>
      <c r="B3283" t="s">
        <v>10</v>
      </c>
      <c r="C3283">
        <v>95461</v>
      </c>
      <c r="D3283" t="str">
        <f>"95461"</f>
        <v>95461</v>
      </c>
      <c r="E3283">
        <v>71.03</v>
      </c>
    </row>
    <row r="3284" spans="1:5" x14ac:dyDescent="0.2">
      <c r="A3284">
        <v>95462</v>
      </c>
      <c r="B3284" t="s">
        <v>10</v>
      </c>
      <c r="C3284">
        <v>95462</v>
      </c>
      <c r="D3284" t="str">
        <f>"95462"</f>
        <v>95462</v>
      </c>
      <c r="E3284">
        <v>75</v>
      </c>
    </row>
    <row r="3285" spans="1:5" x14ac:dyDescent="0.2">
      <c r="A3285">
        <v>95463</v>
      </c>
      <c r="B3285" t="s">
        <v>10</v>
      </c>
      <c r="C3285">
        <v>95463</v>
      </c>
      <c r="D3285" t="str">
        <f>"95463"</f>
        <v>95463</v>
      </c>
      <c r="E3285" t="s">
        <v>6</v>
      </c>
    </row>
    <row r="3286" spans="1:5" x14ac:dyDescent="0.2">
      <c r="A3286">
        <v>95464</v>
      </c>
      <c r="B3286" t="s">
        <v>10</v>
      </c>
      <c r="C3286">
        <v>95464</v>
      </c>
      <c r="D3286" t="str">
        <f>"95464"</f>
        <v>95464</v>
      </c>
      <c r="E3286">
        <v>59.77</v>
      </c>
    </row>
    <row r="3287" spans="1:5" x14ac:dyDescent="0.2">
      <c r="A3287">
        <v>95465</v>
      </c>
      <c r="B3287" t="s">
        <v>10</v>
      </c>
      <c r="C3287">
        <v>95465</v>
      </c>
      <c r="D3287" t="str">
        <f>"95465"</f>
        <v>95465</v>
      </c>
      <c r="E3287">
        <v>74.56</v>
      </c>
    </row>
    <row r="3288" spans="1:5" x14ac:dyDescent="0.2">
      <c r="A3288">
        <v>95466</v>
      </c>
      <c r="B3288" t="s">
        <v>10</v>
      </c>
      <c r="C3288">
        <v>95466</v>
      </c>
      <c r="D3288" t="str">
        <f>"95466"</f>
        <v>95466</v>
      </c>
      <c r="E3288">
        <v>63.93</v>
      </c>
    </row>
    <row r="3289" spans="1:5" x14ac:dyDescent="0.2">
      <c r="A3289">
        <v>95467</v>
      </c>
      <c r="B3289" t="s">
        <v>10</v>
      </c>
      <c r="C3289">
        <v>95467</v>
      </c>
      <c r="D3289" t="str">
        <f>"95467"</f>
        <v>95467</v>
      </c>
      <c r="E3289">
        <v>78.06</v>
      </c>
    </row>
    <row r="3290" spans="1:5" x14ac:dyDescent="0.2">
      <c r="A3290">
        <v>95468</v>
      </c>
      <c r="B3290" t="s">
        <v>10</v>
      </c>
      <c r="C3290">
        <v>95468</v>
      </c>
      <c r="D3290" t="str">
        <f>"95468"</f>
        <v>95468</v>
      </c>
      <c r="E3290">
        <v>63.93</v>
      </c>
    </row>
    <row r="3291" spans="1:5" x14ac:dyDescent="0.2">
      <c r="A3291">
        <v>95469</v>
      </c>
      <c r="B3291" t="s">
        <v>10</v>
      </c>
      <c r="C3291">
        <v>95469</v>
      </c>
      <c r="D3291" t="str">
        <f>"95469"</f>
        <v>95469</v>
      </c>
      <c r="E3291">
        <v>71.23</v>
      </c>
    </row>
    <row r="3292" spans="1:5" x14ac:dyDescent="0.2">
      <c r="A3292">
        <v>95470</v>
      </c>
      <c r="B3292" t="s">
        <v>10</v>
      </c>
      <c r="C3292">
        <v>95470</v>
      </c>
      <c r="D3292" t="str">
        <f>"95470"</f>
        <v>95470</v>
      </c>
      <c r="E3292">
        <v>72.69</v>
      </c>
    </row>
    <row r="3293" spans="1:5" x14ac:dyDescent="0.2">
      <c r="A3293">
        <v>95471</v>
      </c>
      <c r="B3293" t="s">
        <v>10</v>
      </c>
      <c r="C3293">
        <v>95471</v>
      </c>
      <c r="D3293" t="str">
        <f>"95471"</f>
        <v>95471</v>
      </c>
      <c r="E3293" t="s">
        <v>6</v>
      </c>
    </row>
    <row r="3294" spans="1:5" x14ac:dyDescent="0.2">
      <c r="A3294">
        <v>95472</v>
      </c>
      <c r="B3294" t="s">
        <v>10</v>
      </c>
      <c r="C3294">
        <v>95472</v>
      </c>
      <c r="D3294" t="str">
        <f>"95472"</f>
        <v>95472</v>
      </c>
      <c r="E3294">
        <v>77.91</v>
      </c>
    </row>
    <row r="3295" spans="1:5" x14ac:dyDescent="0.2">
      <c r="A3295">
        <v>95476</v>
      </c>
      <c r="B3295" t="s">
        <v>10</v>
      </c>
      <c r="C3295">
        <v>95476</v>
      </c>
      <c r="D3295" t="str">
        <f>"95476"</f>
        <v>95476</v>
      </c>
      <c r="E3295">
        <v>78.37</v>
      </c>
    </row>
    <row r="3296" spans="1:5" x14ac:dyDescent="0.2">
      <c r="A3296">
        <v>95480</v>
      </c>
      <c r="B3296" t="s">
        <v>10</v>
      </c>
      <c r="C3296">
        <v>95480</v>
      </c>
      <c r="D3296" t="str">
        <f>"95480"</f>
        <v>95480</v>
      </c>
      <c r="E3296" t="s">
        <v>6</v>
      </c>
    </row>
    <row r="3297" spans="1:5" x14ac:dyDescent="0.2">
      <c r="A3297">
        <v>95482</v>
      </c>
      <c r="B3297" t="s">
        <v>10</v>
      </c>
      <c r="C3297">
        <v>95482</v>
      </c>
      <c r="D3297" t="str">
        <f>"95482"</f>
        <v>95482</v>
      </c>
      <c r="E3297">
        <v>70.16</v>
      </c>
    </row>
    <row r="3298" spans="1:5" x14ac:dyDescent="0.2">
      <c r="A3298">
        <v>95485</v>
      </c>
      <c r="B3298" t="s">
        <v>10</v>
      </c>
      <c r="C3298">
        <v>95485</v>
      </c>
      <c r="D3298" t="str">
        <f>"95485"</f>
        <v>95485</v>
      </c>
      <c r="E3298">
        <v>63.81</v>
      </c>
    </row>
    <row r="3299" spans="1:5" x14ac:dyDescent="0.2">
      <c r="A3299">
        <v>95486</v>
      </c>
      <c r="B3299" t="s">
        <v>10</v>
      </c>
      <c r="C3299">
        <v>95486</v>
      </c>
      <c r="D3299" t="str">
        <f>"95486"</f>
        <v>95486</v>
      </c>
      <c r="E3299" t="s">
        <v>6</v>
      </c>
    </row>
    <row r="3300" spans="1:5" x14ac:dyDescent="0.2">
      <c r="A3300">
        <v>95488</v>
      </c>
      <c r="B3300" t="s">
        <v>10</v>
      </c>
      <c r="C3300">
        <v>95488</v>
      </c>
      <c r="D3300" t="str">
        <f>"95488"</f>
        <v>95488</v>
      </c>
      <c r="E3300" t="s">
        <v>6</v>
      </c>
    </row>
    <row r="3301" spans="1:5" x14ac:dyDescent="0.2">
      <c r="A3301">
        <v>95490</v>
      </c>
      <c r="B3301" t="s">
        <v>10</v>
      </c>
      <c r="C3301">
        <v>95490</v>
      </c>
      <c r="D3301" t="str">
        <f>"95490"</f>
        <v>95490</v>
      </c>
      <c r="E3301">
        <v>67.319999999999993</v>
      </c>
    </row>
    <row r="3302" spans="1:5" x14ac:dyDescent="0.2">
      <c r="A3302">
        <v>95492</v>
      </c>
      <c r="B3302" t="s">
        <v>10</v>
      </c>
      <c r="C3302">
        <v>95492</v>
      </c>
      <c r="D3302" t="str">
        <f>"95492"</f>
        <v>95492</v>
      </c>
      <c r="E3302">
        <v>80</v>
      </c>
    </row>
    <row r="3303" spans="1:5" x14ac:dyDescent="0.2">
      <c r="A3303">
        <v>95493</v>
      </c>
      <c r="B3303" t="s">
        <v>10</v>
      </c>
      <c r="C3303">
        <v>95493</v>
      </c>
      <c r="D3303" t="str">
        <f>"95493"</f>
        <v>95493</v>
      </c>
      <c r="E3303" t="s">
        <v>6</v>
      </c>
    </row>
    <row r="3304" spans="1:5" x14ac:dyDescent="0.2">
      <c r="A3304">
        <v>95494</v>
      </c>
      <c r="B3304" t="s">
        <v>10</v>
      </c>
      <c r="C3304">
        <v>95494</v>
      </c>
      <c r="D3304" t="str">
        <f>"95494"</f>
        <v>95494</v>
      </c>
      <c r="E3304">
        <v>72.73</v>
      </c>
    </row>
    <row r="3305" spans="1:5" x14ac:dyDescent="0.2">
      <c r="A3305">
        <v>95497</v>
      </c>
      <c r="B3305" t="s">
        <v>10</v>
      </c>
      <c r="C3305">
        <v>95497</v>
      </c>
      <c r="D3305" t="str">
        <f>"95497"</f>
        <v>95497</v>
      </c>
      <c r="E3305" t="s">
        <v>6</v>
      </c>
    </row>
    <row r="3306" spans="1:5" x14ac:dyDescent="0.2">
      <c r="A3306">
        <v>95501</v>
      </c>
      <c r="B3306" t="s">
        <v>10</v>
      </c>
      <c r="C3306">
        <v>95501</v>
      </c>
      <c r="D3306" t="str">
        <f>"95501"</f>
        <v>95501</v>
      </c>
      <c r="E3306">
        <v>71.11</v>
      </c>
    </row>
    <row r="3307" spans="1:5" x14ac:dyDescent="0.2">
      <c r="A3307">
        <v>95503</v>
      </c>
      <c r="B3307" t="s">
        <v>10</v>
      </c>
      <c r="C3307">
        <v>95503</v>
      </c>
      <c r="D3307" t="str">
        <f>"95503"</f>
        <v>95503</v>
      </c>
      <c r="E3307">
        <v>73.77</v>
      </c>
    </row>
    <row r="3308" spans="1:5" x14ac:dyDescent="0.2">
      <c r="A3308">
        <v>95511</v>
      </c>
      <c r="B3308" t="s">
        <v>10</v>
      </c>
      <c r="C3308">
        <v>95511</v>
      </c>
      <c r="D3308" t="str">
        <f>"95511"</f>
        <v>95511</v>
      </c>
      <c r="E3308" t="s">
        <v>6</v>
      </c>
    </row>
    <row r="3309" spans="1:5" x14ac:dyDescent="0.2">
      <c r="A3309">
        <v>95514</v>
      </c>
      <c r="B3309" t="s">
        <v>10</v>
      </c>
      <c r="C3309">
        <v>95514</v>
      </c>
      <c r="D3309" t="str">
        <f>"95514"</f>
        <v>95514</v>
      </c>
      <c r="E3309" t="s">
        <v>6</v>
      </c>
    </row>
    <row r="3310" spans="1:5" x14ac:dyDescent="0.2">
      <c r="A3310">
        <v>95519</v>
      </c>
      <c r="B3310" t="s">
        <v>10</v>
      </c>
      <c r="C3310">
        <v>95519</v>
      </c>
      <c r="D3310" t="str">
        <f>"95519"</f>
        <v>95519</v>
      </c>
      <c r="E3310">
        <v>74.489999999999995</v>
      </c>
    </row>
    <row r="3311" spans="1:5" x14ac:dyDescent="0.2">
      <c r="A3311">
        <v>95521</v>
      </c>
      <c r="B3311" t="s">
        <v>10</v>
      </c>
      <c r="C3311">
        <v>95521</v>
      </c>
      <c r="D3311" t="str">
        <f>"95521"</f>
        <v>95521</v>
      </c>
      <c r="E3311">
        <v>68.53</v>
      </c>
    </row>
    <row r="3312" spans="1:5" x14ac:dyDescent="0.2">
      <c r="A3312">
        <v>95524</v>
      </c>
      <c r="B3312" t="s">
        <v>10</v>
      </c>
      <c r="C3312">
        <v>95524</v>
      </c>
      <c r="D3312" t="str">
        <f>"95524"</f>
        <v>95524</v>
      </c>
      <c r="E3312">
        <v>76.239999999999995</v>
      </c>
    </row>
    <row r="3313" spans="1:5" x14ac:dyDescent="0.2">
      <c r="A3313">
        <v>95525</v>
      </c>
      <c r="B3313" t="s">
        <v>10</v>
      </c>
      <c r="C3313">
        <v>95525</v>
      </c>
      <c r="D3313" t="str">
        <f>"95525"</f>
        <v>95525</v>
      </c>
      <c r="E3313">
        <v>73.260000000000005</v>
      </c>
    </row>
    <row r="3314" spans="1:5" x14ac:dyDescent="0.2">
      <c r="A3314">
        <v>95526</v>
      </c>
      <c r="B3314" t="s">
        <v>10</v>
      </c>
      <c r="C3314">
        <v>95526</v>
      </c>
      <c r="D3314" t="str">
        <f>"95526"</f>
        <v>95526</v>
      </c>
      <c r="E3314">
        <v>56.25</v>
      </c>
    </row>
    <row r="3315" spans="1:5" x14ac:dyDescent="0.2">
      <c r="A3315">
        <v>95527</v>
      </c>
      <c r="B3315" t="s">
        <v>10</v>
      </c>
      <c r="C3315">
        <v>95527</v>
      </c>
      <c r="D3315" t="str">
        <f>"95527"</f>
        <v>95527</v>
      </c>
      <c r="E3315">
        <v>57.14</v>
      </c>
    </row>
    <row r="3316" spans="1:5" x14ac:dyDescent="0.2">
      <c r="A3316">
        <v>95528</v>
      </c>
      <c r="B3316" t="s">
        <v>10</v>
      </c>
      <c r="C3316">
        <v>95528</v>
      </c>
      <c r="D3316" t="str">
        <f>"95528"</f>
        <v>95528</v>
      </c>
      <c r="E3316">
        <v>66.67</v>
      </c>
    </row>
    <row r="3317" spans="1:5" x14ac:dyDescent="0.2">
      <c r="A3317">
        <v>95531</v>
      </c>
      <c r="B3317" t="s">
        <v>10</v>
      </c>
      <c r="C3317">
        <v>95531</v>
      </c>
      <c r="D3317" t="str">
        <f>"95531"</f>
        <v>95531</v>
      </c>
      <c r="E3317">
        <v>67.62</v>
      </c>
    </row>
    <row r="3318" spans="1:5" x14ac:dyDescent="0.2">
      <c r="A3318">
        <v>95532</v>
      </c>
      <c r="B3318" t="s">
        <v>10</v>
      </c>
      <c r="C3318">
        <v>95532</v>
      </c>
      <c r="D3318" t="str">
        <f>"95532"</f>
        <v>95532</v>
      </c>
      <c r="E3318" t="s">
        <v>6</v>
      </c>
    </row>
    <row r="3319" spans="1:5" x14ac:dyDescent="0.2">
      <c r="A3319">
        <v>95536</v>
      </c>
      <c r="B3319" t="s">
        <v>10</v>
      </c>
      <c r="C3319">
        <v>95536</v>
      </c>
      <c r="D3319" t="str">
        <f>"95536"</f>
        <v>95536</v>
      </c>
      <c r="E3319">
        <v>72.66</v>
      </c>
    </row>
    <row r="3320" spans="1:5" x14ac:dyDescent="0.2">
      <c r="A3320">
        <v>95537</v>
      </c>
      <c r="B3320" t="s">
        <v>10</v>
      </c>
      <c r="C3320">
        <v>95537</v>
      </c>
      <c r="D3320" t="str">
        <f>"95537"</f>
        <v>95537</v>
      </c>
      <c r="E3320" t="s">
        <v>6</v>
      </c>
    </row>
    <row r="3321" spans="1:5" x14ac:dyDescent="0.2">
      <c r="A3321">
        <v>95540</v>
      </c>
      <c r="B3321" t="s">
        <v>10</v>
      </c>
      <c r="C3321">
        <v>95540</v>
      </c>
      <c r="D3321" t="str">
        <f>"95540"</f>
        <v>95540</v>
      </c>
      <c r="E3321">
        <v>71.75</v>
      </c>
    </row>
    <row r="3322" spans="1:5" x14ac:dyDescent="0.2">
      <c r="A3322">
        <v>95542</v>
      </c>
      <c r="B3322" t="s">
        <v>10</v>
      </c>
      <c r="C3322">
        <v>95542</v>
      </c>
      <c r="D3322" t="str">
        <f>"95542"</f>
        <v>95542</v>
      </c>
      <c r="E3322">
        <v>66.67</v>
      </c>
    </row>
    <row r="3323" spans="1:5" x14ac:dyDescent="0.2">
      <c r="A3323">
        <v>95543</v>
      </c>
      <c r="B3323" t="s">
        <v>10</v>
      </c>
      <c r="C3323">
        <v>95543</v>
      </c>
      <c r="D3323" t="str">
        <f>"95543"</f>
        <v>95543</v>
      </c>
      <c r="E3323">
        <v>81.48</v>
      </c>
    </row>
    <row r="3324" spans="1:5" x14ac:dyDescent="0.2">
      <c r="A3324">
        <v>95545</v>
      </c>
      <c r="B3324" t="s">
        <v>10</v>
      </c>
      <c r="C3324">
        <v>95545</v>
      </c>
      <c r="D3324" t="str">
        <f>"95545"</f>
        <v>95545</v>
      </c>
      <c r="E3324" t="s">
        <v>6</v>
      </c>
    </row>
    <row r="3325" spans="1:5" x14ac:dyDescent="0.2">
      <c r="A3325">
        <v>95546</v>
      </c>
      <c r="B3325" t="s">
        <v>10</v>
      </c>
      <c r="C3325">
        <v>95546</v>
      </c>
      <c r="D3325" t="str">
        <f>"95546"</f>
        <v>95546</v>
      </c>
      <c r="E3325">
        <v>55.21</v>
      </c>
    </row>
    <row r="3326" spans="1:5" x14ac:dyDescent="0.2">
      <c r="A3326">
        <v>95547</v>
      </c>
      <c r="B3326" t="s">
        <v>10</v>
      </c>
      <c r="C3326">
        <v>95547</v>
      </c>
      <c r="D3326" t="str">
        <f>"95547"</f>
        <v>95547</v>
      </c>
      <c r="E3326">
        <v>76.36</v>
      </c>
    </row>
    <row r="3327" spans="1:5" x14ac:dyDescent="0.2">
      <c r="A3327">
        <v>95548</v>
      </c>
      <c r="B3327" t="s">
        <v>10</v>
      </c>
      <c r="C3327">
        <v>95548</v>
      </c>
      <c r="D3327" t="str">
        <f>"95548"</f>
        <v>95548</v>
      </c>
      <c r="E3327">
        <v>55.56</v>
      </c>
    </row>
    <row r="3328" spans="1:5" x14ac:dyDescent="0.2">
      <c r="A3328">
        <v>95549</v>
      </c>
      <c r="B3328" t="s">
        <v>10</v>
      </c>
      <c r="C3328">
        <v>95549</v>
      </c>
      <c r="D3328" t="str">
        <f>"95549"</f>
        <v>95549</v>
      </c>
      <c r="E3328">
        <v>76.67</v>
      </c>
    </row>
    <row r="3329" spans="1:5" x14ac:dyDescent="0.2">
      <c r="A3329">
        <v>95550</v>
      </c>
      <c r="B3329" t="s">
        <v>10</v>
      </c>
      <c r="C3329">
        <v>95550</v>
      </c>
      <c r="D3329" t="str">
        <f>"95550"</f>
        <v>95550</v>
      </c>
      <c r="E3329" t="s">
        <v>6</v>
      </c>
    </row>
    <row r="3330" spans="1:5" x14ac:dyDescent="0.2">
      <c r="A3330">
        <v>95551</v>
      </c>
      <c r="B3330" t="s">
        <v>10</v>
      </c>
      <c r="C3330">
        <v>95551</v>
      </c>
      <c r="D3330" t="str">
        <f>"95551"</f>
        <v>95551</v>
      </c>
      <c r="E3330">
        <v>67.69</v>
      </c>
    </row>
    <row r="3331" spans="1:5" x14ac:dyDescent="0.2">
      <c r="A3331">
        <v>95552</v>
      </c>
      <c r="B3331" t="s">
        <v>10</v>
      </c>
      <c r="C3331">
        <v>95552</v>
      </c>
      <c r="D3331" t="str">
        <f>"95552"</f>
        <v>95552</v>
      </c>
      <c r="E3331">
        <v>70</v>
      </c>
    </row>
    <row r="3332" spans="1:5" x14ac:dyDescent="0.2">
      <c r="A3332">
        <v>95553</v>
      </c>
      <c r="B3332" t="s">
        <v>10</v>
      </c>
      <c r="C3332">
        <v>95553</v>
      </c>
      <c r="D3332" t="str">
        <f>"95553"</f>
        <v>95553</v>
      </c>
      <c r="E3332" t="s">
        <v>6</v>
      </c>
    </row>
    <row r="3333" spans="1:5" x14ac:dyDescent="0.2">
      <c r="A3333">
        <v>95554</v>
      </c>
      <c r="B3333" t="s">
        <v>10</v>
      </c>
      <c r="C3333">
        <v>95554</v>
      </c>
      <c r="D3333" t="str">
        <f>"95554"</f>
        <v>95554</v>
      </c>
      <c r="E3333">
        <v>60</v>
      </c>
    </row>
    <row r="3334" spans="1:5" x14ac:dyDescent="0.2">
      <c r="A3334">
        <v>95555</v>
      </c>
      <c r="B3334" t="s">
        <v>10</v>
      </c>
      <c r="C3334">
        <v>95555</v>
      </c>
      <c r="D3334" t="str">
        <f>"95555"</f>
        <v>95555</v>
      </c>
      <c r="E3334" t="s">
        <v>6</v>
      </c>
    </row>
    <row r="3335" spans="1:5" x14ac:dyDescent="0.2">
      <c r="A3335">
        <v>95556</v>
      </c>
      <c r="B3335" t="s">
        <v>10</v>
      </c>
      <c r="C3335">
        <v>95556</v>
      </c>
      <c r="D3335" t="str">
        <f>"95556"</f>
        <v>95556</v>
      </c>
      <c r="E3335" t="s">
        <v>6</v>
      </c>
    </row>
    <row r="3336" spans="1:5" x14ac:dyDescent="0.2">
      <c r="A3336">
        <v>95558</v>
      </c>
      <c r="B3336" t="s">
        <v>10</v>
      </c>
      <c r="C3336">
        <v>95558</v>
      </c>
      <c r="D3336" t="str">
        <f>"95558"</f>
        <v>95558</v>
      </c>
      <c r="E3336">
        <v>52.94</v>
      </c>
    </row>
    <row r="3337" spans="1:5" x14ac:dyDescent="0.2">
      <c r="A3337">
        <v>95559</v>
      </c>
      <c r="B3337" t="s">
        <v>10</v>
      </c>
      <c r="C3337">
        <v>95559</v>
      </c>
      <c r="D3337" t="str">
        <f>"95559"</f>
        <v>95559</v>
      </c>
      <c r="E3337" t="s">
        <v>6</v>
      </c>
    </row>
    <row r="3338" spans="1:5" x14ac:dyDescent="0.2">
      <c r="A3338">
        <v>95560</v>
      </c>
      <c r="B3338" t="s">
        <v>10</v>
      </c>
      <c r="C3338">
        <v>95560</v>
      </c>
      <c r="D3338" t="str">
        <f>"95560"</f>
        <v>95560</v>
      </c>
      <c r="E3338">
        <v>64.650000000000006</v>
      </c>
    </row>
    <row r="3339" spans="1:5" x14ac:dyDescent="0.2">
      <c r="A3339">
        <v>95562</v>
      </c>
      <c r="B3339" t="s">
        <v>10</v>
      </c>
      <c r="C3339">
        <v>95562</v>
      </c>
      <c r="D3339" t="str">
        <f>"95562"</f>
        <v>95562</v>
      </c>
      <c r="E3339">
        <v>66.67</v>
      </c>
    </row>
    <row r="3340" spans="1:5" x14ac:dyDescent="0.2">
      <c r="A3340">
        <v>95563</v>
      </c>
      <c r="B3340" t="s">
        <v>10</v>
      </c>
      <c r="C3340">
        <v>95563</v>
      </c>
      <c r="D3340" t="str">
        <f>"95563"</f>
        <v>95563</v>
      </c>
      <c r="E3340" t="s">
        <v>6</v>
      </c>
    </row>
    <row r="3341" spans="1:5" x14ac:dyDescent="0.2">
      <c r="A3341">
        <v>95564</v>
      </c>
      <c r="B3341" t="s">
        <v>10</v>
      </c>
      <c r="C3341">
        <v>95564</v>
      </c>
      <c r="D3341" t="str">
        <f>"95564"</f>
        <v>95564</v>
      </c>
      <c r="E3341">
        <v>70.59</v>
      </c>
    </row>
    <row r="3342" spans="1:5" x14ac:dyDescent="0.2">
      <c r="A3342">
        <v>95565</v>
      </c>
      <c r="B3342" t="s">
        <v>10</v>
      </c>
      <c r="C3342">
        <v>95565</v>
      </c>
      <c r="D3342" t="str">
        <f>"95565"</f>
        <v>95565</v>
      </c>
      <c r="E3342">
        <v>66.67</v>
      </c>
    </row>
    <row r="3343" spans="1:5" x14ac:dyDescent="0.2">
      <c r="A3343">
        <v>95567</v>
      </c>
      <c r="B3343" t="s">
        <v>10</v>
      </c>
      <c r="C3343">
        <v>95567</v>
      </c>
      <c r="D3343" t="str">
        <f>"95567"</f>
        <v>95567</v>
      </c>
      <c r="E3343">
        <v>70.930000000000007</v>
      </c>
    </row>
    <row r="3344" spans="1:5" x14ac:dyDescent="0.2">
      <c r="A3344">
        <v>95568</v>
      </c>
      <c r="B3344" t="s">
        <v>10</v>
      </c>
      <c r="C3344">
        <v>95568</v>
      </c>
      <c r="D3344" t="str">
        <f>"95568"</f>
        <v>95568</v>
      </c>
      <c r="E3344" t="s">
        <v>6</v>
      </c>
    </row>
    <row r="3345" spans="1:5" x14ac:dyDescent="0.2">
      <c r="A3345">
        <v>95569</v>
      </c>
      <c r="B3345" t="s">
        <v>10</v>
      </c>
      <c r="C3345">
        <v>95569</v>
      </c>
      <c r="D3345" t="str">
        <f>"95569"</f>
        <v>95569</v>
      </c>
      <c r="E3345" t="s">
        <v>6</v>
      </c>
    </row>
    <row r="3346" spans="1:5" x14ac:dyDescent="0.2">
      <c r="A3346">
        <v>95570</v>
      </c>
      <c r="B3346" t="s">
        <v>10</v>
      </c>
      <c r="C3346">
        <v>95570</v>
      </c>
      <c r="D3346" t="str">
        <f>"95570"</f>
        <v>95570</v>
      </c>
      <c r="E3346">
        <v>71.930000000000007</v>
      </c>
    </row>
    <row r="3347" spans="1:5" x14ac:dyDescent="0.2">
      <c r="A3347">
        <v>95571</v>
      </c>
      <c r="B3347" t="s">
        <v>10</v>
      </c>
      <c r="C3347">
        <v>95571</v>
      </c>
      <c r="D3347" t="str">
        <f>"95571"</f>
        <v>95571</v>
      </c>
      <c r="E3347" t="s">
        <v>6</v>
      </c>
    </row>
    <row r="3348" spans="1:5" x14ac:dyDescent="0.2">
      <c r="A3348">
        <v>95573</v>
      </c>
      <c r="B3348" t="s">
        <v>10</v>
      </c>
      <c r="C3348">
        <v>95573</v>
      </c>
      <c r="D3348" t="str">
        <f>"95573"</f>
        <v>95573</v>
      </c>
      <c r="E3348">
        <v>66.180000000000007</v>
      </c>
    </row>
    <row r="3349" spans="1:5" x14ac:dyDescent="0.2">
      <c r="A3349">
        <v>95585</v>
      </c>
      <c r="B3349" t="s">
        <v>10</v>
      </c>
      <c r="C3349">
        <v>95585</v>
      </c>
      <c r="D3349" t="str">
        <f>"95585"</f>
        <v>95585</v>
      </c>
      <c r="E3349">
        <v>46.15</v>
      </c>
    </row>
    <row r="3350" spans="1:5" x14ac:dyDescent="0.2">
      <c r="A3350">
        <v>95587</v>
      </c>
      <c r="B3350" t="s">
        <v>10</v>
      </c>
      <c r="C3350">
        <v>95587</v>
      </c>
      <c r="D3350" t="str">
        <f>"95587"</f>
        <v>95587</v>
      </c>
      <c r="E3350" t="s">
        <v>6</v>
      </c>
    </row>
    <row r="3351" spans="1:5" x14ac:dyDescent="0.2">
      <c r="A3351">
        <v>95589</v>
      </c>
      <c r="B3351" t="s">
        <v>10</v>
      </c>
      <c r="C3351">
        <v>95589</v>
      </c>
      <c r="D3351" t="str">
        <f>"95589"</f>
        <v>95589</v>
      </c>
      <c r="E3351">
        <v>65.959999999999994</v>
      </c>
    </row>
    <row r="3352" spans="1:5" x14ac:dyDescent="0.2">
      <c r="A3352">
        <v>95595</v>
      </c>
      <c r="B3352" t="s">
        <v>10</v>
      </c>
      <c r="C3352">
        <v>95595</v>
      </c>
      <c r="D3352" t="str">
        <f>"95595"</f>
        <v>95595</v>
      </c>
      <c r="E3352" t="s">
        <v>6</v>
      </c>
    </row>
    <row r="3353" spans="1:5" x14ac:dyDescent="0.2">
      <c r="A3353">
        <v>95601</v>
      </c>
      <c r="B3353" t="s">
        <v>10</v>
      </c>
      <c r="C3353">
        <v>95601</v>
      </c>
      <c r="D3353" t="str">
        <f>"95601"</f>
        <v>95601</v>
      </c>
      <c r="E3353" t="s">
        <v>6</v>
      </c>
    </row>
    <row r="3354" spans="1:5" x14ac:dyDescent="0.2">
      <c r="A3354">
        <v>95602</v>
      </c>
      <c r="B3354" t="s">
        <v>10</v>
      </c>
      <c r="C3354">
        <v>95602</v>
      </c>
      <c r="D3354" t="str">
        <f>"95602"</f>
        <v>95602</v>
      </c>
      <c r="E3354">
        <v>75.239999999999995</v>
      </c>
    </row>
    <row r="3355" spans="1:5" x14ac:dyDescent="0.2">
      <c r="A3355">
        <v>95603</v>
      </c>
      <c r="B3355" t="s">
        <v>10</v>
      </c>
      <c r="C3355">
        <v>95603</v>
      </c>
      <c r="D3355" t="str">
        <f>"95603"</f>
        <v>95603</v>
      </c>
      <c r="E3355">
        <v>77.45</v>
      </c>
    </row>
    <row r="3356" spans="1:5" x14ac:dyDescent="0.2">
      <c r="A3356">
        <v>95605</v>
      </c>
      <c r="B3356" t="s">
        <v>10</v>
      </c>
      <c r="C3356">
        <v>95605</v>
      </c>
      <c r="D3356" t="str">
        <f>"95605"</f>
        <v>95605</v>
      </c>
      <c r="E3356">
        <v>65.81</v>
      </c>
    </row>
    <row r="3357" spans="1:5" x14ac:dyDescent="0.2">
      <c r="A3357">
        <v>95606</v>
      </c>
      <c r="B3357" t="s">
        <v>10</v>
      </c>
      <c r="C3357">
        <v>95606</v>
      </c>
      <c r="D3357" t="str">
        <f>"95606"</f>
        <v>95606</v>
      </c>
      <c r="E3357">
        <v>76.92</v>
      </c>
    </row>
    <row r="3358" spans="1:5" x14ac:dyDescent="0.2">
      <c r="A3358">
        <v>95607</v>
      </c>
      <c r="B3358" t="s">
        <v>10</v>
      </c>
      <c r="C3358">
        <v>95607</v>
      </c>
      <c r="D3358" t="str">
        <f>"95607"</f>
        <v>95607</v>
      </c>
      <c r="E3358">
        <v>81.819999999999993</v>
      </c>
    </row>
    <row r="3359" spans="1:5" x14ac:dyDescent="0.2">
      <c r="A3359">
        <v>95608</v>
      </c>
      <c r="B3359" t="s">
        <v>10</v>
      </c>
      <c r="C3359">
        <v>95608</v>
      </c>
      <c r="D3359" t="str">
        <f>"95608"</f>
        <v>95608</v>
      </c>
      <c r="E3359">
        <v>77.09</v>
      </c>
    </row>
    <row r="3360" spans="1:5" x14ac:dyDescent="0.2">
      <c r="A3360">
        <v>95610</v>
      </c>
      <c r="B3360" t="s">
        <v>10</v>
      </c>
      <c r="C3360">
        <v>95610</v>
      </c>
      <c r="D3360" t="str">
        <f>"95610"</f>
        <v>95610</v>
      </c>
      <c r="E3360">
        <v>74.64</v>
      </c>
    </row>
    <row r="3361" spans="1:5" x14ac:dyDescent="0.2">
      <c r="A3361">
        <v>95612</v>
      </c>
      <c r="B3361" t="s">
        <v>10</v>
      </c>
      <c r="C3361">
        <v>95612</v>
      </c>
      <c r="D3361" t="str">
        <f>"95612"</f>
        <v>95612</v>
      </c>
      <c r="E3361">
        <v>78.459999999999994</v>
      </c>
    </row>
    <row r="3362" spans="1:5" x14ac:dyDescent="0.2">
      <c r="A3362">
        <v>95613</v>
      </c>
      <c r="B3362" t="s">
        <v>10</v>
      </c>
      <c r="C3362">
        <v>95613</v>
      </c>
      <c r="D3362" t="str">
        <f>"95613"</f>
        <v>95613</v>
      </c>
      <c r="E3362" t="s">
        <v>6</v>
      </c>
    </row>
    <row r="3363" spans="1:5" x14ac:dyDescent="0.2">
      <c r="A3363">
        <v>95614</v>
      </c>
      <c r="B3363" t="s">
        <v>10</v>
      </c>
      <c r="C3363">
        <v>95614</v>
      </c>
      <c r="D3363" t="str">
        <f>"95614"</f>
        <v>95614</v>
      </c>
      <c r="E3363">
        <v>80.930000000000007</v>
      </c>
    </row>
    <row r="3364" spans="1:5" x14ac:dyDescent="0.2">
      <c r="A3364">
        <v>95615</v>
      </c>
      <c r="B3364" t="s">
        <v>10</v>
      </c>
      <c r="C3364">
        <v>95615</v>
      </c>
      <c r="D3364" t="str">
        <f>"95615"</f>
        <v>95615</v>
      </c>
      <c r="E3364">
        <v>69.05</v>
      </c>
    </row>
    <row r="3365" spans="1:5" x14ac:dyDescent="0.2">
      <c r="A3365">
        <v>95616</v>
      </c>
      <c r="B3365" t="s">
        <v>10</v>
      </c>
      <c r="C3365">
        <v>95616</v>
      </c>
      <c r="D3365" t="str">
        <f>"95616"</f>
        <v>95616</v>
      </c>
      <c r="E3365">
        <v>77.989999999999995</v>
      </c>
    </row>
    <row r="3366" spans="1:5" x14ac:dyDescent="0.2">
      <c r="A3366">
        <v>95618</v>
      </c>
      <c r="B3366" t="s">
        <v>10</v>
      </c>
      <c r="C3366">
        <v>95618</v>
      </c>
      <c r="D3366" t="str">
        <f>"95618"</f>
        <v>95618</v>
      </c>
      <c r="E3366">
        <v>80.680000000000007</v>
      </c>
    </row>
    <row r="3367" spans="1:5" x14ac:dyDescent="0.2">
      <c r="A3367">
        <v>95619</v>
      </c>
      <c r="B3367" t="s">
        <v>10</v>
      </c>
      <c r="C3367">
        <v>95619</v>
      </c>
      <c r="D3367" t="str">
        <f>"95619"</f>
        <v>95619</v>
      </c>
      <c r="E3367">
        <v>74.05</v>
      </c>
    </row>
    <row r="3368" spans="1:5" x14ac:dyDescent="0.2">
      <c r="A3368">
        <v>95620</v>
      </c>
      <c r="B3368" t="s">
        <v>10</v>
      </c>
      <c r="C3368">
        <v>95620</v>
      </c>
      <c r="D3368" t="str">
        <f>"95620"</f>
        <v>95620</v>
      </c>
      <c r="E3368">
        <v>77.319999999999993</v>
      </c>
    </row>
    <row r="3369" spans="1:5" x14ac:dyDescent="0.2">
      <c r="A3369">
        <v>95621</v>
      </c>
      <c r="B3369" t="s">
        <v>10</v>
      </c>
      <c r="C3369">
        <v>95621</v>
      </c>
      <c r="D3369" t="str">
        <f>"95621"</f>
        <v>95621</v>
      </c>
      <c r="E3369">
        <v>75.75</v>
      </c>
    </row>
    <row r="3370" spans="1:5" x14ac:dyDescent="0.2">
      <c r="A3370">
        <v>95623</v>
      </c>
      <c r="B3370" t="s">
        <v>10</v>
      </c>
      <c r="C3370">
        <v>95623</v>
      </c>
      <c r="D3370" t="str">
        <f>"95623"</f>
        <v>95623</v>
      </c>
      <c r="E3370">
        <v>78.17</v>
      </c>
    </row>
    <row r="3371" spans="1:5" x14ac:dyDescent="0.2">
      <c r="A3371">
        <v>95624</v>
      </c>
      <c r="B3371" t="s">
        <v>10</v>
      </c>
      <c r="C3371">
        <v>95624</v>
      </c>
      <c r="D3371" t="str">
        <f>"95624"</f>
        <v>95624</v>
      </c>
      <c r="E3371">
        <v>77</v>
      </c>
    </row>
    <row r="3372" spans="1:5" x14ac:dyDescent="0.2">
      <c r="A3372">
        <v>95625</v>
      </c>
      <c r="B3372" t="s">
        <v>10</v>
      </c>
      <c r="C3372">
        <v>95625</v>
      </c>
      <c r="D3372" t="str">
        <f>"95625"</f>
        <v>95625</v>
      </c>
      <c r="E3372" t="s">
        <v>6</v>
      </c>
    </row>
    <row r="3373" spans="1:5" x14ac:dyDescent="0.2">
      <c r="A3373">
        <v>95626</v>
      </c>
      <c r="B3373" t="s">
        <v>10</v>
      </c>
      <c r="C3373">
        <v>95626</v>
      </c>
      <c r="D3373" t="str">
        <f>"95626"</f>
        <v>95626</v>
      </c>
      <c r="E3373">
        <v>75.09</v>
      </c>
    </row>
    <row r="3374" spans="1:5" x14ac:dyDescent="0.2">
      <c r="A3374">
        <v>95627</v>
      </c>
      <c r="B3374" t="s">
        <v>10</v>
      </c>
      <c r="C3374">
        <v>95627</v>
      </c>
      <c r="D3374" t="str">
        <f>"95627"</f>
        <v>95627</v>
      </c>
      <c r="E3374">
        <v>71.84</v>
      </c>
    </row>
    <row r="3375" spans="1:5" x14ac:dyDescent="0.2">
      <c r="A3375">
        <v>95628</v>
      </c>
      <c r="B3375" t="s">
        <v>10</v>
      </c>
      <c r="C3375">
        <v>95628</v>
      </c>
      <c r="D3375" t="str">
        <f>"95628"</f>
        <v>95628</v>
      </c>
      <c r="E3375">
        <v>81.180000000000007</v>
      </c>
    </row>
    <row r="3376" spans="1:5" x14ac:dyDescent="0.2">
      <c r="A3376">
        <v>95629</v>
      </c>
      <c r="B3376" t="s">
        <v>10</v>
      </c>
      <c r="C3376">
        <v>95629</v>
      </c>
      <c r="D3376" t="str">
        <f>"95629"</f>
        <v>95629</v>
      </c>
      <c r="E3376">
        <v>73.33</v>
      </c>
    </row>
    <row r="3377" spans="1:5" x14ac:dyDescent="0.2">
      <c r="A3377">
        <v>95630</v>
      </c>
      <c r="B3377" t="s">
        <v>10</v>
      </c>
      <c r="C3377">
        <v>95630</v>
      </c>
      <c r="D3377" t="str">
        <f>"95630"</f>
        <v>95630</v>
      </c>
      <c r="E3377">
        <v>84.16</v>
      </c>
    </row>
    <row r="3378" spans="1:5" x14ac:dyDescent="0.2">
      <c r="A3378">
        <v>95631</v>
      </c>
      <c r="B3378" t="s">
        <v>10</v>
      </c>
      <c r="C3378">
        <v>95631</v>
      </c>
      <c r="D3378" t="str">
        <f>"95631"</f>
        <v>95631</v>
      </c>
      <c r="E3378">
        <v>78.97</v>
      </c>
    </row>
    <row r="3379" spans="1:5" x14ac:dyDescent="0.2">
      <c r="A3379">
        <v>95632</v>
      </c>
      <c r="B3379" t="s">
        <v>10</v>
      </c>
      <c r="C3379">
        <v>95632</v>
      </c>
      <c r="D3379" t="str">
        <f>"95632"</f>
        <v>95632</v>
      </c>
      <c r="E3379">
        <v>74.36</v>
      </c>
    </row>
    <row r="3380" spans="1:5" x14ac:dyDescent="0.2">
      <c r="A3380">
        <v>95633</v>
      </c>
      <c r="B3380" t="s">
        <v>10</v>
      </c>
      <c r="C3380">
        <v>95633</v>
      </c>
      <c r="D3380" t="str">
        <f>"95633"</f>
        <v>95633</v>
      </c>
      <c r="E3380">
        <v>74.64</v>
      </c>
    </row>
    <row r="3381" spans="1:5" x14ac:dyDescent="0.2">
      <c r="A3381">
        <v>95634</v>
      </c>
      <c r="B3381" t="s">
        <v>10</v>
      </c>
      <c r="C3381">
        <v>95634</v>
      </c>
      <c r="D3381" t="str">
        <f>"95634"</f>
        <v>95634</v>
      </c>
      <c r="E3381">
        <v>73.569999999999993</v>
      </c>
    </row>
    <row r="3382" spans="1:5" x14ac:dyDescent="0.2">
      <c r="A3382">
        <v>95635</v>
      </c>
      <c r="B3382" t="s">
        <v>10</v>
      </c>
      <c r="C3382">
        <v>95635</v>
      </c>
      <c r="D3382" t="str">
        <f>"95635"</f>
        <v>95635</v>
      </c>
      <c r="E3382">
        <v>73.58</v>
      </c>
    </row>
    <row r="3383" spans="1:5" x14ac:dyDescent="0.2">
      <c r="A3383">
        <v>95636</v>
      </c>
      <c r="B3383" t="s">
        <v>10</v>
      </c>
      <c r="C3383">
        <v>95636</v>
      </c>
      <c r="D3383" t="str">
        <f>"95636"</f>
        <v>95636</v>
      </c>
      <c r="E3383">
        <v>75.61</v>
      </c>
    </row>
    <row r="3384" spans="1:5" x14ac:dyDescent="0.2">
      <c r="A3384">
        <v>95637</v>
      </c>
      <c r="B3384" t="s">
        <v>10</v>
      </c>
      <c r="C3384">
        <v>95637</v>
      </c>
      <c r="D3384" t="str">
        <f>"95637"</f>
        <v>95637</v>
      </c>
      <c r="E3384">
        <v>73.33</v>
      </c>
    </row>
    <row r="3385" spans="1:5" x14ac:dyDescent="0.2">
      <c r="A3385">
        <v>95638</v>
      </c>
      <c r="B3385" t="s">
        <v>10</v>
      </c>
      <c r="C3385">
        <v>95638</v>
      </c>
      <c r="D3385" t="str">
        <f>"95638"</f>
        <v>95638</v>
      </c>
      <c r="E3385">
        <v>75.930000000000007</v>
      </c>
    </row>
    <row r="3386" spans="1:5" x14ac:dyDescent="0.2">
      <c r="A3386">
        <v>95639</v>
      </c>
      <c r="B3386" t="s">
        <v>10</v>
      </c>
      <c r="C3386">
        <v>95639</v>
      </c>
      <c r="D3386" t="str">
        <f>"95639"</f>
        <v>95639</v>
      </c>
      <c r="E3386" t="s">
        <v>6</v>
      </c>
    </row>
    <row r="3387" spans="1:5" x14ac:dyDescent="0.2">
      <c r="A3387">
        <v>95640</v>
      </c>
      <c r="B3387" t="s">
        <v>10</v>
      </c>
      <c r="C3387">
        <v>95640</v>
      </c>
      <c r="D3387" t="str">
        <f>"95640"</f>
        <v>95640</v>
      </c>
      <c r="E3387">
        <v>78.16</v>
      </c>
    </row>
    <row r="3388" spans="1:5" x14ac:dyDescent="0.2">
      <c r="A3388">
        <v>95641</v>
      </c>
      <c r="B3388" t="s">
        <v>10</v>
      </c>
      <c r="C3388">
        <v>95641</v>
      </c>
      <c r="D3388" t="str">
        <f>"95641"</f>
        <v>95641</v>
      </c>
      <c r="E3388">
        <v>72.84</v>
      </c>
    </row>
    <row r="3389" spans="1:5" x14ac:dyDescent="0.2">
      <c r="A3389">
        <v>95642</v>
      </c>
      <c r="B3389" t="s">
        <v>10</v>
      </c>
      <c r="C3389">
        <v>95642</v>
      </c>
      <c r="D3389" t="str">
        <f>"95642"</f>
        <v>95642</v>
      </c>
      <c r="E3389">
        <v>74.86</v>
      </c>
    </row>
    <row r="3390" spans="1:5" x14ac:dyDescent="0.2">
      <c r="A3390">
        <v>95645</v>
      </c>
      <c r="B3390" t="s">
        <v>10</v>
      </c>
      <c r="C3390">
        <v>95645</v>
      </c>
      <c r="D3390" t="str">
        <f>"95645"</f>
        <v>95645</v>
      </c>
      <c r="E3390">
        <v>64.709999999999994</v>
      </c>
    </row>
    <row r="3391" spans="1:5" x14ac:dyDescent="0.2">
      <c r="A3391">
        <v>95646</v>
      </c>
      <c r="B3391" t="s">
        <v>10</v>
      </c>
      <c r="C3391">
        <v>95646</v>
      </c>
      <c r="D3391" t="str">
        <f>"95646"</f>
        <v>95646</v>
      </c>
      <c r="E3391" t="s">
        <v>6</v>
      </c>
    </row>
    <row r="3392" spans="1:5" x14ac:dyDescent="0.2">
      <c r="A3392">
        <v>95648</v>
      </c>
      <c r="B3392" t="s">
        <v>10</v>
      </c>
      <c r="C3392">
        <v>95648</v>
      </c>
      <c r="D3392" t="str">
        <f>"95648"</f>
        <v>95648</v>
      </c>
      <c r="E3392">
        <v>79.47</v>
      </c>
    </row>
    <row r="3393" spans="1:5" x14ac:dyDescent="0.2">
      <c r="A3393">
        <v>95650</v>
      </c>
      <c r="B3393" t="s">
        <v>10</v>
      </c>
      <c r="C3393">
        <v>95650</v>
      </c>
      <c r="D3393" t="str">
        <f>"95650"</f>
        <v>95650</v>
      </c>
      <c r="E3393">
        <v>80.03</v>
      </c>
    </row>
    <row r="3394" spans="1:5" x14ac:dyDescent="0.2">
      <c r="A3394">
        <v>95651</v>
      </c>
      <c r="B3394" t="s">
        <v>10</v>
      </c>
      <c r="C3394">
        <v>95651</v>
      </c>
      <c r="D3394" t="str">
        <f>"95651"</f>
        <v>95651</v>
      </c>
      <c r="E3394">
        <v>77.5</v>
      </c>
    </row>
    <row r="3395" spans="1:5" x14ac:dyDescent="0.2">
      <c r="A3395">
        <v>95652</v>
      </c>
      <c r="B3395" t="s">
        <v>10</v>
      </c>
      <c r="C3395">
        <v>95652</v>
      </c>
      <c r="D3395" t="str">
        <f>"95652"</f>
        <v>95652</v>
      </c>
      <c r="E3395">
        <v>52</v>
      </c>
    </row>
    <row r="3396" spans="1:5" x14ac:dyDescent="0.2">
      <c r="A3396">
        <v>95653</v>
      </c>
      <c r="B3396" t="s">
        <v>10</v>
      </c>
      <c r="C3396">
        <v>95653</v>
      </c>
      <c r="D3396" t="str">
        <f>"95653"</f>
        <v>95653</v>
      </c>
      <c r="E3396" t="s">
        <v>6</v>
      </c>
    </row>
    <row r="3397" spans="1:5" x14ac:dyDescent="0.2">
      <c r="A3397">
        <v>95654</v>
      </c>
      <c r="B3397" t="s">
        <v>10</v>
      </c>
      <c r="C3397">
        <v>95654</v>
      </c>
      <c r="D3397" t="str">
        <f>"95654"</f>
        <v>95654</v>
      </c>
      <c r="E3397" t="s">
        <v>6</v>
      </c>
    </row>
    <row r="3398" spans="1:5" x14ac:dyDescent="0.2">
      <c r="A3398">
        <v>95655</v>
      </c>
      <c r="B3398" t="s">
        <v>10</v>
      </c>
      <c r="C3398">
        <v>95655</v>
      </c>
      <c r="D3398" t="str">
        <f>"95655"</f>
        <v>95655</v>
      </c>
      <c r="E3398">
        <v>79.459999999999994</v>
      </c>
    </row>
    <row r="3399" spans="1:5" x14ac:dyDescent="0.2">
      <c r="A3399">
        <v>95656</v>
      </c>
      <c r="B3399" t="s">
        <v>10</v>
      </c>
      <c r="C3399">
        <v>95656</v>
      </c>
      <c r="D3399" t="str">
        <f>"95656"</f>
        <v>95656</v>
      </c>
      <c r="E3399" t="s">
        <v>6</v>
      </c>
    </row>
    <row r="3400" spans="1:5" x14ac:dyDescent="0.2">
      <c r="A3400">
        <v>95658</v>
      </c>
      <c r="B3400" t="s">
        <v>10</v>
      </c>
      <c r="C3400">
        <v>95658</v>
      </c>
      <c r="D3400" t="str">
        <f>"95658"</f>
        <v>95658</v>
      </c>
      <c r="E3400">
        <v>79.45</v>
      </c>
    </row>
    <row r="3401" spans="1:5" x14ac:dyDescent="0.2">
      <c r="A3401">
        <v>95659</v>
      </c>
      <c r="B3401" t="s">
        <v>10</v>
      </c>
      <c r="C3401">
        <v>95659</v>
      </c>
      <c r="D3401" t="str">
        <f>"95659"</f>
        <v>95659</v>
      </c>
      <c r="E3401">
        <v>83.33</v>
      </c>
    </row>
    <row r="3402" spans="1:5" x14ac:dyDescent="0.2">
      <c r="A3402">
        <v>95660</v>
      </c>
      <c r="B3402" t="s">
        <v>10</v>
      </c>
      <c r="C3402">
        <v>95660</v>
      </c>
      <c r="D3402" t="str">
        <f>"95660"</f>
        <v>95660</v>
      </c>
      <c r="E3402">
        <v>60.74</v>
      </c>
    </row>
    <row r="3403" spans="1:5" x14ac:dyDescent="0.2">
      <c r="A3403">
        <v>95661</v>
      </c>
      <c r="B3403" t="s">
        <v>10</v>
      </c>
      <c r="C3403">
        <v>95661</v>
      </c>
      <c r="D3403" t="str">
        <f>"95661"</f>
        <v>95661</v>
      </c>
      <c r="E3403">
        <v>81.069999999999993</v>
      </c>
    </row>
    <row r="3404" spans="1:5" x14ac:dyDescent="0.2">
      <c r="A3404">
        <v>95662</v>
      </c>
      <c r="B3404" t="s">
        <v>10</v>
      </c>
      <c r="C3404">
        <v>95662</v>
      </c>
      <c r="D3404" t="str">
        <f>"95662"</f>
        <v>95662</v>
      </c>
      <c r="E3404">
        <v>79.89</v>
      </c>
    </row>
    <row r="3405" spans="1:5" x14ac:dyDescent="0.2">
      <c r="A3405">
        <v>95663</v>
      </c>
      <c r="B3405" t="s">
        <v>10</v>
      </c>
      <c r="C3405">
        <v>95663</v>
      </c>
      <c r="D3405" t="str">
        <f>"95663"</f>
        <v>95663</v>
      </c>
      <c r="E3405">
        <v>81.430000000000007</v>
      </c>
    </row>
    <row r="3406" spans="1:5" x14ac:dyDescent="0.2">
      <c r="A3406">
        <v>95664</v>
      </c>
      <c r="B3406" t="s">
        <v>10</v>
      </c>
      <c r="C3406">
        <v>95664</v>
      </c>
      <c r="D3406" t="str">
        <f>"95664"</f>
        <v>95664</v>
      </c>
      <c r="E3406">
        <v>77.27</v>
      </c>
    </row>
    <row r="3407" spans="1:5" x14ac:dyDescent="0.2">
      <c r="A3407">
        <v>95665</v>
      </c>
      <c r="B3407" t="s">
        <v>10</v>
      </c>
      <c r="C3407">
        <v>95665</v>
      </c>
      <c r="D3407" t="str">
        <f>"95665"</f>
        <v>95665</v>
      </c>
      <c r="E3407">
        <v>74.53</v>
      </c>
    </row>
    <row r="3408" spans="1:5" x14ac:dyDescent="0.2">
      <c r="A3408">
        <v>95666</v>
      </c>
      <c r="B3408" t="s">
        <v>10</v>
      </c>
      <c r="C3408">
        <v>95666</v>
      </c>
      <c r="D3408" t="str">
        <f>"95666"</f>
        <v>95666</v>
      </c>
      <c r="E3408">
        <v>74.45</v>
      </c>
    </row>
    <row r="3409" spans="1:5" x14ac:dyDescent="0.2">
      <c r="A3409">
        <v>95667</v>
      </c>
      <c r="B3409" t="s">
        <v>10</v>
      </c>
      <c r="C3409">
        <v>95667</v>
      </c>
      <c r="D3409" t="str">
        <f>"95667"</f>
        <v>95667</v>
      </c>
      <c r="E3409">
        <v>75.260000000000005</v>
      </c>
    </row>
    <row r="3410" spans="1:5" x14ac:dyDescent="0.2">
      <c r="A3410">
        <v>95668</v>
      </c>
      <c r="B3410" t="s">
        <v>10</v>
      </c>
      <c r="C3410">
        <v>95668</v>
      </c>
      <c r="D3410" t="str">
        <f>"95668"</f>
        <v>95668</v>
      </c>
      <c r="E3410">
        <v>72.22</v>
      </c>
    </row>
    <row r="3411" spans="1:5" x14ac:dyDescent="0.2">
      <c r="A3411">
        <v>95669</v>
      </c>
      <c r="B3411" t="s">
        <v>10</v>
      </c>
      <c r="C3411">
        <v>95669</v>
      </c>
      <c r="D3411" t="str">
        <f>"95669"</f>
        <v>95669</v>
      </c>
      <c r="E3411">
        <v>75.41</v>
      </c>
    </row>
    <row r="3412" spans="1:5" x14ac:dyDescent="0.2">
      <c r="A3412">
        <v>95670</v>
      </c>
      <c r="B3412" t="s">
        <v>10</v>
      </c>
      <c r="C3412">
        <v>95670</v>
      </c>
      <c r="D3412" t="str">
        <f>"95670"</f>
        <v>95670</v>
      </c>
      <c r="E3412">
        <v>73.56</v>
      </c>
    </row>
    <row r="3413" spans="1:5" x14ac:dyDescent="0.2">
      <c r="A3413">
        <v>95672</v>
      </c>
      <c r="B3413" t="s">
        <v>10</v>
      </c>
      <c r="C3413">
        <v>95672</v>
      </c>
      <c r="D3413" t="str">
        <f>"95672"</f>
        <v>95672</v>
      </c>
      <c r="E3413">
        <v>80.91</v>
      </c>
    </row>
    <row r="3414" spans="1:5" x14ac:dyDescent="0.2">
      <c r="A3414">
        <v>95673</v>
      </c>
      <c r="B3414" t="s">
        <v>10</v>
      </c>
      <c r="C3414">
        <v>95673</v>
      </c>
      <c r="D3414" t="str">
        <f>"95673"</f>
        <v>95673</v>
      </c>
      <c r="E3414">
        <v>70.94</v>
      </c>
    </row>
    <row r="3415" spans="1:5" x14ac:dyDescent="0.2">
      <c r="A3415">
        <v>95674</v>
      </c>
      <c r="B3415" t="s">
        <v>10</v>
      </c>
      <c r="C3415">
        <v>95674</v>
      </c>
      <c r="D3415" t="str">
        <f>"95674"</f>
        <v>95674</v>
      </c>
      <c r="E3415">
        <v>79.489999999999995</v>
      </c>
    </row>
    <row r="3416" spans="1:5" x14ac:dyDescent="0.2">
      <c r="A3416">
        <v>95675</v>
      </c>
      <c r="B3416" t="s">
        <v>10</v>
      </c>
      <c r="C3416">
        <v>95675</v>
      </c>
      <c r="D3416" t="str">
        <f>"95675"</f>
        <v>95675</v>
      </c>
      <c r="E3416" t="s">
        <v>6</v>
      </c>
    </row>
    <row r="3417" spans="1:5" x14ac:dyDescent="0.2">
      <c r="A3417">
        <v>95676</v>
      </c>
      <c r="B3417" t="s">
        <v>10</v>
      </c>
      <c r="C3417">
        <v>95676</v>
      </c>
      <c r="D3417" t="str">
        <f>"95676"</f>
        <v>95676</v>
      </c>
      <c r="E3417" t="s">
        <v>6</v>
      </c>
    </row>
    <row r="3418" spans="1:5" x14ac:dyDescent="0.2">
      <c r="A3418">
        <v>95677</v>
      </c>
      <c r="B3418" t="s">
        <v>10</v>
      </c>
      <c r="C3418">
        <v>95677</v>
      </c>
      <c r="D3418" t="str">
        <f>"95677"</f>
        <v>95677</v>
      </c>
      <c r="E3418">
        <v>80.209999999999994</v>
      </c>
    </row>
    <row r="3419" spans="1:5" x14ac:dyDescent="0.2">
      <c r="A3419">
        <v>95678</v>
      </c>
      <c r="B3419" t="s">
        <v>10</v>
      </c>
      <c r="C3419">
        <v>95678</v>
      </c>
      <c r="D3419" t="str">
        <f>"95678"</f>
        <v>95678</v>
      </c>
      <c r="E3419">
        <v>78.7</v>
      </c>
    </row>
    <row r="3420" spans="1:5" x14ac:dyDescent="0.2">
      <c r="A3420">
        <v>95679</v>
      </c>
      <c r="B3420" t="s">
        <v>10</v>
      </c>
      <c r="C3420">
        <v>95679</v>
      </c>
      <c r="D3420" t="str">
        <f>"95679"</f>
        <v>95679</v>
      </c>
      <c r="E3420" t="s">
        <v>6</v>
      </c>
    </row>
    <row r="3421" spans="1:5" x14ac:dyDescent="0.2">
      <c r="A3421">
        <v>95681</v>
      </c>
      <c r="B3421" t="s">
        <v>10</v>
      </c>
      <c r="C3421">
        <v>95681</v>
      </c>
      <c r="D3421" t="str">
        <f>"95681"</f>
        <v>95681</v>
      </c>
      <c r="E3421">
        <v>69.349999999999994</v>
      </c>
    </row>
    <row r="3422" spans="1:5" x14ac:dyDescent="0.2">
      <c r="A3422">
        <v>95682</v>
      </c>
      <c r="B3422" t="s">
        <v>10</v>
      </c>
      <c r="C3422">
        <v>95682</v>
      </c>
      <c r="D3422" t="str">
        <f>"95682"</f>
        <v>95682</v>
      </c>
      <c r="E3422">
        <v>79.67</v>
      </c>
    </row>
    <row r="3423" spans="1:5" x14ac:dyDescent="0.2">
      <c r="A3423">
        <v>95683</v>
      </c>
      <c r="B3423" t="s">
        <v>10</v>
      </c>
      <c r="C3423">
        <v>95683</v>
      </c>
      <c r="D3423" t="str">
        <f>"95683"</f>
        <v>95683</v>
      </c>
      <c r="E3423">
        <v>84.45</v>
      </c>
    </row>
    <row r="3424" spans="1:5" x14ac:dyDescent="0.2">
      <c r="A3424">
        <v>95684</v>
      </c>
      <c r="B3424" t="s">
        <v>10</v>
      </c>
      <c r="C3424">
        <v>95684</v>
      </c>
      <c r="D3424" t="str">
        <f>"95684"</f>
        <v>95684</v>
      </c>
      <c r="E3424">
        <v>71.319999999999993</v>
      </c>
    </row>
    <row r="3425" spans="1:5" x14ac:dyDescent="0.2">
      <c r="A3425">
        <v>95685</v>
      </c>
      <c r="B3425" t="s">
        <v>10</v>
      </c>
      <c r="C3425">
        <v>95685</v>
      </c>
      <c r="D3425" t="str">
        <f>"95685"</f>
        <v>95685</v>
      </c>
      <c r="E3425">
        <v>77.290000000000006</v>
      </c>
    </row>
    <row r="3426" spans="1:5" x14ac:dyDescent="0.2">
      <c r="A3426">
        <v>95686</v>
      </c>
      <c r="B3426" t="s">
        <v>10</v>
      </c>
      <c r="C3426">
        <v>95686</v>
      </c>
      <c r="D3426" t="str">
        <f>"95686"</f>
        <v>95686</v>
      </c>
      <c r="E3426" t="s">
        <v>6</v>
      </c>
    </row>
    <row r="3427" spans="1:5" x14ac:dyDescent="0.2">
      <c r="A3427">
        <v>95687</v>
      </c>
      <c r="B3427" t="s">
        <v>10</v>
      </c>
      <c r="C3427">
        <v>95687</v>
      </c>
      <c r="D3427" t="str">
        <f>"95687"</f>
        <v>95687</v>
      </c>
      <c r="E3427">
        <v>80.62</v>
      </c>
    </row>
    <row r="3428" spans="1:5" x14ac:dyDescent="0.2">
      <c r="A3428">
        <v>95688</v>
      </c>
      <c r="B3428" t="s">
        <v>10</v>
      </c>
      <c r="C3428">
        <v>95688</v>
      </c>
      <c r="D3428" t="str">
        <f>"95688"</f>
        <v>95688</v>
      </c>
      <c r="E3428">
        <v>79.989999999999995</v>
      </c>
    </row>
    <row r="3429" spans="1:5" x14ac:dyDescent="0.2">
      <c r="A3429">
        <v>95689</v>
      </c>
      <c r="B3429" t="s">
        <v>10</v>
      </c>
      <c r="C3429">
        <v>95689</v>
      </c>
      <c r="D3429" t="str">
        <f>"95689"</f>
        <v>95689</v>
      </c>
      <c r="E3429">
        <v>82.26</v>
      </c>
    </row>
    <row r="3430" spans="1:5" x14ac:dyDescent="0.2">
      <c r="A3430">
        <v>95690</v>
      </c>
      <c r="B3430" t="s">
        <v>10</v>
      </c>
      <c r="C3430">
        <v>95690</v>
      </c>
      <c r="D3430" t="str">
        <f>"95690"</f>
        <v>95690</v>
      </c>
      <c r="E3430">
        <v>67.239999999999995</v>
      </c>
    </row>
    <row r="3431" spans="1:5" x14ac:dyDescent="0.2">
      <c r="A3431">
        <v>95691</v>
      </c>
      <c r="B3431" t="s">
        <v>10</v>
      </c>
      <c r="C3431">
        <v>95691</v>
      </c>
      <c r="D3431" t="str">
        <f>"95691"</f>
        <v>95691</v>
      </c>
      <c r="E3431">
        <v>76.650000000000006</v>
      </c>
    </row>
    <row r="3432" spans="1:5" x14ac:dyDescent="0.2">
      <c r="A3432">
        <v>95692</v>
      </c>
      <c r="B3432" t="s">
        <v>10</v>
      </c>
      <c r="C3432">
        <v>95692</v>
      </c>
      <c r="D3432" t="str">
        <f>"95692"</f>
        <v>95692</v>
      </c>
      <c r="E3432">
        <v>71.89</v>
      </c>
    </row>
    <row r="3433" spans="1:5" x14ac:dyDescent="0.2">
      <c r="A3433">
        <v>95693</v>
      </c>
      <c r="B3433" t="s">
        <v>10</v>
      </c>
      <c r="C3433">
        <v>95693</v>
      </c>
      <c r="D3433" t="str">
        <f>"95693"</f>
        <v>95693</v>
      </c>
      <c r="E3433">
        <v>80.430000000000007</v>
      </c>
    </row>
    <row r="3434" spans="1:5" x14ac:dyDescent="0.2">
      <c r="A3434">
        <v>95694</v>
      </c>
      <c r="B3434" t="s">
        <v>10</v>
      </c>
      <c r="C3434">
        <v>95694</v>
      </c>
      <c r="D3434" t="str">
        <f>"95694"</f>
        <v>95694</v>
      </c>
      <c r="E3434">
        <v>76.69</v>
      </c>
    </row>
    <row r="3435" spans="1:5" x14ac:dyDescent="0.2">
      <c r="A3435">
        <v>95695</v>
      </c>
      <c r="B3435" t="s">
        <v>10</v>
      </c>
      <c r="C3435">
        <v>95695</v>
      </c>
      <c r="D3435" t="str">
        <f>"95695"</f>
        <v>95695</v>
      </c>
      <c r="E3435">
        <v>74.599999999999994</v>
      </c>
    </row>
    <row r="3436" spans="1:5" x14ac:dyDescent="0.2">
      <c r="A3436">
        <v>95697</v>
      </c>
      <c r="B3436" t="s">
        <v>10</v>
      </c>
      <c r="C3436">
        <v>95697</v>
      </c>
      <c r="D3436" t="str">
        <f>"95697"</f>
        <v>95697</v>
      </c>
      <c r="E3436" t="s">
        <v>6</v>
      </c>
    </row>
    <row r="3437" spans="1:5" x14ac:dyDescent="0.2">
      <c r="A3437">
        <v>95698</v>
      </c>
      <c r="B3437" t="s">
        <v>10</v>
      </c>
      <c r="C3437">
        <v>95698</v>
      </c>
      <c r="D3437" t="str">
        <f>"95698"</f>
        <v>95698</v>
      </c>
      <c r="E3437" t="s">
        <v>6</v>
      </c>
    </row>
    <row r="3438" spans="1:5" x14ac:dyDescent="0.2">
      <c r="A3438">
        <v>95699</v>
      </c>
      <c r="B3438" t="s">
        <v>10</v>
      </c>
      <c r="C3438">
        <v>95699</v>
      </c>
      <c r="D3438" t="str">
        <f>"95699"</f>
        <v>95699</v>
      </c>
      <c r="E3438" t="s">
        <v>6</v>
      </c>
    </row>
    <row r="3439" spans="1:5" x14ac:dyDescent="0.2">
      <c r="A3439">
        <v>95701</v>
      </c>
      <c r="B3439" t="s">
        <v>10</v>
      </c>
      <c r="C3439">
        <v>95701</v>
      </c>
      <c r="D3439" t="str">
        <f>"95701"</f>
        <v>95701</v>
      </c>
      <c r="E3439" t="s">
        <v>6</v>
      </c>
    </row>
    <row r="3440" spans="1:5" x14ac:dyDescent="0.2">
      <c r="A3440">
        <v>95703</v>
      </c>
      <c r="B3440" t="s">
        <v>10</v>
      </c>
      <c r="C3440">
        <v>95703</v>
      </c>
      <c r="D3440" t="str">
        <f>"95703"</f>
        <v>95703</v>
      </c>
      <c r="E3440">
        <v>73.63</v>
      </c>
    </row>
    <row r="3441" spans="1:5" x14ac:dyDescent="0.2">
      <c r="A3441">
        <v>95709</v>
      </c>
      <c r="B3441" t="s">
        <v>10</v>
      </c>
      <c r="C3441">
        <v>95709</v>
      </c>
      <c r="D3441" t="str">
        <f>"95709"</f>
        <v>95709</v>
      </c>
      <c r="E3441">
        <v>75.739999999999995</v>
      </c>
    </row>
    <row r="3442" spans="1:5" x14ac:dyDescent="0.2">
      <c r="A3442">
        <v>95713</v>
      </c>
      <c r="B3442" t="s">
        <v>10</v>
      </c>
      <c r="C3442">
        <v>95713</v>
      </c>
      <c r="D3442" t="str">
        <f>"95713"</f>
        <v>95713</v>
      </c>
      <c r="E3442">
        <v>77.78</v>
      </c>
    </row>
    <row r="3443" spans="1:5" x14ac:dyDescent="0.2">
      <c r="A3443">
        <v>95714</v>
      </c>
      <c r="B3443" t="s">
        <v>10</v>
      </c>
      <c r="C3443">
        <v>95714</v>
      </c>
      <c r="D3443" t="str">
        <f>"95714"</f>
        <v>95714</v>
      </c>
      <c r="E3443" t="s">
        <v>6</v>
      </c>
    </row>
    <row r="3444" spans="1:5" x14ac:dyDescent="0.2">
      <c r="A3444">
        <v>95715</v>
      </c>
      <c r="B3444" t="s">
        <v>10</v>
      </c>
      <c r="C3444">
        <v>95715</v>
      </c>
      <c r="D3444" t="str">
        <f>"95715"</f>
        <v>95715</v>
      </c>
      <c r="E3444" t="s">
        <v>6</v>
      </c>
    </row>
    <row r="3445" spans="1:5" x14ac:dyDescent="0.2">
      <c r="A3445">
        <v>95717</v>
      </c>
      <c r="B3445" t="s">
        <v>10</v>
      </c>
      <c r="C3445">
        <v>95717</v>
      </c>
      <c r="D3445" t="str">
        <f>"95717"</f>
        <v>95717</v>
      </c>
      <c r="E3445" t="s">
        <v>6</v>
      </c>
    </row>
    <row r="3446" spans="1:5" x14ac:dyDescent="0.2">
      <c r="A3446">
        <v>95720</v>
      </c>
      <c r="B3446" t="s">
        <v>10</v>
      </c>
      <c r="C3446">
        <v>95720</v>
      </c>
      <c r="D3446" t="str">
        <f>"95720"</f>
        <v>95720</v>
      </c>
      <c r="E3446" t="s">
        <v>6</v>
      </c>
    </row>
    <row r="3447" spans="1:5" x14ac:dyDescent="0.2">
      <c r="A3447">
        <v>95721</v>
      </c>
      <c r="B3447" t="s">
        <v>10</v>
      </c>
      <c r="C3447">
        <v>95721</v>
      </c>
      <c r="D3447" t="str">
        <f>"95721"</f>
        <v>95721</v>
      </c>
      <c r="E3447" t="s">
        <v>6</v>
      </c>
    </row>
    <row r="3448" spans="1:5" x14ac:dyDescent="0.2">
      <c r="A3448">
        <v>95722</v>
      </c>
      <c r="B3448" t="s">
        <v>10</v>
      </c>
      <c r="C3448">
        <v>95722</v>
      </c>
      <c r="D3448" t="str">
        <f>"95722"</f>
        <v>95722</v>
      </c>
      <c r="E3448">
        <v>80</v>
      </c>
    </row>
    <row r="3449" spans="1:5" x14ac:dyDescent="0.2">
      <c r="A3449">
        <v>95724</v>
      </c>
      <c r="B3449" t="s">
        <v>10</v>
      </c>
      <c r="C3449">
        <v>95724</v>
      </c>
      <c r="D3449" t="str">
        <f>"95724"</f>
        <v>95724</v>
      </c>
      <c r="E3449" t="s">
        <v>6</v>
      </c>
    </row>
    <row r="3450" spans="1:5" x14ac:dyDescent="0.2">
      <c r="A3450">
        <v>95726</v>
      </c>
      <c r="B3450" t="s">
        <v>10</v>
      </c>
      <c r="C3450">
        <v>95726</v>
      </c>
      <c r="D3450" t="str">
        <f>"95726"</f>
        <v>95726</v>
      </c>
      <c r="E3450">
        <v>77.06</v>
      </c>
    </row>
    <row r="3451" spans="1:5" x14ac:dyDescent="0.2">
      <c r="A3451">
        <v>95728</v>
      </c>
      <c r="B3451" t="s">
        <v>10</v>
      </c>
      <c r="C3451">
        <v>95728</v>
      </c>
      <c r="D3451" t="str">
        <f>"95728"</f>
        <v>95728</v>
      </c>
      <c r="E3451" t="s">
        <v>6</v>
      </c>
    </row>
    <row r="3452" spans="1:5" x14ac:dyDescent="0.2">
      <c r="A3452">
        <v>95735</v>
      </c>
      <c r="B3452" t="s">
        <v>10</v>
      </c>
      <c r="C3452">
        <v>95735</v>
      </c>
      <c r="D3452" t="str">
        <f>"95735"</f>
        <v>95735</v>
      </c>
      <c r="E3452" t="s">
        <v>6</v>
      </c>
    </row>
    <row r="3453" spans="1:5" x14ac:dyDescent="0.2">
      <c r="A3453">
        <v>95742</v>
      </c>
      <c r="B3453" t="s">
        <v>10</v>
      </c>
      <c r="C3453">
        <v>95742</v>
      </c>
      <c r="D3453" t="str">
        <f>"95742"</f>
        <v>95742</v>
      </c>
      <c r="E3453">
        <v>83.31</v>
      </c>
    </row>
    <row r="3454" spans="1:5" x14ac:dyDescent="0.2">
      <c r="A3454">
        <v>95746</v>
      </c>
      <c r="B3454" t="s">
        <v>10</v>
      </c>
      <c r="C3454">
        <v>95746</v>
      </c>
      <c r="D3454" t="str">
        <f>"95746"</f>
        <v>95746</v>
      </c>
      <c r="E3454">
        <v>82.7</v>
      </c>
    </row>
    <row r="3455" spans="1:5" x14ac:dyDescent="0.2">
      <c r="A3455">
        <v>95747</v>
      </c>
      <c r="B3455" t="s">
        <v>10</v>
      </c>
      <c r="C3455">
        <v>95747</v>
      </c>
      <c r="D3455" t="str">
        <f>"95747"</f>
        <v>95747</v>
      </c>
      <c r="E3455">
        <v>82.39</v>
      </c>
    </row>
    <row r="3456" spans="1:5" x14ac:dyDescent="0.2">
      <c r="A3456">
        <v>95757</v>
      </c>
      <c r="B3456" t="s">
        <v>10</v>
      </c>
      <c r="C3456">
        <v>95757</v>
      </c>
      <c r="D3456" t="str">
        <f>"95757"</f>
        <v>95757</v>
      </c>
      <c r="E3456">
        <v>77.150000000000006</v>
      </c>
    </row>
    <row r="3457" spans="1:5" x14ac:dyDescent="0.2">
      <c r="A3457">
        <v>95758</v>
      </c>
      <c r="B3457" t="s">
        <v>10</v>
      </c>
      <c r="C3457">
        <v>95758</v>
      </c>
      <c r="D3457" t="str">
        <f>"95758"</f>
        <v>95758</v>
      </c>
      <c r="E3457">
        <v>76.88</v>
      </c>
    </row>
    <row r="3458" spans="1:5" x14ac:dyDescent="0.2">
      <c r="A3458">
        <v>95762</v>
      </c>
      <c r="B3458" t="s">
        <v>10</v>
      </c>
      <c r="C3458">
        <v>95762</v>
      </c>
      <c r="D3458" t="str">
        <f>"95762"</f>
        <v>95762</v>
      </c>
      <c r="E3458">
        <v>83.48</v>
      </c>
    </row>
    <row r="3459" spans="1:5" x14ac:dyDescent="0.2">
      <c r="A3459">
        <v>95765</v>
      </c>
      <c r="B3459" t="s">
        <v>10</v>
      </c>
      <c r="C3459">
        <v>95765</v>
      </c>
      <c r="D3459" t="str">
        <f>"95765"</f>
        <v>95765</v>
      </c>
      <c r="E3459">
        <v>81.17</v>
      </c>
    </row>
    <row r="3460" spans="1:5" x14ac:dyDescent="0.2">
      <c r="A3460">
        <v>95776</v>
      </c>
      <c r="B3460" t="s">
        <v>10</v>
      </c>
      <c r="C3460">
        <v>95776</v>
      </c>
      <c r="D3460" t="str">
        <f>"95776"</f>
        <v>95776</v>
      </c>
      <c r="E3460">
        <v>72.569999999999993</v>
      </c>
    </row>
    <row r="3461" spans="1:5" x14ac:dyDescent="0.2">
      <c r="A3461">
        <v>95811</v>
      </c>
      <c r="B3461" t="s">
        <v>10</v>
      </c>
      <c r="C3461">
        <v>95811</v>
      </c>
      <c r="D3461" t="str">
        <f>"95811"</f>
        <v>95811</v>
      </c>
      <c r="E3461">
        <v>82.88</v>
      </c>
    </row>
    <row r="3462" spans="1:5" x14ac:dyDescent="0.2">
      <c r="A3462">
        <v>95814</v>
      </c>
      <c r="B3462" t="s">
        <v>10</v>
      </c>
      <c r="C3462">
        <v>95814</v>
      </c>
      <c r="D3462" t="str">
        <f>"95814"</f>
        <v>95814</v>
      </c>
      <c r="E3462">
        <v>83.02</v>
      </c>
    </row>
    <row r="3463" spans="1:5" x14ac:dyDescent="0.2">
      <c r="A3463">
        <v>95815</v>
      </c>
      <c r="B3463" t="s">
        <v>10</v>
      </c>
      <c r="C3463">
        <v>95815</v>
      </c>
      <c r="D3463" t="str">
        <f>"95815"</f>
        <v>95815</v>
      </c>
      <c r="E3463">
        <v>58.69</v>
      </c>
    </row>
    <row r="3464" spans="1:5" x14ac:dyDescent="0.2">
      <c r="A3464">
        <v>95816</v>
      </c>
      <c r="B3464" t="s">
        <v>10</v>
      </c>
      <c r="C3464">
        <v>95816</v>
      </c>
      <c r="D3464" t="str">
        <f>"95816"</f>
        <v>95816</v>
      </c>
      <c r="E3464">
        <v>87.01</v>
      </c>
    </row>
    <row r="3465" spans="1:5" x14ac:dyDescent="0.2">
      <c r="A3465">
        <v>95817</v>
      </c>
      <c r="B3465" t="s">
        <v>10</v>
      </c>
      <c r="C3465">
        <v>95817</v>
      </c>
      <c r="D3465" t="str">
        <f>"95817"</f>
        <v>95817</v>
      </c>
      <c r="E3465">
        <v>75.08</v>
      </c>
    </row>
    <row r="3466" spans="1:5" x14ac:dyDescent="0.2">
      <c r="A3466">
        <v>95818</v>
      </c>
      <c r="B3466" t="s">
        <v>10</v>
      </c>
      <c r="C3466">
        <v>95818</v>
      </c>
      <c r="D3466" t="str">
        <f>"95818"</f>
        <v>95818</v>
      </c>
      <c r="E3466">
        <v>81.61</v>
      </c>
    </row>
    <row r="3467" spans="1:5" x14ac:dyDescent="0.2">
      <c r="A3467">
        <v>95819</v>
      </c>
      <c r="B3467" t="s">
        <v>10</v>
      </c>
      <c r="C3467">
        <v>95819</v>
      </c>
      <c r="D3467" t="str">
        <f>"95819"</f>
        <v>95819</v>
      </c>
      <c r="E3467">
        <v>87.65</v>
      </c>
    </row>
    <row r="3468" spans="1:5" x14ac:dyDescent="0.2">
      <c r="A3468">
        <v>95820</v>
      </c>
      <c r="B3468" t="s">
        <v>10</v>
      </c>
      <c r="C3468">
        <v>95820</v>
      </c>
      <c r="D3468" t="str">
        <f>"95820"</f>
        <v>95820</v>
      </c>
      <c r="E3468">
        <v>67.98</v>
      </c>
    </row>
    <row r="3469" spans="1:5" x14ac:dyDescent="0.2">
      <c r="A3469">
        <v>95821</v>
      </c>
      <c r="B3469" t="s">
        <v>10</v>
      </c>
      <c r="C3469">
        <v>95821</v>
      </c>
      <c r="D3469" t="str">
        <f>"95821"</f>
        <v>95821</v>
      </c>
      <c r="E3469">
        <v>69.62</v>
      </c>
    </row>
    <row r="3470" spans="1:5" x14ac:dyDescent="0.2">
      <c r="A3470">
        <v>95822</v>
      </c>
      <c r="B3470" t="s">
        <v>10</v>
      </c>
      <c r="C3470">
        <v>95822</v>
      </c>
      <c r="D3470" t="str">
        <f>"95822"</f>
        <v>95822</v>
      </c>
      <c r="E3470">
        <v>70.260000000000005</v>
      </c>
    </row>
    <row r="3471" spans="1:5" x14ac:dyDescent="0.2">
      <c r="A3471">
        <v>95823</v>
      </c>
      <c r="B3471" t="s">
        <v>10</v>
      </c>
      <c r="C3471">
        <v>95823</v>
      </c>
      <c r="D3471" t="str">
        <f>"95823"</f>
        <v>95823</v>
      </c>
      <c r="E3471">
        <v>60.42</v>
      </c>
    </row>
    <row r="3472" spans="1:5" x14ac:dyDescent="0.2">
      <c r="A3472">
        <v>95824</v>
      </c>
      <c r="B3472" t="s">
        <v>10</v>
      </c>
      <c r="C3472">
        <v>95824</v>
      </c>
      <c r="D3472" t="str">
        <f>"95824"</f>
        <v>95824</v>
      </c>
      <c r="E3472">
        <v>53.77</v>
      </c>
    </row>
    <row r="3473" spans="1:5" x14ac:dyDescent="0.2">
      <c r="A3473">
        <v>95825</v>
      </c>
      <c r="B3473" t="s">
        <v>10</v>
      </c>
      <c r="C3473">
        <v>95825</v>
      </c>
      <c r="D3473" t="str">
        <f>"95825"</f>
        <v>95825</v>
      </c>
      <c r="E3473">
        <v>69.010000000000005</v>
      </c>
    </row>
    <row r="3474" spans="1:5" x14ac:dyDescent="0.2">
      <c r="A3474">
        <v>95826</v>
      </c>
      <c r="B3474" t="s">
        <v>10</v>
      </c>
      <c r="C3474">
        <v>95826</v>
      </c>
      <c r="D3474" t="str">
        <f>"95826"</f>
        <v>95826</v>
      </c>
      <c r="E3474">
        <v>77.400000000000006</v>
      </c>
    </row>
    <row r="3475" spans="1:5" x14ac:dyDescent="0.2">
      <c r="A3475">
        <v>95827</v>
      </c>
      <c r="B3475" t="s">
        <v>10</v>
      </c>
      <c r="C3475">
        <v>95827</v>
      </c>
      <c r="D3475" t="str">
        <f>"95827"</f>
        <v>95827</v>
      </c>
      <c r="E3475">
        <v>71.459999999999994</v>
      </c>
    </row>
    <row r="3476" spans="1:5" x14ac:dyDescent="0.2">
      <c r="A3476">
        <v>95828</v>
      </c>
      <c r="B3476" t="s">
        <v>10</v>
      </c>
      <c r="C3476">
        <v>95828</v>
      </c>
      <c r="D3476" t="str">
        <f>"95828"</f>
        <v>95828</v>
      </c>
      <c r="E3476">
        <v>63.85</v>
      </c>
    </row>
    <row r="3477" spans="1:5" x14ac:dyDescent="0.2">
      <c r="A3477">
        <v>95829</v>
      </c>
      <c r="B3477" t="s">
        <v>10</v>
      </c>
      <c r="C3477">
        <v>95829</v>
      </c>
      <c r="D3477" t="str">
        <f>"95829"</f>
        <v>95829</v>
      </c>
      <c r="E3477">
        <v>73.599999999999994</v>
      </c>
    </row>
    <row r="3478" spans="1:5" x14ac:dyDescent="0.2">
      <c r="A3478">
        <v>95830</v>
      </c>
      <c r="B3478" t="s">
        <v>10</v>
      </c>
      <c r="C3478">
        <v>95830</v>
      </c>
      <c r="D3478" t="str">
        <f>"95830"</f>
        <v>95830</v>
      </c>
      <c r="E3478">
        <v>81.08</v>
      </c>
    </row>
    <row r="3479" spans="1:5" x14ac:dyDescent="0.2">
      <c r="A3479">
        <v>95831</v>
      </c>
      <c r="B3479" t="s">
        <v>10</v>
      </c>
      <c r="C3479">
        <v>95831</v>
      </c>
      <c r="D3479" t="str">
        <f>"95831"</f>
        <v>95831</v>
      </c>
      <c r="E3479">
        <v>82.26</v>
      </c>
    </row>
    <row r="3480" spans="1:5" x14ac:dyDescent="0.2">
      <c r="A3480">
        <v>95832</v>
      </c>
      <c r="B3480" t="s">
        <v>10</v>
      </c>
      <c r="C3480">
        <v>95832</v>
      </c>
      <c r="D3480" t="str">
        <f>"95832"</f>
        <v>95832</v>
      </c>
      <c r="E3480">
        <v>55.75</v>
      </c>
    </row>
    <row r="3481" spans="1:5" x14ac:dyDescent="0.2">
      <c r="A3481">
        <v>95833</v>
      </c>
      <c r="B3481" t="s">
        <v>10</v>
      </c>
      <c r="C3481">
        <v>95833</v>
      </c>
      <c r="D3481" t="str">
        <f>"95833"</f>
        <v>95833</v>
      </c>
      <c r="E3481">
        <v>74.099999999999994</v>
      </c>
    </row>
    <row r="3482" spans="1:5" x14ac:dyDescent="0.2">
      <c r="A3482">
        <v>95834</v>
      </c>
      <c r="B3482" t="s">
        <v>10</v>
      </c>
      <c r="C3482">
        <v>95834</v>
      </c>
      <c r="D3482" t="str">
        <f>"95834"</f>
        <v>95834</v>
      </c>
      <c r="E3482">
        <v>72.8</v>
      </c>
    </row>
    <row r="3483" spans="1:5" x14ac:dyDescent="0.2">
      <c r="A3483">
        <v>95835</v>
      </c>
      <c r="B3483" t="s">
        <v>10</v>
      </c>
      <c r="C3483">
        <v>95835</v>
      </c>
      <c r="D3483" t="str">
        <f>"95835"</f>
        <v>95835</v>
      </c>
      <c r="E3483">
        <v>80.38</v>
      </c>
    </row>
    <row r="3484" spans="1:5" x14ac:dyDescent="0.2">
      <c r="A3484">
        <v>95836</v>
      </c>
      <c r="B3484" t="s">
        <v>10</v>
      </c>
      <c r="C3484">
        <v>95836</v>
      </c>
      <c r="D3484" t="str">
        <f>"95836"</f>
        <v>95836</v>
      </c>
      <c r="E3484" t="s">
        <v>6</v>
      </c>
    </row>
    <row r="3485" spans="1:5" x14ac:dyDescent="0.2">
      <c r="A3485">
        <v>95837</v>
      </c>
      <c r="B3485" t="s">
        <v>10</v>
      </c>
      <c r="C3485">
        <v>95837</v>
      </c>
      <c r="D3485" t="str">
        <f>"95837"</f>
        <v>95837</v>
      </c>
      <c r="E3485">
        <v>81.819999999999993</v>
      </c>
    </row>
    <row r="3486" spans="1:5" x14ac:dyDescent="0.2">
      <c r="A3486">
        <v>95838</v>
      </c>
      <c r="B3486" t="s">
        <v>10</v>
      </c>
      <c r="C3486">
        <v>95838</v>
      </c>
      <c r="D3486" t="str">
        <f>"95838"</f>
        <v>95838</v>
      </c>
      <c r="E3486">
        <v>58.34</v>
      </c>
    </row>
    <row r="3487" spans="1:5" x14ac:dyDescent="0.2">
      <c r="A3487">
        <v>95841</v>
      </c>
      <c r="B3487" t="s">
        <v>10</v>
      </c>
      <c r="C3487">
        <v>95841</v>
      </c>
      <c r="D3487" t="str">
        <f>"95841"</f>
        <v>95841</v>
      </c>
      <c r="E3487">
        <v>68.63</v>
      </c>
    </row>
    <row r="3488" spans="1:5" x14ac:dyDescent="0.2">
      <c r="A3488">
        <v>95842</v>
      </c>
      <c r="B3488" t="s">
        <v>10</v>
      </c>
      <c r="C3488">
        <v>95842</v>
      </c>
      <c r="D3488" t="str">
        <f>"95842"</f>
        <v>95842</v>
      </c>
      <c r="E3488">
        <v>65.87</v>
      </c>
    </row>
    <row r="3489" spans="1:5" x14ac:dyDescent="0.2">
      <c r="A3489">
        <v>95843</v>
      </c>
      <c r="B3489" t="s">
        <v>10</v>
      </c>
      <c r="C3489">
        <v>95843</v>
      </c>
      <c r="D3489" t="str">
        <f>"95843"</f>
        <v>95843</v>
      </c>
      <c r="E3489">
        <v>72.11</v>
      </c>
    </row>
    <row r="3490" spans="1:5" x14ac:dyDescent="0.2">
      <c r="A3490">
        <v>95864</v>
      </c>
      <c r="B3490" t="s">
        <v>10</v>
      </c>
      <c r="C3490">
        <v>95864</v>
      </c>
      <c r="D3490" t="str">
        <f>"95864"</f>
        <v>95864</v>
      </c>
      <c r="E3490">
        <v>81.489999999999995</v>
      </c>
    </row>
    <row r="3491" spans="1:5" x14ac:dyDescent="0.2">
      <c r="A3491">
        <v>95901</v>
      </c>
      <c r="B3491" t="s">
        <v>10</v>
      </c>
      <c r="C3491">
        <v>95901</v>
      </c>
      <c r="D3491" t="str">
        <f>"95901"</f>
        <v>95901</v>
      </c>
      <c r="E3491">
        <v>63.9</v>
      </c>
    </row>
    <row r="3492" spans="1:5" x14ac:dyDescent="0.2">
      <c r="A3492">
        <v>95903</v>
      </c>
      <c r="B3492" t="s">
        <v>10</v>
      </c>
      <c r="C3492">
        <v>95903</v>
      </c>
      <c r="D3492" t="str">
        <f>"95903"</f>
        <v>95903</v>
      </c>
      <c r="E3492">
        <v>69.41</v>
      </c>
    </row>
    <row r="3493" spans="1:5" x14ac:dyDescent="0.2">
      <c r="A3493">
        <v>95910</v>
      </c>
      <c r="B3493" t="s">
        <v>10</v>
      </c>
      <c r="C3493">
        <v>95910</v>
      </c>
      <c r="D3493" t="str">
        <f>"95910"</f>
        <v>95910</v>
      </c>
      <c r="E3493" t="s">
        <v>6</v>
      </c>
    </row>
    <row r="3494" spans="1:5" x14ac:dyDescent="0.2">
      <c r="A3494">
        <v>95912</v>
      </c>
      <c r="B3494" t="s">
        <v>10</v>
      </c>
      <c r="C3494">
        <v>95912</v>
      </c>
      <c r="D3494" t="str">
        <f>"95912"</f>
        <v>95912</v>
      </c>
      <c r="E3494">
        <v>68.8</v>
      </c>
    </row>
    <row r="3495" spans="1:5" x14ac:dyDescent="0.2">
      <c r="A3495">
        <v>95913</v>
      </c>
      <c r="B3495" t="s">
        <v>10</v>
      </c>
      <c r="C3495">
        <v>95913</v>
      </c>
      <c r="D3495" t="str">
        <f>"95913"</f>
        <v>95913</v>
      </c>
      <c r="E3495" t="s">
        <v>6</v>
      </c>
    </row>
    <row r="3496" spans="1:5" x14ac:dyDescent="0.2">
      <c r="A3496">
        <v>95914</v>
      </c>
      <c r="B3496" t="s">
        <v>10</v>
      </c>
      <c r="C3496">
        <v>95914</v>
      </c>
      <c r="D3496" t="str">
        <f>"95914"</f>
        <v>95914</v>
      </c>
      <c r="E3496">
        <v>71.430000000000007</v>
      </c>
    </row>
    <row r="3497" spans="1:5" x14ac:dyDescent="0.2">
      <c r="A3497">
        <v>95915</v>
      </c>
      <c r="B3497" t="s">
        <v>10</v>
      </c>
      <c r="C3497">
        <v>95915</v>
      </c>
      <c r="D3497" t="str">
        <f>"95915"</f>
        <v>95915</v>
      </c>
      <c r="E3497" t="s">
        <v>6</v>
      </c>
    </row>
    <row r="3498" spans="1:5" x14ac:dyDescent="0.2">
      <c r="A3498">
        <v>95916</v>
      </c>
      <c r="B3498" t="s">
        <v>10</v>
      </c>
      <c r="C3498">
        <v>95916</v>
      </c>
      <c r="D3498" t="str">
        <f>"95916"</f>
        <v>95916</v>
      </c>
      <c r="E3498">
        <v>63.64</v>
      </c>
    </row>
    <row r="3499" spans="1:5" x14ac:dyDescent="0.2">
      <c r="A3499">
        <v>95917</v>
      </c>
      <c r="B3499" t="s">
        <v>10</v>
      </c>
      <c r="C3499">
        <v>95917</v>
      </c>
      <c r="D3499" t="str">
        <f>"95917"</f>
        <v>95917</v>
      </c>
      <c r="E3499">
        <v>66.91</v>
      </c>
    </row>
    <row r="3500" spans="1:5" x14ac:dyDescent="0.2">
      <c r="A3500">
        <v>95918</v>
      </c>
      <c r="B3500" t="s">
        <v>10</v>
      </c>
      <c r="C3500">
        <v>95918</v>
      </c>
      <c r="D3500" t="str">
        <f>"95918"</f>
        <v>95918</v>
      </c>
      <c r="E3500">
        <v>76.290000000000006</v>
      </c>
    </row>
    <row r="3501" spans="1:5" x14ac:dyDescent="0.2">
      <c r="A3501">
        <v>95919</v>
      </c>
      <c r="B3501" t="s">
        <v>10</v>
      </c>
      <c r="C3501">
        <v>95919</v>
      </c>
      <c r="D3501" t="str">
        <f>"95919"</f>
        <v>95919</v>
      </c>
      <c r="E3501">
        <v>72.09</v>
      </c>
    </row>
    <row r="3502" spans="1:5" x14ac:dyDescent="0.2">
      <c r="A3502">
        <v>95920</v>
      </c>
      <c r="B3502" t="s">
        <v>10</v>
      </c>
      <c r="C3502">
        <v>95920</v>
      </c>
      <c r="D3502" t="str">
        <f>"95920"</f>
        <v>95920</v>
      </c>
      <c r="E3502">
        <v>72.73</v>
      </c>
    </row>
    <row r="3503" spans="1:5" x14ac:dyDescent="0.2">
      <c r="A3503">
        <v>95922</v>
      </c>
      <c r="B3503" t="s">
        <v>10</v>
      </c>
      <c r="C3503">
        <v>95922</v>
      </c>
      <c r="D3503" t="str">
        <f>"95922"</f>
        <v>95922</v>
      </c>
      <c r="E3503">
        <v>57.14</v>
      </c>
    </row>
    <row r="3504" spans="1:5" x14ac:dyDescent="0.2">
      <c r="A3504">
        <v>95923</v>
      </c>
      <c r="B3504" t="s">
        <v>10</v>
      </c>
      <c r="C3504">
        <v>95923</v>
      </c>
      <c r="D3504" t="str">
        <f>"95923"</f>
        <v>95923</v>
      </c>
      <c r="E3504" t="s">
        <v>6</v>
      </c>
    </row>
    <row r="3505" spans="1:5" x14ac:dyDescent="0.2">
      <c r="A3505">
        <v>95925</v>
      </c>
      <c r="B3505" t="s">
        <v>10</v>
      </c>
      <c r="C3505">
        <v>95925</v>
      </c>
      <c r="D3505" t="str">
        <f>"95925"</f>
        <v>95925</v>
      </c>
      <c r="E3505" t="s">
        <v>6</v>
      </c>
    </row>
    <row r="3506" spans="1:5" x14ac:dyDescent="0.2">
      <c r="A3506">
        <v>95926</v>
      </c>
      <c r="B3506" t="s">
        <v>10</v>
      </c>
      <c r="C3506">
        <v>95926</v>
      </c>
      <c r="D3506" t="str">
        <f>"95926"</f>
        <v>95926</v>
      </c>
      <c r="E3506">
        <v>71.72</v>
      </c>
    </row>
    <row r="3507" spans="1:5" x14ac:dyDescent="0.2">
      <c r="A3507">
        <v>95928</v>
      </c>
      <c r="B3507" t="s">
        <v>10</v>
      </c>
      <c r="C3507">
        <v>95928</v>
      </c>
      <c r="D3507" t="str">
        <f>"95928"</f>
        <v>95928</v>
      </c>
      <c r="E3507">
        <v>72.489999999999995</v>
      </c>
    </row>
    <row r="3508" spans="1:5" x14ac:dyDescent="0.2">
      <c r="A3508">
        <v>95929</v>
      </c>
      <c r="B3508" t="s">
        <v>10</v>
      </c>
      <c r="C3508">
        <v>95929</v>
      </c>
      <c r="D3508" t="str">
        <f>"95929"</f>
        <v>95929</v>
      </c>
      <c r="E3508" t="s">
        <v>6</v>
      </c>
    </row>
    <row r="3509" spans="1:5" x14ac:dyDescent="0.2">
      <c r="A3509">
        <v>95930</v>
      </c>
      <c r="B3509" t="s">
        <v>10</v>
      </c>
      <c r="C3509">
        <v>95930</v>
      </c>
      <c r="D3509" t="str">
        <f>"95930"</f>
        <v>95930</v>
      </c>
      <c r="E3509" t="s">
        <v>6</v>
      </c>
    </row>
    <row r="3510" spans="1:5" x14ac:dyDescent="0.2">
      <c r="A3510">
        <v>95932</v>
      </c>
      <c r="B3510" t="s">
        <v>10</v>
      </c>
      <c r="C3510">
        <v>95932</v>
      </c>
      <c r="D3510" t="str">
        <f>"95932"</f>
        <v>95932</v>
      </c>
      <c r="E3510">
        <v>70.12</v>
      </c>
    </row>
    <row r="3511" spans="1:5" x14ac:dyDescent="0.2">
      <c r="A3511">
        <v>95934</v>
      </c>
      <c r="B3511" t="s">
        <v>10</v>
      </c>
      <c r="C3511">
        <v>95934</v>
      </c>
      <c r="D3511" t="str">
        <f>"95934"</f>
        <v>95934</v>
      </c>
      <c r="E3511">
        <v>70</v>
      </c>
    </row>
    <row r="3512" spans="1:5" x14ac:dyDescent="0.2">
      <c r="A3512">
        <v>95935</v>
      </c>
      <c r="B3512" t="s">
        <v>10</v>
      </c>
      <c r="C3512">
        <v>95935</v>
      </c>
      <c r="D3512" t="str">
        <f>"95935"</f>
        <v>95935</v>
      </c>
      <c r="E3512">
        <v>64.290000000000006</v>
      </c>
    </row>
    <row r="3513" spans="1:5" x14ac:dyDescent="0.2">
      <c r="A3513">
        <v>95936</v>
      </c>
      <c r="B3513" t="s">
        <v>10</v>
      </c>
      <c r="C3513">
        <v>95936</v>
      </c>
      <c r="D3513" t="str">
        <f>"95936"</f>
        <v>95936</v>
      </c>
      <c r="E3513" t="s">
        <v>6</v>
      </c>
    </row>
    <row r="3514" spans="1:5" x14ac:dyDescent="0.2">
      <c r="A3514">
        <v>95937</v>
      </c>
      <c r="B3514" t="s">
        <v>10</v>
      </c>
      <c r="C3514">
        <v>95937</v>
      </c>
      <c r="D3514" t="str">
        <f>"95937"</f>
        <v>95937</v>
      </c>
      <c r="E3514" t="s">
        <v>6</v>
      </c>
    </row>
    <row r="3515" spans="1:5" x14ac:dyDescent="0.2">
      <c r="A3515">
        <v>95938</v>
      </c>
      <c r="B3515" t="s">
        <v>10</v>
      </c>
      <c r="C3515">
        <v>95938</v>
      </c>
      <c r="D3515" t="str">
        <f>"95938"</f>
        <v>95938</v>
      </c>
      <c r="E3515">
        <v>76.06</v>
      </c>
    </row>
    <row r="3516" spans="1:5" x14ac:dyDescent="0.2">
      <c r="A3516">
        <v>95939</v>
      </c>
      <c r="B3516" t="s">
        <v>10</v>
      </c>
      <c r="C3516">
        <v>95939</v>
      </c>
      <c r="D3516" t="str">
        <f>"95939"</f>
        <v>95939</v>
      </c>
      <c r="E3516">
        <v>75</v>
      </c>
    </row>
    <row r="3517" spans="1:5" x14ac:dyDescent="0.2">
      <c r="A3517">
        <v>95941</v>
      </c>
      <c r="B3517" t="s">
        <v>10</v>
      </c>
      <c r="C3517">
        <v>95941</v>
      </c>
      <c r="D3517" t="str">
        <f>"95941"</f>
        <v>95941</v>
      </c>
      <c r="E3517">
        <v>56.25</v>
      </c>
    </row>
    <row r="3518" spans="1:5" x14ac:dyDescent="0.2">
      <c r="A3518">
        <v>95942</v>
      </c>
      <c r="B3518" t="s">
        <v>10</v>
      </c>
      <c r="C3518">
        <v>95942</v>
      </c>
      <c r="D3518" t="str">
        <f>"95942"</f>
        <v>95942</v>
      </c>
      <c r="E3518">
        <v>76.92</v>
      </c>
    </row>
    <row r="3519" spans="1:5" x14ac:dyDescent="0.2">
      <c r="A3519">
        <v>95943</v>
      </c>
      <c r="B3519" t="s">
        <v>10</v>
      </c>
      <c r="C3519">
        <v>95943</v>
      </c>
      <c r="D3519" t="str">
        <f>"95943"</f>
        <v>95943</v>
      </c>
      <c r="E3519">
        <v>72.22</v>
      </c>
    </row>
    <row r="3520" spans="1:5" x14ac:dyDescent="0.2">
      <c r="A3520">
        <v>95944</v>
      </c>
      <c r="B3520" t="s">
        <v>10</v>
      </c>
      <c r="C3520">
        <v>95944</v>
      </c>
      <c r="D3520" t="str">
        <f>"95944"</f>
        <v>95944</v>
      </c>
      <c r="E3520" t="s">
        <v>6</v>
      </c>
    </row>
    <row r="3521" spans="1:5" x14ac:dyDescent="0.2">
      <c r="A3521">
        <v>95945</v>
      </c>
      <c r="B3521" t="s">
        <v>10</v>
      </c>
      <c r="C3521">
        <v>95945</v>
      </c>
      <c r="D3521" t="str">
        <f>"95945"</f>
        <v>95945</v>
      </c>
      <c r="E3521">
        <v>69.84</v>
      </c>
    </row>
    <row r="3522" spans="1:5" x14ac:dyDescent="0.2">
      <c r="A3522">
        <v>95946</v>
      </c>
      <c r="B3522" t="s">
        <v>10</v>
      </c>
      <c r="C3522">
        <v>95946</v>
      </c>
      <c r="D3522" t="str">
        <f>"95946"</f>
        <v>95946</v>
      </c>
      <c r="E3522">
        <v>73.91</v>
      </c>
    </row>
    <row r="3523" spans="1:5" x14ac:dyDescent="0.2">
      <c r="A3523">
        <v>95947</v>
      </c>
      <c r="B3523" t="s">
        <v>10</v>
      </c>
      <c r="C3523">
        <v>95947</v>
      </c>
      <c r="D3523" t="str">
        <f>"95947"</f>
        <v>95947</v>
      </c>
      <c r="E3523">
        <v>70</v>
      </c>
    </row>
    <row r="3524" spans="1:5" x14ac:dyDescent="0.2">
      <c r="A3524">
        <v>95948</v>
      </c>
      <c r="B3524" t="s">
        <v>10</v>
      </c>
      <c r="C3524">
        <v>95948</v>
      </c>
      <c r="D3524" t="str">
        <f>"95948"</f>
        <v>95948</v>
      </c>
      <c r="E3524">
        <v>65.42</v>
      </c>
    </row>
    <row r="3525" spans="1:5" x14ac:dyDescent="0.2">
      <c r="A3525">
        <v>95949</v>
      </c>
      <c r="B3525" t="s">
        <v>10</v>
      </c>
      <c r="C3525">
        <v>95949</v>
      </c>
      <c r="D3525" t="str">
        <f>"95949"</f>
        <v>95949</v>
      </c>
      <c r="E3525">
        <v>75.8</v>
      </c>
    </row>
    <row r="3526" spans="1:5" x14ac:dyDescent="0.2">
      <c r="A3526">
        <v>95950</v>
      </c>
      <c r="B3526" t="s">
        <v>10</v>
      </c>
      <c r="C3526">
        <v>95950</v>
      </c>
      <c r="D3526" t="str">
        <f>"95950"</f>
        <v>95950</v>
      </c>
      <c r="E3526" t="s">
        <v>6</v>
      </c>
    </row>
    <row r="3527" spans="1:5" x14ac:dyDescent="0.2">
      <c r="A3527">
        <v>95951</v>
      </c>
      <c r="B3527" t="s">
        <v>10</v>
      </c>
      <c r="C3527">
        <v>95951</v>
      </c>
      <c r="D3527" t="str">
        <f>"95951"</f>
        <v>95951</v>
      </c>
      <c r="E3527" t="s">
        <v>6</v>
      </c>
    </row>
    <row r="3528" spans="1:5" x14ac:dyDescent="0.2">
      <c r="A3528">
        <v>95953</v>
      </c>
      <c r="B3528" t="s">
        <v>10</v>
      </c>
      <c r="C3528">
        <v>95953</v>
      </c>
      <c r="D3528" t="str">
        <f>"95953"</f>
        <v>95953</v>
      </c>
      <c r="E3528">
        <v>62.56</v>
      </c>
    </row>
    <row r="3529" spans="1:5" x14ac:dyDescent="0.2">
      <c r="A3529">
        <v>95954</v>
      </c>
      <c r="B3529" t="s">
        <v>10</v>
      </c>
      <c r="C3529">
        <v>95954</v>
      </c>
      <c r="D3529" t="str">
        <f>"95954"</f>
        <v>95954</v>
      </c>
      <c r="E3529">
        <v>68.040000000000006</v>
      </c>
    </row>
    <row r="3530" spans="1:5" x14ac:dyDescent="0.2">
      <c r="A3530">
        <v>95955</v>
      </c>
      <c r="B3530" t="s">
        <v>10</v>
      </c>
      <c r="C3530">
        <v>95955</v>
      </c>
      <c r="D3530" t="str">
        <f>"95955"</f>
        <v>95955</v>
      </c>
      <c r="E3530" t="s">
        <v>6</v>
      </c>
    </row>
    <row r="3531" spans="1:5" x14ac:dyDescent="0.2">
      <c r="A3531">
        <v>95956</v>
      </c>
      <c r="B3531" t="s">
        <v>10</v>
      </c>
      <c r="C3531">
        <v>95956</v>
      </c>
      <c r="D3531" t="str">
        <f>"95956"</f>
        <v>95956</v>
      </c>
      <c r="E3531" t="s">
        <v>6</v>
      </c>
    </row>
    <row r="3532" spans="1:5" x14ac:dyDescent="0.2">
      <c r="A3532">
        <v>95957</v>
      </c>
      <c r="B3532" t="s">
        <v>10</v>
      </c>
      <c r="C3532">
        <v>95957</v>
      </c>
      <c r="D3532" t="str">
        <f>"95957"</f>
        <v>95957</v>
      </c>
      <c r="E3532">
        <v>67.739999999999995</v>
      </c>
    </row>
    <row r="3533" spans="1:5" x14ac:dyDescent="0.2">
      <c r="A3533">
        <v>95958</v>
      </c>
      <c r="B3533" t="s">
        <v>10</v>
      </c>
      <c r="C3533">
        <v>95958</v>
      </c>
      <c r="D3533" t="str">
        <f>"95958"</f>
        <v>95958</v>
      </c>
      <c r="E3533" t="s">
        <v>6</v>
      </c>
    </row>
    <row r="3534" spans="1:5" x14ac:dyDescent="0.2">
      <c r="A3534">
        <v>95959</v>
      </c>
      <c r="B3534" t="s">
        <v>10</v>
      </c>
      <c r="C3534">
        <v>95959</v>
      </c>
      <c r="D3534" t="str">
        <f>"95959"</f>
        <v>95959</v>
      </c>
      <c r="E3534">
        <v>74.209999999999994</v>
      </c>
    </row>
    <row r="3535" spans="1:5" x14ac:dyDescent="0.2">
      <c r="A3535">
        <v>95960</v>
      </c>
      <c r="B3535" t="s">
        <v>10</v>
      </c>
      <c r="C3535">
        <v>95960</v>
      </c>
      <c r="D3535" t="str">
        <f>"95960"</f>
        <v>95960</v>
      </c>
      <c r="E3535">
        <v>53.06</v>
      </c>
    </row>
    <row r="3536" spans="1:5" x14ac:dyDescent="0.2">
      <c r="A3536">
        <v>95961</v>
      </c>
      <c r="B3536" t="s">
        <v>10</v>
      </c>
      <c r="C3536">
        <v>95961</v>
      </c>
      <c r="D3536" t="str">
        <f>"95961"</f>
        <v>95961</v>
      </c>
      <c r="E3536">
        <v>64.53</v>
      </c>
    </row>
    <row r="3537" spans="1:5" x14ac:dyDescent="0.2">
      <c r="A3537">
        <v>95962</v>
      </c>
      <c r="B3537" t="s">
        <v>10</v>
      </c>
      <c r="C3537">
        <v>95962</v>
      </c>
      <c r="D3537" t="str">
        <f>"95962"</f>
        <v>95962</v>
      </c>
      <c r="E3537">
        <v>62.12</v>
      </c>
    </row>
    <row r="3538" spans="1:5" x14ac:dyDescent="0.2">
      <c r="A3538">
        <v>95963</v>
      </c>
      <c r="B3538" t="s">
        <v>10</v>
      </c>
      <c r="C3538">
        <v>95963</v>
      </c>
      <c r="D3538" t="str">
        <f>"95963"</f>
        <v>95963</v>
      </c>
      <c r="E3538">
        <v>66.47</v>
      </c>
    </row>
    <row r="3539" spans="1:5" x14ac:dyDescent="0.2">
      <c r="A3539">
        <v>95965</v>
      </c>
      <c r="B3539" t="s">
        <v>10</v>
      </c>
      <c r="C3539">
        <v>95965</v>
      </c>
      <c r="D3539" t="str">
        <f>"95965"</f>
        <v>95965</v>
      </c>
      <c r="E3539">
        <v>61.22</v>
      </c>
    </row>
    <row r="3540" spans="1:5" x14ac:dyDescent="0.2">
      <c r="A3540">
        <v>95966</v>
      </c>
      <c r="B3540" t="s">
        <v>10</v>
      </c>
      <c r="C3540">
        <v>95966</v>
      </c>
      <c r="D3540" t="str">
        <f>"95966"</f>
        <v>95966</v>
      </c>
      <c r="E3540">
        <v>67.58</v>
      </c>
    </row>
    <row r="3541" spans="1:5" x14ac:dyDescent="0.2">
      <c r="A3541">
        <v>95968</v>
      </c>
      <c r="B3541" t="s">
        <v>10</v>
      </c>
      <c r="C3541">
        <v>95968</v>
      </c>
      <c r="D3541" t="str">
        <f>"95968"</f>
        <v>95968</v>
      </c>
      <c r="E3541">
        <v>66.67</v>
      </c>
    </row>
    <row r="3542" spans="1:5" x14ac:dyDescent="0.2">
      <c r="A3542">
        <v>95969</v>
      </c>
      <c r="B3542" t="s">
        <v>10</v>
      </c>
      <c r="C3542">
        <v>95969</v>
      </c>
      <c r="D3542" t="str">
        <f>"95969"</f>
        <v>95969</v>
      </c>
      <c r="E3542">
        <v>70.569999999999993</v>
      </c>
    </row>
    <row r="3543" spans="1:5" x14ac:dyDescent="0.2">
      <c r="A3543">
        <v>95970</v>
      </c>
      <c r="B3543" t="s">
        <v>10</v>
      </c>
      <c r="C3543">
        <v>95970</v>
      </c>
      <c r="D3543" t="str">
        <f>"95970"</f>
        <v>95970</v>
      </c>
      <c r="E3543">
        <v>72</v>
      </c>
    </row>
    <row r="3544" spans="1:5" x14ac:dyDescent="0.2">
      <c r="A3544">
        <v>95971</v>
      </c>
      <c r="B3544" t="s">
        <v>10</v>
      </c>
      <c r="C3544">
        <v>95971</v>
      </c>
      <c r="D3544" t="str">
        <f>"95971"</f>
        <v>95971</v>
      </c>
      <c r="E3544">
        <v>74.91</v>
      </c>
    </row>
    <row r="3545" spans="1:5" x14ac:dyDescent="0.2">
      <c r="A3545">
        <v>95972</v>
      </c>
      <c r="B3545" t="s">
        <v>10</v>
      </c>
      <c r="C3545">
        <v>95972</v>
      </c>
      <c r="D3545" t="str">
        <f>"95972"</f>
        <v>95972</v>
      </c>
      <c r="E3545" t="s">
        <v>6</v>
      </c>
    </row>
    <row r="3546" spans="1:5" x14ac:dyDescent="0.2">
      <c r="A3546">
        <v>95973</v>
      </c>
      <c r="B3546" t="s">
        <v>10</v>
      </c>
      <c r="C3546">
        <v>95973</v>
      </c>
      <c r="D3546" t="str">
        <f>"95973"</f>
        <v>95973</v>
      </c>
      <c r="E3546">
        <v>76.47</v>
      </c>
    </row>
    <row r="3547" spans="1:5" x14ac:dyDescent="0.2">
      <c r="A3547">
        <v>95974</v>
      </c>
      <c r="B3547" t="s">
        <v>10</v>
      </c>
      <c r="C3547">
        <v>95974</v>
      </c>
      <c r="D3547" t="str">
        <f>"95974"</f>
        <v>95974</v>
      </c>
      <c r="E3547" t="s">
        <v>6</v>
      </c>
    </row>
    <row r="3548" spans="1:5" x14ac:dyDescent="0.2">
      <c r="A3548">
        <v>95975</v>
      </c>
      <c r="B3548" t="s">
        <v>10</v>
      </c>
      <c r="C3548">
        <v>95975</v>
      </c>
      <c r="D3548" t="str">
        <f>"95975"</f>
        <v>95975</v>
      </c>
      <c r="E3548">
        <v>69.23</v>
      </c>
    </row>
    <row r="3549" spans="1:5" x14ac:dyDescent="0.2">
      <c r="A3549">
        <v>95977</v>
      </c>
      <c r="B3549" t="s">
        <v>10</v>
      </c>
      <c r="C3549">
        <v>95977</v>
      </c>
      <c r="D3549" t="str">
        <f>"95977"</f>
        <v>95977</v>
      </c>
      <c r="E3549">
        <v>70.77</v>
      </c>
    </row>
    <row r="3550" spans="1:5" x14ac:dyDescent="0.2">
      <c r="A3550">
        <v>95979</v>
      </c>
      <c r="B3550" t="s">
        <v>10</v>
      </c>
      <c r="C3550">
        <v>95979</v>
      </c>
      <c r="D3550" t="str">
        <f>"95979"</f>
        <v>95979</v>
      </c>
      <c r="E3550">
        <v>68.75</v>
      </c>
    </row>
    <row r="3551" spans="1:5" x14ac:dyDescent="0.2">
      <c r="A3551">
        <v>95980</v>
      </c>
      <c r="B3551" t="s">
        <v>10</v>
      </c>
      <c r="C3551">
        <v>95980</v>
      </c>
      <c r="D3551" t="str">
        <f>"95980"</f>
        <v>95980</v>
      </c>
      <c r="E3551" t="s">
        <v>6</v>
      </c>
    </row>
    <row r="3552" spans="1:5" x14ac:dyDescent="0.2">
      <c r="A3552">
        <v>95981</v>
      </c>
      <c r="B3552" t="s">
        <v>10</v>
      </c>
      <c r="C3552">
        <v>95981</v>
      </c>
      <c r="D3552" t="str">
        <f>"95981"</f>
        <v>95981</v>
      </c>
      <c r="E3552" t="s">
        <v>6</v>
      </c>
    </row>
    <row r="3553" spans="1:5" x14ac:dyDescent="0.2">
      <c r="A3553">
        <v>95982</v>
      </c>
      <c r="B3553" t="s">
        <v>10</v>
      </c>
      <c r="C3553">
        <v>95982</v>
      </c>
      <c r="D3553" t="str">
        <f>"95982"</f>
        <v>95982</v>
      </c>
      <c r="E3553">
        <v>75.680000000000007</v>
      </c>
    </row>
    <row r="3554" spans="1:5" x14ac:dyDescent="0.2">
      <c r="A3554">
        <v>95983</v>
      </c>
      <c r="B3554" t="s">
        <v>10</v>
      </c>
      <c r="C3554">
        <v>95983</v>
      </c>
      <c r="D3554" t="str">
        <f>"95983"</f>
        <v>95983</v>
      </c>
      <c r="E3554">
        <v>70</v>
      </c>
    </row>
    <row r="3555" spans="1:5" x14ac:dyDescent="0.2">
      <c r="A3555">
        <v>95984</v>
      </c>
      <c r="B3555" t="s">
        <v>10</v>
      </c>
      <c r="C3555">
        <v>95984</v>
      </c>
      <c r="D3555" t="str">
        <f>"95984"</f>
        <v>95984</v>
      </c>
      <c r="E3555" t="s">
        <v>6</v>
      </c>
    </row>
    <row r="3556" spans="1:5" x14ac:dyDescent="0.2">
      <c r="A3556">
        <v>95986</v>
      </c>
      <c r="B3556" t="s">
        <v>10</v>
      </c>
      <c r="C3556">
        <v>95986</v>
      </c>
      <c r="D3556" t="str">
        <f>"95986"</f>
        <v>95986</v>
      </c>
      <c r="E3556" t="s">
        <v>6</v>
      </c>
    </row>
    <row r="3557" spans="1:5" x14ac:dyDescent="0.2">
      <c r="A3557">
        <v>95987</v>
      </c>
      <c r="B3557" t="s">
        <v>10</v>
      </c>
      <c r="C3557">
        <v>95987</v>
      </c>
      <c r="D3557" t="str">
        <f>"95987"</f>
        <v>95987</v>
      </c>
      <c r="E3557">
        <v>67.14</v>
      </c>
    </row>
    <row r="3558" spans="1:5" x14ac:dyDescent="0.2">
      <c r="A3558">
        <v>95988</v>
      </c>
      <c r="B3558" t="s">
        <v>10</v>
      </c>
      <c r="C3558">
        <v>95988</v>
      </c>
      <c r="D3558" t="str">
        <f>"95988"</f>
        <v>95988</v>
      </c>
      <c r="E3558">
        <v>68.12</v>
      </c>
    </row>
    <row r="3559" spans="1:5" x14ac:dyDescent="0.2">
      <c r="A3559">
        <v>95991</v>
      </c>
      <c r="B3559" t="s">
        <v>10</v>
      </c>
      <c r="C3559">
        <v>95991</v>
      </c>
      <c r="D3559" t="str">
        <f>"95991"</f>
        <v>95991</v>
      </c>
      <c r="E3559">
        <v>63.96</v>
      </c>
    </row>
    <row r="3560" spans="1:5" x14ac:dyDescent="0.2">
      <c r="A3560">
        <v>95993</v>
      </c>
      <c r="B3560" t="s">
        <v>10</v>
      </c>
      <c r="C3560">
        <v>95993</v>
      </c>
      <c r="D3560" t="str">
        <f>"95993"</f>
        <v>95993</v>
      </c>
      <c r="E3560">
        <v>70.989999999999995</v>
      </c>
    </row>
    <row r="3561" spans="1:5" x14ac:dyDescent="0.2">
      <c r="A3561">
        <v>96001</v>
      </c>
      <c r="B3561" t="s">
        <v>10</v>
      </c>
      <c r="C3561">
        <v>96001</v>
      </c>
      <c r="D3561" t="str">
        <f>"96001"</f>
        <v>96001</v>
      </c>
      <c r="E3561">
        <v>73.33</v>
      </c>
    </row>
    <row r="3562" spans="1:5" x14ac:dyDescent="0.2">
      <c r="A3562">
        <v>96002</v>
      </c>
      <c r="B3562" t="s">
        <v>10</v>
      </c>
      <c r="C3562">
        <v>96002</v>
      </c>
      <c r="D3562" t="str">
        <f>"96002"</f>
        <v>96002</v>
      </c>
      <c r="E3562">
        <v>69.08</v>
      </c>
    </row>
    <row r="3563" spans="1:5" x14ac:dyDescent="0.2">
      <c r="A3563">
        <v>96003</v>
      </c>
      <c r="B3563" t="s">
        <v>10</v>
      </c>
      <c r="C3563">
        <v>96003</v>
      </c>
      <c r="D3563" t="str">
        <f>"96003"</f>
        <v>96003</v>
      </c>
      <c r="E3563">
        <v>72.209999999999994</v>
      </c>
    </row>
    <row r="3564" spans="1:5" x14ac:dyDescent="0.2">
      <c r="A3564">
        <v>96006</v>
      </c>
      <c r="B3564" t="s">
        <v>10</v>
      </c>
      <c r="C3564">
        <v>96006</v>
      </c>
      <c r="D3564" t="str">
        <f>"96006"</f>
        <v>96006</v>
      </c>
      <c r="E3564">
        <v>73.680000000000007</v>
      </c>
    </row>
    <row r="3565" spans="1:5" x14ac:dyDescent="0.2">
      <c r="A3565">
        <v>96007</v>
      </c>
      <c r="B3565" t="s">
        <v>10</v>
      </c>
      <c r="C3565">
        <v>96007</v>
      </c>
      <c r="D3565" t="str">
        <f>"96007"</f>
        <v>96007</v>
      </c>
      <c r="E3565">
        <v>68.11</v>
      </c>
    </row>
    <row r="3566" spans="1:5" x14ac:dyDescent="0.2">
      <c r="A3566">
        <v>96008</v>
      </c>
      <c r="B3566" t="s">
        <v>10</v>
      </c>
      <c r="C3566">
        <v>96008</v>
      </c>
      <c r="D3566" t="str">
        <f>"96008"</f>
        <v>96008</v>
      </c>
      <c r="E3566">
        <v>75.709999999999994</v>
      </c>
    </row>
    <row r="3567" spans="1:5" x14ac:dyDescent="0.2">
      <c r="A3567">
        <v>96009</v>
      </c>
      <c r="B3567" t="s">
        <v>10</v>
      </c>
      <c r="C3567">
        <v>96009</v>
      </c>
      <c r="D3567" t="str">
        <f>"96009"</f>
        <v>96009</v>
      </c>
      <c r="E3567" t="s">
        <v>6</v>
      </c>
    </row>
    <row r="3568" spans="1:5" x14ac:dyDescent="0.2">
      <c r="A3568">
        <v>96010</v>
      </c>
      <c r="B3568" t="s">
        <v>10</v>
      </c>
      <c r="C3568">
        <v>96010</v>
      </c>
      <c r="D3568" t="str">
        <f>"96010"</f>
        <v>96010</v>
      </c>
      <c r="E3568" t="s">
        <v>6</v>
      </c>
    </row>
    <row r="3569" spans="1:5" x14ac:dyDescent="0.2">
      <c r="A3569">
        <v>96011</v>
      </c>
      <c r="B3569" t="s">
        <v>10</v>
      </c>
      <c r="C3569">
        <v>96011</v>
      </c>
      <c r="D3569" t="str">
        <f>"96011"</f>
        <v>96011</v>
      </c>
      <c r="E3569" t="s">
        <v>6</v>
      </c>
    </row>
    <row r="3570" spans="1:5" x14ac:dyDescent="0.2">
      <c r="A3570">
        <v>96013</v>
      </c>
      <c r="B3570" t="s">
        <v>10</v>
      </c>
      <c r="C3570">
        <v>96013</v>
      </c>
      <c r="D3570" t="str">
        <f>"96013"</f>
        <v>96013</v>
      </c>
      <c r="E3570">
        <v>70.25</v>
      </c>
    </row>
    <row r="3571" spans="1:5" x14ac:dyDescent="0.2">
      <c r="A3571">
        <v>96014</v>
      </c>
      <c r="B3571" t="s">
        <v>10</v>
      </c>
      <c r="C3571">
        <v>96014</v>
      </c>
      <c r="D3571" t="str">
        <f>"96014"</f>
        <v>96014</v>
      </c>
      <c r="E3571" t="s">
        <v>6</v>
      </c>
    </row>
    <row r="3572" spans="1:5" x14ac:dyDescent="0.2">
      <c r="A3572">
        <v>96015</v>
      </c>
      <c r="B3572" t="s">
        <v>10</v>
      </c>
      <c r="C3572">
        <v>96015</v>
      </c>
      <c r="D3572" t="str">
        <f>"96015"</f>
        <v>96015</v>
      </c>
      <c r="E3572">
        <v>75</v>
      </c>
    </row>
    <row r="3573" spans="1:5" x14ac:dyDescent="0.2">
      <c r="A3573">
        <v>96016</v>
      </c>
      <c r="B3573" t="s">
        <v>10</v>
      </c>
      <c r="C3573">
        <v>96016</v>
      </c>
      <c r="D3573" t="str">
        <f>"96016"</f>
        <v>96016</v>
      </c>
      <c r="E3573">
        <v>78.569999999999993</v>
      </c>
    </row>
    <row r="3574" spans="1:5" x14ac:dyDescent="0.2">
      <c r="A3574">
        <v>96017</v>
      </c>
      <c r="B3574" t="s">
        <v>10</v>
      </c>
      <c r="C3574">
        <v>96017</v>
      </c>
      <c r="D3574" t="str">
        <f>"96017"</f>
        <v>96017</v>
      </c>
      <c r="E3574" t="s">
        <v>6</v>
      </c>
    </row>
    <row r="3575" spans="1:5" x14ac:dyDescent="0.2">
      <c r="A3575">
        <v>96019</v>
      </c>
      <c r="B3575" t="s">
        <v>10</v>
      </c>
      <c r="C3575">
        <v>96019</v>
      </c>
      <c r="D3575" t="str">
        <f>"96019"</f>
        <v>96019</v>
      </c>
      <c r="E3575">
        <v>68.37</v>
      </c>
    </row>
    <row r="3576" spans="1:5" x14ac:dyDescent="0.2">
      <c r="A3576">
        <v>96020</v>
      </c>
      <c r="B3576" t="s">
        <v>10</v>
      </c>
      <c r="C3576">
        <v>96020</v>
      </c>
      <c r="D3576" t="str">
        <f>"96020"</f>
        <v>96020</v>
      </c>
      <c r="E3576">
        <v>74.58</v>
      </c>
    </row>
    <row r="3577" spans="1:5" x14ac:dyDescent="0.2">
      <c r="A3577">
        <v>96021</v>
      </c>
      <c r="B3577" t="s">
        <v>10</v>
      </c>
      <c r="C3577">
        <v>96021</v>
      </c>
      <c r="D3577" t="str">
        <f>"96021"</f>
        <v>96021</v>
      </c>
      <c r="E3577">
        <v>60.96</v>
      </c>
    </row>
    <row r="3578" spans="1:5" x14ac:dyDescent="0.2">
      <c r="A3578">
        <v>96022</v>
      </c>
      <c r="B3578" t="s">
        <v>10</v>
      </c>
      <c r="C3578">
        <v>96022</v>
      </c>
      <c r="D3578" t="str">
        <f>"96022"</f>
        <v>96022</v>
      </c>
      <c r="E3578">
        <v>71.69</v>
      </c>
    </row>
    <row r="3579" spans="1:5" x14ac:dyDescent="0.2">
      <c r="A3579">
        <v>96023</v>
      </c>
      <c r="B3579" t="s">
        <v>10</v>
      </c>
      <c r="C3579">
        <v>96023</v>
      </c>
      <c r="D3579" t="str">
        <f>"96023"</f>
        <v>96023</v>
      </c>
      <c r="E3579">
        <v>54.76</v>
      </c>
    </row>
    <row r="3580" spans="1:5" x14ac:dyDescent="0.2">
      <c r="A3580">
        <v>96024</v>
      </c>
      <c r="B3580" t="s">
        <v>10</v>
      </c>
      <c r="C3580">
        <v>96024</v>
      </c>
      <c r="D3580" t="str">
        <f>"96024"</f>
        <v>96024</v>
      </c>
      <c r="E3580">
        <v>68.97</v>
      </c>
    </row>
    <row r="3581" spans="1:5" x14ac:dyDescent="0.2">
      <c r="A3581">
        <v>96025</v>
      </c>
      <c r="B3581" t="s">
        <v>10</v>
      </c>
      <c r="C3581">
        <v>96025</v>
      </c>
      <c r="D3581" t="str">
        <f>"96025"</f>
        <v>96025</v>
      </c>
      <c r="E3581">
        <v>62.64</v>
      </c>
    </row>
    <row r="3582" spans="1:5" x14ac:dyDescent="0.2">
      <c r="A3582">
        <v>96027</v>
      </c>
      <c r="B3582" t="s">
        <v>10</v>
      </c>
      <c r="C3582">
        <v>96027</v>
      </c>
      <c r="D3582" t="str">
        <f>"96027"</f>
        <v>96027</v>
      </c>
      <c r="E3582">
        <v>69.05</v>
      </c>
    </row>
    <row r="3583" spans="1:5" x14ac:dyDescent="0.2">
      <c r="A3583">
        <v>96028</v>
      </c>
      <c r="B3583" t="s">
        <v>10</v>
      </c>
      <c r="C3583">
        <v>96028</v>
      </c>
      <c r="D3583" t="str">
        <f>"96028"</f>
        <v>96028</v>
      </c>
      <c r="E3583">
        <v>70.180000000000007</v>
      </c>
    </row>
    <row r="3584" spans="1:5" x14ac:dyDescent="0.2">
      <c r="A3584">
        <v>96029</v>
      </c>
      <c r="B3584" t="s">
        <v>10</v>
      </c>
      <c r="C3584">
        <v>96029</v>
      </c>
      <c r="D3584" t="str">
        <f>"96029"</f>
        <v>96029</v>
      </c>
      <c r="E3584" t="s">
        <v>6</v>
      </c>
    </row>
    <row r="3585" spans="1:5" x14ac:dyDescent="0.2">
      <c r="A3585">
        <v>96031</v>
      </c>
      <c r="B3585" t="s">
        <v>10</v>
      </c>
      <c r="C3585">
        <v>96031</v>
      </c>
      <c r="D3585" t="str">
        <f>"96031"</f>
        <v>96031</v>
      </c>
      <c r="E3585" t="s">
        <v>6</v>
      </c>
    </row>
    <row r="3586" spans="1:5" x14ac:dyDescent="0.2">
      <c r="A3586">
        <v>96032</v>
      </c>
      <c r="B3586" t="s">
        <v>10</v>
      </c>
      <c r="C3586">
        <v>96032</v>
      </c>
      <c r="D3586" t="str">
        <f>"96032"</f>
        <v>96032</v>
      </c>
      <c r="E3586">
        <v>66.67</v>
      </c>
    </row>
    <row r="3587" spans="1:5" x14ac:dyDescent="0.2">
      <c r="A3587">
        <v>96033</v>
      </c>
      <c r="B3587" t="s">
        <v>10</v>
      </c>
      <c r="C3587">
        <v>96033</v>
      </c>
      <c r="D3587" t="str">
        <f>"96033"</f>
        <v>96033</v>
      </c>
      <c r="E3587">
        <v>61.11</v>
      </c>
    </row>
    <row r="3588" spans="1:5" x14ac:dyDescent="0.2">
      <c r="A3588">
        <v>96034</v>
      </c>
      <c r="B3588" t="s">
        <v>10</v>
      </c>
      <c r="C3588">
        <v>96034</v>
      </c>
      <c r="D3588" t="str">
        <f>"96034"</f>
        <v>96034</v>
      </c>
      <c r="E3588">
        <v>57.14</v>
      </c>
    </row>
    <row r="3589" spans="1:5" x14ac:dyDescent="0.2">
      <c r="A3589">
        <v>96035</v>
      </c>
      <c r="B3589" t="s">
        <v>10</v>
      </c>
      <c r="C3589">
        <v>96035</v>
      </c>
      <c r="D3589" t="str">
        <f>"96035"</f>
        <v>96035</v>
      </c>
      <c r="E3589">
        <v>61.54</v>
      </c>
    </row>
    <row r="3590" spans="1:5" x14ac:dyDescent="0.2">
      <c r="A3590">
        <v>96038</v>
      </c>
      <c r="B3590" t="s">
        <v>10</v>
      </c>
      <c r="C3590">
        <v>96038</v>
      </c>
      <c r="D3590" t="str">
        <f>"96038"</f>
        <v>96038</v>
      </c>
      <c r="E3590">
        <v>61.54</v>
      </c>
    </row>
    <row r="3591" spans="1:5" x14ac:dyDescent="0.2">
      <c r="A3591">
        <v>96039</v>
      </c>
      <c r="B3591" t="s">
        <v>10</v>
      </c>
      <c r="C3591">
        <v>96039</v>
      </c>
      <c r="D3591" t="str">
        <f>"96039"</f>
        <v>96039</v>
      </c>
      <c r="E3591">
        <v>62.16</v>
      </c>
    </row>
    <row r="3592" spans="1:5" x14ac:dyDescent="0.2">
      <c r="A3592">
        <v>96040</v>
      </c>
      <c r="B3592" t="s">
        <v>10</v>
      </c>
      <c r="C3592">
        <v>96040</v>
      </c>
      <c r="D3592" t="str">
        <f>"96040"</f>
        <v>96040</v>
      </c>
      <c r="E3592" t="s">
        <v>6</v>
      </c>
    </row>
    <row r="3593" spans="1:5" x14ac:dyDescent="0.2">
      <c r="A3593">
        <v>96041</v>
      </c>
      <c r="B3593" t="s">
        <v>10</v>
      </c>
      <c r="C3593">
        <v>96041</v>
      </c>
      <c r="D3593" t="str">
        <f>"96041"</f>
        <v>96041</v>
      </c>
      <c r="E3593">
        <v>60.29</v>
      </c>
    </row>
    <row r="3594" spans="1:5" x14ac:dyDescent="0.2">
      <c r="A3594">
        <v>96044</v>
      </c>
      <c r="B3594" t="s">
        <v>10</v>
      </c>
      <c r="C3594">
        <v>96044</v>
      </c>
      <c r="D3594" t="str">
        <f>"96044"</f>
        <v>96044</v>
      </c>
      <c r="E3594">
        <v>64.86</v>
      </c>
    </row>
    <row r="3595" spans="1:5" x14ac:dyDescent="0.2">
      <c r="A3595">
        <v>96046</v>
      </c>
      <c r="B3595" t="s">
        <v>10</v>
      </c>
      <c r="C3595">
        <v>96046</v>
      </c>
      <c r="D3595" t="str">
        <f>"96046"</f>
        <v>96046</v>
      </c>
      <c r="E3595" t="s">
        <v>6</v>
      </c>
    </row>
    <row r="3596" spans="1:5" x14ac:dyDescent="0.2">
      <c r="A3596">
        <v>96047</v>
      </c>
      <c r="B3596" t="s">
        <v>10</v>
      </c>
      <c r="C3596">
        <v>96047</v>
      </c>
      <c r="D3596" t="str">
        <f>"96047"</f>
        <v>96047</v>
      </c>
      <c r="E3596">
        <v>72.73</v>
      </c>
    </row>
    <row r="3597" spans="1:5" x14ac:dyDescent="0.2">
      <c r="A3597">
        <v>96048</v>
      </c>
      <c r="B3597" t="s">
        <v>10</v>
      </c>
      <c r="C3597">
        <v>96048</v>
      </c>
      <c r="D3597" t="str">
        <f>"96048"</f>
        <v>96048</v>
      </c>
      <c r="E3597">
        <v>73.91</v>
      </c>
    </row>
    <row r="3598" spans="1:5" x14ac:dyDescent="0.2">
      <c r="A3598">
        <v>96049</v>
      </c>
      <c r="B3598" t="s">
        <v>10</v>
      </c>
      <c r="C3598">
        <v>96049</v>
      </c>
      <c r="D3598" t="str">
        <f>"96049"</f>
        <v>96049</v>
      </c>
      <c r="E3598" t="s">
        <v>6</v>
      </c>
    </row>
    <row r="3599" spans="1:5" x14ac:dyDescent="0.2">
      <c r="A3599">
        <v>96050</v>
      </c>
      <c r="B3599" t="s">
        <v>10</v>
      </c>
      <c r="C3599">
        <v>96050</v>
      </c>
      <c r="D3599" t="str">
        <f>"96050"</f>
        <v>96050</v>
      </c>
      <c r="E3599">
        <v>61.54</v>
      </c>
    </row>
    <row r="3600" spans="1:5" x14ac:dyDescent="0.2">
      <c r="A3600">
        <v>96051</v>
      </c>
      <c r="B3600" t="s">
        <v>10</v>
      </c>
      <c r="C3600">
        <v>96051</v>
      </c>
      <c r="D3600" t="str">
        <f>"96051"</f>
        <v>96051</v>
      </c>
      <c r="E3600">
        <v>67.349999999999994</v>
      </c>
    </row>
    <row r="3601" spans="1:5" x14ac:dyDescent="0.2">
      <c r="A3601">
        <v>96052</v>
      </c>
      <c r="B3601" t="s">
        <v>10</v>
      </c>
      <c r="C3601">
        <v>96052</v>
      </c>
      <c r="D3601" t="str">
        <f>"96052"</f>
        <v>96052</v>
      </c>
      <c r="E3601">
        <v>65.22</v>
      </c>
    </row>
    <row r="3602" spans="1:5" x14ac:dyDescent="0.2">
      <c r="A3602">
        <v>96054</v>
      </c>
      <c r="B3602" t="s">
        <v>10</v>
      </c>
      <c r="C3602">
        <v>96054</v>
      </c>
      <c r="D3602" t="str">
        <f>"96054"</f>
        <v>96054</v>
      </c>
      <c r="E3602" t="s">
        <v>6</v>
      </c>
    </row>
    <row r="3603" spans="1:5" x14ac:dyDescent="0.2">
      <c r="A3603">
        <v>96055</v>
      </c>
      <c r="B3603" t="s">
        <v>10</v>
      </c>
      <c r="C3603">
        <v>96055</v>
      </c>
      <c r="D3603" t="str">
        <f>"96055"</f>
        <v>96055</v>
      </c>
      <c r="E3603">
        <v>67.569999999999993</v>
      </c>
    </row>
    <row r="3604" spans="1:5" x14ac:dyDescent="0.2">
      <c r="A3604">
        <v>96056</v>
      </c>
      <c r="B3604" t="s">
        <v>10</v>
      </c>
      <c r="C3604">
        <v>96056</v>
      </c>
      <c r="D3604" t="str">
        <f>"96056"</f>
        <v>96056</v>
      </c>
      <c r="E3604">
        <v>70.97</v>
      </c>
    </row>
    <row r="3605" spans="1:5" x14ac:dyDescent="0.2">
      <c r="A3605">
        <v>96057</v>
      </c>
      <c r="B3605" t="s">
        <v>10</v>
      </c>
      <c r="C3605">
        <v>96057</v>
      </c>
      <c r="D3605" t="str">
        <f>"96057"</f>
        <v>96057</v>
      </c>
      <c r="E3605">
        <v>70.37</v>
      </c>
    </row>
    <row r="3606" spans="1:5" x14ac:dyDescent="0.2">
      <c r="A3606">
        <v>96058</v>
      </c>
      <c r="B3606" t="s">
        <v>10</v>
      </c>
      <c r="C3606">
        <v>96058</v>
      </c>
      <c r="D3606" t="str">
        <f>"96058"</f>
        <v>96058</v>
      </c>
      <c r="E3606">
        <v>64.290000000000006</v>
      </c>
    </row>
    <row r="3607" spans="1:5" x14ac:dyDescent="0.2">
      <c r="A3607">
        <v>96059</v>
      </c>
      <c r="B3607" t="s">
        <v>10</v>
      </c>
      <c r="C3607">
        <v>96059</v>
      </c>
      <c r="D3607" t="str">
        <f>"96059"</f>
        <v>96059</v>
      </c>
      <c r="E3607">
        <v>57.14</v>
      </c>
    </row>
    <row r="3608" spans="1:5" x14ac:dyDescent="0.2">
      <c r="A3608">
        <v>96061</v>
      </c>
      <c r="B3608" t="s">
        <v>10</v>
      </c>
      <c r="C3608">
        <v>96061</v>
      </c>
      <c r="D3608" t="str">
        <f>"96061"</f>
        <v>96061</v>
      </c>
      <c r="E3608" t="s">
        <v>6</v>
      </c>
    </row>
    <row r="3609" spans="1:5" x14ac:dyDescent="0.2">
      <c r="A3609">
        <v>96062</v>
      </c>
      <c r="B3609" t="s">
        <v>10</v>
      </c>
      <c r="C3609">
        <v>96062</v>
      </c>
      <c r="D3609" t="str">
        <f>"96062"</f>
        <v>96062</v>
      </c>
      <c r="E3609">
        <v>73.33</v>
      </c>
    </row>
    <row r="3610" spans="1:5" x14ac:dyDescent="0.2">
      <c r="A3610">
        <v>96063</v>
      </c>
      <c r="B3610" t="s">
        <v>10</v>
      </c>
      <c r="C3610">
        <v>96063</v>
      </c>
      <c r="D3610" t="str">
        <f>"96063"</f>
        <v>96063</v>
      </c>
      <c r="E3610" t="s">
        <v>6</v>
      </c>
    </row>
    <row r="3611" spans="1:5" x14ac:dyDescent="0.2">
      <c r="A3611">
        <v>96064</v>
      </c>
      <c r="B3611" t="s">
        <v>10</v>
      </c>
      <c r="C3611">
        <v>96064</v>
      </c>
      <c r="D3611" t="str">
        <f>"96064"</f>
        <v>96064</v>
      </c>
      <c r="E3611">
        <v>67.66</v>
      </c>
    </row>
    <row r="3612" spans="1:5" x14ac:dyDescent="0.2">
      <c r="A3612">
        <v>96065</v>
      </c>
      <c r="B3612" t="s">
        <v>10</v>
      </c>
      <c r="C3612">
        <v>96065</v>
      </c>
      <c r="D3612" t="str">
        <f>"96065"</f>
        <v>96065</v>
      </c>
      <c r="E3612">
        <v>62.5</v>
      </c>
    </row>
    <row r="3613" spans="1:5" x14ac:dyDescent="0.2">
      <c r="A3613">
        <v>96067</v>
      </c>
      <c r="B3613" t="s">
        <v>10</v>
      </c>
      <c r="C3613">
        <v>96067</v>
      </c>
      <c r="D3613" t="str">
        <f>"96067"</f>
        <v>96067</v>
      </c>
      <c r="E3613">
        <v>70.39</v>
      </c>
    </row>
    <row r="3614" spans="1:5" x14ac:dyDescent="0.2">
      <c r="A3614">
        <v>96068</v>
      </c>
      <c r="B3614" t="s">
        <v>10</v>
      </c>
      <c r="C3614">
        <v>96068</v>
      </c>
      <c r="D3614" t="str">
        <f>"96068"</f>
        <v>96068</v>
      </c>
      <c r="E3614" t="s">
        <v>6</v>
      </c>
    </row>
    <row r="3615" spans="1:5" x14ac:dyDescent="0.2">
      <c r="A3615">
        <v>96069</v>
      </c>
      <c r="B3615" t="s">
        <v>10</v>
      </c>
      <c r="C3615">
        <v>96069</v>
      </c>
      <c r="D3615" t="str">
        <f>"96069"</f>
        <v>96069</v>
      </c>
      <c r="E3615">
        <v>61.76</v>
      </c>
    </row>
    <row r="3616" spans="1:5" x14ac:dyDescent="0.2">
      <c r="A3616">
        <v>96071</v>
      </c>
      <c r="B3616" t="s">
        <v>10</v>
      </c>
      <c r="C3616">
        <v>96071</v>
      </c>
      <c r="D3616" t="str">
        <f>"96071"</f>
        <v>96071</v>
      </c>
      <c r="E3616" t="s">
        <v>6</v>
      </c>
    </row>
    <row r="3617" spans="1:5" x14ac:dyDescent="0.2">
      <c r="A3617">
        <v>96073</v>
      </c>
      <c r="B3617" t="s">
        <v>10</v>
      </c>
      <c r="C3617">
        <v>96073</v>
      </c>
      <c r="D3617" t="str">
        <f>"96073"</f>
        <v>96073</v>
      </c>
      <c r="E3617">
        <v>76.13</v>
      </c>
    </row>
    <row r="3618" spans="1:5" x14ac:dyDescent="0.2">
      <c r="A3618">
        <v>96074</v>
      </c>
      <c r="B3618" t="s">
        <v>10</v>
      </c>
      <c r="C3618">
        <v>96074</v>
      </c>
      <c r="D3618" t="str">
        <f>"96074"</f>
        <v>96074</v>
      </c>
      <c r="E3618" t="s">
        <v>6</v>
      </c>
    </row>
    <row r="3619" spans="1:5" x14ac:dyDescent="0.2">
      <c r="A3619">
        <v>96075</v>
      </c>
      <c r="B3619" t="s">
        <v>10</v>
      </c>
      <c r="C3619">
        <v>96075</v>
      </c>
      <c r="D3619" t="str">
        <f>"96075"</f>
        <v>96075</v>
      </c>
      <c r="E3619" t="s">
        <v>6</v>
      </c>
    </row>
    <row r="3620" spans="1:5" x14ac:dyDescent="0.2">
      <c r="A3620">
        <v>96076</v>
      </c>
      <c r="B3620" t="s">
        <v>10</v>
      </c>
      <c r="C3620">
        <v>96076</v>
      </c>
      <c r="D3620" t="str">
        <f>"96076"</f>
        <v>96076</v>
      </c>
      <c r="E3620" t="s">
        <v>6</v>
      </c>
    </row>
    <row r="3621" spans="1:5" x14ac:dyDescent="0.2">
      <c r="A3621">
        <v>96080</v>
      </c>
      <c r="B3621" t="s">
        <v>10</v>
      </c>
      <c r="C3621">
        <v>96080</v>
      </c>
      <c r="D3621" t="str">
        <f>"96080"</f>
        <v>96080</v>
      </c>
      <c r="E3621">
        <v>67.94</v>
      </c>
    </row>
    <row r="3622" spans="1:5" x14ac:dyDescent="0.2">
      <c r="A3622">
        <v>96084</v>
      </c>
      <c r="B3622" t="s">
        <v>10</v>
      </c>
      <c r="C3622">
        <v>96084</v>
      </c>
      <c r="D3622" t="str">
        <f>"96084"</f>
        <v>96084</v>
      </c>
      <c r="E3622" t="s">
        <v>6</v>
      </c>
    </row>
    <row r="3623" spans="1:5" x14ac:dyDescent="0.2">
      <c r="A3623">
        <v>96085</v>
      </c>
      <c r="B3623" t="s">
        <v>10</v>
      </c>
      <c r="C3623">
        <v>96085</v>
      </c>
      <c r="D3623" t="str">
        <f>"96085"</f>
        <v>96085</v>
      </c>
      <c r="E3623" t="s">
        <v>6</v>
      </c>
    </row>
    <row r="3624" spans="1:5" x14ac:dyDescent="0.2">
      <c r="A3624">
        <v>96086</v>
      </c>
      <c r="B3624" t="s">
        <v>10</v>
      </c>
      <c r="C3624">
        <v>96086</v>
      </c>
      <c r="D3624" t="str">
        <f>"96086"</f>
        <v>96086</v>
      </c>
      <c r="E3624">
        <v>70</v>
      </c>
    </row>
    <row r="3625" spans="1:5" x14ac:dyDescent="0.2">
      <c r="A3625">
        <v>96087</v>
      </c>
      <c r="B3625" t="s">
        <v>10</v>
      </c>
      <c r="C3625">
        <v>96087</v>
      </c>
      <c r="D3625" t="str">
        <f>"96087"</f>
        <v>96087</v>
      </c>
      <c r="E3625" t="s">
        <v>6</v>
      </c>
    </row>
    <row r="3626" spans="1:5" x14ac:dyDescent="0.2">
      <c r="A3626">
        <v>96088</v>
      </c>
      <c r="B3626" t="s">
        <v>10</v>
      </c>
      <c r="C3626">
        <v>96088</v>
      </c>
      <c r="D3626" t="str">
        <f>"96088"</f>
        <v>96088</v>
      </c>
      <c r="E3626">
        <v>72.59</v>
      </c>
    </row>
    <row r="3627" spans="1:5" x14ac:dyDescent="0.2">
      <c r="A3627">
        <v>96089</v>
      </c>
      <c r="B3627" t="s">
        <v>10</v>
      </c>
      <c r="C3627">
        <v>96089</v>
      </c>
      <c r="D3627" t="str">
        <f>"96089"</f>
        <v>96089</v>
      </c>
      <c r="E3627" t="s">
        <v>6</v>
      </c>
    </row>
    <row r="3628" spans="1:5" x14ac:dyDescent="0.2">
      <c r="A3628">
        <v>96090</v>
      </c>
      <c r="B3628" t="s">
        <v>10</v>
      </c>
      <c r="C3628">
        <v>96090</v>
      </c>
      <c r="D3628" t="str">
        <f>"96090"</f>
        <v>96090</v>
      </c>
      <c r="E3628" t="s">
        <v>6</v>
      </c>
    </row>
    <row r="3629" spans="1:5" x14ac:dyDescent="0.2">
      <c r="A3629">
        <v>96091</v>
      </c>
      <c r="B3629" t="s">
        <v>10</v>
      </c>
      <c r="C3629">
        <v>96091</v>
      </c>
      <c r="D3629" t="str">
        <f>"96091"</f>
        <v>96091</v>
      </c>
      <c r="E3629">
        <v>64</v>
      </c>
    </row>
    <row r="3630" spans="1:5" x14ac:dyDescent="0.2">
      <c r="A3630">
        <v>96093</v>
      </c>
      <c r="B3630" t="s">
        <v>10</v>
      </c>
      <c r="C3630">
        <v>96093</v>
      </c>
      <c r="D3630" t="str">
        <f>"96093"</f>
        <v>96093</v>
      </c>
      <c r="E3630" t="s">
        <v>6</v>
      </c>
    </row>
    <row r="3631" spans="1:5" x14ac:dyDescent="0.2">
      <c r="A3631">
        <v>96094</v>
      </c>
      <c r="B3631" t="s">
        <v>10</v>
      </c>
      <c r="C3631">
        <v>96094</v>
      </c>
      <c r="D3631" t="str">
        <f>"96094"</f>
        <v>96094</v>
      </c>
      <c r="E3631">
        <v>70.36</v>
      </c>
    </row>
    <row r="3632" spans="1:5" x14ac:dyDescent="0.2">
      <c r="A3632">
        <v>96095</v>
      </c>
      <c r="B3632" t="s">
        <v>10</v>
      </c>
      <c r="C3632">
        <v>96095</v>
      </c>
      <c r="D3632" t="str">
        <f>"96095"</f>
        <v>96095</v>
      </c>
      <c r="E3632" t="s">
        <v>6</v>
      </c>
    </row>
    <row r="3633" spans="1:5" x14ac:dyDescent="0.2">
      <c r="A3633">
        <v>96096</v>
      </c>
      <c r="B3633" t="s">
        <v>10</v>
      </c>
      <c r="C3633">
        <v>96096</v>
      </c>
      <c r="D3633" t="str">
        <f>"96096"</f>
        <v>96096</v>
      </c>
      <c r="E3633">
        <v>70</v>
      </c>
    </row>
    <row r="3634" spans="1:5" x14ac:dyDescent="0.2">
      <c r="A3634">
        <v>96097</v>
      </c>
      <c r="B3634" t="s">
        <v>10</v>
      </c>
      <c r="C3634">
        <v>96097</v>
      </c>
      <c r="D3634" t="str">
        <f>"96097"</f>
        <v>96097</v>
      </c>
      <c r="E3634">
        <v>67.44</v>
      </c>
    </row>
    <row r="3635" spans="1:5" x14ac:dyDescent="0.2">
      <c r="A3635">
        <v>96101</v>
      </c>
      <c r="B3635" t="s">
        <v>10</v>
      </c>
      <c r="C3635">
        <v>96101</v>
      </c>
      <c r="D3635" t="str">
        <f>"96101"</f>
        <v>96101</v>
      </c>
      <c r="E3635">
        <v>68.72</v>
      </c>
    </row>
    <row r="3636" spans="1:5" x14ac:dyDescent="0.2">
      <c r="A3636">
        <v>96103</v>
      </c>
      <c r="B3636" t="s">
        <v>10</v>
      </c>
      <c r="C3636">
        <v>96103</v>
      </c>
      <c r="D3636" t="str">
        <f>"96103"</f>
        <v>96103</v>
      </c>
      <c r="E3636">
        <v>82.05</v>
      </c>
    </row>
    <row r="3637" spans="1:5" x14ac:dyDescent="0.2">
      <c r="A3637">
        <v>96104</v>
      </c>
      <c r="B3637" t="s">
        <v>10</v>
      </c>
      <c r="C3637">
        <v>96104</v>
      </c>
      <c r="D3637" t="str">
        <f>"96104"</f>
        <v>96104</v>
      </c>
      <c r="E3637">
        <v>70</v>
      </c>
    </row>
    <row r="3638" spans="1:5" x14ac:dyDescent="0.2">
      <c r="A3638">
        <v>96105</v>
      </c>
      <c r="B3638" t="s">
        <v>10</v>
      </c>
      <c r="C3638">
        <v>96105</v>
      </c>
      <c r="D3638" t="str">
        <f>"96105"</f>
        <v>96105</v>
      </c>
      <c r="E3638">
        <v>68.42</v>
      </c>
    </row>
    <row r="3639" spans="1:5" x14ac:dyDescent="0.2">
      <c r="A3639">
        <v>96106</v>
      </c>
      <c r="B3639" t="s">
        <v>10</v>
      </c>
      <c r="C3639">
        <v>96106</v>
      </c>
      <c r="D3639" t="str">
        <f>"96106"</f>
        <v>96106</v>
      </c>
      <c r="E3639" t="s">
        <v>6</v>
      </c>
    </row>
    <row r="3640" spans="1:5" x14ac:dyDescent="0.2">
      <c r="A3640">
        <v>96107</v>
      </c>
      <c r="B3640" t="s">
        <v>10</v>
      </c>
      <c r="C3640">
        <v>96107</v>
      </c>
      <c r="D3640" t="str">
        <f>"96107"</f>
        <v>96107</v>
      </c>
      <c r="E3640">
        <v>69.77</v>
      </c>
    </row>
    <row r="3641" spans="1:5" x14ac:dyDescent="0.2">
      <c r="A3641">
        <v>96108</v>
      </c>
      <c r="B3641" t="s">
        <v>10</v>
      </c>
      <c r="C3641">
        <v>96108</v>
      </c>
      <c r="D3641" t="str">
        <f>"96108"</f>
        <v>96108</v>
      </c>
      <c r="E3641" t="s">
        <v>6</v>
      </c>
    </row>
    <row r="3642" spans="1:5" x14ac:dyDescent="0.2">
      <c r="A3642">
        <v>96109</v>
      </c>
      <c r="B3642" t="s">
        <v>10</v>
      </c>
      <c r="C3642">
        <v>96109</v>
      </c>
      <c r="D3642" t="str">
        <f>"96109"</f>
        <v>96109</v>
      </c>
      <c r="E3642">
        <v>67.739999999999995</v>
      </c>
    </row>
    <row r="3643" spans="1:5" x14ac:dyDescent="0.2">
      <c r="A3643">
        <v>96110</v>
      </c>
      <c r="B3643" t="s">
        <v>10</v>
      </c>
      <c r="C3643">
        <v>96110</v>
      </c>
      <c r="D3643" t="str">
        <f>"96110"</f>
        <v>96110</v>
      </c>
      <c r="E3643" t="s">
        <v>6</v>
      </c>
    </row>
    <row r="3644" spans="1:5" x14ac:dyDescent="0.2">
      <c r="A3644">
        <v>96111</v>
      </c>
      <c r="B3644" t="s">
        <v>10</v>
      </c>
      <c r="C3644">
        <v>96111</v>
      </c>
      <c r="D3644" t="str">
        <f>"96111"</f>
        <v>96111</v>
      </c>
      <c r="E3644" t="s">
        <v>6</v>
      </c>
    </row>
    <row r="3645" spans="1:5" x14ac:dyDescent="0.2">
      <c r="A3645">
        <v>96112</v>
      </c>
      <c r="B3645" t="s">
        <v>10</v>
      </c>
      <c r="C3645">
        <v>96112</v>
      </c>
      <c r="D3645" t="str">
        <f>"96112"</f>
        <v>96112</v>
      </c>
      <c r="E3645" t="s">
        <v>6</v>
      </c>
    </row>
    <row r="3646" spans="1:5" x14ac:dyDescent="0.2">
      <c r="A3646">
        <v>96113</v>
      </c>
      <c r="B3646" t="s">
        <v>10</v>
      </c>
      <c r="C3646">
        <v>96113</v>
      </c>
      <c r="D3646" t="str">
        <f>"96113"</f>
        <v>96113</v>
      </c>
      <c r="E3646" t="s">
        <v>6</v>
      </c>
    </row>
    <row r="3647" spans="1:5" x14ac:dyDescent="0.2">
      <c r="A3647">
        <v>96114</v>
      </c>
      <c r="B3647" t="s">
        <v>10</v>
      </c>
      <c r="C3647">
        <v>96114</v>
      </c>
      <c r="D3647" t="str">
        <f>"96114"</f>
        <v>96114</v>
      </c>
      <c r="E3647">
        <v>78.569999999999993</v>
      </c>
    </row>
    <row r="3648" spans="1:5" x14ac:dyDescent="0.2">
      <c r="A3648">
        <v>96115</v>
      </c>
      <c r="B3648" t="s">
        <v>10</v>
      </c>
      <c r="C3648">
        <v>96115</v>
      </c>
      <c r="D3648" t="str">
        <f>"96115"</f>
        <v>96115</v>
      </c>
      <c r="E3648" t="s">
        <v>6</v>
      </c>
    </row>
    <row r="3649" spans="1:5" x14ac:dyDescent="0.2">
      <c r="A3649">
        <v>96116</v>
      </c>
      <c r="B3649" t="s">
        <v>10</v>
      </c>
      <c r="C3649">
        <v>96116</v>
      </c>
      <c r="D3649" t="str">
        <f>"96116"</f>
        <v>96116</v>
      </c>
      <c r="E3649" t="s">
        <v>6</v>
      </c>
    </row>
    <row r="3650" spans="1:5" x14ac:dyDescent="0.2">
      <c r="A3650">
        <v>96117</v>
      </c>
      <c r="B3650" t="s">
        <v>10</v>
      </c>
      <c r="C3650">
        <v>96117</v>
      </c>
      <c r="D3650" t="str">
        <f>"96117"</f>
        <v>96117</v>
      </c>
      <c r="E3650">
        <v>73.33</v>
      </c>
    </row>
    <row r="3651" spans="1:5" x14ac:dyDescent="0.2">
      <c r="A3651">
        <v>96118</v>
      </c>
      <c r="B3651" t="s">
        <v>10</v>
      </c>
      <c r="C3651">
        <v>96118</v>
      </c>
      <c r="D3651" t="str">
        <f>"96118"</f>
        <v>96118</v>
      </c>
      <c r="E3651">
        <v>73.77</v>
      </c>
    </row>
    <row r="3652" spans="1:5" x14ac:dyDescent="0.2">
      <c r="A3652">
        <v>96119</v>
      </c>
      <c r="B3652" t="s">
        <v>10</v>
      </c>
      <c r="C3652">
        <v>96119</v>
      </c>
      <c r="D3652" t="str">
        <f>"96119"</f>
        <v>96119</v>
      </c>
      <c r="E3652" t="s">
        <v>6</v>
      </c>
    </row>
    <row r="3653" spans="1:5" x14ac:dyDescent="0.2">
      <c r="A3653">
        <v>96120</v>
      </c>
      <c r="B3653" t="s">
        <v>10</v>
      </c>
      <c r="C3653">
        <v>96120</v>
      </c>
      <c r="D3653" t="str">
        <f>"96120"</f>
        <v>96120</v>
      </c>
      <c r="E3653">
        <v>69.23</v>
      </c>
    </row>
    <row r="3654" spans="1:5" x14ac:dyDescent="0.2">
      <c r="A3654">
        <v>96121</v>
      </c>
      <c r="B3654" t="s">
        <v>10</v>
      </c>
      <c r="C3654">
        <v>96121</v>
      </c>
      <c r="D3654" t="str">
        <f>"96121"</f>
        <v>96121</v>
      </c>
      <c r="E3654">
        <v>76.47</v>
      </c>
    </row>
    <row r="3655" spans="1:5" x14ac:dyDescent="0.2">
      <c r="A3655">
        <v>96122</v>
      </c>
      <c r="B3655" t="s">
        <v>10</v>
      </c>
      <c r="C3655">
        <v>96122</v>
      </c>
      <c r="D3655" t="str">
        <f>"96122"</f>
        <v>96122</v>
      </c>
      <c r="E3655">
        <v>66.67</v>
      </c>
    </row>
    <row r="3656" spans="1:5" x14ac:dyDescent="0.2">
      <c r="A3656">
        <v>96123</v>
      </c>
      <c r="B3656" t="s">
        <v>10</v>
      </c>
      <c r="C3656">
        <v>96123</v>
      </c>
      <c r="D3656" t="str">
        <f>"96123"</f>
        <v>96123</v>
      </c>
      <c r="E3656" t="s">
        <v>6</v>
      </c>
    </row>
    <row r="3657" spans="1:5" x14ac:dyDescent="0.2">
      <c r="A3657">
        <v>96124</v>
      </c>
      <c r="B3657" t="s">
        <v>10</v>
      </c>
      <c r="C3657">
        <v>96124</v>
      </c>
      <c r="D3657" t="str">
        <f>"96124"</f>
        <v>96124</v>
      </c>
      <c r="E3657">
        <v>76.92</v>
      </c>
    </row>
    <row r="3658" spans="1:5" x14ac:dyDescent="0.2">
      <c r="A3658">
        <v>96125</v>
      </c>
      <c r="B3658" t="s">
        <v>10</v>
      </c>
      <c r="C3658">
        <v>96125</v>
      </c>
      <c r="D3658" t="str">
        <f>"96125"</f>
        <v>96125</v>
      </c>
      <c r="E3658">
        <v>72.73</v>
      </c>
    </row>
    <row r="3659" spans="1:5" x14ac:dyDescent="0.2">
      <c r="A3659">
        <v>96126</v>
      </c>
      <c r="B3659" t="s">
        <v>10</v>
      </c>
      <c r="C3659">
        <v>96126</v>
      </c>
      <c r="D3659" t="str">
        <f>"96126"</f>
        <v>96126</v>
      </c>
      <c r="E3659" t="s">
        <v>6</v>
      </c>
    </row>
    <row r="3660" spans="1:5" x14ac:dyDescent="0.2">
      <c r="A3660">
        <v>96128</v>
      </c>
      <c r="B3660" t="s">
        <v>10</v>
      </c>
      <c r="C3660">
        <v>96128</v>
      </c>
      <c r="D3660" t="str">
        <f>"96128"</f>
        <v>96128</v>
      </c>
      <c r="E3660">
        <v>75</v>
      </c>
    </row>
    <row r="3661" spans="1:5" x14ac:dyDescent="0.2">
      <c r="A3661">
        <v>96129</v>
      </c>
      <c r="B3661" t="s">
        <v>10</v>
      </c>
      <c r="C3661">
        <v>96129</v>
      </c>
      <c r="D3661" t="str">
        <f>"96129"</f>
        <v>96129</v>
      </c>
      <c r="E3661" t="s">
        <v>6</v>
      </c>
    </row>
    <row r="3662" spans="1:5" x14ac:dyDescent="0.2">
      <c r="A3662">
        <v>96130</v>
      </c>
      <c r="B3662" t="s">
        <v>10</v>
      </c>
      <c r="C3662">
        <v>96130</v>
      </c>
      <c r="D3662" t="str">
        <f>"96130"</f>
        <v>96130</v>
      </c>
      <c r="E3662">
        <v>75.59</v>
      </c>
    </row>
    <row r="3663" spans="1:5" x14ac:dyDescent="0.2">
      <c r="A3663">
        <v>96132</v>
      </c>
      <c r="B3663" t="s">
        <v>10</v>
      </c>
      <c r="C3663">
        <v>96132</v>
      </c>
      <c r="D3663" t="str">
        <f>"96132"</f>
        <v>96132</v>
      </c>
      <c r="E3663" t="s">
        <v>6</v>
      </c>
    </row>
    <row r="3664" spans="1:5" x14ac:dyDescent="0.2">
      <c r="A3664">
        <v>96133</v>
      </c>
      <c r="B3664" t="s">
        <v>10</v>
      </c>
      <c r="C3664">
        <v>96133</v>
      </c>
      <c r="D3664" t="str">
        <f>"96133"</f>
        <v>96133</v>
      </c>
      <c r="E3664" t="s">
        <v>6</v>
      </c>
    </row>
    <row r="3665" spans="1:5" x14ac:dyDescent="0.2">
      <c r="A3665">
        <v>96134</v>
      </c>
      <c r="B3665" t="s">
        <v>10</v>
      </c>
      <c r="C3665">
        <v>96134</v>
      </c>
      <c r="D3665" t="str">
        <f>"96134"</f>
        <v>96134</v>
      </c>
      <c r="E3665">
        <v>61.63</v>
      </c>
    </row>
    <row r="3666" spans="1:5" x14ac:dyDescent="0.2">
      <c r="A3666">
        <v>96135</v>
      </c>
      <c r="B3666" t="s">
        <v>10</v>
      </c>
      <c r="C3666">
        <v>96135</v>
      </c>
      <c r="D3666" t="str">
        <f>"96135"</f>
        <v>96135</v>
      </c>
      <c r="E3666" t="s">
        <v>6</v>
      </c>
    </row>
    <row r="3667" spans="1:5" x14ac:dyDescent="0.2">
      <c r="A3667">
        <v>96136</v>
      </c>
      <c r="B3667" t="s">
        <v>10</v>
      </c>
      <c r="C3667">
        <v>96136</v>
      </c>
      <c r="D3667" t="str">
        <f>"96136"</f>
        <v>96136</v>
      </c>
      <c r="E3667" t="s">
        <v>6</v>
      </c>
    </row>
    <row r="3668" spans="1:5" x14ac:dyDescent="0.2">
      <c r="A3668">
        <v>96137</v>
      </c>
      <c r="B3668" t="s">
        <v>10</v>
      </c>
      <c r="C3668">
        <v>96137</v>
      </c>
      <c r="D3668" t="str">
        <f>"96137"</f>
        <v>96137</v>
      </c>
      <c r="E3668">
        <v>72.73</v>
      </c>
    </row>
    <row r="3669" spans="1:5" x14ac:dyDescent="0.2">
      <c r="A3669">
        <v>96140</v>
      </c>
      <c r="B3669" t="s">
        <v>10</v>
      </c>
      <c r="C3669">
        <v>96140</v>
      </c>
      <c r="D3669" t="str">
        <f>"96140"</f>
        <v>96140</v>
      </c>
      <c r="E3669" t="s">
        <v>6</v>
      </c>
    </row>
    <row r="3670" spans="1:5" x14ac:dyDescent="0.2">
      <c r="A3670">
        <v>96141</v>
      </c>
      <c r="B3670" t="s">
        <v>10</v>
      </c>
      <c r="C3670">
        <v>96141</v>
      </c>
      <c r="D3670" t="str">
        <f>"96141"</f>
        <v>96141</v>
      </c>
      <c r="E3670" t="s">
        <v>6</v>
      </c>
    </row>
    <row r="3671" spans="1:5" x14ac:dyDescent="0.2">
      <c r="A3671">
        <v>96142</v>
      </c>
      <c r="B3671" t="s">
        <v>10</v>
      </c>
      <c r="C3671">
        <v>96142</v>
      </c>
      <c r="D3671" t="str">
        <f>"96142"</f>
        <v>96142</v>
      </c>
      <c r="E3671" t="s">
        <v>6</v>
      </c>
    </row>
    <row r="3672" spans="1:5" x14ac:dyDescent="0.2">
      <c r="A3672">
        <v>96143</v>
      </c>
      <c r="B3672" t="s">
        <v>10</v>
      </c>
      <c r="C3672">
        <v>96143</v>
      </c>
      <c r="D3672" t="str">
        <f>"96143"</f>
        <v>96143</v>
      </c>
      <c r="E3672" t="s">
        <v>6</v>
      </c>
    </row>
    <row r="3673" spans="1:5" x14ac:dyDescent="0.2">
      <c r="A3673">
        <v>96145</v>
      </c>
      <c r="B3673" t="s">
        <v>10</v>
      </c>
      <c r="C3673">
        <v>96145</v>
      </c>
      <c r="D3673" t="str">
        <f>"96145"</f>
        <v>96145</v>
      </c>
      <c r="E3673" t="s">
        <v>6</v>
      </c>
    </row>
    <row r="3674" spans="1:5" x14ac:dyDescent="0.2">
      <c r="A3674">
        <v>96146</v>
      </c>
      <c r="B3674" t="s">
        <v>10</v>
      </c>
      <c r="C3674">
        <v>96146</v>
      </c>
      <c r="D3674" t="str">
        <f>"96146"</f>
        <v>96146</v>
      </c>
      <c r="E3674">
        <v>76</v>
      </c>
    </row>
    <row r="3675" spans="1:5" x14ac:dyDescent="0.2">
      <c r="A3675">
        <v>96148</v>
      </c>
      <c r="B3675" t="s">
        <v>10</v>
      </c>
      <c r="C3675">
        <v>96148</v>
      </c>
      <c r="D3675" t="str">
        <f>"96148"</f>
        <v>96148</v>
      </c>
      <c r="E3675" t="s">
        <v>6</v>
      </c>
    </row>
    <row r="3676" spans="1:5" x14ac:dyDescent="0.2">
      <c r="A3676">
        <v>96150</v>
      </c>
      <c r="B3676" t="s">
        <v>10</v>
      </c>
      <c r="C3676">
        <v>96150</v>
      </c>
      <c r="D3676" t="str">
        <f>"96150"</f>
        <v>96150</v>
      </c>
      <c r="E3676">
        <v>73.709999999999994</v>
      </c>
    </row>
    <row r="3677" spans="1:5" x14ac:dyDescent="0.2">
      <c r="A3677">
        <v>96161</v>
      </c>
      <c r="B3677" t="s">
        <v>10</v>
      </c>
      <c r="C3677">
        <v>96161</v>
      </c>
      <c r="D3677" t="str">
        <f>"96161"</f>
        <v>96161</v>
      </c>
      <c r="E3677">
        <v>80.239999999999995</v>
      </c>
    </row>
    <row r="3678" spans="1:5" x14ac:dyDescent="0.2">
      <c r="A3678">
        <v>80002</v>
      </c>
      <c r="B3678" t="s">
        <v>11</v>
      </c>
      <c r="C3678">
        <v>80002</v>
      </c>
      <c r="D3678" t="str">
        <f>"80002"</f>
        <v>80002</v>
      </c>
      <c r="E3678">
        <v>78.23</v>
      </c>
    </row>
    <row r="3679" spans="1:5" x14ac:dyDescent="0.2">
      <c r="A3679">
        <v>80003</v>
      </c>
      <c r="B3679" t="s">
        <v>11</v>
      </c>
      <c r="C3679">
        <v>80003</v>
      </c>
      <c r="D3679" t="str">
        <f>"80003"</f>
        <v>80003</v>
      </c>
      <c r="E3679">
        <v>78.790000000000006</v>
      </c>
    </row>
    <row r="3680" spans="1:5" x14ac:dyDescent="0.2">
      <c r="A3680">
        <v>80004</v>
      </c>
      <c r="B3680" t="s">
        <v>11</v>
      </c>
      <c r="C3680">
        <v>80004</v>
      </c>
      <c r="D3680" t="str">
        <f>"80004"</f>
        <v>80004</v>
      </c>
      <c r="E3680">
        <v>80.760000000000005</v>
      </c>
    </row>
    <row r="3681" spans="1:5" x14ac:dyDescent="0.2">
      <c r="A3681">
        <v>80005</v>
      </c>
      <c r="B3681" t="s">
        <v>11</v>
      </c>
      <c r="C3681">
        <v>80005</v>
      </c>
      <c r="D3681" t="str">
        <f>"80005"</f>
        <v>80005</v>
      </c>
      <c r="E3681">
        <v>84.1</v>
      </c>
    </row>
    <row r="3682" spans="1:5" x14ac:dyDescent="0.2">
      <c r="A3682">
        <v>80007</v>
      </c>
      <c r="B3682" t="s">
        <v>11</v>
      </c>
      <c r="C3682">
        <v>80007</v>
      </c>
      <c r="D3682" t="str">
        <f>"80007"</f>
        <v>80007</v>
      </c>
      <c r="E3682">
        <v>86.4</v>
      </c>
    </row>
    <row r="3683" spans="1:5" x14ac:dyDescent="0.2">
      <c r="A3683">
        <v>80010</v>
      </c>
      <c r="B3683" t="s">
        <v>11</v>
      </c>
      <c r="C3683">
        <v>80010</v>
      </c>
      <c r="D3683" t="str">
        <f>"80010"</f>
        <v>80010</v>
      </c>
      <c r="E3683">
        <v>57.88</v>
      </c>
    </row>
    <row r="3684" spans="1:5" x14ac:dyDescent="0.2">
      <c r="A3684">
        <v>80011</v>
      </c>
      <c r="B3684" t="s">
        <v>11</v>
      </c>
      <c r="C3684">
        <v>80011</v>
      </c>
      <c r="D3684" t="str">
        <f>"80011"</f>
        <v>80011</v>
      </c>
      <c r="E3684">
        <v>62.26</v>
      </c>
    </row>
    <row r="3685" spans="1:5" x14ac:dyDescent="0.2">
      <c r="A3685">
        <v>80012</v>
      </c>
      <c r="B3685" t="s">
        <v>11</v>
      </c>
      <c r="C3685">
        <v>80012</v>
      </c>
      <c r="D3685" t="str">
        <f>"80012"</f>
        <v>80012</v>
      </c>
      <c r="E3685">
        <v>68.040000000000006</v>
      </c>
    </row>
    <row r="3686" spans="1:5" x14ac:dyDescent="0.2">
      <c r="A3686">
        <v>80013</v>
      </c>
      <c r="B3686" t="s">
        <v>11</v>
      </c>
      <c r="C3686">
        <v>80013</v>
      </c>
      <c r="D3686" t="str">
        <f>"80013"</f>
        <v>80013</v>
      </c>
      <c r="E3686">
        <v>76.790000000000006</v>
      </c>
    </row>
    <row r="3687" spans="1:5" x14ac:dyDescent="0.2">
      <c r="A3687">
        <v>80014</v>
      </c>
      <c r="B3687" t="s">
        <v>11</v>
      </c>
      <c r="C3687">
        <v>80014</v>
      </c>
      <c r="D3687" t="str">
        <f>"80014"</f>
        <v>80014</v>
      </c>
      <c r="E3687">
        <v>76.12</v>
      </c>
    </row>
    <row r="3688" spans="1:5" x14ac:dyDescent="0.2">
      <c r="A3688">
        <v>80015</v>
      </c>
      <c r="B3688" t="s">
        <v>11</v>
      </c>
      <c r="C3688">
        <v>80015</v>
      </c>
      <c r="D3688" t="str">
        <f>"80015"</f>
        <v>80015</v>
      </c>
      <c r="E3688">
        <v>79.98</v>
      </c>
    </row>
    <row r="3689" spans="1:5" x14ac:dyDescent="0.2">
      <c r="A3689">
        <v>80016</v>
      </c>
      <c r="B3689" t="s">
        <v>11</v>
      </c>
      <c r="C3689">
        <v>80016</v>
      </c>
      <c r="D3689" t="str">
        <f>"80016"</f>
        <v>80016</v>
      </c>
      <c r="E3689">
        <v>83.36</v>
      </c>
    </row>
    <row r="3690" spans="1:5" x14ac:dyDescent="0.2">
      <c r="A3690">
        <v>80017</v>
      </c>
      <c r="B3690" t="s">
        <v>11</v>
      </c>
      <c r="C3690">
        <v>80017</v>
      </c>
      <c r="D3690" t="str">
        <f>"80017"</f>
        <v>80017</v>
      </c>
      <c r="E3690">
        <v>71.63</v>
      </c>
    </row>
    <row r="3691" spans="1:5" x14ac:dyDescent="0.2">
      <c r="A3691">
        <v>80018</v>
      </c>
      <c r="B3691" t="s">
        <v>11</v>
      </c>
      <c r="C3691">
        <v>80018</v>
      </c>
      <c r="D3691" t="str">
        <f>"80018"</f>
        <v>80018</v>
      </c>
      <c r="E3691">
        <v>79.650000000000006</v>
      </c>
    </row>
    <row r="3692" spans="1:5" x14ac:dyDescent="0.2">
      <c r="A3692">
        <v>80019</v>
      </c>
      <c r="B3692" t="s">
        <v>11</v>
      </c>
      <c r="C3692">
        <v>80019</v>
      </c>
      <c r="D3692" t="str">
        <f>"80019"</f>
        <v>80019</v>
      </c>
      <c r="E3692">
        <v>76.47</v>
      </c>
    </row>
    <row r="3693" spans="1:5" x14ac:dyDescent="0.2">
      <c r="A3693">
        <v>80020</v>
      </c>
      <c r="B3693" t="s">
        <v>11</v>
      </c>
      <c r="C3693">
        <v>80020</v>
      </c>
      <c r="D3693" t="str">
        <f>"80020"</f>
        <v>80020</v>
      </c>
      <c r="E3693">
        <v>81.709999999999994</v>
      </c>
    </row>
    <row r="3694" spans="1:5" x14ac:dyDescent="0.2">
      <c r="A3694">
        <v>80021</v>
      </c>
      <c r="B3694" t="s">
        <v>11</v>
      </c>
      <c r="C3694">
        <v>80021</v>
      </c>
      <c r="D3694" t="str">
        <f>"80021"</f>
        <v>80021</v>
      </c>
      <c r="E3694">
        <v>83.93</v>
      </c>
    </row>
    <row r="3695" spans="1:5" x14ac:dyDescent="0.2">
      <c r="A3695">
        <v>80022</v>
      </c>
      <c r="B3695" t="s">
        <v>11</v>
      </c>
      <c r="C3695">
        <v>80022</v>
      </c>
      <c r="D3695" t="str">
        <f>"80022"</f>
        <v>80022</v>
      </c>
      <c r="E3695">
        <v>70.290000000000006</v>
      </c>
    </row>
    <row r="3696" spans="1:5" x14ac:dyDescent="0.2">
      <c r="A3696">
        <v>80023</v>
      </c>
      <c r="B3696" t="s">
        <v>11</v>
      </c>
      <c r="C3696">
        <v>80023</v>
      </c>
      <c r="D3696" t="str">
        <f>"80023"</f>
        <v>80023</v>
      </c>
      <c r="E3696">
        <v>85.19</v>
      </c>
    </row>
    <row r="3697" spans="1:5" x14ac:dyDescent="0.2">
      <c r="A3697">
        <v>80025</v>
      </c>
      <c r="B3697" t="s">
        <v>11</v>
      </c>
      <c r="C3697">
        <v>80025</v>
      </c>
      <c r="D3697" t="str">
        <f>"80025"</f>
        <v>80025</v>
      </c>
      <c r="E3697" t="s">
        <v>6</v>
      </c>
    </row>
    <row r="3698" spans="1:5" x14ac:dyDescent="0.2">
      <c r="A3698">
        <v>80026</v>
      </c>
      <c r="B3698" t="s">
        <v>11</v>
      </c>
      <c r="C3698">
        <v>80026</v>
      </c>
      <c r="D3698" t="str">
        <f>"80026"</f>
        <v>80026</v>
      </c>
      <c r="E3698">
        <v>79.489999999999995</v>
      </c>
    </row>
    <row r="3699" spans="1:5" x14ac:dyDescent="0.2">
      <c r="A3699">
        <v>80027</v>
      </c>
      <c r="B3699" t="s">
        <v>11</v>
      </c>
      <c r="C3699">
        <v>80027</v>
      </c>
      <c r="D3699" t="str">
        <f>"80027"</f>
        <v>80027</v>
      </c>
      <c r="E3699">
        <v>82.09</v>
      </c>
    </row>
    <row r="3700" spans="1:5" x14ac:dyDescent="0.2">
      <c r="A3700">
        <v>80030</v>
      </c>
      <c r="B3700" t="s">
        <v>11</v>
      </c>
      <c r="C3700">
        <v>80030</v>
      </c>
      <c r="D3700" t="str">
        <f>"80030"</f>
        <v>80030</v>
      </c>
      <c r="E3700">
        <v>70.819999999999993</v>
      </c>
    </row>
    <row r="3701" spans="1:5" x14ac:dyDescent="0.2">
      <c r="A3701">
        <v>80031</v>
      </c>
      <c r="B3701" t="s">
        <v>11</v>
      </c>
      <c r="C3701">
        <v>80031</v>
      </c>
      <c r="D3701" t="str">
        <f>"80031"</f>
        <v>80031</v>
      </c>
      <c r="E3701">
        <v>79.680000000000007</v>
      </c>
    </row>
    <row r="3702" spans="1:5" x14ac:dyDescent="0.2">
      <c r="A3702">
        <v>80033</v>
      </c>
      <c r="B3702" t="s">
        <v>11</v>
      </c>
      <c r="C3702">
        <v>80033</v>
      </c>
      <c r="D3702" t="str">
        <f>"80033"</f>
        <v>80033</v>
      </c>
      <c r="E3702">
        <v>78.569999999999993</v>
      </c>
    </row>
    <row r="3703" spans="1:5" x14ac:dyDescent="0.2">
      <c r="A3703">
        <v>80045</v>
      </c>
      <c r="B3703" t="s">
        <v>11</v>
      </c>
      <c r="C3703">
        <v>80045</v>
      </c>
      <c r="D3703" t="str">
        <f>"80045"</f>
        <v>80045</v>
      </c>
      <c r="E3703">
        <v>75</v>
      </c>
    </row>
    <row r="3704" spans="1:5" x14ac:dyDescent="0.2">
      <c r="A3704">
        <v>80101</v>
      </c>
      <c r="B3704" t="s">
        <v>11</v>
      </c>
      <c r="C3704">
        <v>80101</v>
      </c>
      <c r="D3704" t="str">
        <f>"80101"</f>
        <v>80101</v>
      </c>
      <c r="E3704">
        <v>68.75</v>
      </c>
    </row>
    <row r="3705" spans="1:5" x14ac:dyDescent="0.2">
      <c r="A3705">
        <v>80102</v>
      </c>
      <c r="B3705" t="s">
        <v>11</v>
      </c>
      <c r="C3705">
        <v>80102</v>
      </c>
      <c r="D3705" t="str">
        <f>"80102"</f>
        <v>80102</v>
      </c>
      <c r="E3705">
        <v>78.14</v>
      </c>
    </row>
    <row r="3706" spans="1:5" x14ac:dyDescent="0.2">
      <c r="A3706">
        <v>80103</v>
      </c>
      <c r="B3706" t="s">
        <v>11</v>
      </c>
      <c r="C3706">
        <v>80103</v>
      </c>
      <c r="D3706" t="str">
        <f>"80103"</f>
        <v>80103</v>
      </c>
      <c r="E3706">
        <v>74.17</v>
      </c>
    </row>
    <row r="3707" spans="1:5" x14ac:dyDescent="0.2">
      <c r="A3707">
        <v>80104</v>
      </c>
      <c r="B3707" t="s">
        <v>11</v>
      </c>
      <c r="C3707">
        <v>80104</v>
      </c>
      <c r="D3707" t="str">
        <f>"80104"</f>
        <v>80104</v>
      </c>
      <c r="E3707">
        <v>81.23</v>
      </c>
    </row>
    <row r="3708" spans="1:5" x14ac:dyDescent="0.2">
      <c r="A3708">
        <v>80105</v>
      </c>
      <c r="B3708" t="s">
        <v>11</v>
      </c>
      <c r="C3708">
        <v>80105</v>
      </c>
      <c r="D3708" t="str">
        <f>"80105"</f>
        <v>80105</v>
      </c>
      <c r="E3708">
        <v>73.209999999999994</v>
      </c>
    </row>
    <row r="3709" spans="1:5" x14ac:dyDescent="0.2">
      <c r="A3709">
        <v>80106</v>
      </c>
      <c r="B3709" t="s">
        <v>11</v>
      </c>
      <c r="C3709">
        <v>80106</v>
      </c>
      <c r="D3709" t="str">
        <f>"80106"</f>
        <v>80106</v>
      </c>
      <c r="E3709">
        <v>79.430000000000007</v>
      </c>
    </row>
    <row r="3710" spans="1:5" x14ac:dyDescent="0.2">
      <c r="A3710">
        <v>80107</v>
      </c>
      <c r="B3710" t="s">
        <v>11</v>
      </c>
      <c r="C3710">
        <v>80107</v>
      </c>
      <c r="D3710" t="str">
        <f>"80107"</f>
        <v>80107</v>
      </c>
      <c r="E3710">
        <v>81.05</v>
      </c>
    </row>
    <row r="3711" spans="1:5" x14ac:dyDescent="0.2">
      <c r="A3711">
        <v>80108</v>
      </c>
      <c r="B3711" t="s">
        <v>11</v>
      </c>
      <c r="C3711">
        <v>80108</v>
      </c>
      <c r="D3711" t="str">
        <f>"80108"</f>
        <v>80108</v>
      </c>
      <c r="E3711">
        <v>82.78</v>
      </c>
    </row>
    <row r="3712" spans="1:5" x14ac:dyDescent="0.2">
      <c r="A3712">
        <v>80109</v>
      </c>
      <c r="B3712" t="s">
        <v>11</v>
      </c>
      <c r="C3712">
        <v>80109</v>
      </c>
      <c r="D3712" t="str">
        <f>"80109"</f>
        <v>80109</v>
      </c>
      <c r="E3712">
        <v>82.09</v>
      </c>
    </row>
    <row r="3713" spans="1:5" x14ac:dyDescent="0.2">
      <c r="A3713">
        <v>80110</v>
      </c>
      <c r="B3713" t="s">
        <v>11</v>
      </c>
      <c r="C3713">
        <v>80110</v>
      </c>
      <c r="D3713" t="str">
        <f>"80110"</f>
        <v>80110</v>
      </c>
      <c r="E3713">
        <v>75.5</v>
      </c>
    </row>
    <row r="3714" spans="1:5" x14ac:dyDescent="0.2">
      <c r="A3714">
        <v>80111</v>
      </c>
      <c r="B3714" t="s">
        <v>11</v>
      </c>
      <c r="C3714">
        <v>80111</v>
      </c>
      <c r="D3714" t="str">
        <f>"80111"</f>
        <v>80111</v>
      </c>
      <c r="E3714">
        <v>83.8</v>
      </c>
    </row>
    <row r="3715" spans="1:5" x14ac:dyDescent="0.2">
      <c r="A3715">
        <v>80112</v>
      </c>
      <c r="B3715" t="s">
        <v>11</v>
      </c>
      <c r="C3715">
        <v>80112</v>
      </c>
      <c r="D3715" t="str">
        <f>"80112"</f>
        <v>80112</v>
      </c>
      <c r="E3715">
        <v>82.52</v>
      </c>
    </row>
    <row r="3716" spans="1:5" x14ac:dyDescent="0.2">
      <c r="A3716">
        <v>80113</v>
      </c>
      <c r="B3716" t="s">
        <v>11</v>
      </c>
      <c r="C3716">
        <v>80113</v>
      </c>
      <c r="D3716" t="str">
        <f>"80113"</f>
        <v>80113</v>
      </c>
      <c r="E3716">
        <v>81.86</v>
      </c>
    </row>
    <row r="3717" spans="1:5" x14ac:dyDescent="0.2">
      <c r="A3717">
        <v>80116</v>
      </c>
      <c r="B3717" t="s">
        <v>11</v>
      </c>
      <c r="C3717">
        <v>80116</v>
      </c>
      <c r="D3717" t="str">
        <f>"80116"</f>
        <v>80116</v>
      </c>
      <c r="E3717">
        <v>83.04</v>
      </c>
    </row>
    <row r="3718" spans="1:5" x14ac:dyDescent="0.2">
      <c r="A3718">
        <v>80117</v>
      </c>
      <c r="B3718" t="s">
        <v>11</v>
      </c>
      <c r="C3718">
        <v>80117</v>
      </c>
      <c r="D3718" t="str">
        <f>"80117"</f>
        <v>80117</v>
      </c>
      <c r="E3718">
        <v>80.3</v>
      </c>
    </row>
    <row r="3719" spans="1:5" x14ac:dyDescent="0.2">
      <c r="A3719">
        <v>80118</v>
      </c>
      <c r="B3719" t="s">
        <v>11</v>
      </c>
      <c r="C3719">
        <v>80118</v>
      </c>
      <c r="D3719" t="str">
        <f>"80118"</f>
        <v>80118</v>
      </c>
      <c r="E3719">
        <v>80.86</v>
      </c>
    </row>
    <row r="3720" spans="1:5" x14ac:dyDescent="0.2">
      <c r="A3720">
        <v>80120</v>
      </c>
      <c r="B3720" t="s">
        <v>11</v>
      </c>
      <c r="C3720">
        <v>80120</v>
      </c>
      <c r="D3720" t="str">
        <f>"80120"</f>
        <v>80120</v>
      </c>
      <c r="E3720">
        <v>79.27</v>
      </c>
    </row>
    <row r="3721" spans="1:5" x14ac:dyDescent="0.2">
      <c r="A3721">
        <v>80121</v>
      </c>
      <c r="B3721" t="s">
        <v>11</v>
      </c>
      <c r="C3721">
        <v>80121</v>
      </c>
      <c r="D3721" t="str">
        <f>"80121"</f>
        <v>80121</v>
      </c>
      <c r="E3721">
        <v>81.98</v>
      </c>
    </row>
    <row r="3722" spans="1:5" x14ac:dyDescent="0.2">
      <c r="A3722">
        <v>80122</v>
      </c>
      <c r="B3722" t="s">
        <v>11</v>
      </c>
      <c r="C3722">
        <v>80122</v>
      </c>
      <c r="D3722" t="str">
        <f>"80122"</f>
        <v>80122</v>
      </c>
      <c r="E3722">
        <v>82.33</v>
      </c>
    </row>
    <row r="3723" spans="1:5" x14ac:dyDescent="0.2">
      <c r="A3723">
        <v>80123</v>
      </c>
      <c r="B3723" t="s">
        <v>11</v>
      </c>
      <c r="C3723">
        <v>80123</v>
      </c>
      <c r="D3723" t="str">
        <f>"80123"</f>
        <v>80123</v>
      </c>
      <c r="E3723">
        <v>82.93</v>
      </c>
    </row>
    <row r="3724" spans="1:5" x14ac:dyDescent="0.2">
      <c r="A3724">
        <v>80124</v>
      </c>
      <c r="B3724" t="s">
        <v>11</v>
      </c>
      <c r="C3724">
        <v>80124</v>
      </c>
      <c r="D3724" t="str">
        <f>"80124"</f>
        <v>80124</v>
      </c>
      <c r="E3724">
        <v>84.69</v>
      </c>
    </row>
    <row r="3725" spans="1:5" x14ac:dyDescent="0.2">
      <c r="A3725">
        <v>80125</v>
      </c>
      <c r="B3725" t="s">
        <v>11</v>
      </c>
      <c r="C3725">
        <v>80125</v>
      </c>
      <c r="D3725" t="str">
        <f>"80125"</f>
        <v>80125</v>
      </c>
      <c r="E3725">
        <v>84.7</v>
      </c>
    </row>
    <row r="3726" spans="1:5" x14ac:dyDescent="0.2">
      <c r="A3726">
        <v>80126</v>
      </c>
      <c r="B3726" t="s">
        <v>11</v>
      </c>
      <c r="C3726">
        <v>80126</v>
      </c>
      <c r="D3726" t="str">
        <f>"80126"</f>
        <v>80126</v>
      </c>
      <c r="E3726">
        <v>83.41</v>
      </c>
    </row>
    <row r="3727" spans="1:5" x14ac:dyDescent="0.2">
      <c r="A3727">
        <v>80127</v>
      </c>
      <c r="B3727" t="s">
        <v>11</v>
      </c>
      <c r="C3727">
        <v>80127</v>
      </c>
      <c r="D3727" t="str">
        <f>"80127"</f>
        <v>80127</v>
      </c>
      <c r="E3727">
        <v>83.74</v>
      </c>
    </row>
    <row r="3728" spans="1:5" x14ac:dyDescent="0.2">
      <c r="A3728">
        <v>80128</v>
      </c>
      <c r="B3728" t="s">
        <v>11</v>
      </c>
      <c r="C3728">
        <v>80128</v>
      </c>
      <c r="D3728" t="str">
        <f>"80128"</f>
        <v>80128</v>
      </c>
      <c r="E3728">
        <v>82.63</v>
      </c>
    </row>
    <row r="3729" spans="1:5" x14ac:dyDescent="0.2">
      <c r="A3729">
        <v>80129</v>
      </c>
      <c r="B3729" t="s">
        <v>11</v>
      </c>
      <c r="C3729">
        <v>80129</v>
      </c>
      <c r="D3729" t="str">
        <f>"80129"</f>
        <v>80129</v>
      </c>
      <c r="E3729">
        <v>83.49</v>
      </c>
    </row>
    <row r="3730" spans="1:5" x14ac:dyDescent="0.2">
      <c r="A3730">
        <v>80130</v>
      </c>
      <c r="B3730" t="s">
        <v>11</v>
      </c>
      <c r="C3730">
        <v>80130</v>
      </c>
      <c r="D3730" t="str">
        <f>"80130"</f>
        <v>80130</v>
      </c>
      <c r="E3730">
        <v>83.69</v>
      </c>
    </row>
    <row r="3731" spans="1:5" x14ac:dyDescent="0.2">
      <c r="A3731">
        <v>80131</v>
      </c>
      <c r="B3731" t="s">
        <v>11</v>
      </c>
      <c r="C3731">
        <v>80131</v>
      </c>
      <c r="D3731" t="str">
        <f>"80131"</f>
        <v>80131</v>
      </c>
      <c r="E3731" t="s">
        <v>6</v>
      </c>
    </row>
    <row r="3732" spans="1:5" x14ac:dyDescent="0.2">
      <c r="A3732">
        <v>80132</v>
      </c>
      <c r="B3732" t="s">
        <v>11</v>
      </c>
      <c r="C3732">
        <v>80132</v>
      </c>
      <c r="D3732" t="str">
        <f>"80132"</f>
        <v>80132</v>
      </c>
      <c r="E3732">
        <v>81.47</v>
      </c>
    </row>
    <row r="3733" spans="1:5" x14ac:dyDescent="0.2">
      <c r="A3733">
        <v>80133</v>
      </c>
      <c r="B3733" t="s">
        <v>11</v>
      </c>
      <c r="C3733">
        <v>80133</v>
      </c>
      <c r="D3733" t="str">
        <f>"80133"</f>
        <v>80133</v>
      </c>
      <c r="E3733">
        <v>77.69</v>
      </c>
    </row>
    <row r="3734" spans="1:5" x14ac:dyDescent="0.2">
      <c r="A3734">
        <v>80134</v>
      </c>
      <c r="B3734" t="s">
        <v>11</v>
      </c>
      <c r="C3734">
        <v>80134</v>
      </c>
      <c r="D3734" t="str">
        <f>"80134"</f>
        <v>80134</v>
      </c>
      <c r="E3734">
        <v>84.28</v>
      </c>
    </row>
    <row r="3735" spans="1:5" x14ac:dyDescent="0.2">
      <c r="A3735">
        <v>80135</v>
      </c>
      <c r="B3735" t="s">
        <v>11</v>
      </c>
      <c r="C3735">
        <v>80135</v>
      </c>
      <c r="D3735" t="str">
        <f>"80135"</f>
        <v>80135</v>
      </c>
      <c r="E3735">
        <v>82.04</v>
      </c>
    </row>
    <row r="3736" spans="1:5" x14ac:dyDescent="0.2">
      <c r="A3736">
        <v>80136</v>
      </c>
      <c r="B3736" t="s">
        <v>11</v>
      </c>
      <c r="C3736">
        <v>80136</v>
      </c>
      <c r="D3736" t="str">
        <f>"80136"</f>
        <v>80136</v>
      </c>
      <c r="E3736">
        <v>80.52</v>
      </c>
    </row>
    <row r="3737" spans="1:5" x14ac:dyDescent="0.2">
      <c r="A3737">
        <v>80137</v>
      </c>
      <c r="B3737" t="s">
        <v>11</v>
      </c>
      <c r="C3737">
        <v>80137</v>
      </c>
      <c r="D3737" t="str">
        <f>"80137"</f>
        <v>80137</v>
      </c>
      <c r="E3737">
        <v>78.790000000000006</v>
      </c>
    </row>
    <row r="3738" spans="1:5" x14ac:dyDescent="0.2">
      <c r="A3738">
        <v>80138</v>
      </c>
      <c r="B3738" t="s">
        <v>11</v>
      </c>
      <c r="C3738">
        <v>80138</v>
      </c>
      <c r="D3738" t="str">
        <f>"80138"</f>
        <v>80138</v>
      </c>
      <c r="E3738">
        <v>82.5</v>
      </c>
    </row>
    <row r="3739" spans="1:5" x14ac:dyDescent="0.2">
      <c r="A3739">
        <v>80163</v>
      </c>
      <c r="B3739" t="s">
        <v>11</v>
      </c>
      <c r="C3739">
        <v>80163</v>
      </c>
      <c r="D3739" t="str">
        <f>"80163"</f>
        <v>80163</v>
      </c>
      <c r="E3739" t="s">
        <v>6</v>
      </c>
    </row>
    <row r="3740" spans="1:5" x14ac:dyDescent="0.2">
      <c r="A3740">
        <v>80202</v>
      </c>
      <c r="B3740" t="s">
        <v>11</v>
      </c>
      <c r="C3740">
        <v>80202</v>
      </c>
      <c r="D3740" t="str">
        <f>"80202"</f>
        <v>80202</v>
      </c>
      <c r="E3740">
        <v>89.36</v>
      </c>
    </row>
    <row r="3741" spans="1:5" x14ac:dyDescent="0.2">
      <c r="A3741">
        <v>80203</v>
      </c>
      <c r="B3741" t="s">
        <v>11</v>
      </c>
      <c r="C3741">
        <v>80203</v>
      </c>
      <c r="D3741" t="str">
        <f>"80203"</f>
        <v>80203</v>
      </c>
      <c r="E3741">
        <v>88.37</v>
      </c>
    </row>
    <row r="3742" spans="1:5" x14ac:dyDescent="0.2">
      <c r="A3742">
        <v>80204</v>
      </c>
      <c r="B3742" t="s">
        <v>11</v>
      </c>
      <c r="C3742">
        <v>80204</v>
      </c>
      <c r="D3742" t="str">
        <f>"80204"</f>
        <v>80204</v>
      </c>
      <c r="E3742">
        <v>71.64</v>
      </c>
    </row>
    <row r="3743" spans="1:5" x14ac:dyDescent="0.2">
      <c r="A3743">
        <v>80205</v>
      </c>
      <c r="B3743" t="s">
        <v>11</v>
      </c>
      <c r="C3743">
        <v>80205</v>
      </c>
      <c r="D3743" t="str">
        <f>"80205"</f>
        <v>80205</v>
      </c>
      <c r="E3743">
        <v>77.5</v>
      </c>
    </row>
    <row r="3744" spans="1:5" x14ac:dyDescent="0.2">
      <c r="A3744">
        <v>80206</v>
      </c>
      <c r="B3744" t="s">
        <v>11</v>
      </c>
      <c r="C3744">
        <v>80206</v>
      </c>
      <c r="D3744" t="str">
        <f>"80206"</f>
        <v>80206</v>
      </c>
      <c r="E3744">
        <v>87.11</v>
      </c>
    </row>
    <row r="3745" spans="1:5" x14ac:dyDescent="0.2">
      <c r="A3745">
        <v>80207</v>
      </c>
      <c r="B3745" t="s">
        <v>11</v>
      </c>
      <c r="C3745">
        <v>80207</v>
      </c>
      <c r="D3745" t="str">
        <f>"80207"</f>
        <v>80207</v>
      </c>
      <c r="E3745">
        <v>76.900000000000006</v>
      </c>
    </row>
    <row r="3746" spans="1:5" x14ac:dyDescent="0.2">
      <c r="A3746">
        <v>80209</v>
      </c>
      <c r="B3746" t="s">
        <v>11</v>
      </c>
      <c r="C3746">
        <v>80209</v>
      </c>
      <c r="D3746" t="str">
        <f>"80209"</f>
        <v>80209</v>
      </c>
      <c r="E3746">
        <v>88.55</v>
      </c>
    </row>
    <row r="3747" spans="1:5" x14ac:dyDescent="0.2">
      <c r="A3747">
        <v>80210</v>
      </c>
      <c r="B3747" t="s">
        <v>11</v>
      </c>
      <c r="C3747">
        <v>80210</v>
      </c>
      <c r="D3747" t="str">
        <f>"80210"</f>
        <v>80210</v>
      </c>
      <c r="E3747">
        <v>84.26</v>
      </c>
    </row>
    <row r="3748" spans="1:5" x14ac:dyDescent="0.2">
      <c r="A3748">
        <v>80211</v>
      </c>
      <c r="B3748" t="s">
        <v>11</v>
      </c>
      <c r="C3748">
        <v>80211</v>
      </c>
      <c r="D3748" t="str">
        <f>"80211"</f>
        <v>80211</v>
      </c>
      <c r="E3748">
        <v>84.6</v>
      </c>
    </row>
    <row r="3749" spans="1:5" x14ac:dyDescent="0.2">
      <c r="A3749">
        <v>80212</v>
      </c>
      <c r="B3749" t="s">
        <v>11</v>
      </c>
      <c r="C3749">
        <v>80212</v>
      </c>
      <c r="D3749" t="str">
        <f>"80212"</f>
        <v>80212</v>
      </c>
      <c r="E3749">
        <v>83.51</v>
      </c>
    </row>
    <row r="3750" spans="1:5" x14ac:dyDescent="0.2">
      <c r="A3750">
        <v>80214</v>
      </c>
      <c r="B3750" t="s">
        <v>11</v>
      </c>
      <c r="C3750">
        <v>80214</v>
      </c>
      <c r="D3750" t="str">
        <f>"80214"</f>
        <v>80214</v>
      </c>
      <c r="E3750">
        <v>73.67</v>
      </c>
    </row>
    <row r="3751" spans="1:5" x14ac:dyDescent="0.2">
      <c r="A3751">
        <v>80215</v>
      </c>
      <c r="B3751" t="s">
        <v>11</v>
      </c>
      <c r="C3751">
        <v>80215</v>
      </c>
      <c r="D3751" t="str">
        <f>"80215"</f>
        <v>80215</v>
      </c>
      <c r="E3751">
        <v>78.66</v>
      </c>
    </row>
    <row r="3752" spans="1:5" x14ac:dyDescent="0.2">
      <c r="A3752">
        <v>80216</v>
      </c>
      <c r="B3752" t="s">
        <v>11</v>
      </c>
      <c r="C3752">
        <v>80216</v>
      </c>
      <c r="D3752" t="str">
        <f>"80216"</f>
        <v>80216</v>
      </c>
      <c r="E3752">
        <v>65.98</v>
      </c>
    </row>
    <row r="3753" spans="1:5" x14ac:dyDescent="0.2">
      <c r="A3753">
        <v>80218</v>
      </c>
      <c r="B3753" t="s">
        <v>11</v>
      </c>
      <c r="C3753">
        <v>80218</v>
      </c>
      <c r="D3753" t="str">
        <f>"80218"</f>
        <v>80218</v>
      </c>
      <c r="E3753">
        <v>86.72</v>
      </c>
    </row>
    <row r="3754" spans="1:5" x14ac:dyDescent="0.2">
      <c r="A3754">
        <v>80219</v>
      </c>
      <c r="B3754" t="s">
        <v>11</v>
      </c>
      <c r="C3754">
        <v>80219</v>
      </c>
      <c r="D3754" t="str">
        <f>"80219"</f>
        <v>80219</v>
      </c>
      <c r="E3754">
        <v>61.16</v>
      </c>
    </row>
    <row r="3755" spans="1:5" x14ac:dyDescent="0.2">
      <c r="A3755">
        <v>80220</v>
      </c>
      <c r="B3755" t="s">
        <v>11</v>
      </c>
      <c r="C3755">
        <v>80220</v>
      </c>
      <c r="D3755" t="str">
        <f>"80220"</f>
        <v>80220</v>
      </c>
      <c r="E3755">
        <v>80.040000000000006</v>
      </c>
    </row>
    <row r="3756" spans="1:5" x14ac:dyDescent="0.2">
      <c r="A3756">
        <v>80221</v>
      </c>
      <c r="B3756" t="s">
        <v>11</v>
      </c>
      <c r="C3756">
        <v>80221</v>
      </c>
      <c r="D3756" t="str">
        <f>"80221"</f>
        <v>80221</v>
      </c>
      <c r="E3756">
        <v>70.319999999999993</v>
      </c>
    </row>
    <row r="3757" spans="1:5" x14ac:dyDescent="0.2">
      <c r="A3757">
        <v>80222</v>
      </c>
      <c r="B3757" t="s">
        <v>11</v>
      </c>
      <c r="C3757">
        <v>80222</v>
      </c>
      <c r="D3757" t="str">
        <f>"80222"</f>
        <v>80222</v>
      </c>
      <c r="E3757">
        <v>79.5</v>
      </c>
    </row>
    <row r="3758" spans="1:5" x14ac:dyDescent="0.2">
      <c r="A3758">
        <v>80223</v>
      </c>
      <c r="B3758" t="s">
        <v>11</v>
      </c>
      <c r="C3758">
        <v>80223</v>
      </c>
      <c r="D3758" t="str">
        <f>"80223"</f>
        <v>80223</v>
      </c>
      <c r="E3758">
        <v>70.31</v>
      </c>
    </row>
    <row r="3759" spans="1:5" x14ac:dyDescent="0.2">
      <c r="A3759">
        <v>80224</v>
      </c>
      <c r="B3759" t="s">
        <v>11</v>
      </c>
      <c r="C3759">
        <v>80224</v>
      </c>
      <c r="D3759" t="str">
        <f>"80224"</f>
        <v>80224</v>
      </c>
      <c r="E3759">
        <v>78.73</v>
      </c>
    </row>
    <row r="3760" spans="1:5" x14ac:dyDescent="0.2">
      <c r="A3760">
        <v>80226</v>
      </c>
      <c r="B3760" t="s">
        <v>11</v>
      </c>
      <c r="C3760">
        <v>80226</v>
      </c>
      <c r="D3760" t="str">
        <f>"80226"</f>
        <v>80226</v>
      </c>
      <c r="E3760">
        <v>76.239999999999995</v>
      </c>
    </row>
    <row r="3761" spans="1:5" x14ac:dyDescent="0.2">
      <c r="A3761">
        <v>80227</v>
      </c>
      <c r="B3761" t="s">
        <v>11</v>
      </c>
      <c r="C3761">
        <v>80227</v>
      </c>
      <c r="D3761" t="str">
        <f>"80227"</f>
        <v>80227</v>
      </c>
      <c r="E3761">
        <v>78.959999999999994</v>
      </c>
    </row>
    <row r="3762" spans="1:5" x14ac:dyDescent="0.2">
      <c r="A3762">
        <v>80228</v>
      </c>
      <c r="B3762" t="s">
        <v>11</v>
      </c>
      <c r="C3762">
        <v>80228</v>
      </c>
      <c r="D3762" t="str">
        <f>"80228"</f>
        <v>80228</v>
      </c>
      <c r="E3762">
        <v>82.9</v>
      </c>
    </row>
    <row r="3763" spans="1:5" x14ac:dyDescent="0.2">
      <c r="A3763">
        <v>80229</v>
      </c>
      <c r="B3763" t="s">
        <v>11</v>
      </c>
      <c r="C3763">
        <v>80229</v>
      </c>
      <c r="D3763" t="str">
        <f>"80229"</f>
        <v>80229</v>
      </c>
      <c r="E3763">
        <v>69.900000000000006</v>
      </c>
    </row>
    <row r="3764" spans="1:5" x14ac:dyDescent="0.2">
      <c r="A3764">
        <v>80230</v>
      </c>
      <c r="B3764" t="s">
        <v>11</v>
      </c>
      <c r="C3764">
        <v>80230</v>
      </c>
      <c r="D3764" t="str">
        <f>"80230"</f>
        <v>80230</v>
      </c>
      <c r="E3764">
        <v>82.11</v>
      </c>
    </row>
    <row r="3765" spans="1:5" x14ac:dyDescent="0.2">
      <c r="A3765">
        <v>80231</v>
      </c>
      <c r="B3765" t="s">
        <v>11</v>
      </c>
      <c r="C3765">
        <v>80231</v>
      </c>
      <c r="D3765" t="str">
        <f>"80231"</f>
        <v>80231</v>
      </c>
      <c r="E3765">
        <v>75.58</v>
      </c>
    </row>
    <row r="3766" spans="1:5" x14ac:dyDescent="0.2">
      <c r="A3766">
        <v>80232</v>
      </c>
      <c r="B3766" t="s">
        <v>11</v>
      </c>
      <c r="C3766">
        <v>80232</v>
      </c>
      <c r="D3766" t="str">
        <f>"80232"</f>
        <v>80232</v>
      </c>
      <c r="E3766">
        <v>78.83</v>
      </c>
    </row>
    <row r="3767" spans="1:5" x14ac:dyDescent="0.2">
      <c r="A3767">
        <v>80233</v>
      </c>
      <c r="B3767" t="s">
        <v>11</v>
      </c>
      <c r="C3767">
        <v>80233</v>
      </c>
      <c r="D3767" t="str">
        <f>"80233"</f>
        <v>80233</v>
      </c>
      <c r="E3767">
        <v>77.959999999999994</v>
      </c>
    </row>
    <row r="3768" spans="1:5" x14ac:dyDescent="0.2">
      <c r="A3768">
        <v>80234</v>
      </c>
      <c r="B3768" t="s">
        <v>11</v>
      </c>
      <c r="C3768">
        <v>80234</v>
      </c>
      <c r="D3768" t="str">
        <f>"80234"</f>
        <v>80234</v>
      </c>
      <c r="E3768">
        <v>78.03</v>
      </c>
    </row>
    <row r="3769" spans="1:5" x14ac:dyDescent="0.2">
      <c r="A3769">
        <v>80235</v>
      </c>
      <c r="B3769" t="s">
        <v>11</v>
      </c>
      <c r="C3769">
        <v>80235</v>
      </c>
      <c r="D3769" t="str">
        <f>"80235"</f>
        <v>80235</v>
      </c>
      <c r="E3769">
        <v>79.38</v>
      </c>
    </row>
    <row r="3770" spans="1:5" x14ac:dyDescent="0.2">
      <c r="A3770">
        <v>80236</v>
      </c>
      <c r="B3770" t="s">
        <v>11</v>
      </c>
      <c r="C3770">
        <v>80236</v>
      </c>
      <c r="D3770" t="str">
        <f>"80236"</f>
        <v>80236</v>
      </c>
      <c r="E3770">
        <v>72.319999999999993</v>
      </c>
    </row>
    <row r="3771" spans="1:5" x14ac:dyDescent="0.2">
      <c r="A3771">
        <v>80237</v>
      </c>
      <c r="B3771" t="s">
        <v>11</v>
      </c>
      <c r="C3771">
        <v>80237</v>
      </c>
      <c r="D3771" t="str">
        <f>"80237"</f>
        <v>80237</v>
      </c>
      <c r="E3771">
        <v>83.28</v>
      </c>
    </row>
    <row r="3772" spans="1:5" x14ac:dyDescent="0.2">
      <c r="A3772">
        <v>80238</v>
      </c>
      <c r="B3772" t="s">
        <v>11</v>
      </c>
      <c r="C3772">
        <v>80238</v>
      </c>
      <c r="D3772" t="str">
        <f>"80238"</f>
        <v>80238</v>
      </c>
      <c r="E3772">
        <v>88.25</v>
      </c>
    </row>
    <row r="3773" spans="1:5" x14ac:dyDescent="0.2">
      <c r="A3773">
        <v>80239</v>
      </c>
      <c r="B3773" t="s">
        <v>11</v>
      </c>
      <c r="C3773">
        <v>80239</v>
      </c>
      <c r="D3773" t="str">
        <f>"80239"</f>
        <v>80239</v>
      </c>
      <c r="E3773">
        <v>61.09</v>
      </c>
    </row>
    <row r="3774" spans="1:5" x14ac:dyDescent="0.2">
      <c r="A3774">
        <v>80241</v>
      </c>
      <c r="B3774" t="s">
        <v>11</v>
      </c>
      <c r="C3774">
        <v>80241</v>
      </c>
      <c r="D3774" t="str">
        <f>"80241"</f>
        <v>80241</v>
      </c>
      <c r="E3774">
        <v>81.64</v>
      </c>
    </row>
    <row r="3775" spans="1:5" x14ac:dyDescent="0.2">
      <c r="A3775">
        <v>80246</v>
      </c>
      <c r="B3775" t="s">
        <v>11</v>
      </c>
      <c r="C3775">
        <v>80246</v>
      </c>
      <c r="D3775" t="str">
        <f>"80246"</f>
        <v>80246</v>
      </c>
      <c r="E3775">
        <v>82.19</v>
      </c>
    </row>
    <row r="3776" spans="1:5" x14ac:dyDescent="0.2">
      <c r="A3776">
        <v>80247</v>
      </c>
      <c r="B3776" t="s">
        <v>11</v>
      </c>
      <c r="C3776">
        <v>80247</v>
      </c>
      <c r="D3776" t="str">
        <f>"80247"</f>
        <v>80247</v>
      </c>
      <c r="E3776">
        <v>72.989999999999995</v>
      </c>
    </row>
    <row r="3777" spans="1:5" x14ac:dyDescent="0.2">
      <c r="A3777">
        <v>80249</v>
      </c>
      <c r="B3777" t="s">
        <v>11</v>
      </c>
      <c r="C3777">
        <v>80249</v>
      </c>
      <c r="D3777" t="str">
        <f>"80249"</f>
        <v>80249</v>
      </c>
      <c r="E3777">
        <v>71.5</v>
      </c>
    </row>
    <row r="3778" spans="1:5" x14ac:dyDescent="0.2">
      <c r="A3778">
        <v>80257</v>
      </c>
      <c r="B3778" t="s">
        <v>11</v>
      </c>
      <c r="C3778">
        <v>80257</v>
      </c>
      <c r="D3778" t="str">
        <f>"80257"</f>
        <v>80257</v>
      </c>
      <c r="E3778" t="s">
        <v>6</v>
      </c>
    </row>
    <row r="3779" spans="1:5" x14ac:dyDescent="0.2">
      <c r="A3779">
        <v>80260</v>
      </c>
      <c r="B3779" t="s">
        <v>11</v>
      </c>
      <c r="C3779">
        <v>80260</v>
      </c>
      <c r="D3779" t="str">
        <f>"80260"</f>
        <v>80260</v>
      </c>
      <c r="E3779">
        <v>64.56</v>
      </c>
    </row>
    <row r="3780" spans="1:5" x14ac:dyDescent="0.2">
      <c r="A3780">
        <v>80264</v>
      </c>
      <c r="B3780" t="s">
        <v>11</v>
      </c>
      <c r="C3780">
        <v>80264</v>
      </c>
      <c r="D3780" t="str">
        <f>"80264"</f>
        <v>80264</v>
      </c>
      <c r="E3780" t="s">
        <v>6</v>
      </c>
    </row>
    <row r="3781" spans="1:5" x14ac:dyDescent="0.2">
      <c r="A3781">
        <v>80265</v>
      </c>
      <c r="B3781" t="s">
        <v>11</v>
      </c>
      <c r="C3781">
        <v>80265</v>
      </c>
      <c r="D3781" t="str">
        <f>"80265"</f>
        <v>80265</v>
      </c>
      <c r="E3781" t="s">
        <v>6</v>
      </c>
    </row>
    <row r="3782" spans="1:5" x14ac:dyDescent="0.2">
      <c r="A3782">
        <v>80266</v>
      </c>
      <c r="B3782" t="s">
        <v>11</v>
      </c>
      <c r="C3782">
        <v>80266</v>
      </c>
      <c r="D3782" t="str">
        <f>"80266"</f>
        <v>80266</v>
      </c>
      <c r="E3782" t="s">
        <v>6</v>
      </c>
    </row>
    <row r="3783" spans="1:5" x14ac:dyDescent="0.2">
      <c r="A3783">
        <v>80290</v>
      </c>
      <c r="B3783" t="s">
        <v>11</v>
      </c>
      <c r="C3783">
        <v>80290</v>
      </c>
      <c r="D3783" t="str">
        <f>"80290"</f>
        <v>80290</v>
      </c>
      <c r="E3783" t="s">
        <v>6</v>
      </c>
    </row>
    <row r="3784" spans="1:5" x14ac:dyDescent="0.2">
      <c r="A3784">
        <v>80294</v>
      </c>
      <c r="B3784" t="s">
        <v>11</v>
      </c>
      <c r="C3784">
        <v>80294</v>
      </c>
      <c r="D3784" t="str">
        <f>"80294"</f>
        <v>80294</v>
      </c>
      <c r="E3784" t="s">
        <v>6</v>
      </c>
    </row>
    <row r="3785" spans="1:5" x14ac:dyDescent="0.2">
      <c r="A3785">
        <v>80299</v>
      </c>
      <c r="B3785" t="s">
        <v>11</v>
      </c>
      <c r="C3785">
        <v>80299</v>
      </c>
      <c r="D3785" t="str">
        <f>"80299"</f>
        <v>80299</v>
      </c>
      <c r="E3785" t="s">
        <v>6</v>
      </c>
    </row>
    <row r="3786" spans="1:5" x14ac:dyDescent="0.2">
      <c r="A3786">
        <v>80301</v>
      </c>
      <c r="B3786" t="s">
        <v>11</v>
      </c>
      <c r="C3786">
        <v>80301</v>
      </c>
      <c r="D3786" t="str">
        <f>"80301"</f>
        <v>80301</v>
      </c>
      <c r="E3786">
        <v>80.47</v>
      </c>
    </row>
    <row r="3787" spans="1:5" x14ac:dyDescent="0.2">
      <c r="A3787">
        <v>80302</v>
      </c>
      <c r="B3787" t="s">
        <v>11</v>
      </c>
      <c r="C3787">
        <v>80302</v>
      </c>
      <c r="D3787" t="str">
        <f>"80302"</f>
        <v>80302</v>
      </c>
      <c r="E3787">
        <v>76.92</v>
      </c>
    </row>
    <row r="3788" spans="1:5" x14ac:dyDescent="0.2">
      <c r="A3788">
        <v>80303</v>
      </c>
      <c r="B3788" t="s">
        <v>11</v>
      </c>
      <c r="C3788">
        <v>80303</v>
      </c>
      <c r="D3788" t="str">
        <f>"80303"</f>
        <v>80303</v>
      </c>
      <c r="E3788">
        <v>78.17</v>
      </c>
    </row>
    <row r="3789" spans="1:5" x14ac:dyDescent="0.2">
      <c r="A3789">
        <v>80304</v>
      </c>
      <c r="B3789" t="s">
        <v>11</v>
      </c>
      <c r="C3789">
        <v>80304</v>
      </c>
      <c r="D3789" t="str">
        <f>"80304"</f>
        <v>80304</v>
      </c>
      <c r="E3789">
        <v>78.36</v>
      </c>
    </row>
    <row r="3790" spans="1:5" x14ac:dyDescent="0.2">
      <c r="A3790">
        <v>80305</v>
      </c>
      <c r="B3790" t="s">
        <v>11</v>
      </c>
      <c r="C3790">
        <v>80305</v>
      </c>
      <c r="D3790" t="str">
        <f>"80305"</f>
        <v>80305</v>
      </c>
      <c r="E3790">
        <v>81.209999999999994</v>
      </c>
    </row>
    <row r="3791" spans="1:5" x14ac:dyDescent="0.2">
      <c r="A3791">
        <v>80310</v>
      </c>
      <c r="B3791" t="s">
        <v>11</v>
      </c>
      <c r="C3791">
        <v>80310</v>
      </c>
      <c r="D3791" t="str">
        <f>"80310"</f>
        <v>80310</v>
      </c>
      <c r="E3791" t="s">
        <v>6</v>
      </c>
    </row>
    <row r="3792" spans="1:5" x14ac:dyDescent="0.2">
      <c r="A3792">
        <v>80401</v>
      </c>
      <c r="B3792" t="s">
        <v>11</v>
      </c>
      <c r="C3792">
        <v>80401</v>
      </c>
      <c r="D3792" t="str">
        <f>"80401"</f>
        <v>80401</v>
      </c>
      <c r="E3792">
        <v>81.680000000000007</v>
      </c>
    </row>
    <row r="3793" spans="1:5" x14ac:dyDescent="0.2">
      <c r="A3793">
        <v>80403</v>
      </c>
      <c r="B3793" t="s">
        <v>11</v>
      </c>
      <c r="C3793">
        <v>80403</v>
      </c>
      <c r="D3793" t="str">
        <f>"80403"</f>
        <v>80403</v>
      </c>
      <c r="E3793">
        <v>84.25</v>
      </c>
    </row>
    <row r="3794" spans="1:5" x14ac:dyDescent="0.2">
      <c r="A3794">
        <v>80419</v>
      </c>
      <c r="B3794" t="s">
        <v>11</v>
      </c>
      <c r="C3794">
        <v>80419</v>
      </c>
      <c r="D3794" t="str">
        <f>"80419"</f>
        <v>80419</v>
      </c>
      <c r="E3794" t="s">
        <v>6</v>
      </c>
    </row>
    <row r="3795" spans="1:5" x14ac:dyDescent="0.2">
      <c r="A3795">
        <v>80420</v>
      </c>
      <c r="B3795" t="s">
        <v>11</v>
      </c>
      <c r="C3795">
        <v>80420</v>
      </c>
      <c r="D3795" t="str">
        <f>"80420"</f>
        <v>80420</v>
      </c>
      <c r="E3795" t="s">
        <v>6</v>
      </c>
    </row>
    <row r="3796" spans="1:5" x14ac:dyDescent="0.2">
      <c r="A3796">
        <v>80421</v>
      </c>
      <c r="B3796" t="s">
        <v>11</v>
      </c>
      <c r="C3796">
        <v>80421</v>
      </c>
      <c r="D3796" t="str">
        <f>"80421"</f>
        <v>80421</v>
      </c>
      <c r="E3796">
        <v>80.260000000000005</v>
      </c>
    </row>
    <row r="3797" spans="1:5" x14ac:dyDescent="0.2">
      <c r="A3797">
        <v>80422</v>
      </c>
      <c r="B3797" t="s">
        <v>11</v>
      </c>
      <c r="C3797">
        <v>80422</v>
      </c>
      <c r="D3797" t="str">
        <f>"80422"</f>
        <v>80422</v>
      </c>
      <c r="E3797">
        <v>80.33</v>
      </c>
    </row>
    <row r="3798" spans="1:5" x14ac:dyDescent="0.2">
      <c r="A3798">
        <v>80423</v>
      </c>
      <c r="B3798" t="s">
        <v>11</v>
      </c>
      <c r="C3798">
        <v>80423</v>
      </c>
      <c r="D3798" t="str">
        <f>"80423"</f>
        <v>80423</v>
      </c>
      <c r="E3798" t="s">
        <v>6</v>
      </c>
    </row>
    <row r="3799" spans="1:5" x14ac:dyDescent="0.2">
      <c r="A3799">
        <v>80424</v>
      </c>
      <c r="B3799" t="s">
        <v>11</v>
      </c>
      <c r="C3799">
        <v>80424</v>
      </c>
      <c r="D3799" t="str">
        <f>"80424"</f>
        <v>80424</v>
      </c>
      <c r="E3799">
        <v>85.08</v>
      </c>
    </row>
    <row r="3800" spans="1:5" x14ac:dyDescent="0.2">
      <c r="A3800">
        <v>80425</v>
      </c>
      <c r="B3800" t="s">
        <v>11</v>
      </c>
      <c r="C3800">
        <v>80425</v>
      </c>
      <c r="D3800" t="str">
        <f>"80425"</f>
        <v>80425</v>
      </c>
      <c r="E3800" t="s">
        <v>6</v>
      </c>
    </row>
    <row r="3801" spans="1:5" x14ac:dyDescent="0.2">
      <c r="A3801">
        <v>80426</v>
      </c>
      <c r="B3801" t="s">
        <v>11</v>
      </c>
      <c r="C3801">
        <v>80426</v>
      </c>
      <c r="D3801" t="str">
        <f>"80426"</f>
        <v>80426</v>
      </c>
      <c r="E3801" t="s">
        <v>6</v>
      </c>
    </row>
    <row r="3802" spans="1:5" x14ac:dyDescent="0.2">
      <c r="A3802">
        <v>80427</v>
      </c>
      <c r="B3802" t="s">
        <v>11</v>
      </c>
      <c r="C3802">
        <v>80427</v>
      </c>
      <c r="D3802" t="str">
        <f>"80427"</f>
        <v>80427</v>
      </c>
      <c r="E3802" t="s">
        <v>6</v>
      </c>
    </row>
    <row r="3803" spans="1:5" x14ac:dyDescent="0.2">
      <c r="A3803">
        <v>80428</v>
      </c>
      <c r="B3803" t="s">
        <v>11</v>
      </c>
      <c r="C3803">
        <v>80428</v>
      </c>
      <c r="D3803" t="str">
        <f>"80428"</f>
        <v>80428</v>
      </c>
      <c r="E3803">
        <v>80.56</v>
      </c>
    </row>
    <row r="3804" spans="1:5" x14ac:dyDescent="0.2">
      <c r="A3804">
        <v>80430</v>
      </c>
      <c r="B3804" t="s">
        <v>11</v>
      </c>
      <c r="C3804">
        <v>80430</v>
      </c>
      <c r="D3804" t="str">
        <f>"80430"</f>
        <v>80430</v>
      </c>
      <c r="E3804" t="s">
        <v>6</v>
      </c>
    </row>
    <row r="3805" spans="1:5" x14ac:dyDescent="0.2">
      <c r="A3805">
        <v>80432</v>
      </c>
      <c r="B3805" t="s">
        <v>11</v>
      </c>
      <c r="C3805">
        <v>80432</v>
      </c>
      <c r="D3805" t="str">
        <f>"80432"</f>
        <v>80432</v>
      </c>
      <c r="E3805" t="s">
        <v>6</v>
      </c>
    </row>
    <row r="3806" spans="1:5" x14ac:dyDescent="0.2">
      <c r="A3806">
        <v>80433</v>
      </c>
      <c r="B3806" t="s">
        <v>11</v>
      </c>
      <c r="C3806">
        <v>80433</v>
      </c>
      <c r="D3806" t="str">
        <f>"80433"</f>
        <v>80433</v>
      </c>
      <c r="E3806">
        <v>83.79</v>
      </c>
    </row>
    <row r="3807" spans="1:5" x14ac:dyDescent="0.2">
      <c r="A3807">
        <v>80434</v>
      </c>
      <c r="B3807" t="s">
        <v>11</v>
      </c>
      <c r="C3807">
        <v>80434</v>
      </c>
      <c r="D3807" t="str">
        <f>"80434"</f>
        <v>80434</v>
      </c>
      <c r="E3807" t="s">
        <v>6</v>
      </c>
    </row>
    <row r="3808" spans="1:5" x14ac:dyDescent="0.2">
      <c r="A3808">
        <v>80435</v>
      </c>
      <c r="B3808" t="s">
        <v>11</v>
      </c>
      <c r="C3808">
        <v>80435</v>
      </c>
      <c r="D3808" t="str">
        <f>"80435"</f>
        <v>80435</v>
      </c>
      <c r="E3808">
        <v>80.38</v>
      </c>
    </row>
    <row r="3809" spans="1:5" x14ac:dyDescent="0.2">
      <c r="A3809">
        <v>80436</v>
      </c>
      <c r="B3809" t="s">
        <v>11</v>
      </c>
      <c r="C3809">
        <v>80436</v>
      </c>
      <c r="D3809" t="str">
        <f>"80436"</f>
        <v>80436</v>
      </c>
      <c r="E3809" t="s">
        <v>6</v>
      </c>
    </row>
    <row r="3810" spans="1:5" x14ac:dyDescent="0.2">
      <c r="A3810">
        <v>80438</v>
      </c>
      <c r="B3810" t="s">
        <v>11</v>
      </c>
      <c r="C3810">
        <v>80438</v>
      </c>
      <c r="D3810" t="str">
        <f>"80438"</f>
        <v>80438</v>
      </c>
      <c r="E3810" t="s">
        <v>6</v>
      </c>
    </row>
    <row r="3811" spans="1:5" x14ac:dyDescent="0.2">
      <c r="A3811">
        <v>80439</v>
      </c>
      <c r="B3811" t="s">
        <v>11</v>
      </c>
      <c r="C3811">
        <v>80439</v>
      </c>
      <c r="D3811" t="str">
        <f>"80439"</f>
        <v>80439</v>
      </c>
      <c r="E3811">
        <v>82.44</v>
      </c>
    </row>
    <row r="3812" spans="1:5" x14ac:dyDescent="0.2">
      <c r="A3812">
        <v>80440</v>
      </c>
      <c r="B3812" t="s">
        <v>11</v>
      </c>
      <c r="C3812">
        <v>80440</v>
      </c>
      <c r="D3812" t="str">
        <f>"80440"</f>
        <v>80440</v>
      </c>
      <c r="E3812">
        <v>75.78</v>
      </c>
    </row>
    <row r="3813" spans="1:5" x14ac:dyDescent="0.2">
      <c r="A3813">
        <v>80442</v>
      </c>
      <c r="B3813" t="s">
        <v>11</v>
      </c>
      <c r="C3813">
        <v>80442</v>
      </c>
      <c r="D3813" t="str">
        <f>"80442"</f>
        <v>80442</v>
      </c>
      <c r="E3813" t="s">
        <v>6</v>
      </c>
    </row>
    <row r="3814" spans="1:5" x14ac:dyDescent="0.2">
      <c r="A3814">
        <v>80443</v>
      </c>
      <c r="B3814" t="s">
        <v>11</v>
      </c>
      <c r="C3814">
        <v>80443</v>
      </c>
      <c r="D3814" t="str">
        <f>"80443"</f>
        <v>80443</v>
      </c>
      <c r="E3814" t="s">
        <v>6</v>
      </c>
    </row>
    <row r="3815" spans="1:5" x14ac:dyDescent="0.2">
      <c r="A3815">
        <v>80444</v>
      </c>
      <c r="B3815" t="s">
        <v>11</v>
      </c>
      <c r="C3815">
        <v>80444</v>
      </c>
      <c r="D3815" t="str">
        <f>"80444"</f>
        <v>80444</v>
      </c>
      <c r="E3815" t="s">
        <v>6</v>
      </c>
    </row>
    <row r="3816" spans="1:5" x14ac:dyDescent="0.2">
      <c r="A3816">
        <v>80446</v>
      </c>
      <c r="B3816" t="s">
        <v>11</v>
      </c>
      <c r="C3816">
        <v>80446</v>
      </c>
      <c r="D3816" t="str">
        <f>"80446"</f>
        <v>80446</v>
      </c>
      <c r="E3816">
        <v>74.64</v>
      </c>
    </row>
    <row r="3817" spans="1:5" x14ac:dyDescent="0.2">
      <c r="A3817">
        <v>80447</v>
      </c>
      <c r="B3817" t="s">
        <v>11</v>
      </c>
      <c r="C3817">
        <v>80447</v>
      </c>
      <c r="D3817" t="str">
        <f>"80447"</f>
        <v>80447</v>
      </c>
      <c r="E3817">
        <v>80.23</v>
      </c>
    </row>
    <row r="3818" spans="1:5" x14ac:dyDescent="0.2">
      <c r="A3818">
        <v>80448</v>
      </c>
      <c r="B3818" t="s">
        <v>11</v>
      </c>
      <c r="C3818">
        <v>80448</v>
      </c>
      <c r="D3818" t="str">
        <f>"80448"</f>
        <v>80448</v>
      </c>
      <c r="E3818" t="s">
        <v>6</v>
      </c>
    </row>
    <row r="3819" spans="1:5" x14ac:dyDescent="0.2">
      <c r="A3819">
        <v>80449</v>
      </c>
      <c r="B3819" t="s">
        <v>11</v>
      </c>
      <c r="C3819">
        <v>80449</v>
      </c>
      <c r="D3819" t="str">
        <f>"80449"</f>
        <v>80449</v>
      </c>
      <c r="E3819">
        <v>68.89</v>
      </c>
    </row>
    <row r="3820" spans="1:5" x14ac:dyDescent="0.2">
      <c r="A3820">
        <v>80451</v>
      </c>
      <c r="B3820" t="s">
        <v>11</v>
      </c>
      <c r="C3820">
        <v>80451</v>
      </c>
      <c r="D3820" t="str">
        <f>"80451"</f>
        <v>80451</v>
      </c>
      <c r="E3820" t="s">
        <v>6</v>
      </c>
    </row>
    <row r="3821" spans="1:5" x14ac:dyDescent="0.2">
      <c r="A3821">
        <v>80452</v>
      </c>
      <c r="B3821" t="s">
        <v>11</v>
      </c>
      <c r="C3821">
        <v>80452</v>
      </c>
      <c r="D3821" t="str">
        <f>"80452"</f>
        <v>80452</v>
      </c>
      <c r="E3821">
        <v>80.680000000000007</v>
      </c>
    </row>
    <row r="3822" spans="1:5" x14ac:dyDescent="0.2">
      <c r="A3822">
        <v>80453</v>
      </c>
      <c r="B3822" t="s">
        <v>11</v>
      </c>
      <c r="C3822">
        <v>80453</v>
      </c>
      <c r="D3822" t="str">
        <f>"80453"</f>
        <v>80453</v>
      </c>
      <c r="E3822" t="s">
        <v>6</v>
      </c>
    </row>
    <row r="3823" spans="1:5" x14ac:dyDescent="0.2">
      <c r="A3823">
        <v>80454</v>
      </c>
      <c r="B3823" t="s">
        <v>11</v>
      </c>
      <c r="C3823">
        <v>80454</v>
      </c>
      <c r="D3823" t="str">
        <f>"80454"</f>
        <v>80454</v>
      </c>
      <c r="E3823" t="s">
        <v>6</v>
      </c>
    </row>
    <row r="3824" spans="1:5" x14ac:dyDescent="0.2">
      <c r="A3824">
        <v>80455</v>
      </c>
      <c r="B3824" t="s">
        <v>11</v>
      </c>
      <c r="C3824">
        <v>80455</v>
      </c>
      <c r="D3824" t="str">
        <f>"80455"</f>
        <v>80455</v>
      </c>
      <c r="E3824">
        <v>74.069999999999993</v>
      </c>
    </row>
    <row r="3825" spans="1:5" x14ac:dyDescent="0.2">
      <c r="A3825">
        <v>80456</v>
      </c>
      <c r="B3825" t="s">
        <v>11</v>
      </c>
      <c r="C3825">
        <v>80456</v>
      </c>
      <c r="D3825" t="str">
        <f>"80456"</f>
        <v>80456</v>
      </c>
      <c r="E3825">
        <v>76</v>
      </c>
    </row>
    <row r="3826" spans="1:5" x14ac:dyDescent="0.2">
      <c r="A3826">
        <v>80457</v>
      </c>
      <c r="B3826" t="s">
        <v>11</v>
      </c>
      <c r="C3826">
        <v>80457</v>
      </c>
      <c r="D3826" t="str">
        <f>"80457"</f>
        <v>80457</v>
      </c>
      <c r="E3826" t="s">
        <v>6</v>
      </c>
    </row>
    <row r="3827" spans="1:5" x14ac:dyDescent="0.2">
      <c r="A3827">
        <v>80459</v>
      </c>
      <c r="B3827" t="s">
        <v>11</v>
      </c>
      <c r="C3827">
        <v>80459</v>
      </c>
      <c r="D3827" t="str">
        <f>"80459"</f>
        <v>80459</v>
      </c>
      <c r="E3827">
        <v>74.77</v>
      </c>
    </row>
    <row r="3828" spans="1:5" x14ac:dyDescent="0.2">
      <c r="A3828">
        <v>80461</v>
      </c>
      <c r="B3828" t="s">
        <v>11</v>
      </c>
      <c r="C3828">
        <v>80461</v>
      </c>
      <c r="D3828" t="str">
        <f>"80461"</f>
        <v>80461</v>
      </c>
      <c r="E3828">
        <v>74.34</v>
      </c>
    </row>
    <row r="3829" spans="1:5" x14ac:dyDescent="0.2">
      <c r="A3829">
        <v>80463</v>
      </c>
      <c r="B3829" t="s">
        <v>11</v>
      </c>
      <c r="C3829">
        <v>80463</v>
      </c>
      <c r="D3829" t="str">
        <f>"80463"</f>
        <v>80463</v>
      </c>
      <c r="E3829" t="s">
        <v>6</v>
      </c>
    </row>
    <row r="3830" spans="1:5" x14ac:dyDescent="0.2">
      <c r="A3830">
        <v>80465</v>
      </c>
      <c r="B3830" t="s">
        <v>11</v>
      </c>
      <c r="C3830">
        <v>80465</v>
      </c>
      <c r="D3830" t="str">
        <f>"80465"</f>
        <v>80465</v>
      </c>
      <c r="E3830">
        <v>83.31</v>
      </c>
    </row>
    <row r="3831" spans="1:5" x14ac:dyDescent="0.2">
      <c r="A3831">
        <v>80466</v>
      </c>
      <c r="B3831" t="s">
        <v>11</v>
      </c>
      <c r="C3831">
        <v>80466</v>
      </c>
      <c r="D3831" t="str">
        <f>"80466"</f>
        <v>80466</v>
      </c>
      <c r="E3831">
        <v>78.95</v>
      </c>
    </row>
    <row r="3832" spans="1:5" x14ac:dyDescent="0.2">
      <c r="A3832">
        <v>80467</v>
      </c>
      <c r="B3832" t="s">
        <v>11</v>
      </c>
      <c r="C3832">
        <v>80467</v>
      </c>
      <c r="D3832" t="str">
        <f>"80467"</f>
        <v>80467</v>
      </c>
      <c r="E3832">
        <v>74</v>
      </c>
    </row>
    <row r="3833" spans="1:5" x14ac:dyDescent="0.2">
      <c r="A3833">
        <v>80468</v>
      </c>
      <c r="B3833" t="s">
        <v>11</v>
      </c>
      <c r="C3833">
        <v>80468</v>
      </c>
      <c r="D3833" t="str">
        <f>"80468"</f>
        <v>80468</v>
      </c>
      <c r="E3833">
        <v>80</v>
      </c>
    </row>
    <row r="3834" spans="1:5" x14ac:dyDescent="0.2">
      <c r="A3834">
        <v>80469</v>
      </c>
      <c r="B3834" t="s">
        <v>11</v>
      </c>
      <c r="C3834">
        <v>80469</v>
      </c>
      <c r="D3834" t="str">
        <f>"80469"</f>
        <v>80469</v>
      </c>
      <c r="E3834" t="s">
        <v>6</v>
      </c>
    </row>
    <row r="3835" spans="1:5" x14ac:dyDescent="0.2">
      <c r="A3835">
        <v>80470</v>
      </c>
      <c r="B3835" t="s">
        <v>11</v>
      </c>
      <c r="C3835">
        <v>80470</v>
      </c>
      <c r="D3835" t="str">
        <f>"80470"</f>
        <v>80470</v>
      </c>
      <c r="E3835">
        <v>82.07</v>
      </c>
    </row>
    <row r="3836" spans="1:5" x14ac:dyDescent="0.2">
      <c r="A3836">
        <v>80471</v>
      </c>
      <c r="B3836" t="s">
        <v>11</v>
      </c>
      <c r="C3836">
        <v>80471</v>
      </c>
      <c r="D3836" t="str">
        <f>"80471"</f>
        <v>80471</v>
      </c>
      <c r="E3836" t="s">
        <v>6</v>
      </c>
    </row>
    <row r="3837" spans="1:5" x14ac:dyDescent="0.2">
      <c r="A3837">
        <v>80473</v>
      </c>
      <c r="B3837" t="s">
        <v>11</v>
      </c>
      <c r="C3837">
        <v>80473</v>
      </c>
      <c r="D3837" t="str">
        <f>"80473"</f>
        <v>80473</v>
      </c>
      <c r="E3837" t="s">
        <v>6</v>
      </c>
    </row>
    <row r="3838" spans="1:5" x14ac:dyDescent="0.2">
      <c r="A3838">
        <v>80474</v>
      </c>
      <c r="B3838" t="s">
        <v>11</v>
      </c>
      <c r="C3838">
        <v>80474</v>
      </c>
      <c r="D3838" t="str">
        <f>"80474"</f>
        <v>80474</v>
      </c>
      <c r="E3838" t="s">
        <v>6</v>
      </c>
    </row>
    <row r="3839" spans="1:5" x14ac:dyDescent="0.2">
      <c r="A3839">
        <v>80475</v>
      </c>
      <c r="B3839" t="s">
        <v>11</v>
      </c>
      <c r="C3839">
        <v>80475</v>
      </c>
      <c r="D3839" t="str">
        <f>"80475"</f>
        <v>80475</v>
      </c>
      <c r="E3839" t="s">
        <v>6</v>
      </c>
    </row>
    <row r="3840" spans="1:5" x14ac:dyDescent="0.2">
      <c r="A3840">
        <v>80476</v>
      </c>
      <c r="B3840" t="s">
        <v>11</v>
      </c>
      <c r="C3840">
        <v>80476</v>
      </c>
      <c r="D3840" t="str">
        <f>"80476"</f>
        <v>80476</v>
      </c>
      <c r="E3840" t="s">
        <v>6</v>
      </c>
    </row>
    <row r="3841" spans="1:5" x14ac:dyDescent="0.2">
      <c r="A3841">
        <v>80477</v>
      </c>
      <c r="B3841" t="s">
        <v>11</v>
      </c>
      <c r="C3841">
        <v>80477</v>
      </c>
      <c r="D3841" t="str">
        <f>"80477"</f>
        <v>80477</v>
      </c>
      <c r="E3841" t="s">
        <v>6</v>
      </c>
    </row>
    <row r="3842" spans="1:5" x14ac:dyDescent="0.2">
      <c r="A3842">
        <v>80478</v>
      </c>
      <c r="B3842" t="s">
        <v>11</v>
      </c>
      <c r="C3842">
        <v>80478</v>
      </c>
      <c r="D3842" t="str">
        <f>"80478"</f>
        <v>80478</v>
      </c>
      <c r="E3842" t="s">
        <v>6</v>
      </c>
    </row>
    <row r="3843" spans="1:5" x14ac:dyDescent="0.2">
      <c r="A3843">
        <v>80479</v>
      </c>
      <c r="B3843" t="s">
        <v>11</v>
      </c>
      <c r="C3843">
        <v>80479</v>
      </c>
      <c r="D3843" t="str">
        <f>"80479"</f>
        <v>80479</v>
      </c>
      <c r="E3843" t="s">
        <v>6</v>
      </c>
    </row>
    <row r="3844" spans="1:5" x14ac:dyDescent="0.2">
      <c r="A3844">
        <v>80480</v>
      </c>
      <c r="B3844" t="s">
        <v>11</v>
      </c>
      <c r="C3844">
        <v>80480</v>
      </c>
      <c r="D3844" t="str">
        <f>"80480"</f>
        <v>80480</v>
      </c>
      <c r="E3844">
        <v>74</v>
      </c>
    </row>
    <row r="3845" spans="1:5" x14ac:dyDescent="0.2">
      <c r="A3845">
        <v>80481</v>
      </c>
      <c r="B3845" t="s">
        <v>11</v>
      </c>
      <c r="C3845">
        <v>80481</v>
      </c>
      <c r="D3845" t="str">
        <f>"80481"</f>
        <v>80481</v>
      </c>
      <c r="E3845">
        <v>70.37</v>
      </c>
    </row>
    <row r="3846" spans="1:5" x14ac:dyDescent="0.2">
      <c r="A3846">
        <v>80482</v>
      </c>
      <c r="B3846" t="s">
        <v>11</v>
      </c>
      <c r="C3846">
        <v>80482</v>
      </c>
      <c r="D3846" t="str">
        <f>"80482"</f>
        <v>80482</v>
      </c>
      <c r="E3846" t="s">
        <v>6</v>
      </c>
    </row>
    <row r="3847" spans="1:5" x14ac:dyDescent="0.2">
      <c r="A3847">
        <v>80483</v>
      </c>
      <c r="B3847" t="s">
        <v>11</v>
      </c>
      <c r="C3847">
        <v>80483</v>
      </c>
      <c r="D3847" t="str">
        <f>"80483"</f>
        <v>80483</v>
      </c>
      <c r="E3847" t="s">
        <v>6</v>
      </c>
    </row>
    <row r="3848" spans="1:5" x14ac:dyDescent="0.2">
      <c r="A3848">
        <v>80487</v>
      </c>
      <c r="B3848" t="s">
        <v>11</v>
      </c>
      <c r="C3848">
        <v>80487</v>
      </c>
      <c r="D3848" t="str">
        <f>"80487"</f>
        <v>80487</v>
      </c>
      <c r="E3848">
        <v>80.52</v>
      </c>
    </row>
    <row r="3849" spans="1:5" x14ac:dyDescent="0.2">
      <c r="A3849">
        <v>80497</v>
      </c>
      <c r="B3849" t="s">
        <v>11</v>
      </c>
      <c r="C3849">
        <v>80497</v>
      </c>
      <c r="D3849" t="str">
        <f>"80497"</f>
        <v>80497</v>
      </c>
      <c r="E3849" t="s">
        <v>6</v>
      </c>
    </row>
    <row r="3850" spans="1:5" x14ac:dyDescent="0.2">
      <c r="A3850">
        <v>80498</v>
      </c>
      <c r="B3850" t="s">
        <v>11</v>
      </c>
      <c r="C3850">
        <v>80498</v>
      </c>
      <c r="D3850" t="str">
        <f>"80498"</f>
        <v>80498</v>
      </c>
      <c r="E3850">
        <v>81.02</v>
      </c>
    </row>
    <row r="3851" spans="1:5" x14ac:dyDescent="0.2">
      <c r="A3851">
        <v>80501</v>
      </c>
      <c r="B3851" t="s">
        <v>11</v>
      </c>
      <c r="C3851">
        <v>80501</v>
      </c>
      <c r="D3851" t="str">
        <f>"80501"</f>
        <v>80501</v>
      </c>
      <c r="E3851">
        <v>73.48</v>
      </c>
    </row>
    <row r="3852" spans="1:5" x14ac:dyDescent="0.2">
      <c r="A3852">
        <v>80503</v>
      </c>
      <c r="B3852" t="s">
        <v>11</v>
      </c>
      <c r="C3852">
        <v>80503</v>
      </c>
      <c r="D3852" t="str">
        <f>"80503"</f>
        <v>80503</v>
      </c>
      <c r="E3852">
        <v>80.510000000000005</v>
      </c>
    </row>
    <row r="3853" spans="1:5" x14ac:dyDescent="0.2">
      <c r="A3853">
        <v>80504</v>
      </c>
      <c r="B3853" t="s">
        <v>11</v>
      </c>
      <c r="C3853">
        <v>80504</v>
      </c>
      <c r="D3853" t="str">
        <f>"80504"</f>
        <v>80504</v>
      </c>
      <c r="E3853">
        <v>79.290000000000006</v>
      </c>
    </row>
    <row r="3854" spans="1:5" x14ac:dyDescent="0.2">
      <c r="A3854">
        <v>80510</v>
      </c>
      <c r="B3854" t="s">
        <v>11</v>
      </c>
      <c r="C3854">
        <v>80510</v>
      </c>
      <c r="D3854" t="str">
        <f>"80510"</f>
        <v>80510</v>
      </c>
      <c r="E3854">
        <v>77.27</v>
      </c>
    </row>
    <row r="3855" spans="1:5" x14ac:dyDescent="0.2">
      <c r="A3855">
        <v>80511</v>
      </c>
      <c r="B3855" t="s">
        <v>11</v>
      </c>
      <c r="C3855">
        <v>80511</v>
      </c>
      <c r="D3855" t="str">
        <f>"80511"</f>
        <v>80511</v>
      </c>
      <c r="E3855" t="s">
        <v>6</v>
      </c>
    </row>
    <row r="3856" spans="1:5" x14ac:dyDescent="0.2">
      <c r="A3856">
        <v>80512</v>
      </c>
      <c r="B3856" t="s">
        <v>11</v>
      </c>
      <c r="C3856">
        <v>80512</v>
      </c>
      <c r="D3856" t="str">
        <f>"80512"</f>
        <v>80512</v>
      </c>
      <c r="E3856">
        <v>78</v>
      </c>
    </row>
    <row r="3857" spans="1:5" x14ac:dyDescent="0.2">
      <c r="A3857">
        <v>80513</v>
      </c>
      <c r="B3857" t="s">
        <v>11</v>
      </c>
      <c r="C3857">
        <v>80513</v>
      </c>
      <c r="D3857" t="str">
        <f>"80513"</f>
        <v>80513</v>
      </c>
      <c r="E3857">
        <v>80.09</v>
      </c>
    </row>
    <row r="3858" spans="1:5" x14ac:dyDescent="0.2">
      <c r="A3858">
        <v>80514</v>
      </c>
      <c r="B3858" t="s">
        <v>11</v>
      </c>
      <c r="C3858">
        <v>80514</v>
      </c>
      <c r="D3858" t="str">
        <f>"80514"</f>
        <v>80514</v>
      </c>
      <c r="E3858">
        <v>75.77</v>
      </c>
    </row>
    <row r="3859" spans="1:5" x14ac:dyDescent="0.2">
      <c r="A3859">
        <v>80515</v>
      </c>
      <c r="B3859" t="s">
        <v>11</v>
      </c>
      <c r="C3859">
        <v>80515</v>
      </c>
      <c r="D3859" t="str">
        <f>"80515"</f>
        <v>80515</v>
      </c>
      <c r="E3859">
        <v>77.14</v>
      </c>
    </row>
    <row r="3860" spans="1:5" x14ac:dyDescent="0.2">
      <c r="A3860">
        <v>80516</v>
      </c>
      <c r="B3860" t="s">
        <v>11</v>
      </c>
      <c r="C3860">
        <v>80516</v>
      </c>
      <c r="D3860" t="str">
        <f>"80516"</f>
        <v>80516</v>
      </c>
      <c r="E3860">
        <v>84.54</v>
      </c>
    </row>
    <row r="3861" spans="1:5" x14ac:dyDescent="0.2">
      <c r="A3861">
        <v>80517</v>
      </c>
      <c r="B3861" t="s">
        <v>11</v>
      </c>
      <c r="C3861">
        <v>80517</v>
      </c>
      <c r="D3861" t="str">
        <f>"80517"</f>
        <v>80517</v>
      </c>
      <c r="E3861">
        <v>77.61</v>
      </c>
    </row>
    <row r="3862" spans="1:5" x14ac:dyDescent="0.2">
      <c r="A3862">
        <v>80520</v>
      </c>
      <c r="B3862" t="s">
        <v>11</v>
      </c>
      <c r="C3862">
        <v>80520</v>
      </c>
      <c r="D3862" t="str">
        <f>"80520"</f>
        <v>80520</v>
      </c>
      <c r="E3862" t="s">
        <v>6</v>
      </c>
    </row>
    <row r="3863" spans="1:5" x14ac:dyDescent="0.2">
      <c r="A3863">
        <v>80521</v>
      </c>
      <c r="B3863" t="s">
        <v>11</v>
      </c>
      <c r="C3863">
        <v>80521</v>
      </c>
      <c r="D3863" t="str">
        <f>"80521"</f>
        <v>80521</v>
      </c>
      <c r="E3863">
        <v>73.62</v>
      </c>
    </row>
    <row r="3864" spans="1:5" x14ac:dyDescent="0.2">
      <c r="A3864">
        <v>80524</v>
      </c>
      <c r="B3864" t="s">
        <v>11</v>
      </c>
      <c r="C3864">
        <v>80524</v>
      </c>
      <c r="D3864" t="str">
        <f>"80524"</f>
        <v>80524</v>
      </c>
      <c r="E3864">
        <v>75.739999999999995</v>
      </c>
    </row>
    <row r="3865" spans="1:5" x14ac:dyDescent="0.2">
      <c r="A3865">
        <v>80525</v>
      </c>
      <c r="B3865" t="s">
        <v>11</v>
      </c>
      <c r="C3865">
        <v>80525</v>
      </c>
      <c r="D3865" t="str">
        <f>"80525"</f>
        <v>80525</v>
      </c>
      <c r="E3865">
        <v>79.790000000000006</v>
      </c>
    </row>
    <row r="3866" spans="1:5" x14ac:dyDescent="0.2">
      <c r="A3866">
        <v>80526</v>
      </c>
      <c r="B3866" t="s">
        <v>11</v>
      </c>
      <c r="C3866">
        <v>80526</v>
      </c>
      <c r="D3866" t="str">
        <f>"80526"</f>
        <v>80526</v>
      </c>
      <c r="E3866">
        <v>76.97</v>
      </c>
    </row>
    <row r="3867" spans="1:5" x14ac:dyDescent="0.2">
      <c r="A3867">
        <v>80528</v>
      </c>
      <c r="B3867" t="s">
        <v>11</v>
      </c>
      <c r="C3867">
        <v>80528</v>
      </c>
      <c r="D3867" t="str">
        <f>"80528"</f>
        <v>80528</v>
      </c>
      <c r="E3867">
        <v>80.12</v>
      </c>
    </row>
    <row r="3868" spans="1:5" x14ac:dyDescent="0.2">
      <c r="A3868">
        <v>80530</v>
      </c>
      <c r="B3868" t="s">
        <v>11</v>
      </c>
      <c r="C3868">
        <v>80530</v>
      </c>
      <c r="D3868" t="str">
        <f>"80530"</f>
        <v>80530</v>
      </c>
      <c r="E3868">
        <v>81.89</v>
      </c>
    </row>
    <row r="3869" spans="1:5" x14ac:dyDescent="0.2">
      <c r="A3869">
        <v>80532</v>
      </c>
      <c r="B3869" t="s">
        <v>11</v>
      </c>
      <c r="C3869">
        <v>80532</v>
      </c>
      <c r="D3869" t="str">
        <f>"80532"</f>
        <v>80532</v>
      </c>
      <c r="E3869" t="s">
        <v>6</v>
      </c>
    </row>
    <row r="3870" spans="1:5" x14ac:dyDescent="0.2">
      <c r="A3870">
        <v>80534</v>
      </c>
      <c r="B3870" t="s">
        <v>11</v>
      </c>
      <c r="C3870">
        <v>80534</v>
      </c>
      <c r="D3870" t="str">
        <f>"80534"</f>
        <v>80534</v>
      </c>
      <c r="E3870">
        <v>81.36</v>
      </c>
    </row>
    <row r="3871" spans="1:5" x14ac:dyDescent="0.2">
      <c r="A3871">
        <v>80535</v>
      </c>
      <c r="B3871" t="s">
        <v>11</v>
      </c>
      <c r="C3871">
        <v>80535</v>
      </c>
      <c r="D3871" t="str">
        <f>"80535"</f>
        <v>80535</v>
      </c>
      <c r="E3871">
        <v>77.239999999999995</v>
      </c>
    </row>
    <row r="3872" spans="1:5" x14ac:dyDescent="0.2">
      <c r="A3872">
        <v>80536</v>
      </c>
      <c r="B3872" t="s">
        <v>11</v>
      </c>
      <c r="C3872">
        <v>80536</v>
      </c>
      <c r="D3872" t="str">
        <f>"80536"</f>
        <v>80536</v>
      </c>
      <c r="E3872">
        <v>80.430000000000007</v>
      </c>
    </row>
    <row r="3873" spans="1:5" x14ac:dyDescent="0.2">
      <c r="A3873">
        <v>80537</v>
      </c>
      <c r="B3873" t="s">
        <v>11</v>
      </c>
      <c r="C3873">
        <v>80537</v>
      </c>
      <c r="D3873" t="str">
        <f>"80537"</f>
        <v>80537</v>
      </c>
      <c r="E3873">
        <v>77.489999999999995</v>
      </c>
    </row>
    <row r="3874" spans="1:5" x14ac:dyDescent="0.2">
      <c r="A3874">
        <v>80538</v>
      </c>
      <c r="B3874" t="s">
        <v>11</v>
      </c>
      <c r="C3874">
        <v>80538</v>
      </c>
      <c r="D3874" t="str">
        <f>"80538"</f>
        <v>80538</v>
      </c>
      <c r="E3874">
        <v>77.459999999999994</v>
      </c>
    </row>
    <row r="3875" spans="1:5" x14ac:dyDescent="0.2">
      <c r="A3875">
        <v>80540</v>
      </c>
      <c r="B3875" t="s">
        <v>11</v>
      </c>
      <c r="C3875">
        <v>80540</v>
      </c>
      <c r="D3875" t="str">
        <f>"80540"</f>
        <v>80540</v>
      </c>
      <c r="E3875">
        <v>79.010000000000005</v>
      </c>
    </row>
    <row r="3876" spans="1:5" x14ac:dyDescent="0.2">
      <c r="A3876">
        <v>80542</v>
      </c>
      <c r="B3876" t="s">
        <v>11</v>
      </c>
      <c r="C3876">
        <v>80542</v>
      </c>
      <c r="D3876" t="str">
        <f>"80542"</f>
        <v>80542</v>
      </c>
      <c r="E3876">
        <v>81.12</v>
      </c>
    </row>
    <row r="3877" spans="1:5" x14ac:dyDescent="0.2">
      <c r="A3877">
        <v>80543</v>
      </c>
      <c r="B3877" t="s">
        <v>11</v>
      </c>
      <c r="C3877">
        <v>80543</v>
      </c>
      <c r="D3877" t="str">
        <f>"80543"</f>
        <v>80543</v>
      </c>
      <c r="E3877">
        <v>77.650000000000006</v>
      </c>
    </row>
    <row r="3878" spans="1:5" x14ac:dyDescent="0.2">
      <c r="A3878">
        <v>80544</v>
      </c>
      <c r="B3878" t="s">
        <v>11</v>
      </c>
      <c r="C3878">
        <v>80544</v>
      </c>
      <c r="D3878" t="str">
        <f>"80544"</f>
        <v>80544</v>
      </c>
      <c r="E3878" t="s">
        <v>6</v>
      </c>
    </row>
    <row r="3879" spans="1:5" x14ac:dyDescent="0.2">
      <c r="A3879">
        <v>80545</v>
      </c>
      <c r="B3879" t="s">
        <v>11</v>
      </c>
      <c r="C3879">
        <v>80545</v>
      </c>
      <c r="D3879" t="str">
        <f>"80545"</f>
        <v>80545</v>
      </c>
      <c r="E3879">
        <v>76.599999999999994</v>
      </c>
    </row>
    <row r="3880" spans="1:5" x14ac:dyDescent="0.2">
      <c r="A3880">
        <v>80546</v>
      </c>
      <c r="B3880" t="s">
        <v>11</v>
      </c>
      <c r="C3880">
        <v>80546</v>
      </c>
      <c r="D3880" t="str">
        <f>"80546"</f>
        <v>80546</v>
      </c>
      <c r="E3880" t="s">
        <v>6</v>
      </c>
    </row>
    <row r="3881" spans="1:5" x14ac:dyDescent="0.2">
      <c r="A3881">
        <v>80547</v>
      </c>
      <c r="B3881" t="s">
        <v>11</v>
      </c>
      <c r="C3881">
        <v>80547</v>
      </c>
      <c r="D3881" t="str">
        <f>"80547"</f>
        <v>80547</v>
      </c>
      <c r="E3881">
        <v>87.03</v>
      </c>
    </row>
    <row r="3882" spans="1:5" x14ac:dyDescent="0.2">
      <c r="A3882">
        <v>80549</v>
      </c>
      <c r="B3882" t="s">
        <v>11</v>
      </c>
      <c r="C3882">
        <v>80549</v>
      </c>
      <c r="D3882" t="str">
        <f>"80549"</f>
        <v>80549</v>
      </c>
      <c r="E3882">
        <v>79.14</v>
      </c>
    </row>
    <row r="3883" spans="1:5" x14ac:dyDescent="0.2">
      <c r="A3883">
        <v>80550</v>
      </c>
      <c r="B3883" t="s">
        <v>11</v>
      </c>
      <c r="C3883">
        <v>80550</v>
      </c>
      <c r="D3883" t="str">
        <f>"80550"</f>
        <v>80550</v>
      </c>
      <c r="E3883">
        <v>81.739999999999995</v>
      </c>
    </row>
    <row r="3884" spans="1:5" x14ac:dyDescent="0.2">
      <c r="A3884">
        <v>80551</v>
      </c>
      <c r="B3884" t="s">
        <v>11</v>
      </c>
      <c r="C3884">
        <v>80551</v>
      </c>
      <c r="D3884" t="str">
        <f>"80551"</f>
        <v>80551</v>
      </c>
      <c r="E3884" t="s">
        <v>6</v>
      </c>
    </row>
    <row r="3885" spans="1:5" x14ac:dyDescent="0.2">
      <c r="A3885">
        <v>80601</v>
      </c>
      <c r="B3885" t="s">
        <v>11</v>
      </c>
      <c r="C3885">
        <v>80601</v>
      </c>
      <c r="D3885" t="str">
        <f>"80601"</f>
        <v>80601</v>
      </c>
      <c r="E3885">
        <v>74.84</v>
      </c>
    </row>
    <row r="3886" spans="1:5" x14ac:dyDescent="0.2">
      <c r="A3886">
        <v>80602</v>
      </c>
      <c r="B3886" t="s">
        <v>11</v>
      </c>
      <c r="C3886">
        <v>80602</v>
      </c>
      <c r="D3886" t="str">
        <f>"80602"</f>
        <v>80602</v>
      </c>
      <c r="E3886">
        <v>84.3</v>
      </c>
    </row>
    <row r="3887" spans="1:5" x14ac:dyDescent="0.2">
      <c r="A3887">
        <v>80603</v>
      </c>
      <c r="B3887" t="s">
        <v>11</v>
      </c>
      <c r="C3887">
        <v>80603</v>
      </c>
      <c r="D3887" t="str">
        <f>"80603"</f>
        <v>80603</v>
      </c>
      <c r="E3887">
        <v>78.42</v>
      </c>
    </row>
    <row r="3888" spans="1:5" x14ac:dyDescent="0.2">
      <c r="A3888">
        <v>80610</v>
      </c>
      <c r="B3888" t="s">
        <v>11</v>
      </c>
      <c r="C3888">
        <v>80610</v>
      </c>
      <c r="D3888" t="str">
        <f>"80610"</f>
        <v>80610</v>
      </c>
      <c r="E3888">
        <v>74.83</v>
      </c>
    </row>
    <row r="3889" spans="1:5" x14ac:dyDescent="0.2">
      <c r="A3889">
        <v>80611</v>
      </c>
      <c r="B3889" t="s">
        <v>11</v>
      </c>
      <c r="C3889">
        <v>80611</v>
      </c>
      <c r="D3889" t="str">
        <f>"80611"</f>
        <v>80611</v>
      </c>
      <c r="E3889">
        <v>75.760000000000005</v>
      </c>
    </row>
    <row r="3890" spans="1:5" x14ac:dyDescent="0.2">
      <c r="A3890">
        <v>80612</v>
      </c>
      <c r="B3890" t="s">
        <v>11</v>
      </c>
      <c r="C3890">
        <v>80612</v>
      </c>
      <c r="D3890" t="str">
        <f>"80612"</f>
        <v>80612</v>
      </c>
      <c r="E3890">
        <v>73.08</v>
      </c>
    </row>
    <row r="3891" spans="1:5" x14ac:dyDescent="0.2">
      <c r="A3891">
        <v>80615</v>
      </c>
      <c r="B3891" t="s">
        <v>11</v>
      </c>
      <c r="C3891">
        <v>80615</v>
      </c>
      <c r="D3891" t="str">
        <f>"80615"</f>
        <v>80615</v>
      </c>
      <c r="E3891">
        <v>78.709999999999994</v>
      </c>
    </row>
    <row r="3892" spans="1:5" x14ac:dyDescent="0.2">
      <c r="A3892">
        <v>80620</v>
      </c>
      <c r="B3892" t="s">
        <v>11</v>
      </c>
      <c r="C3892">
        <v>80620</v>
      </c>
      <c r="D3892" t="str">
        <f>"80620"</f>
        <v>80620</v>
      </c>
      <c r="E3892">
        <v>69.5</v>
      </c>
    </row>
    <row r="3893" spans="1:5" x14ac:dyDescent="0.2">
      <c r="A3893">
        <v>80621</v>
      </c>
      <c r="B3893" t="s">
        <v>11</v>
      </c>
      <c r="C3893">
        <v>80621</v>
      </c>
      <c r="D3893" t="str">
        <f>"80621"</f>
        <v>80621</v>
      </c>
      <c r="E3893">
        <v>72.290000000000006</v>
      </c>
    </row>
    <row r="3894" spans="1:5" x14ac:dyDescent="0.2">
      <c r="A3894">
        <v>80622</v>
      </c>
      <c r="B3894" t="s">
        <v>11</v>
      </c>
      <c r="C3894">
        <v>80622</v>
      </c>
      <c r="D3894" t="str">
        <f>"80622"</f>
        <v>80622</v>
      </c>
      <c r="E3894">
        <v>71.430000000000007</v>
      </c>
    </row>
    <row r="3895" spans="1:5" x14ac:dyDescent="0.2">
      <c r="A3895">
        <v>80623</v>
      </c>
      <c r="B3895" t="s">
        <v>11</v>
      </c>
      <c r="C3895">
        <v>80623</v>
      </c>
      <c r="D3895" t="str">
        <f>"80623"</f>
        <v>80623</v>
      </c>
      <c r="E3895" t="s">
        <v>6</v>
      </c>
    </row>
    <row r="3896" spans="1:5" x14ac:dyDescent="0.2">
      <c r="A3896">
        <v>80624</v>
      </c>
      <c r="B3896" t="s">
        <v>11</v>
      </c>
      <c r="C3896">
        <v>80624</v>
      </c>
      <c r="D3896" t="str">
        <f>"80624"</f>
        <v>80624</v>
      </c>
      <c r="E3896">
        <v>71.430000000000007</v>
      </c>
    </row>
    <row r="3897" spans="1:5" x14ac:dyDescent="0.2">
      <c r="A3897">
        <v>80631</v>
      </c>
      <c r="B3897" t="s">
        <v>11</v>
      </c>
      <c r="C3897">
        <v>80631</v>
      </c>
      <c r="D3897" t="str">
        <f>"80631"</f>
        <v>80631</v>
      </c>
      <c r="E3897">
        <v>62.53</v>
      </c>
    </row>
    <row r="3898" spans="1:5" x14ac:dyDescent="0.2">
      <c r="A3898">
        <v>80634</v>
      </c>
      <c r="B3898" t="s">
        <v>11</v>
      </c>
      <c r="C3898">
        <v>80634</v>
      </c>
      <c r="D3898" t="str">
        <f>"80634"</f>
        <v>80634</v>
      </c>
      <c r="E3898">
        <v>76.39</v>
      </c>
    </row>
    <row r="3899" spans="1:5" x14ac:dyDescent="0.2">
      <c r="A3899">
        <v>80639</v>
      </c>
      <c r="B3899" t="s">
        <v>11</v>
      </c>
      <c r="C3899">
        <v>80639</v>
      </c>
      <c r="D3899" t="str">
        <f>"80639"</f>
        <v>80639</v>
      </c>
      <c r="E3899" t="s">
        <v>6</v>
      </c>
    </row>
    <row r="3900" spans="1:5" x14ac:dyDescent="0.2">
      <c r="A3900">
        <v>80640</v>
      </c>
      <c r="B3900" t="s">
        <v>11</v>
      </c>
      <c r="C3900">
        <v>80640</v>
      </c>
      <c r="D3900" t="str">
        <f>"80640"</f>
        <v>80640</v>
      </c>
      <c r="E3900">
        <v>75.84</v>
      </c>
    </row>
    <row r="3901" spans="1:5" x14ac:dyDescent="0.2">
      <c r="A3901">
        <v>80642</v>
      </c>
      <c r="B3901" t="s">
        <v>11</v>
      </c>
      <c r="C3901">
        <v>80642</v>
      </c>
      <c r="D3901" t="str">
        <f>"80642"</f>
        <v>80642</v>
      </c>
      <c r="E3901">
        <v>78.39</v>
      </c>
    </row>
    <row r="3902" spans="1:5" x14ac:dyDescent="0.2">
      <c r="A3902">
        <v>80643</v>
      </c>
      <c r="B3902" t="s">
        <v>11</v>
      </c>
      <c r="C3902">
        <v>80643</v>
      </c>
      <c r="D3902" t="str">
        <f>"80643"</f>
        <v>80643</v>
      </c>
      <c r="E3902">
        <v>81.25</v>
      </c>
    </row>
    <row r="3903" spans="1:5" x14ac:dyDescent="0.2">
      <c r="A3903">
        <v>80644</v>
      </c>
      <c r="B3903" t="s">
        <v>11</v>
      </c>
      <c r="C3903">
        <v>80644</v>
      </c>
      <c r="D3903" t="str">
        <f>"80644"</f>
        <v>80644</v>
      </c>
      <c r="E3903">
        <v>77.86</v>
      </c>
    </row>
    <row r="3904" spans="1:5" x14ac:dyDescent="0.2">
      <c r="A3904">
        <v>80645</v>
      </c>
      <c r="B3904" t="s">
        <v>11</v>
      </c>
      <c r="C3904">
        <v>80645</v>
      </c>
      <c r="D3904" t="str">
        <f>"80645"</f>
        <v>80645</v>
      </c>
      <c r="E3904">
        <v>74.02</v>
      </c>
    </row>
    <row r="3905" spans="1:5" x14ac:dyDescent="0.2">
      <c r="A3905">
        <v>80646</v>
      </c>
      <c r="B3905" t="s">
        <v>11</v>
      </c>
      <c r="C3905">
        <v>80646</v>
      </c>
      <c r="D3905" t="str">
        <f>"80646"</f>
        <v>80646</v>
      </c>
      <c r="E3905" t="s">
        <v>6</v>
      </c>
    </row>
    <row r="3906" spans="1:5" x14ac:dyDescent="0.2">
      <c r="A3906">
        <v>80648</v>
      </c>
      <c r="B3906" t="s">
        <v>11</v>
      </c>
      <c r="C3906">
        <v>80648</v>
      </c>
      <c r="D3906" t="str">
        <f>"80648"</f>
        <v>80648</v>
      </c>
      <c r="E3906">
        <v>75</v>
      </c>
    </row>
    <row r="3907" spans="1:5" x14ac:dyDescent="0.2">
      <c r="A3907">
        <v>80649</v>
      </c>
      <c r="B3907" t="s">
        <v>11</v>
      </c>
      <c r="C3907">
        <v>80649</v>
      </c>
      <c r="D3907" t="str">
        <f>"80649"</f>
        <v>80649</v>
      </c>
      <c r="E3907">
        <v>66.67</v>
      </c>
    </row>
    <row r="3908" spans="1:5" x14ac:dyDescent="0.2">
      <c r="A3908">
        <v>80650</v>
      </c>
      <c r="B3908" t="s">
        <v>11</v>
      </c>
      <c r="C3908">
        <v>80650</v>
      </c>
      <c r="D3908" t="str">
        <f>"80650"</f>
        <v>80650</v>
      </c>
      <c r="E3908">
        <v>77.5</v>
      </c>
    </row>
    <row r="3909" spans="1:5" x14ac:dyDescent="0.2">
      <c r="A3909">
        <v>80651</v>
      </c>
      <c r="B3909" t="s">
        <v>11</v>
      </c>
      <c r="C3909">
        <v>80651</v>
      </c>
      <c r="D3909" t="str">
        <f>"80651"</f>
        <v>80651</v>
      </c>
      <c r="E3909">
        <v>74.77</v>
      </c>
    </row>
    <row r="3910" spans="1:5" x14ac:dyDescent="0.2">
      <c r="A3910">
        <v>80652</v>
      </c>
      <c r="B3910" t="s">
        <v>11</v>
      </c>
      <c r="C3910">
        <v>80652</v>
      </c>
      <c r="D3910" t="str">
        <f>"80652"</f>
        <v>80652</v>
      </c>
      <c r="E3910">
        <v>77.78</v>
      </c>
    </row>
    <row r="3911" spans="1:5" x14ac:dyDescent="0.2">
      <c r="A3911">
        <v>80653</v>
      </c>
      <c r="B3911" t="s">
        <v>11</v>
      </c>
      <c r="C3911">
        <v>80653</v>
      </c>
      <c r="D3911" t="str">
        <f>"80653"</f>
        <v>80653</v>
      </c>
      <c r="E3911">
        <v>70.59</v>
      </c>
    </row>
    <row r="3912" spans="1:5" x14ac:dyDescent="0.2">
      <c r="A3912">
        <v>80654</v>
      </c>
      <c r="B3912" t="s">
        <v>11</v>
      </c>
      <c r="C3912">
        <v>80654</v>
      </c>
      <c r="D3912" t="str">
        <f>"80654"</f>
        <v>80654</v>
      </c>
      <c r="E3912">
        <v>75.400000000000006</v>
      </c>
    </row>
    <row r="3913" spans="1:5" x14ac:dyDescent="0.2">
      <c r="A3913">
        <v>80701</v>
      </c>
      <c r="B3913" t="s">
        <v>11</v>
      </c>
      <c r="C3913">
        <v>80701</v>
      </c>
      <c r="D3913" t="str">
        <f>"80701"</f>
        <v>80701</v>
      </c>
      <c r="E3913">
        <v>69.22</v>
      </c>
    </row>
    <row r="3914" spans="1:5" x14ac:dyDescent="0.2">
      <c r="A3914">
        <v>80705</v>
      </c>
      <c r="B3914" t="s">
        <v>11</v>
      </c>
      <c r="C3914">
        <v>80705</v>
      </c>
      <c r="D3914" t="str">
        <f>"80705"</f>
        <v>80705</v>
      </c>
      <c r="E3914">
        <v>57.5</v>
      </c>
    </row>
    <row r="3915" spans="1:5" x14ac:dyDescent="0.2">
      <c r="A3915">
        <v>80720</v>
      </c>
      <c r="B3915" t="s">
        <v>11</v>
      </c>
      <c r="C3915">
        <v>80720</v>
      </c>
      <c r="D3915" t="str">
        <f>"80720"</f>
        <v>80720</v>
      </c>
      <c r="E3915">
        <v>71.7</v>
      </c>
    </row>
    <row r="3916" spans="1:5" x14ac:dyDescent="0.2">
      <c r="A3916">
        <v>80721</v>
      </c>
      <c r="B3916" t="s">
        <v>11</v>
      </c>
      <c r="C3916">
        <v>80721</v>
      </c>
      <c r="D3916" t="str">
        <f>"80721"</f>
        <v>80721</v>
      </c>
      <c r="E3916" t="s">
        <v>6</v>
      </c>
    </row>
    <row r="3917" spans="1:5" x14ac:dyDescent="0.2">
      <c r="A3917">
        <v>80722</v>
      </c>
      <c r="B3917" t="s">
        <v>11</v>
      </c>
      <c r="C3917">
        <v>80722</v>
      </c>
      <c r="D3917" t="str">
        <f>"80722"</f>
        <v>80722</v>
      </c>
      <c r="E3917">
        <v>73.680000000000007</v>
      </c>
    </row>
    <row r="3918" spans="1:5" x14ac:dyDescent="0.2">
      <c r="A3918">
        <v>80723</v>
      </c>
      <c r="B3918" t="s">
        <v>11</v>
      </c>
      <c r="C3918">
        <v>80723</v>
      </c>
      <c r="D3918" t="str">
        <f>"80723"</f>
        <v>80723</v>
      </c>
      <c r="E3918">
        <v>70.069999999999993</v>
      </c>
    </row>
    <row r="3919" spans="1:5" x14ac:dyDescent="0.2">
      <c r="A3919">
        <v>80726</v>
      </c>
      <c r="B3919" t="s">
        <v>11</v>
      </c>
      <c r="C3919">
        <v>80726</v>
      </c>
      <c r="D3919" t="str">
        <f>"80726"</f>
        <v>80726</v>
      </c>
      <c r="E3919">
        <v>70.59</v>
      </c>
    </row>
    <row r="3920" spans="1:5" x14ac:dyDescent="0.2">
      <c r="A3920">
        <v>80727</v>
      </c>
      <c r="B3920" t="s">
        <v>11</v>
      </c>
      <c r="C3920">
        <v>80727</v>
      </c>
      <c r="D3920" t="str">
        <f>"80727"</f>
        <v>80727</v>
      </c>
      <c r="E3920">
        <v>62.5</v>
      </c>
    </row>
    <row r="3921" spans="1:5" x14ac:dyDescent="0.2">
      <c r="A3921">
        <v>80728</v>
      </c>
      <c r="B3921" t="s">
        <v>11</v>
      </c>
      <c r="C3921">
        <v>80728</v>
      </c>
      <c r="D3921" t="str">
        <f>"80728"</f>
        <v>80728</v>
      </c>
      <c r="E3921">
        <v>74.36</v>
      </c>
    </row>
    <row r="3922" spans="1:5" x14ac:dyDescent="0.2">
      <c r="A3922">
        <v>80729</v>
      </c>
      <c r="B3922" t="s">
        <v>11</v>
      </c>
      <c r="C3922">
        <v>80729</v>
      </c>
      <c r="D3922" t="str">
        <f>"80729"</f>
        <v>80729</v>
      </c>
      <c r="E3922">
        <v>68.42</v>
      </c>
    </row>
    <row r="3923" spans="1:5" x14ac:dyDescent="0.2">
      <c r="A3923">
        <v>80731</v>
      </c>
      <c r="B3923" t="s">
        <v>11</v>
      </c>
      <c r="C3923">
        <v>80731</v>
      </c>
      <c r="D3923" t="str">
        <f>"80731"</f>
        <v>80731</v>
      </c>
      <c r="E3923">
        <v>70.150000000000006</v>
      </c>
    </row>
    <row r="3924" spans="1:5" x14ac:dyDescent="0.2">
      <c r="A3924">
        <v>80732</v>
      </c>
      <c r="B3924" t="s">
        <v>11</v>
      </c>
      <c r="C3924">
        <v>80732</v>
      </c>
      <c r="D3924" t="str">
        <f>"80732"</f>
        <v>80732</v>
      </c>
      <c r="E3924" t="s">
        <v>6</v>
      </c>
    </row>
    <row r="3925" spans="1:5" x14ac:dyDescent="0.2">
      <c r="A3925">
        <v>80733</v>
      </c>
      <c r="B3925" t="s">
        <v>11</v>
      </c>
      <c r="C3925">
        <v>80733</v>
      </c>
      <c r="D3925" t="str">
        <f>"80733"</f>
        <v>80733</v>
      </c>
      <c r="E3925">
        <v>64</v>
      </c>
    </row>
    <row r="3926" spans="1:5" x14ac:dyDescent="0.2">
      <c r="A3926">
        <v>80734</v>
      </c>
      <c r="B3926" t="s">
        <v>11</v>
      </c>
      <c r="C3926">
        <v>80734</v>
      </c>
      <c r="D3926" t="str">
        <f>"80734"</f>
        <v>80734</v>
      </c>
      <c r="E3926">
        <v>65.91</v>
      </c>
    </row>
    <row r="3927" spans="1:5" x14ac:dyDescent="0.2">
      <c r="A3927">
        <v>80735</v>
      </c>
      <c r="B3927" t="s">
        <v>11</v>
      </c>
      <c r="C3927">
        <v>80735</v>
      </c>
      <c r="D3927" t="str">
        <f>"80735"</f>
        <v>80735</v>
      </c>
      <c r="E3927">
        <v>52.94</v>
      </c>
    </row>
    <row r="3928" spans="1:5" x14ac:dyDescent="0.2">
      <c r="A3928">
        <v>80736</v>
      </c>
      <c r="B3928" t="s">
        <v>11</v>
      </c>
      <c r="C3928">
        <v>80736</v>
      </c>
      <c r="D3928" t="str">
        <f>"80736"</f>
        <v>80736</v>
      </c>
      <c r="E3928">
        <v>76.67</v>
      </c>
    </row>
    <row r="3929" spans="1:5" x14ac:dyDescent="0.2">
      <c r="A3929">
        <v>80737</v>
      </c>
      <c r="B3929" t="s">
        <v>11</v>
      </c>
      <c r="C3929">
        <v>80737</v>
      </c>
      <c r="D3929" t="str">
        <f>"80737"</f>
        <v>80737</v>
      </c>
      <c r="E3929">
        <v>66.150000000000006</v>
      </c>
    </row>
    <row r="3930" spans="1:5" x14ac:dyDescent="0.2">
      <c r="A3930">
        <v>80740</v>
      </c>
      <c r="B3930" t="s">
        <v>11</v>
      </c>
      <c r="C3930">
        <v>80740</v>
      </c>
      <c r="D3930" t="str">
        <f>"80740"</f>
        <v>80740</v>
      </c>
      <c r="E3930" t="s">
        <v>6</v>
      </c>
    </row>
    <row r="3931" spans="1:5" x14ac:dyDescent="0.2">
      <c r="A3931">
        <v>80741</v>
      </c>
      <c r="B3931" t="s">
        <v>11</v>
      </c>
      <c r="C3931">
        <v>80741</v>
      </c>
      <c r="D3931" t="str">
        <f>"80741"</f>
        <v>80741</v>
      </c>
      <c r="E3931">
        <v>72.5</v>
      </c>
    </row>
    <row r="3932" spans="1:5" x14ac:dyDescent="0.2">
      <c r="A3932">
        <v>80742</v>
      </c>
      <c r="B3932" t="s">
        <v>11</v>
      </c>
      <c r="C3932">
        <v>80742</v>
      </c>
      <c r="D3932" t="str">
        <f>"80742"</f>
        <v>80742</v>
      </c>
      <c r="E3932" t="s">
        <v>6</v>
      </c>
    </row>
    <row r="3933" spans="1:5" x14ac:dyDescent="0.2">
      <c r="A3933">
        <v>80743</v>
      </c>
      <c r="B3933" t="s">
        <v>11</v>
      </c>
      <c r="C3933">
        <v>80743</v>
      </c>
      <c r="D3933" t="str">
        <f>"80743"</f>
        <v>80743</v>
      </c>
      <c r="E3933">
        <v>67.39</v>
      </c>
    </row>
    <row r="3934" spans="1:5" x14ac:dyDescent="0.2">
      <c r="A3934">
        <v>80744</v>
      </c>
      <c r="B3934" t="s">
        <v>11</v>
      </c>
      <c r="C3934">
        <v>80744</v>
      </c>
      <c r="D3934" t="str">
        <f>"80744"</f>
        <v>80744</v>
      </c>
      <c r="E3934">
        <v>57.89</v>
      </c>
    </row>
    <row r="3935" spans="1:5" x14ac:dyDescent="0.2">
      <c r="A3935">
        <v>80745</v>
      </c>
      <c r="B3935" t="s">
        <v>11</v>
      </c>
      <c r="C3935">
        <v>80745</v>
      </c>
      <c r="D3935" t="str">
        <f>"80745"</f>
        <v>80745</v>
      </c>
      <c r="E3935" t="s">
        <v>6</v>
      </c>
    </row>
    <row r="3936" spans="1:5" x14ac:dyDescent="0.2">
      <c r="A3936">
        <v>80746</v>
      </c>
      <c r="B3936" t="s">
        <v>11</v>
      </c>
      <c r="C3936">
        <v>80746</v>
      </c>
      <c r="D3936" t="str">
        <f>"80746"</f>
        <v>80746</v>
      </c>
      <c r="E3936" t="s">
        <v>6</v>
      </c>
    </row>
    <row r="3937" spans="1:5" x14ac:dyDescent="0.2">
      <c r="A3937">
        <v>80747</v>
      </c>
      <c r="B3937" t="s">
        <v>11</v>
      </c>
      <c r="C3937">
        <v>80747</v>
      </c>
      <c r="D3937" t="str">
        <f>"80747"</f>
        <v>80747</v>
      </c>
      <c r="E3937">
        <v>69.569999999999993</v>
      </c>
    </row>
    <row r="3938" spans="1:5" x14ac:dyDescent="0.2">
      <c r="A3938">
        <v>80749</v>
      </c>
      <c r="B3938" t="s">
        <v>11</v>
      </c>
      <c r="C3938">
        <v>80749</v>
      </c>
      <c r="D3938" t="str">
        <f>"80749"</f>
        <v>80749</v>
      </c>
      <c r="E3938">
        <v>66.67</v>
      </c>
    </row>
    <row r="3939" spans="1:5" x14ac:dyDescent="0.2">
      <c r="A3939">
        <v>80750</v>
      </c>
      <c r="B3939" t="s">
        <v>11</v>
      </c>
      <c r="C3939">
        <v>80750</v>
      </c>
      <c r="D3939" t="str">
        <f>"80750"</f>
        <v>80750</v>
      </c>
      <c r="E3939">
        <v>72.22</v>
      </c>
    </row>
    <row r="3940" spans="1:5" x14ac:dyDescent="0.2">
      <c r="A3940">
        <v>80751</v>
      </c>
      <c r="B3940" t="s">
        <v>11</v>
      </c>
      <c r="C3940">
        <v>80751</v>
      </c>
      <c r="D3940" t="str">
        <f>"80751"</f>
        <v>80751</v>
      </c>
      <c r="E3940">
        <v>71.08</v>
      </c>
    </row>
    <row r="3941" spans="1:5" x14ac:dyDescent="0.2">
      <c r="A3941">
        <v>80754</v>
      </c>
      <c r="B3941" t="s">
        <v>11</v>
      </c>
      <c r="C3941">
        <v>80754</v>
      </c>
      <c r="D3941" t="str">
        <f>"80754"</f>
        <v>80754</v>
      </c>
      <c r="E3941" t="s">
        <v>6</v>
      </c>
    </row>
    <row r="3942" spans="1:5" x14ac:dyDescent="0.2">
      <c r="A3942">
        <v>80755</v>
      </c>
      <c r="B3942" t="s">
        <v>11</v>
      </c>
      <c r="C3942">
        <v>80755</v>
      </c>
      <c r="D3942" t="str">
        <f>"80755"</f>
        <v>80755</v>
      </c>
      <c r="E3942" t="s">
        <v>6</v>
      </c>
    </row>
    <row r="3943" spans="1:5" x14ac:dyDescent="0.2">
      <c r="A3943">
        <v>80757</v>
      </c>
      <c r="B3943" t="s">
        <v>11</v>
      </c>
      <c r="C3943">
        <v>80757</v>
      </c>
      <c r="D3943" t="str">
        <f>"80757"</f>
        <v>80757</v>
      </c>
      <c r="E3943" t="s">
        <v>6</v>
      </c>
    </row>
    <row r="3944" spans="1:5" x14ac:dyDescent="0.2">
      <c r="A3944">
        <v>80758</v>
      </c>
      <c r="B3944" t="s">
        <v>11</v>
      </c>
      <c r="C3944">
        <v>80758</v>
      </c>
      <c r="D3944" t="str">
        <f>"80758"</f>
        <v>80758</v>
      </c>
      <c r="E3944">
        <v>70.78</v>
      </c>
    </row>
    <row r="3945" spans="1:5" x14ac:dyDescent="0.2">
      <c r="A3945">
        <v>80759</v>
      </c>
      <c r="B3945" t="s">
        <v>11</v>
      </c>
      <c r="C3945">
        <v>80759</v>
      </c>
      <c r="D3945" t="str">
        <f>"80759"</f>
        <v>80759</v>
      </c>
      <c r="E3945">
        <v>64.5</v>
      </c>
    </row>
    <row r="3946" spans="1:5" x14ac:dyDescent="0.2">
      <c r="A3946">
        <v>80801</v>
      </c>
      <c r="B3946" t="s">
        <v>11</v>
      </c>
      <c r="C3946">
        <v>80801</v>
      </c>
      <c r="D3946" t="str">
        <f>"80801"</f>
        <v>80801</v>
      </c>
      <c r="E3946" t="s">
        <v>6</v>
      </c>
    </row>
    <row r="3947" spans="1:5" x14ac:dyDescent="0.2">
      <c r="A3947">
        <v>80802</v>
      </c>
      <c r="B3947" t="s">
        <v>11</v>
      </c>
      <c r="C3947">
        <v>80802</v>
      </c>
      <c r="D3947" t="str">
        <f>"80802"</f>
        <v>80802</v>
      </c>
      <c r="E3947" t="s">
        <v>6</v>
      </c>
    </row>
    <row r="3948" spans="1:5" x14ac:dyDescent="0.2">
      <c r="A3948">
        <v>80804</v>
      </c>
      <c r="B3948" t="s">
        <v>11</v>
      </c>
      <c r="C3948">
        <v>80804</v>
      </c>
      <c r="D3948" t="str">
        <f>"80804"</f>
        <v>80804</v>
      </c>
      <c r="E3948">
        <v>64.290000000000006</v>
      </c>
    </row>
    <row r="3949" spans="1:5" x14ac:dyDescent="0.2">
      <c r="A3949">
        <v>80805</v>
      </c>
      <c r="B3949" t="s">
        <v>11</v>
      </c>
      <c r="C3949">
        <v>80805</v>
      </c>
      <c r="D3949" t="str">
        <f>"80805"</f>
        <v>80805</v>
      </c>
      <c r="E3949">
        <v>58.82</v>
      </c>
    </row>
    <row r="3950" spans="1:5" x14ac:dyDescent="0.2">
      <c r="A3950">
        <v>80807</v>
      </c>
      <c r="B3950" t="s">
        <v>11</v>
      </c>
      <c r="C3950">
        <v>80807</v>
      </c>
      <c r="D3950" t="str">
        <f>"80807"</f>
        <v>80807</v>
      </c>
      <c r="E3950">
        <v>67.03</v>
      </c>
    </row>
    <row r="3951" spans="1:5" x14ac:dyDescent="0.2">
      <c r="A3951">
        <v>80808</v>
      </c>
      <c r="B3951" t="s">
        <v>11</v>
      </c>
      <c r="C3951">
        <v>80808</v>
      </c>
      <c r="D3951" t="str">
        <f>"80808"</f>
        <v>80808</v>
      </c>
      <c r="E3951">
        <v>68.66</v>
      </c>
    </row>
    <row r="3952" spans="1:5" x14ac:dyDescent="0.2">
      <c r="A3952">
        <v>80809</v>
      </c>
      <c r="B3952" t="s">
        <v>11</v>
      </c>
      <c r="C3952">
        <v>80809</v>
      </c>
      <c r="D3952" t="str">
        <f>"80809"</f>
        <v>80809</v>
      </c>
      <c r="E3952">
        <v>80.25</v>
      </c>
    </row>
    <row r="3953" spans="1:5" x14ac:dyDescent="0.2">
      <c r="A3953">
        <v>80810</v>
      </c>
      <c r="B3953" t="s">
        <v>11</v>
      </c>
      <c r="C3953">
        <v>80810</v>
      </c>
      <c r="D3953" t="str">
        <f>"80810"</f>
        <v>80810</v>
      </c>
      <c r="E3953">
        <v>69.39</v>
      </c>
    </row>
    <row r="3954" spans="1:5" x14ac:dyDescent="0.2">
      <c r="A3954">
        <v>80812</v>
      </c>
      <c r="B3954" t="s">
        <v>11</v>
      </c>
      <c r="C3954">
        <v>80812</v>
      </c>
      <c r="D3954" t="str">
        <f>"80812"</f>
        <v>80812</v>
      </c>
      <c r="E3954" t="s">
        <v>6</v>
      </c>
    </row>
    <row r="3955" spans="1:5" x14ac:dyDescent="0.2">
      <c r="A3955">
        <v>80813</v>
      </c>
      <c r="B3955" t="s">
        <v>11</v>
      </c>
      <c r="C3955">
        <v>80813</v>
      </c>
      <c r="D3955" t="str">
        <f>"80813"</f>
        <v>80813</v>
      </c>
      <c r="E3955">
        <v>69.52</v>
      </c>
    </row>
    <row r="3956" spans="1:5" x14ac:dyDescent="0.2">
      <c r="A3956">
        <v>80814</v>
      </c>
      <c r="B3956" t="s">
        <v>11</v>
      </c>
      <c r="C3956">
        <v>80814</v>
      </c>
      <c r="D3956" t="str">
        <f>"80814"</f>
        <v>80814</v>
      </c>
      <c r="E3956">
        <v>77.040000000000006</v>
      </c>
    </row>
    <row r="3957" spans="1:5" x14ac:dyDescent="0.2">
      <c r="A3957">
        <v>80815</v>
      </c>
      <c r="B3957" t="s">
        <v>11</v>
      </c>
      <c r="C3957">
        <v>80815</v>
      </c>
      <c r="D3957" t="str">
        <f>"80815"</f>
        <v>80815</v>
      </c>
      <c r="E3957">
        <v>69.23</v>
      </c>
    </row>
    <row r="3958" spans="1:5" x14ac:dyDescent="0.2">
      <c r="A3958">
        <v>80816</v>
      </c>
      <c r="B3958" t="s">
        <v>11</v>
      </c>
      <c r="C3958">
        <v>80816</v>
      </c>
      <c r="D3958" t="str">
        <f>"80816"</f>
        <v>80816</v>
      </c>
      <c r="E3958">
        <v>76.17</v>
      </c>
    </row>
    <row r="3959" spans="1:5" x14ac:dyDescent="0.2">
      <c r="A3959">
        <v>80817</v>
      </c>
      <c r="B3959" t="s">
        <v>11</v>
      </c>
      <c r="C3959">
        <v>80817</v>
      </c>
      <c r="D3959" t="str">
        <f>"80817"</f>
        <v>80817</v>
      </c>
      <c r="E3959">
        <v>68.95</v>
      </c>
    </row>
    <row r="3960" spans="1:5" x14ac:dyDescent="0.2">
      <c r="A3960">
        <v>80818</v>
      </c>
      <c r="B3960" t="s">
        <v>11</v>
      </c>
      <c r="C3960">
        <v>80818</v>
      </c>
      <c r="D3960" t="str">
        <f>"80818"</f>
        <v>80818</v>
      </c>
      <c r="E3960">
        <v>71.430000000000007</v>
      </c>
    </row>
    <row r="3961" spans="1:5" x14ac:dyDescent="0.2">
      <c r="A3961">
        <v>80819</v>
      </c>
      <c r="B3961" t="s">
        <v>11</v>
      </c>
      <c r="C3961">
        <v>80819</v>
      </c>
      <c r="D3961" t="str">
        <f>"80819"</f>
        <v>80819</v>
      </c>
      <c r="E3961" t="s">
        <v>6</v>
      </c>
    </row>
    <row r="3962" spans="1:5" x14ac:dyDescent="0.2">
      <c r="A3962">
        <v>80820</v>
      </c>
      <c r="B3962" t="s">
        <v>11</v>
      </c>
      <c r="C3962">
        <v>80820</v>
      </c>
      <c r="D3962" t="str">
        <f>"80820"</f>
        <v>80820</v>
      </c>
      <c r="E3962">
        <v>77.14</v>
      </c>
    </row>
    <row r="3963" spans="1:5" x14ac:dyDescent="0.2">
      <c r="A3963">
        <v>80821</v>
      </c>
      <c r="B3963" t="s">
        <v>11</v>
      </c>
      <c r="C3963">
        <v>80821</v>
      </c>
      <c r="D3963" t="str">
        <f>"80821"</f>
        <v>80821</v>
      </c>
      <c r="E3963">
        <v>69.569999999999993</v>
      </c>
    </row>
    <row r="3964" spans="1:5" x14ac:dyDescent="0.2">
      <c r="A3964">
        <v>80822</v>
      </c>
      <c r="B3964" t="s">
        <v>11</v>
      </c>
      <c r="C3964">
        <v>80822</v>
      </c>
      <c r="D3964" t="str">
        <f>"80822"</f>
        <v>80822</v>
      </c>
      <c r="E3964" t="s">
        <v>6</v>
      </c>
    </row>
    <row r="3965" spans="1:5" x14ac:dyDescent="0.2">
      <c r="A3965">
        <v>80823</v>
      </c>
      <c r="B3965" t="s">
        <v>11</v>
      </c>
      <c r="C3965">
        <v>80823</v>
      </c>
      <c r="D3965" t="str">
        <f>"80823"</f>
        <v>80823</v>
      </c>
      <c r="E3965" t="s">
        <v>6</v>
      </c>
    </row>
    <row r="3966" spans="1:5" x14ac:dyDescent="0.2">
      <c r="A3966">
        <v>80824</v>
      </c>
      <c r="B3966" t="s">
        <v>11</v>
      </c>
      <c r="C3966">
        <v>80824</v>
      </c>
      <c r="D3966" t="str">
        <f>"80824"</f>
        <v>80824</v>
      </c>
      <c r="E3966" t="s">
        <v>6</v>
      </c>
    </row>
    <row r="3967" spans="1:5" x14ac:dyDescent="0.2">
      <c r="A3967">
        <v>80825</v>
      </c>
      <c r="B3967" t="s">
        <v>11</v>
      </c>
      <c r="C3967">
        <v>80825</v>
      </c>
      <c r="D3967" t="str">
        <f>"80825"</f>
        <v>80825</v>
      </c>
      <c r="E3967">
        <v>70.59</v>
      </c>
    </row>
    <row r="3968" spans="1:5" x14ac:dyDescent="0.2">
      <c r="A3968">
        <v>80827</v>
      </c>
      <c r="B3968" t="s">
        <v>11</v>
      </c>
      <c r="C3968">
        <v>80827</v>
      </c>
      <c r="D3968" t="str">
        <f>"80827"</f>
        <v>80827</v>
      </c>
      <c r="E3968">
        <v>71.790000000000006</v>
      </c>
    </row>
    <row r="3969" spans="1:5" x14ac:dyDescent="0.2">
      <c r="A3969">
        <v>80828</v>
      </c>
      <c r="B3969" t="s">
        <v>11</v>
      </c>
      <c r="C3969">
        <v>80828</v>
      </c>
      <c r="D3969" t="str">
        <f>"80828"</f>
        <v>80828</v>
      </c>
      <c r="E3969">
        <v>70.180000000000007</v>
      </c>
    </row>
    <row r="3970" spans="1:5" x14ac:dyDescent="0.2">
      <c r="A3970">
        <v>80829</v>
      </c>
      <c r="B3970" t="s">
        <v>11</v>
      </c>
      <c r="C3970">
        <v>80829</v>
      </c>
      <c r="D3970" t="str">
        <f>"80829"</f>
        <v>80829</v>
      </c>
      <c r="E3970">
        <v>77.86</v>
      </c>
    </row>
    <row r="3971" spans="1:5" x14ac:dyDescent="0.2">
      <c r="A3971">
        <v>80830</v>
      </c>
      <c r="B3971" t="s">
        <v>11</v>
      </c>
      <c r="C3971">
        <v>80830</v>
      </c>
      <c r="D3971" t="str">
        <f>"80830"</f>
        <v>80830</v>
      </c>
      <c r="E3971">
        <v>72.73</v>
      </c>
    </row>
    <row r="3972" spans="1:5" x14ac:dyDescent="0.2">
      <c r="A3972">
        <v>80831</v>
      </c>
      <c r="B3972" t="s">
        <v>11</v>
      </c>
      <c r="C3972">
        <v>80831</v>
      </c>
      <c r="D3972" t="str">
        <f>"80831"</f>
        <v>80831</v>
      </c>
      <c r="E3972">
        <v>77.959999999999994</v>
      </c>
    </row>
    <row r="3973" spans="1:5" x14ac:dyDescent="0.2">
      <c r="A3973">
        <v>80832</v>
      </c>
      <c r="B3973" t="s">
        <v>11</v>
      </c>
      <c r="C3973">
        <v>80832</v>
      </c>
      <c r="D3973" t="str">
        <f>"80832"</f>
        <v>80832</v>
      </c>
      <c r="E3973">
        <v>75</v>
      </c>
    </row>
    <row r="3974" spans="1:5" x14ac:dyDescent="0.2">
      <c r="A3974">
        <v>80833</v>
      </c>
      <c r="B3974" t="s">
        <v>11</v>
      </c>
      <c r="C3974">
        <v>80833</v>
      </c>
      <c r="D3974" t="str">
        <f>"80833"</f>
        <v>80833</v>
      </c>
      <c r="E3974">
        <v>62.96</v>
      </c>
    </row>
    <row r="3975" spans="1:5" x14ac:dyDescent="0.2">
      <c r="A3975">
        <v>80834</v>
      </c>
      <c r="B3975" t="s">
        <v>11</v>
      </c>
      <c r="C3975">
        <v>80834</v>
      </c>
      <c r="D3975" t="str">
        <f>"80834"</f>
        <v>80834</v>
      </c>
      <c r="E3975">
        <v>69.23</v>
      </c>
    </row>
    <row r="3976" spans="1:5" x14ac:dyDescent="0.2">
      <c r="A3976">
        <v>80835</v>
      </c>
      <c r="B3976" t="s">
        <v>11</v>
      </c>
      <c r="C3976">
        <v>80835</v>
      </c>
      <c r="D3976" t="str">
        <f>"80835"</f>
        <v>80835</v>
      </c>
      <c r="E3976">
        <v>66.67</v>
      </c>
    </row>
    <row r="3977" spans="1:5" x14ac:dyDescent="0.2">
      <c r="A3977">
        <v>80836</v>
      </c>
      <c r="B3977" t="s">
        <v>11</v>
      </c>
      <c r="C3977">
        <v>80836</v>
      </c>
      <c r="D3977" t="str">
        <f>"80836"</f>
        <v>80836</v>
      </c>
      <c r="E3977">
        <v>63.83</v>
      </c>
    </row>
    <row r="3978" spans="1:5" x14ac:dyDescent="0.2">
      <c r="A3978">
        <v>80840</v>
      </c>
      <c r="B3978" t="s">
        <v>11</v>
      </c>
      <c r="C3978">
        <v>80840</v>
      </c>
      <c r="D3978" t="str">
        <f>"80840"</f>
        <v>80840</v>
      </c>
      <c r="E3978">
        <v>72.38</v>
      </c>
    </row>
    <row r="3979" spans="1:5" x14ac:dyDescent="0.2">
      <c r="A3979">
        <v>80860</v>
      </c>
      <c r="B3979" t="s">
        <v>11</v>
      </c>
      <c r="C3979">
        <v>80860</v>
      </c>
      <c r="D3979" t="str">
        <f>"80860"</f>
        <v>80860</v>
      </c>
      <c r="E3979" t="s">
        <v>6</v>
      </c>
    </row>
    <row r="3980" spans="1:5" x14ac:dyDescent="0.2">
      <c r="A3980">
        <v>80861</v>
      </c>
      <c r="B3980" t="s">
        <v>11</v>
      </c>
      <c r="C3980">
        <v>80861</v>
      </c>
      <c r="D3980" t="str">
        <f>"80861"</f>
        <v>80861</v>
      </c>
      <c r="E3980">
        <v>60</v>
      </c>
    </row>
    <row r="3981" spans="1:5" x14ac:dyDescent="0.2">
      <c r="A3981">
        <v>80862</v>
      </c>
      <c r="B3981" t="s">
        <v>11</v>
      </c>
      <c r="C3981">
        <v>80862</v>
      </c>
      <c r="D3981" t="str">
        <f>"80862"</f>
        <v>80862</v>
      </c>
      <c r="E3981" t="s">
        <v>6</v>
      </c>
    </row>
    <row r="3982" spans="1:5" x14ac:dyDescent="0.2">
      <c r="A3982">
        <v>80863</v>
      </c>
      <c r="B3982" t="s">
        <v>11</v>
      </c>
      <c r="C3982">
        <v>80863</v>
      </c>
      <c r="D3982" t="str">
        <f>"80863"</f>
        <v>80863</v>
      </c>
      <c r="E3982">
        <v>77.88</v>
      </c>
    </row>
    <row r="3983" spans="1:5" x14ac:dyDescent="0.2">
      <c r="A3983">
        <v>80864</v>
      </c>
      <c r="B3983" t="s">
        <v>11</v>
      </c>
      <c r="C3983">
        <v>80864</v>
      </c>
      <c r="D3983" t="str">
        <f>"80864"</f>
        <v>80864</v>
      </c>
      <c r="E3983">
        <v>68.42</v>
      </c>
    </row>
    <row r="3984" spans="1:5" x14ac:dyDescent="0.2">
      <c r="A3984">
        <v>80902</v>
      </c>
      <c r="B3984" t="s">
        <v>11</v>
      </c>
      <c r="C3984">
        <v>80902</v>
      </c>
      <c r="D3984" t="str">
        <f>"80902"</f>
        <v>80902</v>
      </c>
      <c r="E3984">
        <v>52.12</v>
      </c>
    </row>
    <row r="3985" spans="1:5" x14ac:dyDescent="0.2">
      <c r="A3985">
        <v>80903</v>
      </c>
      <c r="B3985" t="s">
        <v>11</v>
      </c>
      <c r="C3985">
        <v>80903</v>
      </c>
      <c r="D3985" t="str">
        <f>"80903"</f>
        <v>80903</v>
      </c>
      <c r="E3985">
        <v>72.25</v>
      </c>
    </row>
    <row r="3986" spans="1:5" x14ac:dyDescent="0.2">
      <c r="A3986">
        <v>80904</v>
      </c>
      <c r="B3986" t="s">
        <v>11</v>
      </c>
      <c r="C3986">
        <v>80904</v>
      </c>
      <c r="D3986" t="str">
        <f>"80904"</f>
        <v>80904</v>
      </c>
      <c r="E3986">
        <v>76.510000000000005</v>
      </c>
    </row>
    <row r="3987" spans="1:5" x14ac:dyDescent="0.2">
      <c r="A3987">
        <v>80905</v>
      </c>
      <c r="B3987" t="s">
        <v>11</v>
      </c>
      <c r="C3987">
        <v>80905</v>
      </c>
      <c r="D3987" t="str">
        <f>"80905"</f>
        <v>80905</v>
      </c>
      <c r="E3987">
        <v>72.92</v>
      </c>
    </row>
    <row r="3988" spans="1:5" x14ac:dyDescent="0.2">
      <c r="A3988">
        <v>80906</v>
      </c>
      <c r="B3988" t="s">
        <v>11</v>
      </c>
      <c r="C3988">
        <v>80906</v>
      </c>
      <c r="D3988" t="str">
        <f>"80906"</f>
        <v>80906</v>
      </c>
      <c r="E3988">
        <v>76.05</v>
      </c>
    </row>
    <row r="3989" spans="1:5" x14ac:dyDescent="0.2">
      <c r="A3989">
        <v>80907</v>
      </c>
      <c r="B3989" t="s">
        <v>11</v>
      </c>
      <c r="C3989">
        <v>80907</v>
      </c>
      <c r="D3989" t="str">
        <f>"80907"</f>
        <v>80907</v>
      </c>
      <c r="E3989">
        <v>73.8</v>
      </c>
    </row>
    <row r="3990" spans="1:5" x14ac:dyDescent="0.2">
      <c r="A3990">
        <v>80908</v>
      </c>
      <c r="B3990" t="s">
        <v>11</v>
      </c>
      <c r="C3990">
        <v>80908</v>
      </c>
      <c r="D3990" t="str">
        <f>"80908"</f>
        <v>80908</v>
      </c>
      <c r="E3990">
        <v>80.849999999999994</v>
      </c>
    </row>
    <row r="3991" spans="1:5" x14ac:dyDescent="0.2">
      <c r="A3991">
        <v>80909</v>
      </c>
      <c r="B3991" t="s">
        <v>11</v>
      </c>
      <c r="C3991">
        <v>80909</v>
      </c>
      <c r="D3991" t="str">
        <f>"80909"</f>
        <v>80909</v>
      </c>
      <c r="E3991">
        <v>69.41</v>
      </c>
    </row>
    <row r="3992" spans="1:5" x14ac:dyDescent="0.2">
      <c r="A3992">
        <v>80910</v>
      </c>
      <c r="B3992" t="s">
        <v>11</v>
      </c>
      <c r="C3992">
        <v>80910</v>
      </c>
      <c r="D3992" t="str">
        <f>"80910"</f>
        <v>80910</v>
      </c>
      <c r="E3992">
        <v>62.07</v>
      </c>
    </row>
    <row r="3993" spans="1:5" x14ac:dyDescent="0.2">
      <c r="A3993">
        <v>80911</v>
      </c>
      <c r="B3993" t="s">
        <v>11</v>
      </c>
      <c r="C3993">
        <v>80911</v>
      </c>
      <c r="D3993" t="str">
        <f>"80911"</f>
        <v>80911</v>
      </c>
      <c r="E3993">
        <v>71.81</v>
      </c>
    </row>
    <row r="3994" spans="1:5" x14ac:dyDescent="0.2">
      <c r="A3994">
        <v>80913</v>
      </c>
      <c r="B3994" t="s">
        <v>11</v>
      </c>
      <c r="C3994">
        <v>80913</v>
      </c>
      <c r="D3994" t="str">
        <f>"80913"</f>
        <v>80913</v>
      </c>
      <c r="E3994" t="s">
        <v>6</v>
      </c>
    </row>
    <row r="3995" spans="1:5" x14ac:dyDescent="0.2">
      <c r="A3995">
        <v>80914</v>
      </c>
      <c r="B3995" t="s">
        <v>11</v>
      </c>
      <c r="C3995">
        <v>80914</v>
      </c>
      <c r="D3995" t="str">
        <f>"80914"</f>
        <v>80914</v>
      </c>
      <c r="E3995" t="s">
        <v>6</v>
      </c>
    </row>
    <row r="3996" spans="1:5" x14ac:dyDescent="0.2">
      <c r="A3996">
        <v>80915</v>
      </c>
      <c r="B3996" t="s">
        <v>11</v>
      </c>
      <c r="C3996">
        <v>80915</v>
      </c>
      <c r="D3996" t="str">
        <f>"80915"</f>
        <v>80915</v>
      </c>
      <c r="E3996">
        <v>70.400000000000006</v>
      </c>
    </row>
    <row r="3997" spans="1:5" x14ac:dyDescent="0.2">
      <c r="A3997">
        <v>80916</v>
      </c>
      <c r="B3997" t="s">
        <v>11</v>
      </c>
      <c r="C3997">
        <v>80916</v>
      </c>
      <c r="D3997" t="str">
        <f>"80916"</f>
        <v>80916</v>
      </c>
      <c r="E3997">
        <v>61.89</v>
      </c>
    </row>
    <row r="3998" spans="1:5" x14ac:dyDescent="0.2">
      <c r="A3998">
        <v>80917</v>
      </c>
      <c r="B3998" t="s">
        <v>11</v>
      </c>
      <c r="C3998">
        <v>80917</v>
      </c>
      <c r="D3998" t="str">
        <f>"80917"</f>
        <v>80917</v>
      </c>
      <c r="E3998">
        <v>73.88</v>
      </c>
    </row>
    <row r="3999" spans="1:5" x14ac:dyDescent="0.2">
      <c r="A3999">
        <v>80918</v>
      </c>
      <c r="B3999" t="s">
        <v>11</v>
      </c>
      <c r="C3999">
        <v>80918</v>
      </c>
      <c r="D3999" t="str">
        <f>"80918"</f>
        <v>80918</v>
      </c>
      <c r="E3999">
        <v>75.790000000000006</v>
      </c>
    </row>
    <row r="4000" spans="1:5" x14ac:dyDescent="0.2">
      <c r="A4000">
        <v>80919</v>
      </c>
      <c r="B4000" t="s">
        <v>11</v>
      </c>
      <c r="C4000">
        <v>80919</v>
      </c>
      <c r="D4000" t="str">
        <f>"80919"</f>
        <v>80919</v>
      </c>
      <c r="E4000">
        <v>81.180000000000007</v>
      </c>
    </row>
    <row r="4001" spans="1:5" x14ac:dyDescent="0.2">
      <c r="A4001">
        <v>80920</v>
      </c>
      <c r="B4001" t="s">
        <v>11</v>
      </c>
      <c r="C4001">
        <v>80920</v>
      </c>
      <c r="D4001" t="str">
        <f>"80920"</f>
        <v>80920</v>
      </c>
      <c r="E4001">
        <v>78.8</v>
      </c>
    </row>
    <row r="4002" spans="1:5" x14ac:dyDescent="0.2">
      <c r="A4002">
        <v>80921</v>
      </c>
      <c r="B4002" t="s">
        <v>11</v>
      </c>
      <c r="C4002">
        <v>80921</v>
      </c>
      <c r="D4002" t="str">
        <f>"80921"</f>
        <v>80921</v>
      </c>
      <c r="E4002">
        <v>82.05</v>
      </c>
    </row>
    <row r="4003" spans="1:5" x14ac:dyDescent="0.2">
      <c r="A4003">
        <v>80922</v>
      </c>
      <c r="B4003" t="s">
        <v>11</v>
      </c>
      <c r="C4003">
        <v>80922</v>
      </c>
      <c r="D4003" t="str">
        <f>"80922"</f>
        <v>80922</v>
      </c>
      <c r="E4003">
        <v>76.069999999999993</v>
      </c>
    </row>
    <row r="4004" spans="1:5" x14ac:dyDescent="0.2">
      <c r="A4004">
        <v>80923</v>
      </c>
      <c r="B4004" t="s">
        <v>11</v>
      </c>
      <c r="C4004">
        <v>80923</v>
      </c>
      <c r="D4004" t="str">
        <f>"80923"</f>
        <v>80923</v>
      </c>
      <c r="E4004">
        <v>79.77</v>
      </c>
    </row>
    <row r="4005" spans="1:5" x14ac:dyDescent="0.2">
      <c r="A4005">
        <v>80924</v>
      </c>
      <c r="B4005" t="s">
        <v>11</v>
      </c>
      <c r="C4005">
        <v>80924</v>
      </c>
      <c r="D4005" t="str">
        <f>"80924"</f>
        <v>80924</v>
      </c>
      <c r="E4005">
        <v>83.33</v>
      </c>
    </row>
    <row r="4006" spans="1:5" x14ac:dyDescent="0.2">
      <c r="A4006">
        <v>80925</v>
      </c>
      <c r="B4006" t="s">
        <v>11</v>
      </c>
      <c r="C4006">
        <v>80925</v>
      </c>
      <c r="D4006" t="str">
        <f>"80925"</f>
        <v>80925</v>
      </c>
      <c r="E4006">
        <v>74.12</v>
      </c>
    </row>
    <row r="4007" spans="1:5" x14ac:dyDescent="0.2">
      <c r="A4007">
        <v>80926</v>
      </c>
      <c r="B4007" t="s">
        <v>11</v>
      </c>
      <c r="C4007">
        <v>80926</v>
      </c>
      <c r="D4007" t="str">
        <f>"80926"</f>
        <v>80926</v>
      </c>
      <c r="E4007">
        <v>73.61</v>
      </c>
    </row>
    <row r="4008" spans="1:5" x14ac:dyDescent="0.2">
      <c r="A4008">
        <v>80927</v>
      </c>
      <c r="B4008" t="s">
        <v>11</v>
      </c>
      <c r="C4008">
        <v>80927</v>
      </c>
      <c r="D4008" t="str">
        <f>"80927"</f>
        <v>80927</v>
      </c>
      <c r="E4008">
        <v>83.64</v>
      </c>
    </row>
    <row r="4009" spans="1:5" x14ac:dyDescent="0.2">
      <c r="A4009">
        <v>80928</v>
      </c>
      <c r="B4009" t="s">
        <v>11</v>
      </c>
      <c r="C4009">
        <v>80928</v>
      </c>
      <c r="D4009" t="str">
        <f>"80928"</f>
        <v>80928</v>
      </c>
      <c r="E4009">
        <v>60.47</v>
      </c>
    </row>
    <row r="4010" spans="1:5" x14ac:dyDescent="0.2">
      <c r="A4010">
        <v>80929</v>
      </c>
      <c r="B4010" t="s">
        <v>11</v>
      </c>
      <c r="C4010">
        <v>80929</v>
      </c>
      <c r="D4010" t="str">
        <f>"80929"</f>
        <v>80929</v>
      </c>
      <c r="E4010">
        <v>77.78</v>
      </c>
    </row>
    <row r="4011" spans="1:5" x14ac:dyDescent="0.2">
      <c r="A4011">
        <v>80930</v>
      </c>
      <c r="B4011" t="s">
        <v>11</v>
      </c>
      <c r="C4011">
        <v>80930</v>
      </c>
      <c r="D4011" t="str">
        <f>"80930"</f>
        <v>80930</v>
      </c>
      <c r="E4011">
        <v>66.67</v>
      </c>
    </row>
    <row r="4012" spans="1:5" x14ac:dyDescent="0.2">
      <c r="A4012">
        <v>80938</v>
      </c>
      <c r="B4012" t="s">
        <v>11</v>
      </c>
      <c r="C4012">
        <v>80938</v>
      </c>
      <c r="D4012" t="str">
        <f>"80938"</f>
        <v>80938</v>
      </c>
      <c r="E4012" t="s">
        <v>6</v>
      </c>
    </row>
    <row r="4013" spans="1:5" x14ac:dyDescent="0.2">
      <c r="A4013">
        <v>80939</v>
      </c>
      <c r="B4013" t="s">
        <v>11</v>
      </c>
      <c r="C4013">
        <v>80939</v>
      </c>
      <c r="D4013" t="str">
        <f>"80939"</f>
        <v>80939</v>
      </c>
      <c r="E4013" t="s">
        <v>6</v>
      </c>
    </row>
    <row r="4014" spans="1:5" x14ac:dyDescent="0.2">
      <c r="A4014">
        <v>80951</v>
      </c>
      <c r="B4014" t="s">
        <v>11</v>
      </c>
      <c r="C4014">
        <v>80951</v>
      </c>
      <c r="D4014" t="str">
        <f>"80951"</f>
        <v>80951</v>
      </c>
      <c r="E4014">
        <v>75.510000000000005</v>
      </c>
    </row>
    <row r="4015" spans="1:5" x14ac:dyDescent="0.2">
      <c r="A4015">
        <v>80977</v>
      </c>
      <c r="B4015" t="s">
        <v>11</v>
      </c>
      <c r="C4015">
        <v>80977</v>
      </c>
      <c r="D4015" t="str">
        <f>"80977"</f>
        <v>80977</v>
      </c>
      <c r="E4015" t="s">
        <v>6</v>
      </c>
    </row>
    <row r="4016" spans="1:5" x14ac:dyDescent="0.2">
      <c r="A4016">
        <v>81001</v>
      </c>
      <c r="B4016" t="s">
        <v>11</v>
      </c>
      <c r="C4016">
        <v>81001</v>
      </c>
      <c r="D4016" t="str">
        <f>"81001"</f>
        <v>81001</v>
      </c>
      <c r="E4016">
        <v>61.06</v>
      </c>
    </row>
    <row r="4017" spans="1:5" x14ac:dyDescent="0.2">
      <c r="A4017">
        <v>81003</v>
      </c>
      <c r="B4017" t="s">
        <v>11</v>
      </c>
      <c r="C4017">
        <v>81003</v>
      </c>
      <c r="D4017" t="str">
        <f>"81003"</f>
        <v>81003</v>
      </c>
      <c r="E4017">
        <v>61.28</v>
      </c>
    </row>
    <row r="4018" spans="1:5" x14ac:dyDescent="0.2">
      <c r="A4018">
        <v>81004</v>
      </c>
      <c r="B4018" t="s">
        <v>11</v>
      </c>
      <c r="C4018">
        <v>81004</v>
      </c>
      <c r="D4018" t="str">
        <f>"81004"</f>
        <v>81004</v>
      </c>
      <c r="E4018">
        <v>61.85</v>
      </c>
    </row>
    <row r="4019" spans="1:5" x14ac:dyDescent="0.2">
      <c r="A4019">
        <v>81005</v>
      </c>
      <c r="B4019" t="s">
        <v>11</v>
      </c>
      <c r="C4019">
        <v>81005</v>
      </c>
      <c r="D4019" t="str">
        <f>"81005"</f>
        <v>81005</v>
      </c>
      <c r="E4019">
        <v>72.52</v>
      </c>
    </row>
    <row r="4020" spans="1:5" x14ac:dyDescent="0.2">
      <c r="A4020">
        <v>81006</v>
      </c>
      <c r="B4020" t="s">
        <v>11</v>
      </c>
      <c r="C4020">
        <v>81006</v>
      </c>
      <c r="D4020" t="str">
        <f>"81006"</f>
        <v>81006</v>
      </c>
      <c r="E4020">
        <v>72.81</v>
      </c>
    </row>
    <row r="4021" spans="1:5" x14ac:dyDescent="0.2">
      <c r="A4021">
        <v>81007</v>
      </c>
      <c r="B4021" t="s">
        <v>11</v>
      </c>
      <c r="C4021">
        <v>81007</v>
      </c>
      <c r="D4021" t="str">
        <f>"81007"</f>
        <v>81007</v>
      </c>
      <c r="E4021">
        <v>75.209999999999994</v>
      </c>
    </row>
    <row r="4022" spans="1:5" x14ac:dyDescent="0.2">
      <c r="A4022">
        <v>81008</v>
      </c>
      <c r="B4022" t="s">
        <v>11</v>
      </c>
      <c r="C4022">
        <v>81008</v>
      </c>
      <c r="D4022" t="str">
        <f>"81008"</f>
        <v>81008</v>
      </c>
      <c r="E4022">
        <v>74.510000000000005</v>
      </c>
    </row>
    <row r="4023" spans="1:5" x14ac:dyDescent="0.2">
      <c r="A4023">
        <v>81019</v>
      </c>
      <c r="B4023" t="s">
        <v>11</v>
      </c>
      <c r="C4023">
        <v>81019</v>
      </c>
      <c r="D4023" t="str">
        <f>"81019"</f>
        <v>81019</v>
      </c>
      <c r="E4023" t="s">
        <v>6</v>
      </c>
    </row>
    <row r="4024" spans="1:5" x14ac:dyDescent="0.2">
      <c r="A4024">
        <v>81020</v>
      </c>
      <c r="B4024" t="s">
        <v>11</v>
      </c>
      <c r="C4024">
        <v>81020</v>
      </c>
      <c r="D4024" t="str">
        <f>"81020"</f>
        <v>81020</v>
      </c>
      <c r="E4024">
        <v>64.86</v>
      </c>
    </row>
    <row r="4025" spans="1:5" x14ac:dyDescent="0.2">
      <c r="A4025">
        <v>81021</v>
      </c>
      <c r="B4025" t="s">
        <v>11</v>
      </c>
      <c r="C4025">
        <v>81021</v>
      </c>
      <c r="D4025" t="str">
        <f>"81021"</f>
        <v>81021</v>
      </c>
      <c r="E4025" t="s">
        <v>6</v>
      </c>
    </row>
    <row r="4026" spans="1:5" x14ac:dyDescent="0.2">
      <c r="A4026">
        <v>81022</v>
      </c>
      <c r="B4026" t="s">
        <v>11</v>
      </c>
      <c r="C4026">
        <v>81022</v>
      </c>
      <c r="D4026" t="str">
        <f>"81022"</f>
        <v>81022</v>
      </c>
      <c r="E4026">
        <v>63.33</v>
      </c>
    </row>
    <row r="4027" spans="1:5" x14ac:dyDescent="0.2">
      <c r="A4027">
        <v>81023</v>
      </c>
      <c r="B4027" t="s">
        <v>11</v>
      </c>
      <c r="C4027">
        <v>81023</v>
      </c>
      <c r="D4027" t="str">
        <f>"81023"</f>
        <v>81023</v>
      </c>
      <c r="E4027">
        <v>76.27</v>
      </c>
    </row>
    <row r="4028" spans="1:5" x14ac:dyDescent="0.2">
      <c r="A4028">
        <v>81024</v>
      </c>
      <c r="B4028" t="s">
        <v>11</v>
      </c>
      <c r="C4028">
        <v>81024</v>
      </c>
      <c r="D4028" t="str">
        <f>"81024"</f>
        <v>81024</v>
      </c>
      <c r="E4028" t="s">
        <v>6</v>
      </c>
    </row>
    <row r="4029" spans="1:5" x14ac:dyDescent="0.2">
      <c r="A4029">
        <v>81025</v>
      </c>
      <c r="B4029" t="s">
        <v>11</v>
      </c>
      <c r="C4029">
        <v>81025</v>
      </c>
      <c r="D4029" t="str">
        <f>"81025"</f>
        <v>81025</v>
      </c>
      <c r="E4029">
        <v>58.82</v>
      </c>
    </row>
    <row r="4030" spans="1:5" x14ac:dyDescent="0.2">
      <c r="A4030">
        <v>81027</v>
      </c>
      <c r="B4030" t="s">
        <v>11</v>
      </c>
      <c r="C4030">
        <v>81027</v>
      </c>
      <c r="D4030" t="str">
        <f>"81027"</f>
        <v>81027</v>
      </c>
      <c r="E4030" t="s">
        <v>6</v>
      </c>
    </row>
    <row r="4031" spans="1:5" x14ac:dyDescent="0.2">
      <c r="A4031">
        <v>81029</v>
      </c>
      <c r="B4031" t="s">
        <v>11</v>
      </c>
      <c r="C4031">
        <v>81029</v>
      </c>
      <c r="D4031" t="str">
        <f>"81029"</f>
        <v>81029</v>
      </c>
      <c r="E4031">
        <v>60</v>
      </c>
    </row>
    <row r="4032" spans="1:5" x14ac:dyDescent="0.2">
      <c r="A4032">
        <v>81030</v>
      </c>
      <c r="B4032" t="s">
        <v>11</v>
      </c>
      <c r="C4032">
        <v>81030</v>
      </c>
      <c r="D4032" t="str">
        <f>"81030"</f>
        <v>81030</v>
      </c>
      <c r="E4032" t="s">
        <v>6</v>
      </c>
    </row>
    <row r="4033" spans="1:5" x14ac:dyDescent="0.2">
      <c r="A4033">
        <v>81033</v>
      </c>
      <c r="B4033" t="s">
        <v>11</v>
      </c>
      <c r="C4033">
        <v>81033</v>
      </c>
      <c r="D4033" t="str">
        <f>"81033"</f>
        <v>81033</v>
      </c>
      <c r="E4033" t="s">
        <v>6</v>
      </c>
    </row>
    <row r="4034" spans="1:5" x14ac:dyDescent="0.2">
      <c r="A4034">
        <v>81036</v>
      </c>
      <c r="B4034" t="s">
        <v>11</v>
      </c>
      <c r="C4034">
        <v>81036</v>
      </c>
      <c r="D4034" t="str">
        <f>"81036"</f>
        <v>81036</v>
      </c>
      <c r="E4034">
        <v>70.73</v>
      </c>
    </row>
    <row r="4035" spans="1:5" x14ac:dyDescent="0.2">
      <c r="A4035">
        <v>81039</v>
      </c>
      <c r="B4035" t="s">
        <v>11</v>
      </c>
      <c r="C4035">
        <v>81039</v>
      </c>
      <c r="D4035" t="str">
        <f>"81039"</f>
        <v>81039</v>
      </c>
      <c r="E4035">
        <v>66.67</v>
      </c>
    </row>
    <row r="4036" spans="1:5" x14ac:dyDescent="0.2">
      <c r="A4036">
        <v>81040</v>
      </c>
      <c r="B4036" t="s">
        <v>11</v>
      </c>
      <c r="C4036">
        <v>81040</v>
      </c>
      <c r="D4036" t="str">
        <f>"81040"</f>
        <v>81040</v>
      </c>
      <c r="E4036">
        <v>57.89</v>
      </c>
    </row>
    <row r="4037" spans="1:5" x14ac:dyDescent="0.2">
      <c r="A4037">
        <v>81041</v>
      </c>
      <c r="B4037" t="s">
        <v>11</v>
      </c>
      <c r="C4037">
        <v>81041</v>
      </c>
      <c r="D4037" t="str">
        <f>"81041"</f>
        <v>81041</v>
      </c>
      <c r="E4037">
        <v>53.57</v>
      </c>
    </row>
    <row r="4038" spans="1:5" x14ac:dyDescent="0.2">
      <c r="A4038">
        <v>81044</v>
      </c>
      <c r="B4038" t="s">
        <v>11</v>
      </c>
      <c r="C4038">
        <v>81044</v>
      </c>
      <c r="D4038" t="str">
        <f>"81044"</f>
        <v>81044</v>
      </c>
      <c r="E4038" t="s">
        <v>6</v>
      </c>
    </row>
    <row r="4039" spans="1:5" x14ac:dyDescent="0.2">
      <c r="A4039">
        <v>81045</v>
      </c>
      <c r="B4039" t="s">
        <v>11</v>
      </c>
      <c r="C4039">
        <v>81045</v>
      </c>
      <c r="D4039" t="str">
        <f>"81045"</f>
        <v>81045</v>
      </c>
      <c r="E4039" t="s">
        <v>6</v>
      </c>
    </row>
    <row r="4040" spans="1:5" x14ac:dyDescent="0.2">
      <c r="A4040">
        <v>81047</v>
      </c>
      <c r="B4040" t="s">
        <v>11</v>
      </c>
      <c r="C4040">
        <v>81047</v>
      </c>
      <c r="D4040" t="str">
        <f>"81047"</f>
        <v>81047</v>
      </c>
      <c r="E4040">
        <v>59.32</v>
      </c>
    </row>
    <row r="4041" spans="1:5" x14ac:dyDescent="0.2">
      <c r="A4041">
        <v>81049</v>
      </c>
      <c r="B4041" t="s">
        <v>11</v>
      </c>
      <c r="C4041">
        <v>81049</v>
      </c>
      <c r="D4041" t="str">
        <f>"81049"</f>
        <v>81049</v>
      </c>
      <c r="E4041">
        <v>55.56</v>
      </c>
    </row>
    <row r="4042" spans="1:5" x14ac:dyDescent="0.2">
      <c r="A4042">
        <v>81050</v>
      </c>
      <c r="B4042" t="s">
        <v>11</v>
      </c>
      <c r="C4042">
        <v>81050</v>
      </c>
      <c r="D4042" t="str">
        <f>"81050"</f>
        <v>81050</v>
      </c>
      <c r="E4042">
        <v>63.73</v>
      </c>
    </row>
    <row r="4043" spans="1:5" x14ac:dyDescent="0.2">
      <c r="A4043">
        <v>81052</v>
      </c>
      <c r="B4043" t="s">
        <v>11</v>
      </c>
      <c r="C4043">
        <v>81052</v>
      </c>
      <c r="D4043" t="str">
        <f>"81052"</f>
        <v>81052</v>
      </c>
      <c r="E4043">
        <v>62.46</v>
      </c>
    </row>
    <row r="4044" spans="1:5" x14ac:dyDescent="0.2">
      <c r="A4044">
        <v>81054</v>
      </c>
      <c r="B4044" t="s">
        <v>11</v>
      </c>
      <c r="C4044">
        <v>81054</v>
      </c>
      <c r="D4044" t="str">
        <f>"81054"</f>
        <v>81054</v>
      </c>
      <c r="E4044">
        <v>63.03</v>
      </c>
    </row>
    <row r="4045" spans="1:5" x14ac:dyDescent="0.2">
      <c r="A4045">
        <v>81055</v>
      </c>
      <c r="B4045" t="s">
        <v>11</v>
      </c>
      <c r="C4045">
        <v>81055</v>
      </c>
      <c r="D4045" t="str">
        <f>"81055"</f>
        <v>81055</v>
      </c>
      <c r="E4045">
        <v>73.13</v>
      </c>
    </row>
    <row r="4046" spans="1:5" x14ac:dyDescent="0.2">
      <c r="A4046">
        <v>81057</v>
      </c>
      <c r="B4046" t="s">
        <v>11</v>
      </c>
      <c r="C4046">
        <v>81057</v>
      </c>
      <c r="D4046" t="str">
        <f>"81057"</f>
        <v>81057</v>
      </c>
      <c r="E4046">
        <v>63.16</v>
      </c>
    </row>
    <row r="4047" spans="1:5" x14ac:dyDescent="0.2">
      <c r="A4047">
        <v>81058</v>
      </c>
      <c r="B4047" t="s">
        <v>11</v>
      </c>
      <c r="C4047">
        <v>81058</v>
      </c>
      <c r="D4047" t="str">
        <f>"81058"</f>
        <v>81058</v>
      </c>
      <c r="E4047">
        <v>61.11</v>
      </c>
    </row>
    <row r="4048" spans="1:5" x14ac:dyDescent="0.2">
      <c r="A4048">
        <v>81059</v>
      </c>
      <c r="B4048" t="s">
        <v>11</v>
      </c>
      <c r="C4048">
        <v>81059</v>
      </c>
      <c r="D4048" t="str">
        <f>"81059"</f>
        <v>81059</v>
      </c>
      <c r="E4048" t="s">
        <v>6</v>
      </c>
    </row>
    <row r="4049" spans="1:5" x14ac:dyDescent="0.2">
      <c r="A4049">
        <v>81062</v>
      </c>
      <c r="B4049" t="s">
        <v>11</v>
      </c>
      <c r="C4049">
        <v>81062</v>
      </c>
      <c r="D4049" t="str">
        <f>"81062"</f>
        <v>81062</v>
      </c>
      <c r="E4049">
        <v>58.62</v>
      </c>
    </row>
    <row r="4050" spans="1:5" x14ac:dyDescent="0.2">
      <c r="A4050">
        <v>81063</v>
      </c>
      <c r="B4050" t="s">
        <v>11</v>
      </c>
      <c r="C4050">
        <v>81063</v>
      </c>
      <c r="D4050" t="str">
        <f>"81063"</f>
        <v>81063</v>
      </c>
      <c r="E4050">
        <v>66.13</v>
      </c>
    </row>
    <row r="4051" spans="1:5" x14ac:dyDescent="0.2">
      <c r="A4051">
        <v>81064</v>
      </c>
      <c r="B4051" t="s">
        <v>11</v>
      </c>
      <c r="C4051">
        <v>81064</v>
      </c>
      <c r="D4051" t="str">
        <f>"81064"</f>
        <v>81064</v>
      </c>
      <c r="E4051">
        <v>50</v>
      </c>
    </row>
    <row r="4052" spans="1:5" x14ac:dyDescent="0.2">
      <c r="A4052">
        <v>81067</v>
      </c>
      <c r="B4052" t="s">
        <v>11</v>
      </c>
      <c r="C4052">
        <v>81067</v>
      </c>
      <c r="D4052" t="str">
        <f>"81067"</f>
        <v>81067</v>
      </c>
      <c r="E4052">
        <v>60.19</v>
      </c>
    </row>
    <row r="4053" spans="1:5" x14ac:dyDescent="0.2">
      <c r="A4053">
        <v>81069</v>
      </c>
      <c r="B4053" t="s">
        <v>11</v>
      </c>
      <c r="C4053">
        <v>81069</v>
      </c>
      <c r="D4053" t="str">
        <f>"81069"</f>
        <v>81069</v>
      </c>
      <c r="E4053">
        <v>74.44</v>
      </c>
    </row>
    <row r="4054" spans="1:5" x14ac:dyDescent="0.2">
      <c r="A4054">
        <v>81071</v>
      </c>
      <c r="B4054" t="s">
        <v>11</v>
      </c>
      <c r="C4054">
        <v>81071</v>
      </c>
      <c r="D4054" t="str">
        <f>"81071"</f>
        <v>81071</v>
      </c>
      <c r="E4054">
        <v>72.73</v>
      </c>
    </row>
    <row r="4055" spans="1:5" x14ac:dyDescent="0.2">
      <c r="A4055">
        <v>81073</v>
      </c>
      <c r="B4055" t="s">
        <v>11</v>
      </c>
      <c r="C4055">
        <v>81073</v>
      </c>
      <c r="D4055" t="str">
        <f>"81073"</f>
        <v>81073</v>
      </c>
      <c r="E4055">
        <v>61.33</v>
      </c>
    </row>
    <row r="4056" spans="1:5" x14ac:dyDescent="0.2">
      <c r="A4056">
        <v>81076</v>
      </c>
      <c r="B4056" t="s">
        <v>11</v>
      </c>
      <c r="C4056">
        <v>81076</v>
      </c>
      <c r="D4056" t="str">
        <f>"81076"</f>
        <v>81076</v>
      </c>
      <c r="E4056">
        <v>56.25</v>
      </c>
    </row>
    <row r="4057" spans="1:5" x14ac:dyDescent="0.2">
      <c r="A4057">
        <v>81077</v>
      </c>
      <c r="B4057" t="s">
        <v>11</v>
      </c>
      <c r="C4057">
        <v>81077</v>
      </c>
      <c r="D4057" t="str">
        <f>"81077"</f>
        <v>81077</v>
      </c>
      <c r="E4057" t="s">
        <v>6</v>
      </c>
    </row>
    <row r="4058" spans="1:5" x14ac:dyDescent="0.2">
      <c r="A4058">
        <v>81081</v>
      </c>
      <c r="B4058" t="s">
        <v>11</v>
      </c>
      <c r="C4058">
        <v>81081</v>
      </c>
      <c r="D4058" t="str">
        <f>"81081"</f>
        <v>81081</v>
      </c>
      <c r="E4058" t="s">
        <v>6</v>
      </c>
    </row>
    <row r="4059" spans="1:5" x14ac:dyDescent="0.2">
      <c r="A4059">
        <v>81082</v>
      </c>
      <c r="B4059" t="s">
        <v>11</v>
      </c>
      <c r="C4059">
        <v>81082</v>
      </c>
      <c r="D4059" t="str">
        <f>"81082"</f>
        <v>81082</v>
      </c>
      <c r="E4059">
        <v>66.459999999999994</v>
      </c>
    </row>
    <row r="4060" spans="1:5" x14ac:dyDescent="0.2">
      <c r="A4060">
        <v>81084</v>
      </c>
      <c r="B4060" t="s">
        <v>11</v>
      </c>
      <c r="C4060">
        <v>81084</v>
      </c>
      <c r="D4060" t="str">
        <f>"81084"</f>
        <v>81084</v>
      </c>
      <c r="E4060" t="s">
        <v>6</v>
      </c>
    </row>
    <row r="4061" spans="1:5" x14ac:dyDescent="0.2">
      <c r="A4061">
        <v>81087</v>
      </c>
      <c r="B4061" t="s">
        <v>11</v>
      </c>
      <c r="C4061">
        <v>81087</v>
      </c>
      <c r="D4061" t="str">
        <f>"81087"</f>
        <v>81087</v>
      </c>
      <c r="E4061" t="s">
        <v>6</v>
      </c>
    </row>
    <row r="4062" spans="1:5" x14ac:dyDescent="0.2">
      <c r="A4062">
        <v>81089</v>
      </c>
      <c r="B4062" t="s">
        <v>11</v>
      </c>
      <c r="C4062">
        <v>81089</v>
      </c>
      <c r="D4062" t="str">
        <f>"81089"</f>
        <v>81089</v>
      </c>
      <c r="E4062">
        <v>59.56</v>
      </c>
    </row>
    <row r="4063" spans="1:5" x14ac:dyDescent="0.2">
      <c r="A4063">
        <v>81090</v>
      </c>
      <c r="B4063" t="s">
        <v>11</v>
      </c>
      <c r="C4063">
        <v>81090</v>
      </c>
      <c r="D4063" t="str">
        <f>"81090"</f>
        <v>81090</v>
      </c>
      <c r="E4063">
        <v>67.569999999999993</v>
      </c>
    </row>
    <row r="4064" spans="1:5" x14ac:dyDescent="0.2">
      <c r="A4064">
        <v>81091</v>
      </c>
      <c r="B4064" t="s">
        <v>11</v>
      </c>
      <c r="C4064">
        <v>81091</v>
      </c>
      <c r="D4064" t="str">
        <f>"81091"</f>
        <v>81091</v>
      </c>
      <c r="E4064">
        <v>72.22</v>
      </c>
    </row>
    <row r="4065" spans="1:5" x14ac:dyDescent="0.2">
      <c r="A4065">
        <v>81092</v>
      </c>
      <c r="B4065" t="s">
        <v>11</v>
      </c>
      <c r="C4065">
        <v>81092</v>
      </c>
      <c r="D4065" t="str">
        <f>"81092"</f>
        <v>81092</v>
      </c>
      <c r="E4065">
        <v>68.569999999999993</v>
      </c>
    </row>
    <row r="4066" spans="1:5" x14ac:dyDescent="0.2">
      <c r="A4066">
        <v>81101</v>
      </c>
      <c r="B4066" t="s">
        <v>11</v>
      </c>
      <c r="C4066">
        <v>81101</v>
      </c>
      <c r="D4066" t="str">
        <f>"81101"</f>
        <v>81101</v>
      </c>
      <c r="E4066">
        <v>65.180000000000007</v>
      </c>
    </row>
    <row r="4067" spans="1:5" x14ac:dyDescent="0.2">
      <c r="A4067">
        <v>81120</v>
      </c>
      <c r="B4067" t="s">
        <v>11</v>
      </c>
      <c r="C4067">
        <v>81120</v>
      </c>
      <c r="D4067" t="str">
        <f>"81120"</f>
        <v>81120</v>
      </c>
      <c r="E4067">
        <v>61.84</v>
      </c>
    </row>
    <row r="4068" spans="1:5" x14ac:dyDescent="0.2">
      <c r="A4068">
        <v>81121</v>
      </c>
      <c r="B4068" t="s">
        <v>11</v>
      </c>
      <c r="C4068">
        <v>81121</v>
      </c>
      <c r="D4068" t="str">
        <f>"81121"</f>
        <v>81121</v>
      </c>
      <c r="E4068" t="s">
        <v>6</v>
      </c>
    </row>
    <row r="4069" spans="1:5" x14ac:dyDescent="0.2">
      <c r="A4069">
        <v>81122</v>
      </c>
      <c r="B4069" t="s">
        <v>11</v>
      </c>
      <c r="C4069">
        <v>81122</v>
      </c>
      <c r="D4069" t="str">
        <f>"81122"</f>
        <v>81122</v>
      </c>
      <c r="E4069">
        <v>76.14</v>
      </c>
    </row>
    <row r="4070" spans="1:5" x14ac:dyDescent="0.2">
      <c r="A4070">
        <v>81123</v>
      </c>
      <c r="B4070" t="s">
        <v>11</v>
      </c>
      <c r="C4070">
        <v>81123</v>
      </c>
      <c r="D4070" t="str">
        <f>"81123"</f>
        <v>81123</v>
      </c>
      <c r="E4070">
        <v>58.62</v>
      </c>
    </row>
    <row r="4071" spans="1:5" x14ac:dyDescent="0.2">
      <c r="A4071">
        <v>81124</v>
      </c>
      <c r="B4071" t="s">
        <v>11</v>
      </c>
      <c r="C4071">
        <v>81124</v>
      </c>
      <c r="D4071" t="str">
        <f>"81124"</f>
        <v>81124</v>
      </c>
      <c r="E4071" t="s">
        <v>6</v>
      </c>
    </row>
    <row r="4072" spans="1:5" x14ac:dyDescent="0.2">
      <c r="A4072">
        <v>81125</v>
      </c>
      <c r="B4072" t="s">
        <v>11</v>
      </c>
      <c r="C4072">
        <v>81125</v>
      </c>
      <c r="D4072" t="str">
        <f>"81125"</f>
        <v>81125</v>
      </c>
      <c r="E4072">
        <v>56.59</v>
      </c>
    </row>
    <row r="4073" spans="1:5" x14ac:dyDescent="0.2">
      <c r="A4073">
        <v>81126</v>
      </c>
      <c r="B4073" t="s">
        <v>11</v>
      </c>
      <c r="C4073">
        <v>81126</v>
      </c>
      <c r="D4073" t="str">
        <f>"81126"</f>
        <v>81126</v>
      </c>
      <c r="E4073" t="s">
        <v>6</v>
      </c>
    </row>
    <row r="4074" spans="1:5" x14ac:dyDescent="0.2">
      <c r="A4074">
        <v>81128</v>
      </c>
      <c r="B4074" t="s">
        <v>11</v>
      </c>
      <c r="C4074">
        <v>81128</v>
      </c>
      <c r="D4074" t="str">
        <f>"81128"</f>
        <v>81128</v>
      </c>
      <c r="E4074" t="s">
        <v>6</v>
      </c>
    </row>
    <row r="4075" spans="1:5" x14ac:dyDescent="0.2">
      <c r="A4075">
        <v>81129</v>
      </c>
      <c r="B4075" t="s">
        <v>11</v>
      </c>
      <c r="C4075">
        <v>81129</v>
      </c>
      <c r="D4075" t="str">
        <f>"81129"</f>
        <v>81129</v>
      </c>
      <c r="E4075" t="s">
        <v>6</v>
      </c>
    </row>
    <row r="4076" spans="1:5" x14ac:dyDescent="0.2">
      <c r="A4076">
        <v>81130</v>
      </c>
      <c r="B4076" t="s">
        <v>11</v>
      </c>
      <c r="C4076">
        <v>81130</v>
      </c>
      <c r="D4076" t="str">
        <f>"81130"</f>
        <v>81130</v>
      </c>
      <c r="E4076">
        <v>75</v>
      </c>
    </row>
    <row r="4077" spans="1:5" x14ac:dyDescent="0.2">
      <c r="A4077">
        <v>81131</v>
      </c>
      <c r="B4077" t="s">
        <v>11</v>
      </c>
      <c r="C4077">
        <v>81131</v>
      </c>
      <c r="D4077" t="str">
        <f>"81131"</f>
        <v>81131</v>
      </c>
      <c r="E4077" t="s">
        <v>6</v>
      </c>
    </row>
    <row r="4078" spans="1:5" x14ac:dyDescent="0.2">
      <c r="A4078">
        <v>81132</v>
      </c>
      <c r="B4078" t="s">
        <v>11</v>
      </c>
      <c r="C4078">
        <v>81132</v>
      </c>
      <c r="D4078" t="str">
        <f>"81132"</f>
        <v>81132</v>
      </c>
      <c r="E4078">
        <v>64.39</v>
      </c>
    </row>
    <row r="4079" spans="1:5" x14ac:dyDescent="0.2">
      <c r="A4079">
        <v>81133</v>
      </c>
      <c r="B4079" t="s">
        <v>11</v>
      </c>
      <c r="C4079">
        <v>81133</v>
      </c>
      <c r="D4079" t="str">
        <f>"81133"</f>
        <v>81133</v>
      </c>
      <c r="E4079">
        <v>61.7</v>
      </c>
    </row>
    <row r="4080" spans="1:5" x14ac:dyDescent="0.2">
      <c r="A4080">
        <v>81136</v>
      </c>
      <c r="B4080" t="s">
        <v>11</v>
      </c>
      <c r="C4080">
        <v>81136</v>
      </c>
      <c r="D4080" t="str">
        <f>"81136"</f>
        <v>81136</v>
      </c>
      <c r="E4080">
        <v>60</v>
      </c>
    </row>
    <row r="4081" spans="1:5" x14ac:dyDescent="0.2">
      <c r="A4081">
        <v>81137</v>
      </c>
      <c r="B4081" t="s">
        <v>11</v>
      </c>
      <c r="C4081">
        <v>81137</v>
      </c>
      <c r="D4081" t="str">
        <f>"81137"</f>
        <v>81137</v>
      </c>
      <c r="E4081">
        <v>69.48</v>
      </c>
    </row>
    <row r="4082" spans="1:5" x14ac:dyDescent="0.2">
      <c r="A4082">
        <v>81138</v>
      </c>
      <c r="B4082" t="s">
        <v>11</v>
      </c>
      <c r="C4082">
        <v>81138</v>
      </c>
      <c r="D4082" t="str">
        <f>"81138"</f>
        <v>81138</v>
      </c>
      <c r="E4082" t="s">
        <v>6</v>
      </c>
    </row>
    <row r="4083" spans="1:5" x14ac:dyDescent="0.2">
      <c r="A4083">
        <v>81140</v>
      </c>
      <c r="B4083" t="s">
        <v>11</v>
      </c>
      <c r="C4083">
        <v>81140</v>
      </c>
      <c r="D4083" t="str">
        <f>"81140"</f>
        <v>81140</v>
      </c>
      <c r="E4083">
        <v>58.62</v>
      </c>
    </row>
    <row r="4084" spans="1:5" x14ac:dyDescent="0.2">
      <c r="A4084">
        <v>81141</v>
      </c>
      <c r="B4084" t="s">
        <v>11</v>
      </c>
      <c r="C4084">
        <v>81141</v>
      </c>
      <c r="D4084" t="str">
        <f>"81141"</f>
        <v>81141</v>
      </c>
      <c r="E4084" t="s">
        <v>6</v>
      </c>
    </row>
    <row r="4085" spans="1:5" x14ac:dyDescent="0.2">
      <c r="A4085">
        <v>81143</v>
      </c>
      <c r="B4085" t="s">
        <v>11</v>
      </c>
      <c r="C4085">
        <v>81143</v>
      </c>
      <c r="D4085" t="str">
        <f>"81143"</f>
        <v>81143</v>
      </c>
      <c r="E4085">
        <v>50</v>
      </c>
    </row>
    <row r="4086" spans="1:5" x14ac:dyDescent="0.2">
      <c r="A4086">
        <v>81144</v>
      </c>
      <c r="B4086" t="s">
        <v>11</v>
      </c>
      <c r="C4086">
        <v>81144</v>
      </c>
      <c r="D4086" t="str">
        <f>"81144"</f>
        <v>81144</v>
      </c>
      <c r="E4086">
        <v>64.03</v>
      </c>
    </row>
    <row r="4087" spans="1:5" x14ac:dyDescent="0.2">
      <c r="A4087">
        <v>81146</v>
      </c>
      <c r="B4087" t="s">
        <v>11</v>
      </c>
      <c r="C4087">
        <v>81146</v>
      </c>
      <c r="D4087" t="str">
        <f>"81146"</f>
        <v>81146</v>
      </c>
      <c r="E4087">
        <v>66.67</v>
      </c>
    </row>
    <row r="4088" spans="1:5" x14ac:dyDescent="0.2">
      <c r="A4088">
        <v>81147</v>
      </c>
      <c r="B4088" t="s">
        <v>11</v>
      </c>
      <c r="C4088">
        <v>81147</v>
      </c>
      <c r="D4088" t="str">
        <f>"81147"</f>
        <v>81147</v>
      </c>
      <c r="E4088">
        <v>70.78</v>
      </c>
    </row>
    <row r="4089" spans="1:5" x14ac:dyDescent="0.2">
      <c r="A4089">
        <v>81148</v>
      </c>
      <c r="B4089" t="s">
        <v>11</v>
      </c>
      <c r="C4089">
        <v>81148</v>
      </c>
      <c r="D4089" t="str">
        <f>"81148"</f>
        <v>81148</v>
      </c>
      <c r="E4089" t="s">
        <v>6</v>
      </c>
    </row>
    <row r="4090" spans="1:5" x14ac:dyDescent="0.2">
      <c r="A4090">
        <v>81149</v>
      </c>
      <c r="B4090" t="s">
        <v>11</v>
      </c>
      <c r="C4090">
        <v>81149</v>
      </c>
      <c r="D4090" t="str">
        <f>"81149"</f>
        <v>81149</v>
      </c>
      <c r="E4090">
        <v>58.82</v>
      </c>
    </row>
    <row r="4091" spans="1:5" x14ac:dyDescent="0.2">
      <c r="A4091">
        <v>81151</v>
      </c>
      <c r="B4091" t="s">
        <v>11</v>
      </c>
      <c r="C4091">
        <v>81151</v>
      </c>
      <c r="D4091" t="str">
        <f>"81151"</f>
        <v>81151</v>
      </c>
      <c r="E4091">
        <v>55.77</v>
      </c>
    </row>
    <row r="4092" spans="1:5" x14ac:dyDescent="0.2">
      <c r="A4092">
        <v>81152</v>
      </c>
      <c r="B4092" t="s">
        <v>11</v>
      </c>
      <c r="C4092">
        <v>81152</v>
      </c>
      <c r="D4092" t="str">
        <f>"81152"</f>
        <v>81152</v>
      </c>
      <c r="E4092">
        <v>58.33</v>
      </c>
    </row>
    <row r="4093" spans="1:5" x14ac:dyDescent="0.2">
      <c r="A4093">
        <v>81154</v>
      </c>
      <c r="B4093" t="s">
        <v>11</v>
      </c>
      <c r="C4093">
        <v>81154</v>
      </c>
      <c r="D4093" t="str">
        <f>"81154"</f>
        <v>81154</v>
      </c>
      <c r="E4093">
        <v>70.91</v>
      </c>
    </row>
    <row r="4094" spans="1:5" x14ac:dyDescent="0.2">
      <c r="A4094">
        <v>81155</v>
      </c>
      <c r="B4094" t="s">
        <v>11</v>
      </c>
      <c r="C4094">
        <v>81155</v>
      </c>
      <c r="D4094" t="str">
        <f>"81155"</f>
        <v>81155</v>
      </c>
      <c r="E4094">
        <v>72.73</v>
      </c>
    </row>
    <row r="4095" spans="1:5" x14ac:dyDescent="0.2">
      <c r="A4095">
        <v>81201</v>
      </c>
      <c r="B4095" t="s">
        <v>11</v>
      </c>
      <c r="C4095">
        <v>81201</v>
      </c>
      <c r="D4095" t="str">
        <f>"81201"</f>
        <v>81201</v>
      </c>
      <c r="E4095">
        <v>75.8</v>
      </c>
    </row>
    <row r="4096" spans="1:5" x14ac:dyDescent="0.2">
      <c r="A4096">
        <v>81210</v>
      </c>
      <c r="B4096" t="s">
        <v>11</v>
      </c>
      <c r="C4096">
        <v>81210</v>
      </c>
      <c r="D4096" t="str">
        <f>"81210"</f>
        <v>81210</v>
      </c>
      <c r="E4096">
        <v>78.569999999999993</v>
      </c>
    </row>
    <row r="4097" spans="1:5" x14ac:dyDescent="0.2">
      <c r="A4097">
        <v>81211</v>
      </c>
      <c r="B4097" t="s">
        <v>11</v>
      </c>
      <c r="C4097">
        <v>81211</v>
      </c>
      <c r="D4097" t="str">
        <f>"81211"</f>
        <v>81211</v>
      </c>
      <c r="E4097">
        <v>76.31</v>
      </c>
    </row>
    <row r="4098" spans="1:5" x14ac:dyDescent="0.2">
      <c r="A4098">
        <v>81212</v>
      </c>
      <c r="B4098" t="s">
        <v>11</v>
      </c>
      <c r="C4098">
        <v>81212</v>
      </c>
      <c r="D4098" t="str">
        <f>"81212"</f>
        <v>81212</v>
      </c>
      <c r="E4098">
        <v>70.819999999999993</v>
      </c>
    </row>
    <row r="4099" spans="1:5" x14ac:dyDescent="0.2">
      <c r="A4099">
        <v>81220</v>
      </c>
      <c r="B4099" t="s">
        <v>11</v>
      </c>
      <c r="C4099">
        <v>81220</v>
      </c>
      <c r="D4099" t="str">
        <f>"81220"</f>
        <v>81220</v>
      </c>
      <c r="E4099" t="s">
        <v>6</v>
      </c>
    </row>
    <row r="4100" spans="1:5" x14ac:dyDescent="0.2">
      <c r="A4100">
        <v>81222</v>
      </c>
      <c r="B4100" t="s">
        <v>11</v>
      </c>
      <c r="C4100">
        <v>81222</v>
      </c>
      <c r="D4100" t="str">
        <f>"81222"</f>
        <v>81222</v>
      </c>
      <c r="E4100" t="s">
        <v>6</v>
      </c>
    </row>
    <row r="4101" spans="1:5" x14ac:dyDescent="0.2">
      <c r="A4101">
        <v>81223</v>
      </c>
      <c r="B4101" t="s">
        <v>11</v>
      </c>
      <c r="C4101">
        <v>81223</v>
      </c>
      <c r="D4101" t="str">
        <f>"81223"</f>
        <v>81223</v>
      </c>
      <c r="E4101">
        <v>65.430000000000007</v>
      </c>
    </row>
    <row r="4102" spans="1:5" x14ac:dyDescent="0.2">
      <c r="A4102">
        <v>81224</v>
      </c>
      <c r="B4102" t="s">
        <v>11</v>
      </c>
      <c r="C4102">
        <v>81224</v>
      </c>
      <c r="D4102" t="str">
        <f>"81224"</f>
        <v>81224</v>
      </c>
      <c r="E4102">
        <v>80.680000000000007</v>
      </c>
    </row>
    <row r="4103" spans="1:5" x14ac:dyDescent="0.2">
      <c r="A4103">
        <v>81225</v>
      </c>
      <c r="B4103" t="s">
        <v>11</v>
      </c>
      <c r="C4103">
        <v>81225</v>
      </c>
      <c r="D4103" t="str">
        <f>"81225"</f>
        <v>81225</v>
      </c>
      <c r="E4103" t="s">
        <v>6</v>
      </c>
    </row>
    <row r="4104" spans="1:5" x14ac:dyDescent="0.2">
      <c r="A4104">
        <v>81226</v>
      </c>
      <c r="B4104" t="s">
        <v>11</v>
      </c>
      <c r="C4104">
        <v>81226</v>
      </c>
      <c r="D4104" t="str">
        <f>"81226"</f>
        <v>81226</v>
      </c>
      <c r="E4104">
        <v>70.28</v>
      </c>
    </row>
    <row r="4105" spans="1:5" x14ac:dyDescent="0.2">
      <c r="A4105">
        <v>81228</v>
      </c>
      <c r="B4105" t="s">
        <v>11</v>
      </c>
      <c r="C4105">
        <v>81228</v>
      </c>
      <c r="D4105" t="str">
        <f>"81228"</f>
        <v>81228</v>
      </c>
      <c r="E4105" t="s">
        <v>6</v>
      </c>
    </row>
    <row r="4106" spans="1:5" x14ac:dyDescent="0.2">
      <c r="A4106">
        <v>81230</v>
      </c>
      <c r="B4106" t="s">
        <v>11</v>
      </c>
      <c r="C4106">
        <v>81230</v>
      </c>
      <c r="D4106" t="str">
        <f>"81230"</f>
        <v>81230</v>
      </c>
      <c r="E4106">
        <v>73.290000000000006</v>
      </c>
    </row>
    <row r="4107" spans="1:5" x14ac:dyDescent="0.2">
      <c r="A4107">
        <v>81231</v>
      </c>
      <c r="B4107" t="s">
        <v>11</v>
      </c>
      <c r="C4107">
        <v>81231</v>
      </c>
      <c r="D4107" t="str">
        <f>"81231"</f>
        <v>81231</v>
      </c>
      <c r="E4107" t="s">
        <v>6</v>
      </c>
    </row>
    <row r="4108" spans="1:5" x14ac:dyDescent="0.2">
      <c r="A4108">
        <v>81232</v>
      </c>
      <c r="B4108" t="s">
        <v>11</v>
      </c>
      <c r="C4108">
        <v>81232</v>
      </c>
      <c r="D4108" t="str">
        <f>"81232"</f>
        <v>81232</v>
      </c>
      <c r="E4108" t="s">
        <v>6</v>
      </c>
    </row>
    <row r="4109" spans="1:5" x14ac:dyDescent="0.2">
      <c r="A4109">
        <v>81233</v>
      </c>
      <c r="B4109" t="s">
        <v>11</v>
      </c>
      <c r="C4109">
        <v>81233</v>
      </c>
      <c r="D4109" t="str">
        <f>"81233"</f>
        <v>81233</v>
      </c>
      <c r="E4109">
        <v>76.92</v>
      </c>
    </row>
    <row r="4110" spans="1:5" x14ac:dyDescent="0.2">
      <c r="A4110">
        <v>81235</v>
      </c>
      <c r="B4110" t="s">
        <v>11</v>
      </c>
      <c r="C4110">
        <v>81235</v>
      </c>
      <c r="D4110" t="str">
        <f>"81235"</f>
        <v>81235</v>
      </c>
      <c r="E4110">
        <v>67.569999999999993</v>
      </c>
    </row>
    <row r="4111" spans="1:5" x14ac:dyDescent="0.2">
      <c r="A4111">
        <v>81236</v>
      </c>
      <c r="B4111" t="s">
        <v>11</v>
      </c>
      <c r="C4111">
        <v>81236</v>
      </c>
      <c r="D4111" t="str">
        <f>"81236"</f>
        <v>81236</v>
      </c>
      <c r="E4111">
        <v>75.44</v>
      </c>
    </row>
    <row r="4112" spans="1:5" x14ac:dyDescent="0.2">
      <c r="A4112">
        <v>81237</v>
      </c>
      <c r="B4112" t="s">
        <v>11</v>
      </c>
      <c r="C4112">
        <v>81237</v>
      </c>
      <c r="D4112" t="str">
        <f>"81237"</f>
        <v>81237</v>
      </c>
      <c r="E4112" t="s">
        <v>6</v>
      </c>
    </row>
    <row r="4113" spans="1:5" x14ac:dyDescent="0.2">
      <c r="A4113">
        <v>81239</v>
      </c>
      <c r="B4113" t="s">
        <v>11</v>
      </c>
      <c r="C4113">
        <v>81239</v>
      </c>
      <c r="D4113" t="str">
        <f>"81239"</f>
        <v>81239</v>
      </c>
      <c r="E4113" t="s">
        <v>6</v>
      </c>
    </row>
    <row r="4114" spans="1:5" x14ac:dyDescent="0.2">
      <c r="A4114">
        <v>81240</v>
      </c>
      <c r="B4114" t="s">
        <v>11</v>
      </c>
      <c r="C4114">
        <v>81240</v>
      </c>
      <c r="D4114" t="str">
        <f>"81240"</f>
        <v>81240</v>
      </c>
      <c r="E4114">
        <v>68.66</v>
      </c>
    </row>
    <row r="4115" spans="1:5" x14ac:dyDescent="0.2">
      <c r="A4115">
        <v>81241</v>
      </c>
      <c r="B4115" t="s">
        <v>11</v>
      </c>
      <c r="C4115">
        <v>81241</v>
      </c>
      <c r="D4115" t="str">
        <f>"81241"</f>
        <v>81241</v>
      </c>
      <c r="E4115" t="s">
        <v>6</v>
      </c>
    </row>
    <row r="4116" spans="1:5" x14ac:dyDescent="0.2">
      <c r="A4116">
        <v>81242</v>
      </c>
      <c r="B4116" t="s">
        <v>11</v>
      </c>
      <c r="C4116">
        <v>81242</v>
      </c>
      <c r="D4116" t="str">
        <f>"81242"</f>
        <v>81242</v>
      </c>
      <c r="E4116" t="s">
        <v>6</v>
      </c>
    </row>
    <row r="4117" spans="1:5" x14ac:dyDescent="0.2">
      <c r="A4117">
        <v>81243</v>
      </c>
      <c r="B4117" t="s">
        <v>11</v>
      </c>
      <c r="C4117">
        <v>81243</v>
      </c>
      <c r="D4117" t="str">
        <f>"81243"</f>
        <v>81243</v>
      </c>
      <c r="E4117" t="s">
        <v>6</v>
      </c>
    </row>
    <row r="4118" spans="1:5" x14ac:dyDescent="0.2">
      <c r="A4118">
        <v>81244</v>
      </c>
      <c r="B4118" t="s">
        <v>11</v>
      </c>
      <c r="C4118">
        <v>81244</v>
      </c>
      <c r="D4118" t="str">
        <f>"81244"</f>
        <v>81244</v>
      </c>
      <c r="E4118" t="s">
        <v>6</v>
      </c>
    </row>
    <row r="4119" spans="1:5" x14ac:dyDescent="0.2">
      <c r="A4119">
        <v>81251</v>
      </c>
      <c r="B4119" t="s">
        <v>11</v>
      </c>
      <c r="C4119">
        <v>81251</v>
      </c>
      <c r="D4119" t="str">
        <f>"81251"</f>
        <v>81251</v>
      </c>
      <c r="E4119" t="s">
        <v>6</v>
      </c>
    </row>
    <row r="4120" spans="1:5" x14ac:dyDescent="0.2">
      <c r="A4120">
        <v>81252</v>
      </c>
      <c r="B4120" t="s">
        <v>11</v>
      </c>
      <c r="C4120">
        <v>81252</v>
      </c>
      <c r="D4120" t="str">
        <f>"81252"</f>
        <v>81252</v>
      </c>
      <c r="E4120">
        <v>71.88</v>
      </c>
    </row>
    <row r="4121" spans="1:5" x14ac:dyDescent="0.2">
      <c r="A4121">
        <v>81253</v>
      </c>
      <c r="B4121" t="s">
        <v>11</v>
      </c>
      <c r="C4121">
        <v>81253</v>
      </c>
      <c r="D4121" t="str">
        <f>"81253"</f>
        <v>81253</v>
      </c>
      <c r="E4121">
        <v>76.47</v>
      </c>
    </row>
    <row r="4122" spans="1:5" x14ac:dyDescent="0.2">
      <c r="A4122">
        <v>81301</v>
      </c>
      <c r="B4122" t="s">
        <v>11</v>
      </c>
      <c r="C4122">
        <v>81301</v>
      </c>
      <c r="D4122" t="str">
        <f>"81301"</f>
        <v>81301</v>
      </c>
      <c r="E4122">
        <v>77.599999999999994</v>
      </c>
    </row>
    <row r="4123" spans="1:5" x14ac:dyDescent="0.2">
      <c r="A4123">
        <v>81303</v>
      </c>
      <c r="B4123" t="s">
        <v>11</v>
      </c>
      <c r="C4123">
        <v>81303</v>
      </c>
      <c r="D4123" t="str">
        <f>"81303"</f>
        <v>81303</v>
      </c>
      <c r="E4123">
        <v>77.180000000000007</v>
      </c>
    </row>
    <row r="4124" spans="1:5" x14ac:dyDescent="0.2">
      <c r="A4124">
        <v>81320</v>
      </c>
      <c r="B4124" t="s">
        <v>11</v>
      </c>
      <c r="C4124">
        <v>81320</v>
      </c>
      <c r="D4124" t="str">
        <f>"81320"</f>
        <v>81320</v>
      </c>
      <c r="E4124">
        <v>76.92</v>
      </c>
    </row>
    <row r="4125" spans="1:5" x14ac:dyDescent="0.2">
      <c r="A4125">
        <v>81321</v>
      </c>
      <c r="B4125" t="s">
        <v>11</v>
      </c>
      <c r="C4125">
        <v>81321</v>
      </c>
      <c r="D4125" t="str">
        <f>"81321"</f>
        <v>81321</v>
      </c>
      <c r="E4125">
        <v>67.14</v>
      </c>
    </row>
    <row r="4126" spans="1:5" x14ac:dyDescent="0.2">
      <c r="A4126">
        <v>81323</v>
      </c>
      <c r="B4126" t="s">
        <v>11</v>
      </c>
      <c r="C4126">
        <v>81323</v>
      </c>
      <c r="D4126" t="str">
        <f>"81323"</f>
        <v>81323</v>
      </c>
      <c r="E4126">
        <v>72.12</v>
      </c>
    </row>
    <row r="4127" spans="1:5" x14ac:dyDescent="0.2">
      <c r="A4127">
        <v>81324</v>
      </c>
      <c r="B4127" t="s">
        <v>11</v>
      </c>
      <c r="C4127">
        <v>81324</v>
      </c>
      <c r="D4127" t="str">
        <f>"81324"</f>
        <v>81324</v>
      </c>
      <c r="E4127">
        <v>64.81</v>
      </c>
    </row>
    <row r="4128" spans="1:5" x14ac:dyDescent="0.2">
      <c r="A4128">
        <v>81325</v>
      </c>
      <c r="B4128" t="s">
        <v>11</v>
      </c>
      <c r="C4128">
        <v>81325</v>
      </c>
      <c r="D4128" t="str">
        <f>"81325"</f>
        <v>81325</v>
      </c>
      <c r="E4128" t="s">
        <v>6</v>
      </c>
    </row>
    <row r="4129" spans="1:5" x14ac:dyDescent="0.2">
      <c r="A4129">
        <v>81326</v>
      </c>
      <c r="B4129" t="s">
        <v>11</v>
      </c>
      <c r="C4129">
        <v>81326</v>
      </c>
      <c r="D4129" t="str">
        <f>"81326"</f>
        <v>81326</v>
      </c>
      <c r="E4129">
        <v>71.569999999999993</v>
      </c>
    </row>
    <row r="4130" spans="1:5" x14ac:dyDescent="0.2">
      <c r="A4130">
        <v>81327</v>
      </c>
      <c r="B4130" t="s">
        <v>11</v>
      </c>
      <c r="C4130">
        <v>81327</v>
      </c>
      <c r="D4130" t="str">
        <f>"81327"</f>
        <v>81327</v>
      </c>
      <c r="E4130">
        <v>70.37</v>
      </c>
    </row>
    <row r="4131" spans="1:5" x14ac:dyDescent="0.2">
      <c r="A4131">
        <v>81328</v>
      </c>
      <c r="B4131" t="s">
        <v>11</v>
      </c>
      <c r="C4131">
        <v>81328</v>
      </c>
      <c r="D4131" t="str">
        <f>"81328"</f>
        <v>81328</v>
      </c>
      <c r="E4131">
        <v>70.41</v>
      </c>
    </row>
    <row r="4132" spans="1:5" x14ac:dyDescent="0.2">
      <c r="A4132">
        <v>81330</v>
      </c>
      <c r="B4132" t="s">
        <v>11</v>
      </c>
      <c r="C4132">
        <v>81330</v>
      </c>
      <c r="D4132" t="str">
        <f>"81330"</f>
        <v>81330</v>
      </c>
      <c r="E4132" t="s">
        <v>6</v>
      </c>
    </row>
    <row r="4133" spans="1:5" x14ac:dyDescent="0.2">
      <c r="A4133">
        <v>81331</v>
      </c>
      <c r="B4133" t="s">
        <v>11</v>
      </c>
      <c r="C4133">
        <v>81331</v>
      </c>
      <c r="D4133" t="str">
        <f>"81331"</f>
        <v>81331</v>
      </c>
      <c r="E4133">
        <v>60</v>
      </c>
    </row>
    <row r="4134" spans="1:5" x14ac:dyDescent="0.2">
      <c r="A4134">
        <v>81332</v>
      </c>
      <c r="B4134" t="s">
        <v>11</v>
      </c>
      <c r="C4134">
        <v>81332</v>
      </c>
      <c r="D4134" t="str">
        <f>"81332"</f>
        <v>81332</v>
      </c>
      <c r="E4134" t="s">
        <v>6</v>
      </c>
    </row>
    <row r="4135" spans="1:5" x14ac:dyDescent="0.2">
      <c r="A4135">
        <v>81334</v>
      </c>
      <c r="B4135" t="s">
        <v>11</v>
      </c>
      <c r="C4135">
        <v>81334</v>
      </c>
      <c r="D4135" t="str">
        <f>"81334"</f>
        <v>81334</v>
      </c>
      <c r="E4135" t="s">
        <v>6</v>
      </c>
    </row>
    <row r="4136" spans="1:5" x14ac:dyDescent="0.2">
      <c r="A4136">
        <v>81335</v>
      </c>
      <c r="B4136" t="s">
        <v>11</v>
      </c>
      <c r="C4136">
        <v>81335</v>
      </c>
      <c r="D4136" t="str">
        <f>"81335"</f>
        <v>81335</v>
      </c>
      <c r="E4136" t="s">
        <v>6</v>
      </c>
    </row>
    <row r="4137" spans="1:5" x14ac:dyDescent="0.2">
      <c r="A4137">
        <v>81401</v>
      </c>
      <c r="B4137" t="s">
        <v>11</v>
      </c>
      <c r="C4137">
        <v>81401</v>
      </c>
      <c r="D4137" t="str">
        <f>"81401"</f>
        <v>81401</v>
      </c>
      <c r="E4137">
        <v>68.81</v>
      </c>
    </row>
    <row r="4138" spans="1:5" x14ac:dyDescent="0.2">
      <c r="A4138">
        <v>81403</v>
      </c>
      <c r="B4138" t="s">
        <v>11</v>
      </c>
      <c r="C4138">
        <v>81403</v>
      </c>
      <c r="D4138" t="str">
        <f>"81403"</f>
        <v>81403</v>
      </c>
      <c r="E4138">
        <v>69.92</v>
      </c>
    </row>
    <row r="4139" spans="1:5" x14ac:dyDescent="0.2">
      <c r="A4139">
        <v>81410</v>
      </c>
      <c r="B4139" t="s">
        <v>11</v>
      </c>
      <c r="C4139">
        <v>81410</v>
      </c>
      <c r="D4139" t="str">
        <f>"81410"</f>
        <v>81410</v>
      </c>
      <c r="E4139">
        <v>69.7</v>
      </c>
    </row>
    <row r="4140" spans="1:5" x14ac:dyDescent="0.2">
      <c r="A4140">
        <v>81411</v>
      </c>
      <c r="B4140" t="s">
        <v>11</v>
      </c>
      <c r="C4140">
        <v>81411</v>
      </c>
      <c r="D4140" t="str">
        <f>"81411"</f>
        <v>81411</v>
      </c>
      <c r="E4140" t="s">
        <v>6</v>
      </c>
    </row>
    <row r="4141" spans="1:5" x14ac:dyDescent="0.2">
      <c r="A4141">
        <v>81413</v>
      </c>
      <c r="B4141" t="s">
        <v>11</v>
      </c>
      <c r="C4141">
        <v>81413</v>
      </c>
      <c r="D4141" t="str">
        <f>"81413"</f>
        <v>81413</v>
      </c>
      <c r="E4141">
        <v>69.7</v>
      </c>
    </row>
    <row r="4142" spans="1:5" x14ac:dyDescent="0.2">
      <c r="A4142">
        <v>81414</v>
      </c>
      <c r="B4142" t="s">
        <v>11</v>
      </c>
      <c r="C4142">
        <v>81414</v>
      </c>
      <c r="D4142" t="str">
        <f>"81414"</f>
        <v>81414</v>
      </c>
      <c r="E4142" t="s">
        <v>6</v>
      </c>
    </row>
    <row r="4143" spans="1:5" x14ac:dyDescent="0.2">
      <c r="A4143">
        <v>81415</v>
      </c>
      <c r="B4143" t="s">
        <v>11</v>
      </c>
      <c r="C4143">
        <v>81415</v>
      </c>
      <c r="D4143" t="str">
        <f>"81415"</f>
        <v>81415</v>
      </c>
      <c r="E4143">
        <v>65.22</v>
      </c>
    </row>
    <row r="4144" spans="1:5" x14ac:dyDescent="0.2">
      <c r="A4144">
        <v>81416</v>
      </c>
      <c r="B4144" t="s">
        <v>11</v>
      </c>
      <c r="C4144">
        <v>81416</v>
      </c>
      <c r="D4144" t="str">
        <f>"81416"</f>
        <v>81416</v>
      </c>
      <c r="E4144">
        <v>65.83</v>
      </c>
    </row>
    <row r="4145" spans="1:5" x14ac:dyDescent="0.2">
      <c r="A4145">
        <v>81418</v>
      </c>
      <c r="B4145" t="s">
        <v>11</v>
      </c>
      <c r="C4145">
        <v>81418</v>
      </c>
      <c r="D4145" t="str">
        <f>"81418"</f>
        <v>81418</v>
      </c>
      <c r="E4145">
        <v>65.22</v>
      </c>
    </row>
    <row r="4146" spans="1:5" x14ac:dyDescent="0.2">
      <c r="A4146">
        <v>81419</v>
      </c>
      <c r="B4146" t="s">
        <v>11</v>
      </c>
      <c r="C4146">
        <v>81419</v>
      </c>
      <c r="D4146" t="str">
        <f>"81419"</f>
        <v>81419</v>
      </c>
      <c r="E4146">
        <v>64.97</v>
      </c>
    </row>
    <row r="4147" spans="1:5" x14ac:dyDescent="0.2">
      <c r="A4147">
        <v>81420</v>
      </c>
      <c r="B4147" t="s">
        <v>11</v>
      </c>
      <c r="C4147">
        <v>81420</v>
      </c>
      <c r="D4147" t="str">
        <f>"81420"</f>
        <v>81420</v>
      </c>
      <c r="E4147" t="s">
        <v>6</v>
      </c>
    </row>
    <row r="4148" spans="1:5" x14ac:dyDescent="0.2">
      <c r="A4148">
        <v>81422</v>
      </c>
      <c r="B4148" t="s">
        <v>11</v>
      </c>
      <c r="C4148">
        <v>81422</v>
      </c>
      <c r="D4148" t="str">
        <f>"81422"</f>
        <v>81422</v>
      </c>
      <c r="E4148">
        <v>71.430000000000007</v>
      </c>
    </row>
    <row r="4149" spans="1:5" x14ac:dyDescent="0.2">
      <c r="A4149">
        <v>81423</v>
      </c>
      <c r="B4149" t="s">
        <v>11</v>
      </c>
      <c r="C4149">
        <v>81423</v>
      </c>
      <c r="D4149" t="str">
        <f>"81423"</f>
        <v>81423</v>
      </c>
      <c r="E4149" t="s">
        <v>6</v>
      </c>
    </row>
    <row r="4150" spans="1:5" x14ac:dyDescent="0.2">
      <c r="A4150">
        <v>81424</v>
      </c>
      <c r="B4150" t="s">
        <v>11</v>
      </c>
      <c r="C4150">
        <v>81424</v>
      </c>
      <c r="D4150" t="str">
        <f>"81424"</f>
        <v>81424</v>
      </c>
      <c r="E4150">
        <v>67.39</v>
      </c>
    </row>
    <row r="4151" spans="1:5" x14ac:dyDescent="0.2">
      <c r="A4151">
        <v>81425</v>
      </c>
      <c r="B4151" t="s">
        <v>11</v>
      </c>
      <c r="C4151">
        <v>81425</v>
      </c>
      <c r="D4151" t="str">
        <f>"81425"</f>
        <v>81425</v>
      </c>
      <c r="E4151">
        <v>61.54</v>
      </c>
    </row>
    <row r="4152" spans="1:5" x14ac:dyDescent="0.2">
      <c r="A4152">
        <v>81426</v>
      </c>
      <c r="B4152" t="s">
        <v>11</v>
      </c>
      <c r="C4152">
        <v>81426</v>
      </c>
      <c r="D4152" t="str">
        <f>"81426"</f>
        <v>81426</v>
      </c>
      <c r="E4152" t="s">
        <v>6</v>
      </c>
    </row>
    <row r="4153" spans="1:5" x14ac:dyDescent="0.2">
      <c r="A4153">
        <v>81427</v>
      </c>
      <c r="B4153" t="s">
        <v>11</v>
      </c>
      <c r="C4153">
        <v>81427</v>
      </c>
      <c r="D4153" t="str">
        <f>"81427"</f>
        <v>81427</v>
      </c>
      <c r="E4153" t="s">
        <v>6</v>
      </c>
    </row>
    <row r="4154" spans="1:5" x14ac:dyDescent="0.2">
      <c r="A4154">
        <v>81428</v>
      </c>
      <c r="B4154" t="s">
        <v>11</v>
      </c>
      <c r="C4154">
        <v>81428</v>
      </c>
      <c r="D4154" t="str">
        <f>"81428"</f>
        <v>81428</v>
      </c>
      <c r="E4154">
        <v>62.21</v>
      </c>
    </row>
    <row r="4155" spans="1:5" x14ac:dyDescent="0.2">
      <c r="A4155">
        <v>81429</v>
      </c>
      <c r="B4155" t="s">
        <v>11</v>
      </c>
      <c r="C4155">
        <v>81429</v>
      </c>
      <c r="D4155" t="str">
        <f>"81429"</f>
        <v>81429</v>
      </c>
      <c r="E4155" t="s">
        <v>6</v>
      </c>
    </row>
    <row r="4156" spans="1:5" x14ac:dyDescent="0.2">
      <c r="A4156">
        <v>81430</v>
      </c>
      <c r="B4156" t="s">
        <v>11</v>
      </c>
      <c r="C4156">
        <v>81430</v>
      </c>
      <c r="D4156" t="str">
        <f>"81430"</f>
        <v>81430</v>
      </c>
      <c r="E4156" t="s">
        <v>6</v>
      </c>
    </row>
    <row r="4157" spans="1:5" x14ac:dyDescent="0.2">
      <c r="A4157">
        <v>81431</v>
      </c>
      <c r="B4157" t="s">
        <v>11</v>
      </c>
      <c r="C4157">
        <v>81431</v>
      </c>
      <c r="D4157" t="str">
        <f>"81431"</f>
        <v>81431</v>
      </c>
      <c r="E4157">
        <v>75</v>
      </c>
    </row>
    <row r="4158" spans="1:5" x14ac:dyDescent="0.2">
      <c r="A4158">
        <v>81432</v>
      </c>
      <c r="B4158" t="s">
        <v>11</v>
      </c>
      <c r="C4158">
        <v>81432</v>
      </c>
      <c r="D4158" t="str">
        <f>"81432"</f>
        <v>81432</v>
      </c>
      <c r="E4158">
        <v>77.78</v>
      </c>
    </row>
    <row r="4159" spans="1:5" x14ac:dyDescent="0.2">
      <c r="A4159">
        <v>81433</v>
      </c>
      <c r="B4159" t="s">
        <v>11</v>
      </c>
      <c r="C4159">
        <v>81433</v>
      </c>
      <c r="D4159" t="str">
        <f>"81433"</f>
        <v>81433</v>
      </c>
      <c r="E4159" t="s">
        <v>6</v>
      </c>
    </row>
    <row r="4160" spans="1:5" x14ac:dyDescent="0.2">
      <c r="A4160">
        <v>81434</v>
      </c>
      <c r="B4160" t="s">
        <v>11</v>
      </c>
      <c r="C4160">
        <v>81434</v>
      </c>
      <c r="D4160" t="str">
        <f>"81434"</f>
        <v>81434</v>
      </c>
      <c r="E4160" t="s">
        <v>6</v>
      </c>
    </row>
    <row r="4161" spans="1:5" x14ac:dyDescent="0.2">
      <c r="A4161">
        <v>81435</v>
      </c>
      <c r="B4161" t="s">
        <v>11</v>
      </c>
      <c r="C4161">
        <v>81435</v>
      </c>
      <c r="D4161" t="str">
        <f>"81435"</f>
        <v>81435</v>
      </c>
      <c r="E4161">
        <v>80.19</v>
      </c>
    </row>
    <row r="4162" spans="1:5" x14ac:dyDescent="0.2">
      <c r="A4162">
        <v>81501</v>
      </c>
      <c r="B4162" t="s">
        <v>11</v>
      </c>
      <c r="C4162">
        <v>81501</v>
      </c>
      <c r="D4162" t="str">
        <f>"81501"</f>
        <v>81501</v>
      </c>
      <c r="E4162">
        <v>66.63</v>
      </c>
    </row>
    <row r="4163" spans="1:5" x14ac:dyDescent="0.2">
      <c r="A4163">
        <v>81503</v>
      </c>
      <c r="B4163" t="s">
        <v>11</v>
      </c>
      <c r="C4163">
        <v>81503</v>
      </c>
      <c r="D4163" t="str">
        <f>"81503"</f>
        <v>81503</v>
      </c>
      <c r="E4163">
        <v>71.569999999999993</v>
      </c>
    </row>
    <row r="4164" spans="1:5" x14ac:dyDescent="0.2">
      <c r="A4164">
        <v>81504</v>
      </c>
      <c r="B4164" t="s">
        <v>11</v>
      </c>
      <c r="C4164">
        <v>81504</v>
      </c>
      <c r="D4164" t="str">
        <f>"81504"</f>
        <v>81504</v>
      </c>
      <c r="E4164">
        <v>70.540000000000006</v>
      </c>
    </row>
    <row r="4165" spans="1:5" x14ac:dyDescent="0.2">
      <c r="A4165">
        <v>81505</v>
      </c>
      <c r="B4165" t="s">
        <v>11</v>
      </c>
      <c r="C4165">
        <v>81505</v>
      </c>
      <c r="D4165" t="str">
        <f>"81505"</f>
        <v>81505</v>
      </c>
      <c r="E4165">
        <v>75.23</v>
      </c>
    </row>
    <row r="4166" spans="1:5" x14ac:dyDescent="0.2">
      <c r="A4166">
        <v>81506</v>
      </c>
      <c r="B4166" t="s">
        <v>11</v>
      </c>
      <c r="C4166">
        <v>81506</v>
      </c>
      <c r="D4166" t="str">
        <f>"81506"</f>
        <v>81506</v>
      </c>
      <c r="E4166">
        <v>78.319999999999993</v>
      </c>
    </row>
    <row r="4167" spans="1:5" x14ac:dyDescent="0.2">
      <c r="A4167">
        <v>81507</v>
      </c>
      <c r="B4167" t="s">
        <v>11</v>
      </c>
      <c r="C4167">
        <v>81507</v>
      </c>
      <c r="D4167" t="str">
        <f>"81507"</f>
        <v>81507</v>
      </c>
      <c r="E4167">
        <v>79.41</v>
      </c>
    </row>
    <row r="4168" spans="1:5" x14ac:dyDescent="0.2">
      <c r="A4168">
        <v>81520</v>
      </c>
      <c r="B4168" t="s">
        <v>11</v>
      </c>
      <c r="C4168">
        <v>81520</v>
      </c>
      <c r="D4168" t="str">
        <f>"81520"</f>
        <v>81520</v>
      </c>
      <c r="E4168">
        <v>61.92</v>
      </c>
    </row>
    <row r="4169" spans="1:5" x14ac:dyDescent="0.2">
      <c r="A4169">
        <v>81521</v>
      </c>
      <c r="B4169" t="s">
        <v>11</v>
      </c>
      <c r="C4169">
        <v>81521</v>
      </c>
      <c r="D4169" t="str">
        <f>"81521"</f>
        <v>81521</v>
      </c>
      <c r="E4169">
        <v>75.14</v>
      </c>
    </row>
    <row r="4170" spans="1:5" x14ac:dyDescent="0.2">
      <c r="A4170">
        <v>81522</v>
      </c>
      <c r="B4170" t="s">
        <v>11</v>
      </c>
      <c r="C4170">
        <v>81522</v>
      </c>
      <c r="D4170" t="str">
        <f>"81522"</f>
        <v>81522</v>
      </c>
      <c r="E4170" t="s">
        <v>6</v>
      </c>
    </row>
    <row r="4171" spans="1:5" x14ac:dyDescent="0.2">
      <c r="A4171">
        <v>81523</v>
      </c>
      <c r="B4171" t="s">
        <v>11</v>
      </c>
      <c r="C4171">
        <v>81523</v>
      </c>
      <c r="D4171" t="str">
        <f>"81523"</f>
        <v>81523</v>
      </c>
      <c r="E4171">
        <v>75.760000000000005</v>
      </c>
    </row>
    <row r="4172" spans="1:5" x14ac:dyDescent="0.2">
      <c r="A4172">
        <v>81524</v>
      </c>
      <c r="B4172" t="s">
        <v>11</v>
      </c>
      <c r="C4172">
        <v>81524</v>
      </c>
      <c r="D4172" t="str">
        <f>"81524"</f>
        <v>81524</v>
      </c>
      <c r="E4172">
        <v>75.790000000000006</v>
      </c>
    </row>
    <row r="4173" spans="1:5" x14ac:dyDescent="0.2">
      <c r="A4173">
        <v>81525</v>
      </c>
      <c r="B4173" t="s">
        <v>11</v>
      </c>
      <c r="C4173">
        <v>81525</v>
      </c>
      <c r="D4173" t="str">
        <f>"81525"</f>
        <v>81525</v>
      </c>
      <c r="E4173">
        <v>64.290000000000006</v>
      </c>
    </row>
    <row r="4174" spans="1:5" x14ac:dyDescent="0.2">
      <c r="A4174">
        <v>81526</v>
      </c>
      <c r="B4174" t="s">
        <v>11</v>
      </c>
      <c r="C4174">
        <v>81526</v>
      </c>
      <c r="D4174" t="str">
        <f>"81526"</f>
        <v>81526</v>
      </c>
      <c r="E4174">
        <v>73.66</v>
      </c>
    </row>
    <row r="4175" spans="1:5" x14ac:dyDescent="0.2">
      <c r="A4175">
        <v>81527</v>
      </c>
      <c r="B4175" t="s">
        <v>11</v>
      </c>
      <c r="C4175">
        <v>81527</v>
      </c>
      <c r="D4175" t="str">
        <f>"81527"</f>
        <v>81527</v>
      </c>
      <c r="E4175">
        <v>77.42</v>
      </c>
    </row>
    <row r="4176" spans="1:5" x14ac:dyDescent="0.2">
      <c r="A4176">
        <v>81601</v>
      </c>
      <c r="B4176" t="s">
        <v>11</v>
      </c>
      <c r="C4176">
        <v>81601</v>
      </c>
      <c r="D4176" t="str">
        <f>"81601"</f>
        <v>81601</v>
      </c>
      <c r="E4176">
        <v>75.56</v>
      </c>
    </row>
    <row r="4177" spans="1:5" x14ac:dyDescent="0.2">
      <c r="A4177">
        <v>81610</v>
      </c>
      <c r="B4177" t="s">
        <v>11</v>
      </c>
      <c r="C4177">
        <v>81610</v>
      </c>
      <c r="D4177" t="str">
        <f>"81610"</f>
        <v>81610</v>
      </c>
      <c r="E4177">
        <v>71.430000000000007</v>
      </c>
    </row>
    <row r="4178" spans="1:5" x14ac:dyDescent="0.2">
      <c r="A4178">
        <v>81611</v>
      </c>
      <c r="B4178" t="s">
        <v>11</v>
      </c>
      <c r="C4178">
        <v>81611</v>
      </c>
      <c r="D4178" t="str">
        <f>"81611"</f>
        <v>81611</v>
      </c>
      <c r="E4178">
        <v>81.13</v>
      </c>
    </row>
    <row r="4179" spans="1:5" x14ac:dyDescent="0.2">
      <c r="A4179">
        <v>81612</v>
      </c>
      <c r="B4179" t="s">
        <v>11</v>
      </c>
      <c r="C4179">
        <v>81612</v>
      </c>
      <c r="D4179" t="str">
        <f>"81612"</f>
        <v>81612</v>
      </c>
      <c r="E4179" t="s">
        <v>6</v>
      </c>
    </row>
    <row r="4180" spans="1:5" x14ac:dyDescent="0.2">
      <c r="A4180">
        <v>81615</v>
      </c>
      <c r="B4180" t="s">
        <v>11</v>
      </c>
      <c r="C4180">
        <v>81615</v>
      </c>
      <c r="D4180" t="str">
        <f>"81615"</f>
        <v>81615</v>
      </c>
      <c r="E4180" t="s">
        <v>6</v>
      </c>
    </row>
    <row r="4181" spans="1:5" x14ac:dyDescent="0.2">
      <c r="A4181">
        <v>81620</v>
      </c>
      <c r="B4181" t="s">
        <v>11</v>
      </c>
      <c r="C4181">
        <v>81620</v>
      </c>
      <c r="D4181" t="str">
        <f>"81620"</f>
        <v>81620</v>
      </c>
      <c r="E4181" t="s">
        <v>6</v>
      </c>
    </row>
    <row r="4182" spans="1:5" x14ac:dyDescent="0.2">
      <c r="A4182">
        <v>81621</v>
      </c>
      <c r="B4182" t="s">
        <v>11</v>
      </c>
      <c r="C4182">
        <v>81621</v>
      </c>
      <c r="D4182" t="str">
        <f>"81621"</f>
        <v>81621</v>
      </c>
      <c r="E4182">
        <v>78.8</v>
      </c>
    </row>
    <row r="4183" spans="1:5" x14ac:dyDescent="0.2">
      <c r="A4183">
        <v>81623</v>
      </c>
      <c r="B4183" t="s">
        <v>11</v>
      </c>
      <c r="C4183">
        <v>81623</v>
      </c>
      <c r="D4183" t="str">
        <f>"81623"</f>
        <v>81623</v>
      </c>
      <c r="E4183">
        <v>77.7</v>
      </c>
    </row>
    <row r="4184" spans="1:5" x14ac:dyDescent="0.2">
      <c r="A4184">
        <v>81624</v>
      </c>
      <c r="B4184" t="s">
        <v>11</v>
      </c>
      <c r="C4184">
        <v>81624</v>
      </c>
      <c r="D4184" t="str">
        <f>"81624"</f>
        <v>81624</v>
      </c>
      <c r="E4184">
        <v>69.81</v>
      </c>
    </row>
    <row r="4185" spans="1:5" x14ac:dyDescent="0.2">
      <c r="A4185">
        <v>81625</v>
      </c>
      <c r="B4185" t="s">
        <v>11</v>
      </c>
      <c r="C4185">
        <v>81625</v>
      </c>
      <c r="D4185" t="str">
        <f>"81625"</f>
        <v>81625</v>
      </c>
      <c r="E4185">
        <v>72.52</v>
      </c>
    </row>
    <row r="4186" spans="1:5" x14ac:dyDescent="0.2">
      <c r="A4186">
        <v>81630</v>
      </c>
      <c r="B4186" t="s">
        <v>11</v>
      </c>
      <c r="C4186">
        <v>81630</v>
      </c>
      <c r="D4186" t="str">
        <f>"81630"</f>
        <v>81630</v>
      </c>
      <c r="E4186">
        <v>70</v>
      </c>
    </row>
    <row r="4187" spans="1:5" x14ac:dyDescent="0.2">
      <c r="A4187">
        <v>81631</v>
      </c>
      <c r="B4187" t="s">
        <v>11</v>
      </c>
      <c r="C4187">
        <v>81631</v>
      </c>
      <c r="D4187" t="str">
        <f>"81631"</f>
        <v>81631</v>
      </c>
      <c r="E4187" t="s">
        <v>6</v>
      </c>
    </row>
    <row r="4188" spans="1:5" x14ac:dyDescent="0.2">
      <c r="A4188">
        <v>81632</v>
      </c>
      <c r="B4188" t="s">
        <v>11</v>
      </c>
      <c r="C4188">
        <v>81632</v>
      </c>
      <c r="D4188" t="str">
        <f>"81632"</f>
        <v>81632</v>
      </c>
      <c r="E4188">
        <v>77.7</v>
      </c>
    </row>
    <row r="4189" spans="1:5" x14ac:dyDescent="0.2">
      <c r="A4189">
        <v>81633</v>
      </c>
      <c r="B4189" t="s">
        <v>11</v>
      </c>
      <c r="C4189">
        <v>81633</v>
      </c>
      <c r="D4189" t="str">
        <f>"81633"</f>
        <v>81633</v>
      </c>
      <c r="E4189" t="s">
        <v>6</v>
      </c>
    </row>
    <row r="4190" spans="1:5" x14ac:dyDescent="0.2">
      <c r="A4190">
        <v>81635</v>
      </c>
      <c r="B4190" t="s">
        <v>11</v>
      </c>
      <c r="C4190">
        <v>81635</v>
      </c>
      <c r="D4190" t="str">
        <f>"81635"</f>
        <v>81635</v>
      </c>
      <c r="E4190">
        <v>69.180000000000007</v>
      </c>
    </row>
    <row r="4191" spans="1:5" x14ac:dyDescent="0.2">
      <c r="A4191">
        <v>81637</v>
      </c>
      <c r="B4191" t="s">
        <v>11</v>
      </c>
      <c r="C4191">
        <v>81637</v>
      </c>
      <c r="D4191" t="str">
        <f>"81637"</f>
        <v>81637</v>
      </c>
      <c r="E4191">
        <v>77.349999999999994</v>
      </c>
    </row>
    <row r="4192" spans="1:5" x14ac:dyDescent="0.2">
      <c r="A4192">
        <v>81638</v>
      </c>
      <c r="B4192" t="s">
        <v>11</v>
      </c>
      <c r="C4192">
        <v>81638</v>
      </c>
      <c r="D4192" t="str">
        <f>"81638"</f>
        <v>81638</v>
      </c>
      <c r="E4192" t="s">
        <v>6</v>
      </c>
    </row>
    <row r="4193" spans="1:5" x14ac:dyDescent="0.2">
      <c r="A4193">
        <v>81639</v>
      </c>
      <c r="B4193" t="s">
        <v>11</v>
      </c>
      <c r="C4193">
        <v>81639</v>
      </c>
      <c r="D4193" t="str">
        <f>"81639"</f>
        <v>81639</v>
      </c>
      <c r="E4193">
        <v>81.650000000000006</v>
      </c>
    </row>
    <row r="4194" spans="1:5" x14ac:dyDescent="0.2">
      <c r="A4194">
        <v>81640</v>
      </c>
      <c r="B4194" t="s">
        <v>11</v>
      </c>
      <c r="C4194">
        <v>81640</v>
      </c>
      <c r="D4194" t="str">
        <f>"81640"</f>
        <v>81640</v>
      </c>
      <c r="E4194">
        <v>80</v>
      </c>
    </row>
    <row r="4195" spans="1:5" x14ac:dyDescent="0.2">
      <c r="A4195">
        <v>81641</v>
      </c>
      <c r="B4195" t="s">
        <v>11</v>
      </c>
      <c r="C4195">
        <v>81641</v>
      </c>
      <c r="D4195" t="str">
        <f>"81641"</f>
        <v>81641</v>
      </c>
      <c r="E4195">
        <v>73.62</v>
      </c>
    </row>
    <row r="4196" spans="1:5" x14ac:dyDescent="0.2">
      <c r="A4196">
        <v>81642</v>
      </c>
      <c r="B4196" t="s">
        <v>11</v>
      </c>
      <c r="C4196">
        <v>81642</v>
      </c>
      <c r="D4196" t="str">
        <f>"81642"</f>
        <v>81642</v>
      </c>
      <c r="E4196" t="s">
        <v>6</v>
      </c>
    </row>
    <row r="4197" spans="1:5" x14ac:dyDescent="0.2">
      <c r="A4197">
        <v>81643</v>
      </c>
      <c r="B4197" t="s">
        <v>11</v>
      </c>
      <c r="C4197">
        <v>81643</v>
      </c>
      <c r="D4197" t="str">
        <f>"81643"</f>
        <v>81643</v>
      </c>
      <c r="E4197" t="s">
        <v>6</v>
      </c>
    </row>
    <row r="4198" spans="1:5" x14ac:dyDescent="0.2">
      <c r="A4198">
        <v>81645</v>
      </c>
      <c r="B4198" t="s">
        <v>11</v>
      </c>
      <c r="C4198">
        <v>81645</v>
      </c>
      <c r="D4198" t="str">
        <f>"81645"</f>
        <v>81645</v>
      </c>
      <c r="E4198" t="s">
        <v>6</v>
      </c>
    </row>
    <row r="4199" spans="1:5" x14ac:dyDescent="0.2">
      <c r="A4199">
        <v>81646</v>
      </c>
      <c r="B4199" t="s">
        <v>11</v>
      </c>
      <c r="C4199">
        <v>81646</v>
      </c>
      <c r="D4199" t="str">
        <f>"81646"</f>
        <v>81646</v>
      </c>
      <c r="E4199" t="s">
        <v>6</v>
      </c>
    </row>
    <row r="4200" spans="1:5" x14ac:dyDescent="0.2">
      <c r="A4200">
        <v>81647</v>
      </c>
      <c r="B4200" t="s">
        <v>11</v>
      </c>
      <c r="C4200">
        <v>81647</v>
      </c>
      <c r="D4200" t="str">
        <f>"81647"</f>
        <v>81647</v>
      </c>
      <c r="E4200">
        <v>75.459999999999994</v>
      </c>
    </row>
    <row r="4201" spans="1:5" x14ac:dyDescent="0.2">
      <c r="A4201">
        <v>81648</v>
      </c>
      <c r="B4201" t="s">
        <v>11</v>
      </c>
      <c r="C4201">
        <v>81648</v>
      </c>
      <c r="D4201" t="str">
        <f>"81648"</f>
        <v>81648</v>
      </c>
      <c r="E4201">
        <v>78.349999999999994</v>
      </c>
    </row>
    <row r="4202" spans="1:5" x14ac:dyDescent="0.2">
      <c r="A4202">
        <v>81649</v>
      </c>
      <c r="B4202" t="s">
        <v>11</v>
      </c>
      <c r="C4202">
        <v>81649</v>
      </c>
      <c r="D4202" t="str">
        <f>"81649"</f>
        <v>81649</v>
      </c>
      <c r="E4202" t="s">
        <v>6</v>
      </c>
    </row>
    <row r="4203" spans="1:5" x14ac:dyDescent="0.2">
      <c r="A4203">
        <v>81650</v>
      </c>
      <c r="B4203" t="s">
        <v>11</v>
      </c>
      <c r="C4203">
        <v>81650</v>
      </c>
      <c r="D4203" t="str">
        <f>"81650"</f>
        <v>81650</v>
      </c>
      <c r="E4203">
        <v>70.58</v>
      </c>
    </row>
    <row r="4204" spans="1:5" x14ac:dyDescent="0.2">
      <c r="A4204">
        <v>81652</v>
      </c>
      <c r="B4204" t="s">
        <v>11</v>
      </c>
      <c r="C4204">
        <v>81652</v>
      </c>
      <c r="D4204" t="str">
        <f>"81652"</f>
        <v>81652</v>
      </c>
      <c r="E4204">
        <v>75.31</v>
      </c>
    </row>
    <row r="4205" spans="1:5" x14ac:dyDescent="0.2">
      <c r="A4205">
        <v>81653</v>
      </c>
      <c r="B4205" t="s">
        <v>11</v>
      </c>
      <c r="C4205">
        <v>81653</v>
      </c>
      <c r="D4205" t="str">
        <f>"81653"</f>
        <v>81653</v>
      </c>
      <c r="E4205" t="s">
        <v>6</v>
      </c>
    </row>
    <row r="4206" spans="1:5" x14ac:dyDescent="0.2">
      <c r="A4206">
        <v>81654</v>
      </c>
      <c r="B4206" t="s">
        <v>11</v>
      </c>
      <c r="C4206">
        <v>81654</v>
      </c>
      <c r="D4206" t="str">
        <f>"81654"</f>
        <v>81654</v>
      </c>
      <c r="E4206">
        <v>80.88</v>
      </c>
    </row>
    <row r="4207" spans="1:5" x14ac:dyDescent="0.2">
      <c r="A4207">
        <v>81655</v>
      </c>
      <c r="B4207" t="s">
        <v>11</v>
      </c>
      <c r="C4207">
        <v>81655</v>
      </c>
      <c r="D4207" t="str">
        <f>"81655"</f>
        <v>81655</v>
      </c>
      <c r="E4207" t="s">
        <v>6</v>
      </c>
    </row>
    <row r="4208" spans="1:5" x14ac:dyDescent="0.2">
      <c r="A4208">
        <v>81656</v>
      </c>
      <c r="B4208" t="s">
        <v>11</v>
      </c>
      <c r="C4208">
        <v>81656</v>
      </c>
      <c r="D4208" t="str">
        <f>"81656"</f>
        <v>81656</v>
      </c>
      <c r="E4208" t="s">
        <v>6</v>
      </c>
    </row>
    <row r="4209" spans="1:5" x14ac:dyDescent="0.2">
      <c r="A4209">
        <v>81657</v>
      </c>
      <c r="B4209" t="s">
        <v>11</v>
      </c>
      <c r="C4209">
        <v>81657</v>
      </c>
      <c r="D4209" t="str">
        <f>"81657"</f>
        <v>81657</v>
      </c>
      <c r="E4209">
        <v>83.64</v>
      </c>
    </row>
    <row r="4210" spans="1:5" x14ac:dyDescent="0.2">
      <c r="A4210" t="str">
        <f>"06001"</f>
        <v>06001</v>
      </c>
      <c r="B4210" t="s">
        <v>12</v>
      </c>
      <c r="C4210">
        <v>6001</v>
      </c>
      <c r="D4210" t="str">
        <f>"06001"</f>
        <v>06001</v>
      </c>
      <c r="E4210">
        <v>82.4</v>
      </c>
    </row>
    <row r="4211" spans="1:5" x14ac:dyDescent="0.2">
      <c r="A4211" t="str">
        <f>"06002"</f>
        <v>06002</v>
      </c>
      <c r="B4211" t="s">
        <v>12</v>
      </c>
      <c r="C4211">
        <v>6002</v>
      </c>
      <c r="D4211" t="str">
        <f>"06002"</f>
        <v>06002</v>
      </c>
      <c r="E4211">
        <v>78.34</v>
      </c>
    </row>
    <row r="4212" spans="1:5" x14ac:dyDescent="0.2">
      <c r="A4212" t="str">
        <f>"06010"</f>
        <v>06010</v>
      </c>
      <c r="B4212" t="s">
        <v>12</v>
      </c>
      <c r="C4212">
        <v>6010</v>
      </c>
      <c r="D4212" t="str">
        <f>"06010"</f>
        <v>06010</v>
      </c>
      <c r="E4212">
        <v>76.47</v>
      </c>
    </row>
    <row r="4213" spans="1:5" x14ac:dyDescent="0.2">
      <c r="A4213" t="str">
        <f>"06013"</f>
        <v>06013</v>
      </c>
      <c r="B4213" t="s">
        <v>12</v>
      </c>
      <c r="C4213">
        <v>6013</v>
      </c>
      <c r="D4213" t="str">
        <f>"06013"</f>
        <v>06013</v>
      </c>
      <c r="E4213">
        <v>82.77</v>
      </c>
    </row>
    <row r="4214" spans="1:5" x14ac:dyDescent="0.2">
      <c r="A4214" t="str">
        <f>"06016"</f>
        <v>06016</v>
      </c>
      <c r="B4214" t="s">
        <v>12</v>
      </c>
      <c r="C4214">
        <v>6016</v>
      </c>
      <c r="D4214" t="str">
        <f>"06016"</f>
        <v>06016</v>
      </c>
      <c r="E4214">
        <v>80.12</v>
      </c>
    </row>
    <row r="4215" spans="1:5" x14ac:dyDescent="0.2">
      <c r="A4215" t="str">
        <f>"06018"</f>
        <v>06018</v>
      </c>
      <c r="B4215" t="s">
        <v>12</v>
      </c>
      <c r="C4215">
        <v>6018</v>
      </c>
      <c r="D4215" t="str">
        <f>"06018"</f>
        <v>06018</v>
      </c>
      <c r="E4215">
        <v>73.760000000000005</v>
      </c>
    </row>
    <row r="4216" spans="1:5" x14ac:dyDescent="0.2">
      <c r="A4216" t="str">
        <f>"06019"</f>
        <v>06019</v>
      </c>
      <c r="B4216" t="s">
        <v>12</v>
      </c>
      <c r="C4216">
        <v>6019</v>
      </c>
      <c r="D4216" t="str">
        <f>"06019"</f>
        <v>06019</v>
      </c>
      <c r="E4216">
        <v>83.2</v>
      </c>
    </row>
    <row r="4217" spans="1:5" x14ac:dyDescent="0.2">
      <c r="A4217" t="str">
        <f>"06021"</f>
        <v>06021</v>
      </c>
      <c r="B4217" t="s">
        <v>12</v>
      </c>
      <c r="C4217">
        <v>6021</v>
      </c>
      <c r="D4217" t="str">
        <f>"06021"</f>
        <v>06021</v>
      </c>
      <c r="E4217">
        <v>79.17</v>
      </c>
    </row>
    <row r="4218" spans="1:5" x14ac:dyDescent="0.2">
      <c r="A4218" t="str">
        <f>"06022"</f>
        <v>06022</v>
      </c>
      <c r="B4218" t="s">
        <v>12</v>
      </c>
      <c r="C4218">
        <v>6022</v>
      </c>
      <c r="D4218" t="str">
        <f>"06022"</f>
        <v>06022</v>
      </c>
      <c r="E4218" t="s">
        <v>6</v>
      </c>
    </row>
    <row r="4219" spans="1:5" x14ac:dyDescent="0.2">
      <c r="A4219" t="str">
        <f>"06023"</f>
        <v>06023</v>
      </c>
      <c r="B4219" t="s">
        <v>12</v>
      </c>
      <c r="C4219">
        <v>6023</v>
      </c>
      <c r="D4219" t="str">
        <f>"06023"</f>
        <v>06023</v>
      </c>
      <c r="E4219">
        <v>81.69</v>
      </c>
    </row>
    <row r="4220" spans="1:5" x14ac:dyDescent="0.2">
      <c r="A4220" t="str">
        <f>"06024"</f>
        <v>06024</v>
      </c>
      <c r="B4220" t="s">
        <v>12</v>
      </c>
      <c r="C4220">
        <v>6024</v>
      </c>
      <c r="D4220" t="str">
        <f>"06024"</f>
        <v>06024</v>
      </c>
      <c r="E4220">
        <v>75</v>
      </c>
    </row>
    <row r="4221" spans="1:5" x14ac:dyDescent="0.2">
      <c r="A4221" t="str">
        <f>"06026"</f>
        <v>06026</v>
      </c>
      <c r="B4221" t="s">
        <v>12</v>
      </c>
      <c r="C4221">
        <v>6026</v>
      </c>
      <c r="D4221" t="str">
        <f>"06026"</f>
        <v>06026</v>
      </c>
      <c r="E4221">
        <v>83.08</v>
      </c>
    </row>
    <row r="4222" spans="1:5" x14ac:dyDescent="0.2">
      <c r="A4222" t="str">
        <f>"06027"</f>
        <v>06027</v>
      </c>
      <c r="B4222" t="s">
        <v>12</v>
      </c>
      <c r="C4222">
        <v>6027</v>
      </c>
      <c r="D4222" t="str">
        <f>"06027"</f>
        <v>06027</v>
      </c>
      <c r="E4222">
        <v>83.78</v>
      </c>
    </row>
    <row r="4223" spans="1:5" x14ac:dyDescent="0.2">
      <c r="A4223" t="str">
        <f>"06029"</f>
        <v>06029</v>
      </c>
      <c r="B4223" t="s">
        <v>12</v>
      </c>
      <c r="C4223">
        <v>6029</v>
      </c>
      <c r="D4223" t="str">
        <f>"06029"</f>
        <v>06029</v>
      </c>
      <c r="E4223">
        <v>84.33</v>
      </c>
    </row>
    <row r="4224" spans="1:5" x14ac:dyDescent="0.2">
      <c r="A4224" t="str">
        <f>"06031"</f>
        <v>06031</v>
      </c>
      <c r="B4224" t="s">
        <v>12</v>
      </c>
      <c r="C4224">
        <v>6031</v>
      </c>
      <c r="D4224" t="str">
        <f>"06031"</f>
        <v>06031</v>
      </c>
      <c r="E4224">
        <v>78.95</v>
      </c>
    </row>
    <row r="4225" spans="1:5" x14ac:dyDescent="0.2">
      <c r="A4225" t="str">
        <f>"06032"</f>
        <v>06032</v>
      </c>
      <c r="B4225" t="s">
        <v>12</v>
      </c>
      <c r="C4225">
        <v>6032</v>
      </c>
      <c r="D4225" t="str">
        <f>"06032"</f>
        <v>06032</v>
      </c>
      <c r="E4225">
        <v>82.92</v>
      </c>
    </row>
    <row r="4226" spans="1:5" x14ac:dyDescent="0.2">
      <c r="A4226" t="str">
        <f>"06033"</f>
        <v>06033</v>
      </c>
      <c r="B4226" t="s">
        <v>12</v>
      </c>
      <c r="C4226">
        <v>6033</v>
      </c>
      <c r="D4226" t="str">
        <f>"06033"</f>
        <v>06033</v>
      </c>
      <c r="E4226">
        <v>82.9</v>
      </c>
    </row>
    <row r="4227" spans="1:5" x14ac:dyDescent="0.2">
      <c r="A4227" t="str">
        <f>"06035"</f>
        <v>06035</v>
      </c>
      <c r="B4227" t="s">
        <v>12</v>
      </c>
      <c r="C4227">
        <v>6035</v>
      </c>
      <c r="D4227" t="str">
        <f>"06035"</f>
        <v>06035</v>
      </c>
      <c r="E4227">
        <v>82.13</v>
      </c>
    </row>
    <row r="4228" spans="1:5" x14ac:dyDescent="0.2">
      <c r="A4228" t="str">
        <f>"06037"</f>
        <v>06037</v>
      </c>
      <c r="B4228" t="s">
        <v>12</v>
      </c>
      <c r="C4228">
        <v>6037</v>
      </c>
      <c r="D4228" t="str">
        <f>"06037"</f>
        <v>06037</v>
      </c>
      <c r="E4228">
        <v>81.489999999999995</v>
      </c>
    </row>
    <row r="4229" spans="1:5" x14ac:dyDescent="0.2">
      <c r="A4229" t="str">
        <f>"06039"</f>
        <v>06039</v>
      </c>
      <c r="B4229" t="s">
        <v>12</v>
      </c>
      <c r="C4229">
        <v>6039</v>
      </c>
      <c r="D4229" t="str">
        <f>"06039"</f>
        <v>06039</v>
      </c>
      <c r="E4229">
        <v>76.849999999999994</v>
      </c>
    </row>
    <row r="4230" spans="1:5" x14ac:dyDescent="0.2">
      <c r="A4230" t="str">
        <f>"06040"</f>
        <v>06040</v>
      </c>
      <c r="B4230" t="s">
        <v>12</v>
      </c>
      <c r="C4230">
        <v>6040</v>
      </c>
      <c r="D4230" t="str">
        <f>"06040"</f>
        <v>06040</v>
      </c>
      <c r="E4230">
        <v>75.349999999999994</v>
      </c>
    </row>
    <row r="4231" spans="1:5" x14ac:dyDescent="0.2">
      <c r="A4231" t="str">
        <f>"06041"</f>
        <v>06041</v>
      </c>
      <c r="B4231" t="s">
        <v>12</v>
      </c>
      <c r="C4231">
        <v>6041</v>
      </c>
      <c r="D4231" t="str">
        <f>"06041"</f>
        <v>06041</v>
      </c>
      <c r="E4231" t="s">
        <v>6</v>
      </c>
    </row>
    <row r="4232" spans="1:5" x14ac:dyDescent="0.2">
      <c r="A4232" t="str">
        <f>"06042"</f>
        <v>06042</v>
      </c>
      <c r="B4232" t="s">
        <v>12</v>
      </c>
      <c r="C4232">
        <v>6042</v>
      </c>
      <c r="D4232" t="str">
        <f>"06042"</f>
        <v>06042</v>
      </c>
      <c r="E4232">
        <v>80.849999999999994</v>
      </c>
    </row>
    <row r="4233" spans="1:5" x14ac:dyDescent="0.2">
      <c r="A4233" t="str">
        <f>"06043"</f>
        <v>06043</v>
      </c>
      <c r="B4233" t="s">
        <v>12</v>
      </c>
      <c r="C4233">
        <v>6043</v>
      </c>
      <c r="D4233" t="str">
        <f>"06043"</f>
        <v>06043</v>
      </c>
      <c r="E4233">
        <v>83.01</v>
      </c>
    </row>
    <row r="4234" spans="1:5" x14ac:dyDescent="0.2">
      <c r="A4234" t="str">
        <f>"06051"</f>
        <v>06051</v>
      </c>
      <c r="B4234" t="s">
        <v>12</v>
      </c>
      <c r="C4234">
        <v>6051</v>
      </c>
      <c r="D4234" t="str">
        <f>"06051"</f>
        <v>06051</v>
      </c>
      <c r="E4234">
        <v>57.62</v>
      </c>
    </row>
    <row r="4235" spans="1:5" x14ac:dyDescent="0.2">
      <c r="A4235" t="str">
        <f>"06052"</f>
        <v>06052</v>
      </c>
      <c r="B4235" t="s">
        <v>12</v>
      </c>
      <c r="C4235">
        <v>6052</v>
      </c>
      <c r="D4235" t="str">
        <f>"06052"</f>
        <v>06052</v>
      </c>
      <c r="E4235">
        <v>73.37</v>
      </c>
    </row>
    <row r="4236" spans="1:5" x14ac:dyDescent="0.2">
      <c r="A4236" t="str">
        <f>"06053"</f>
        <v>06053</v>
      </c>
      <c r="B4236" t="s">
        <v>12</v>
      </c>
      <c r="C4236">
        <v>6053</v>
      </c>
      <c r="D4236" t="str">
        <f>"06053"</f>
        <v>06053</v>
      </c>
      <c r="E4236">
        <v>68.86</v>
      </c>
    </row>
    <row r="4237" spans="1:5" x14ac:dyDescent="0.2">
      <c r="A4237" t="str">
        <f>"06057"</f>
        <v>06057</v>
      </c>
      <c r="B4237" t="s">
        <v>12</v>
      </c>
      <c r="C4237">
        <v>6057</v>
      </c>
      <c r="D4237" t="str">
        <f>"06057"</f>
        <v>06057</v>
      </c>
      <c r="E4237">
        <v>81.400000000000006</v>
      </c>
    </row>
    <row r="4238" spans="1:5" x14ac:dyDescent="0.2">
      <c r="A4238" t="str">
        <f>"06058"</f>
        <v>06058</v>
      </c>
      <c r="B4238" t="s">
        <v>12</v>
      </c>
      <c r="C4238">
        <v>6058</v>
      </c>
      <c r="D4238" t="str">
        <f>"06058"</f>
        <v>06058</v>
      </c>
      <c r="E4238">
        <v>76.540000000000006</v>
      </c>
    </row>
    <row r="4239" spans="1:5" x14ac:dyDescent="0.2">
      <c r="A4239" t="str">
        <f>"06060"</f>
        <v>06060</v>
      </c>
      <c r="B4239" t="s">
        <v>12</v>
      </c>
      <c r="C4239">
        <v>6060</v>
      </c>
      <c r="D4239" t="str">
        <f>"06060"</f>
        <v>06060</v>
      </c>
      <c r="E4239">
        <v>83.33</v>
      </c>
    </row>
    <row r="4240" spans="1:5" x14ac:dyDescent="0.2">
      <c r="A4240" t="str">
        <f>"06062"</f>
        <v>06062</v>
      </c>
      <c r="B4240" t="s">
        <v>12</v>
      </c>
      <c r="C4240">
        <v>6062</v>
      </c>
      <c r="D4240" t="str">
        <f>"06062"</f>
        <v>06062</v>
      </c>
      <c r="E4240">
        <v>80.34</v>
      </c>
    </row>
    <row r="4241" spans="1:5" x14ac:dyDescent="0.2">
      <c r="A4241" t="str">
        <f>"06063"</f>
        <v>06063</v>
      </c>
      <c r="B4241" t="s">
        <v>12</v>
      </c>
      <c r="C4241">
        <v>6063</v>
      </c>
      <c r="D4241" t="str">
        <f>"06063"</f>
        <v>06063</v>
      </c>
      <c r="E4241">
        <v>81.069999999999993</v>
      </c>
    </row>
    <row r="4242" spans="1:5" x14ac:dyDescent="0.2">
      <c r="A4242" t="str">
        <f>"06065"</f>
        <v>06065</v>
      </c>
      <c r="B4242" t="s">
        <v>12</v>
      </c>
      <c r="C4242">
        <v>6065</v>
      </c>
      <c r="D4242" t="str">
        <f>"06065"</f>
        <v>06065</v>
      </c>
      <c r="E4242">
        <v>81.58</v>
      </c>
    </row>
    <row r="4243" spans="1:5" x14ac:dyDescent="0.2">
      <c r="A4243" t="str">
        <f>"06066"</f>
        <v>06066</v>
      </c>
      <c r="B4243" t="s">
        <v>12</v>
      </c>
      <c r="C4243">
        <v>6066</v>
      </c>
      <c r="D4243" t="str">
        <f>"06066"</f>
        <v>06066</v>
      </c>
      <c r="E4243">
        <v>79.59</v>
      </c>
    </row>
    <row r="4244" spans="1:5" x14ac:dyDescent="0.2">
      <c r="A4244" t="str">
        <f>"06067"</f>
        <v>06067</v>
      </c>
      <c r="B4244" t="s">
        <v>12</v>
      </c>
      <c r="C4244">
        <v>6067</v>
      </c>
      <c r="D4244" t="str">
        <f>"06067"</f>
        <v>06067</v>
      </c>
      <c r="E4244">
        <v>84.25</v>
      </c>
    </row>
    <row r="4245" spans="1:5" x14ac:dyDescent="0.2">
      <c r="A4245" t="str">
        <f>"06068"</f>
        <v>06068</v>
      </c>
      <c r="B4245" t="s">
        <v>12</v>
      </c>
      <c r="C4245">
        <v>6068</v>
      </c>
      <c r="D4245" t="str">
        <f>"06068"</f>
        <v>06068</v>
      </c>
      <c r="E4245">
        <v>75.34</v>
      </c>
    </row>
    <row r="4246" spans="1:5" x14ac:dyDescent="0.2">
      <c r="A4246" t="str">
        <f>"06069"</f>
        <v>06069</v>
      </c>
      <c r="B4246" t="s">
        <v>12</v>
      </c>
      <c r="C4246">
        <v>6069</v>
      </c>
      <c r="D4246" t="str">
        <f>"06069"</f>
        <v>06069</v>
      </c>
      <c r="E4246">
        <v>74.56</v>
      </c>
    </row>
    <row r="4247" spans="1:5" x14ac:dyDescent="0.2">
      <c r="A4247" t="str">
        <f>"06070"</f>
        <v>06070</v>
      </c>
      <c r="B4247" t="s">
        <v>12</v>
      </c>
      <c r="C4247">
        <v>6070</v>
      </c>
      <c r="D4247" t="str">
        <f>"06070"</f>
        <v>06070</v>
      </c>
      <c r="E4247">
        <v>81.78</v>
      </c>
    </row>
    <row r="4248" spans="1:5" x14ac:dyDescent="0.2">
      <c r="A4248" t="str">
        <f>"06071"</f>
        <v>06071</v>
      </c>
      <c r="B4248" t="s">
        <v>12</v>
      </c>
      <c r="C4248">
        <v>6071</v>
      </c>
      <c r="D4248" t="str">
        <f>"06071"</f>
        <v>06071</v>
      </c>
      <c r="E4248">
        <v>82.82</v>
      </c>
    </row>
    <row r="4249" spans="1:5" x14ac:dyDescent="0.2">
      <c r="A4249" t="str">
        <f>"06073"</f>
        <v>06073</v>
      </c>
      <c r="B4249" t="s">
        <v>12</v>
      </c>
      <c r="C4249">
        <v>6073</v>
      </c>
      <c r="D4249" t="str">
        <f>"06073"</f>
        <v>06073</v>
      </c>
      <c r="E4249">
        <v>83.28</v>
      </c>
    </row>
    <row r="4250" spans="1:5" x14ac:dyDescent="0.2">
      <c r="A4250" t="str">
        <f>"06074"</f>
        <v>06074</v>
      </c>
      <c r="B4250" t="s">
        <v>12</v>
      </c>
      <c r="C4250">
        <v>6074</v>
      </c>
      <c r="D4250" t="str">
        <f>"06074"</f>
        <v>06074</v>
      </c>
      <c r="E4250">
        <v>83.11</v>
      </c>
    </row>
    <row r="4251" spans="1:5" x14ac:dyDescent="0.2">
      <c r="A4251" t="str">
        <f>"06076"</f>
        <v>06076</v>
      </c>
      <c r="B4251" t="s">
        <v>12</v>
      </c>
      <c r="C4251">
        <v>6076</v>
      </c>
      <c r="D4251" t="str">
        <f>"06076"</f>
        <v>06076</v>
      </c>
      <c r="E4251">
        <v>80.400000000000006</v>
      </c>
    </row>
    <row r="4252" spans="1:5" x14ac:dyDescent="0.2">
      <c r="A4252" t="str">
        <f>"06078"</f>
        <v>06078</v>
      </c>
      <c r="B4252" t="s">
        <v>12</v>
      </c>
      <c r="C4252">
        <v>6078</v>
      </c>
      <c r="D4252" t="str">
        <f>"06078"</f>
        <v>06078</v>
      </c>
      <c r="E4252">
        <v>81.59</v>
      </c>
    </row>
    <row r="4253" spans="1:5" x14ac:dyDescent="0.2">
      <c r="A4253" t="str">
        <f>"06081"</f>
        <v>06081</v>
      </c>
      <c r="B4253" t="s">
        <v>12</v>
      </c>
      <c r="C4253">
        <v>6081</v>
      </c>
      <c r="D4253" t="str">
        <f>"06081"</f>
        <v>06081</v>
      </c>
      <c r="E4253">
        <v>78.67</v>
      </c>
    </row>
    <row r="4254" spans="1:5" x14ac:dyDescent="0.2">
      <c r="A4254" t="str">
        <f>"06082"</f>
        <v>06082</v>
      </c>
      <c r="B4254" t="s">
        <v>12</v>
      </c>
      <c r="C4254">
        <v>6082</v>
      </c>
      <c r="D4254" t="str">
        <f>"06082"</f>
        <v>06082</v>
      </c>
      <c r="E4254">
        <v>80.39</v>
      </c>
    </row>
    <row r="4255" spans="1:5" x14ac:dyDescent="0.2">
      <c r="A4255" t="str">
        <f>"06084"</f>
        <v>06084</v>
      </c>
      <c r="B4255" t="s">
        <v>12</v>
      </c>
      <c r="C4255">
        <v>6084</v>
      </c>
      <c r="D4255" t="str">
        <f>"06084"</f>
        <v>06084</v>
      </c>
      <c r="E4255">
        <v>83.7</v>
      </c>
    </row>
    <row r="4256" spans="1:5" x14ac:dyDescent="0.2">
      <c r="A4256" t="str">
        <f>"06085"</f>
        <v>06085</v>
      </c>
      <c r="B4256" t="s">
        <v>12</v>
      </c>
      <c r="C4256">
        <v>6085</v>
      </c>
      <c r="D4256" t="str">
        <f>"06085"</f>
        <v>06085</v>
      </c>
      <c r="E4256">
        <v>82.4</v>
      </c>
    </row>
    <row r="4257" spans="1:5" x14ac:dyDescent="0.2">
      <c r="A4257" t="str">
        <f>"06088"</f>
        <v>06088</v>
      </c>
      <c r="B4257" t="s">
        <v>12</v>
      </c>
      <c r="C4257">
        <v>6088</v>
      </c>
      <c r="D4257" t="str">
        <f>"06088"</f>
        <v>06088</v>
      </c>
      <c r="E4257">
        <v>81.58</v>
      </c>
    </row>
    <row r="4258" spans="1:5" x14ac:dyDescent="0.2">
      <c r="A4258" t="str">
        <f>"06089"</f>
        <v>06089</v>
      </c>
      <c r="B4258" t="s">
        <v>12</v>
      </c>
      <c r="C4258">
        <v>6089</v>
      </c>
      <c r="D4258" t="str">
        <f>"06089"</f>
        <v>06089</v>
      </c>
      <c r="E4258">
        <v>82.42</v>
      </c>
    </row>
    <row r="4259" spans="1:5" x14ac:dyDescent="0.2">
      <c r="A4259" t="str">
        <f>"06090"</f>
        <v>06090</v>
      </c>
      <c r="B4259" t="s">
        <v>12</v>
      </c>
      <c r="C4259">
        <v>6090</v>
      </c>
      <c r="D4259" t="str">
        <f>"06090"</f>
        <v>06090</v>
      </c>
      <c r="E4259">
        <v>85.96</v>
      </c>
    </row>
    <row r="4260" spans="1:5" x14ac:dyDescent="0.2">
      <c r="A4260" t="str">
        <f>"06091"</f>
        <v>06091</v>
      </c>
      <c r="B4260" t="s">
        <v>12</v>
      </c>
      <c r="C4260">
        <v>6091</v>
      </c>
      <c r="D4260" t="str">
        <f>"06091"</f>
        <v>06091</v>
      </c>
      <c r="E4260" t="s">
        <v>6</v>
      </c>
    </row>
    <row r="4261" spans="1:5" x14ac:dyDescent="0.2">
      <c r="A4261" t="str">
        <f>"06092"</f>
        <v>06092</v>
      </c>
      <c r="B4261" t="s">
        <v>12</v>
      </c>
      <c r="C4261">
        <v>6092</v>
      </c>
      <c r="D4261" t="str">
        <f>"06092"</f>
        <v>06092</v>
      </c>
      <c r="E4261">
        <v>81.31</v>
      </c>
    </row>
    <row r="4262" spans="1:5" x14ac:dyDescent="0.2">
      <c r="A4262" t="str">
        <f>"06093"</f>
        <v>06093</v>
      </c>
      <c r="B4262" t="s">
        <v>12</v>
      </c>
      <c r="C4262">
        <v>6093</v>
      </c>
      <c r="D4262" t="str">
        <f>"06093"</f>
        <v>06093</v>
      </c>
      <c r="E4262">
        <v>83.61</v>
      </c>
    </row>
    <row r="4263" spans="1:5" x14ac:dyDescent="0.2">
      <c r="A4263" t="str">
        <f>"06095"</f>
        <v>06095</v>
      </c>
      <c r="B4263" t="s">
        <v>12</v>
      </c>
      <c r="C4263">
        <v>6095</v>
      </c>
      <c r="D4263" t="str">
        <f>"06095"</f>
        <v>06095</v>
      </c>
      <c r="E4263">
        <v>79.27</v>
      </c>
    </row>
    <row r="4264" spans="1:5" x14ac:dyDescent="0.2">
      <c r="A4264" t="str">
        <f>"06096"</f>
        <v>06096</v>
      </c>
      <c r="B4264" t="s">
        <v>12</v>
      </c>
      <c r="C4264">
        <v>6096</v>
      </c>
      <c r="D4264" t="str">
        <f>"06096"</f>
        <v>06096</v>
      </c>
      <c r="E4264">
        <v>80.03</v>
      </c>
    </row>
    <row r="4265" spans="1:5" x14ac:dyDescent="0.2">
      <c r="A4265" t="str">
        <f>"06098"</f>
        <v>06098</v>
      </c>
      <c r="B4265" t="s">
        <v>12</v>
      </c>
      <c r="C4265">
        <v>6098</v>
      </c>
      <c r="D4265" t="str">
        <f>"06098"</f>
        <v>06098</v>
      </c>
      <c r="E4265">
        <v>76.34</v>
      </c>
    </row>
    <row r="4266" spans="1:5" x14ac:dyDescent="0.2">
      <c r="A4266" t="str">
        <f>"06103"</f>
        <v>06103</v>
      </c>
      <c r="B4266" t="s">
        <v>12</v>
      </c>
      <c r="C4266">
        <v>6103</v>
      </c>
      <c r="D4266" t="str">
        <f>"06103"</f>
        <v>06103</v>
      </c>
      <c r="E4266">
        <v>88.41</v>
      </c>
    </row>
    <row r="4267" spans="1:5" x14ac:dyDescent="0.2">
      <c r="A4267" t="str">
        <f>"06105"</f>
        <v>06105</v>
      </c>
      <c r="B4267" t="s">
        <v>12</v>
      </c>
      <c r="C4267">
        <v>6105</v>
      </c>
      <c r="D4267" t="str">
        <f>"06105"</f>
        <v>06105</v>
      </c>
      <c r="E4267">
        <v>66.790000000000006</v>
      </c>
    </row>
    <row r="4268" spans="1:5" x14ac:dyDescent="0.2">
      <c r="A4268" t="str">
        <f>"06106"</f>
        <v>06106</v>
      </c>
      <c r="B4268" t="s">
        <v>12</v>
      </c>
      <c r="C4268">
        <v>6106</v>
      </c>
      <c r="D4268" t="str">
        <f>"06106"</f>
        <v>06106</v>
      </c>
      <c r="E4268">
        <v>57.6</v>
      </c>
    </row>
    <row r="4269" spans="1:5" x14ac:dyDescent="0.2">
      <c r="A4269" t="str">
        <f>"06107"</f>
        <v>06107</v>
      </c>
      <c r="B4269" t="s">
        <v>12</v>
      </c>
      <c r="C4269">
        <v>6107</v>
      </c>
      <c r="D4269" t="str">
        <f>"06107"</f>
        <v>06107</v>
      </c>
      <c r="E4269">
        <v>85.2</v>
      </c>
    </row>
    <row r="4270" spans="1:5" x14ac:dyDescent="0.2">
      <c r="A4270" t="str">
        <f>"06108"</f>
        <v>06108</v>
      </c>
      <c r="B4270" t="s">
        <v>12</v>
      </c>
      <c r="C4270">
        <v>6108</v>
      </c>
      <c r="D4270" t="str">
        <f>"06108"</f>
        <v>06108</v>
      </c>
      <c r="E4270">
        <v>66.61</v>
      </c>
    </row>
    <row r="4271" spans="1:5" x14ac:dyDescent="0.2">
      <c r="A4271" t="str">
        <f>"06109"</f>
        <v>06109</v>
      </c>
      <c r="B4271" t="s">
        <v>12</v>
      </c>
      <c r="C4271">
        <v>6109</v>
      </c>
      <c r="D4271" t="str">
        <f>"06109"</f>
        <v>06109</v>
      </c>
      <c r="E4271">
        <v>81.84</v>
      </c>
    </row>
    <row r="4272" spans="1:5" x14ac:dyDescent="0.2">
      <c r="A4272" t="str">
        <f>"06110"</f>
        <v>06110</v>
      </c>
      <c r="B4272" t="s">
        <v>12</v>
      </c>
      <c r="C4272">
        <v>6110</v>
      </c>
      <c r="D4272" t="str">
        <f>"06110"</f>
        <v>06110</v>
      </c>
      <c r="E4272">
        <v>74.739999999999995</v>
      </c>
    </row>
    <row r="4273" spans="1:5" x14ac:dyDescent="0.2">
      <c r="A4273" t="str">
        <f>"06111"</f>
        <v>06111</v>
      </c>
      <c r="B4273" t="s">
        <v>12</v>
      </c>
      <c r="C4273">
        <v>6111</v>
      </c>
      <c r="D4273" t="str">
        <f>"06111"</f>
        <v>06111</v>
      </c>
      <c r="E4273">
        <v>81.81</v>
      </c>
    </row>
    <row r="4274" spans="1:5" x14ac:dyDescent="0.2">
      <c r="A4274" t="str">
        <f>"06112"</f>
        <v>06112</v>
      </c>
      <c r="B4274" t="s">
        <v>12</v>
      </c>
      <c r="C4274">
        <v>6112</v>
      </c>
      <c r="D4274" t="str">
        <f>"06112"</f>
        <v>06112</v>
      </c>
      <c r="E4274">
        <v>56.38</v>
      </c>
    </row>
    <row r="4275" spans="1:5" x14ac:dyDescent="0.2">
      <c r="A4275" t="str">
        <f>"06114"</f>
        <v>06114</v>
      </c>
      <c r="B4275" t="s">
        <v>12</v>
      </c>
      <c r="C4275">
        <v>6114</v>
      </c>
      <c r="D4275" t="str">
        <f>"06114"</f>
        <v>06114</v>
      </c>
      <c r="E4275">
        <v>57.62</v>
      </c>
    </row>
    <row r="4276" spans="1:5" x14ac:dyDescent="0.2">
      <c r="A4276" t="str">
        <f>"06115"</f>
        <v>06115</v>
      </c>
      <c r="B4276" t="s">
        <v>12</v>
      </c>
      <c r="C4276">
        <v>6115</v>
      </c>
      <c r="D4276" t="str">
        <f>"06115"</f>
        <v>06115</v>
      </c>
      <c r="E4276" t="s">
        <v>6</v>
      </c>
    </row>
    <row r="4277" spans="1:5" x14ac:dyDescent="0.2">
      <c r="A4277" t="str">
        <f>"06117"</f>
        <v>06117</v>
      </c>
      <c r="B4277" t="s">
        <v>12</v>
      </c>
      <c r="C4277">
        <v>6117</v>
      </c>
      <c r="D4277" t="str">
        <f>"06117"</f>
        <v>06117</v>
      </c>
      <c r="E4277">
        <v>81.33</v>
      </c>
    </row>
    <row r="4278" spans="1:5" x14ac:dyDescent="0.2">
      <c r="A4278" t="str">
        <f>"06118"</f>
        <v>06118</v>
      </c>
      <c r="B4278" t="s">
        <v>12</v>
      </c>
      <c r="C4278">
        <v>6118</v>
      </c>
      <c r="D4278" t="str">
        <f>"06118"</f>
        <v>06118</v>
      </c>
      <c r="E4278">
        <v>73.790000000000006</v>
      </c>
    </row>
    <row r="4279" spans="1:5" x14ac:dyDescent="0.2">
      <c r="A4279" t="str">
        <f>"06119"</f>
        <v>06119</v>
      </c>
      <c r="B4279" t="s">
        <v>12</v>
      </c>
      <c r="C4279">
        <v>6119</v>
      </c>
      <c r="D4279" t="str">
        <f>"06119"</f>
        <v>06119</v>
      </c>
      <c r="E4279">
        <v>80.599999999999994</v>
      </c>
    </row>
    <row r="4280" spans="1:5" x14ac:dyDescent="0.2">
      <c r="A4280" t="str">
        <f>"06120"</f>
        <v>06120</v>
      </c>
      <c r="B4280" t="s">
        <v>12</v>
      </c>
      <c r="C4280">
        <v>6120</v>
      </c>
      <c r="D4280" t="str">
        <f>"06120"</f>
        <v>06120</v>
      </c>
      <c r="E4280">
        <v>44.49</v>
      </c>
    </row>
    <row r="4281" spans="1:5" x14ac:dyDescent="0.2">
      <c r="A4281" t="str">
        <f>"06183"</f>
        <v>06183</v>
      </c>
      <c r="B4281" t="s">
        <v>12</v>
      </c>
      <c r="C4281">
        <v>6183</v>
      </c>
      <c r="D4281" t="str">
        <f>"06183"</f>
        <v>06183</v>
      </c>
      <c r="E4281" t="s">
        <v>6</v>
      </c>
    </row>
    <row r="4282" spans="1:5" x14ac:dyDescent="0.2">
      <c r="A4282" t="str">
        <f>"06226"</f>
        <v>06226</v>
      </c>
      <c r="B4282" t="s">
        <v>12</v>
      </c>
      <c r="C4282">
        <v>6226</v>
      </c>
      <c r="D4282" t="str">
        <f>"06226"</f>
        <v>06226</v>
      </c>
      <c r="E4282">
        <v>61.58</v>
      </c>
    </row>
    <row r="4283" spans="1:5" x14ac:dyDescent="0.2">
      <c r="A4283" t="str">
        <f>"06230"</f>
        <v>06230</v>
      </c>
      <c r="B4283" t="s">
        <v>12</v>
      </c>
      <c r="C4283">
        <v>6230</v>
      </c>
      <c r="D4283" t="str">
        <f>"06230"</f>
        <v>06230</v>
      </c>
      <c r="E4283" t="s">
        <v>6</v>
      </c>
    </row>
    <row r="4284" spans="1:5" x14ac:dyDescent="0.2">
      <c r="A4284" t="str">
        <f>"06231"</f>
        <v>06231</v>
      </c>
      <c r="B4284" t="s">
        <v>12</v>
      </c>
      <c r="C4284">
        <v>6231</v>
      </c>
      <c r="D4284" t="str">
        <f>"06231"</f>
        <v>06231</v>
      </c>
      <c r="E4284">
        <v>84.66</v>
      </c>
    </row>
    <row r="4285" spans="1:5" x14ac:dyDescent="0.2">
      <c r="A4285" t="str">
        <f>"06232"</f>
        <v>06232</v>
      </c>
      <c r="B4285" t="s">
        <v>12</v>
      </c>
      <c r="C4285">
        <v>6232</v>
      </c>
      <c r="D4285" t="str">
        <f>"06232"</f>
        <v>06232</v>
      </c>
      <c r="E4285">
        <v>83.54</v>
      </c>
    </row>
    <row r="4286" spans="1:5" x14ac:dyDescent="0.2">
      <c r="A4286" t="str">
        <f>"06234"</f>
        <v>06234</v>
      </c>
      <c r="B4286" t="s">
        <v>12</v>
      </c>
      <c r="C4286">
        <v>6234</v>
      </c>
      <c r="D4286" t="str">
        <f>"06234"</f>
        <v>06234</v>
      </c>
      <c r="E4286">
        <v>79.180000000000007</v>
      </c>
    </row>
    <row r="4287" spans="1:5" x14ac:dyDescent="0.2">
      <c r="A4287" t="str">
        <f>"06235"</f>
        <v>06235</v>
      </c>
      <c r="B4287" t="s">
        <v>12</v>
      </c>
      <c r="C4287">
        <v>6235</v>
      </c>
      <c r="D4287" t="str">
        <f>"06235"</f>
        <v>06235</v>
      </c>
      <c r="E4287">
        <v>78.569999999999993</v>
      </c>
    </row>
    <row r="4288" spans="1:5" x14ac:dyDescent="0.2">
      <c r="A4288" t="str">
        <f>"06237"</f>
        <v>06237</v>
      </c>
      <c r="B4288" t="s">
        <v>12</v>
      </c>
      <c r="C4288">
        <v>6237</v>
      </c>
      <c r="D4288" t="str">
        <f>"06237"</f>
        <v>06237</v>
      </c>
      <c r="E4288">
        <v>83.93</v>
      </c>
    </row>
    <row r="4289" spans="1:5" x14ac:dyDescent="0.2">
      <c r="A4289" t="str">
        <f>"06238"</f>
        <v>06238</v>
      </c>
      <c r="B4289" t="s">
        <v>12</v>
      </c>
      <c r="C4289">
        <v>6238</v>
      </c>
      <c r="D4289" t="str">
        <f>"06238"</f>
        <v>06238</v>
      </c>
      <c r="E4289">
        <v>83.7</v>
      </c>
    </row>
    <row r="4290" spans="1:5" x14ac:dyDescent="0.2">
      <c r="A4290" t="str">
        <f>"06239"</f>
        <v>06239</v>
      </c>
      <c r="B4290" t="s">
        <v>12</v>
      </c>
      <c r="C4290">
        <v>6239</v>
      </c>
      <c r="D4290" t="str">
        <f>"06239"</f>
        <v>06239</v>
      </c>
      <c r="E4290">
        <v>77.63</v>
      </c>
    </row>
    <row r="4291" spans="1:5" x14ac:dyDescent="0.2">
      <c r="A4291" t="str">
        <f>"06241"</f>
        <v>06241</v>
      </c>
      <c r="B4291" t="s">
        <v>12</v>
      </c>
      <c r="C4291">
        <v>6241</v>
      </c>
      <c r="D4291" t="str">
        <f>"06241"</f>
        <v>06241</v>
      </c>
      <c r="E4291">
        <v>79.430000000000007</v>
      </c>
    </row>
    <row r="4292" spans="1:5" x14ac:dyDescent="0.2">
      <c r="A4292" t="str">
        <f>"06242"</f>
        <v>06242</v>
      </c>
      <c r="B4292" t="s">
        <v>12</v>
      </c>
      <c r="C4292">
        <v>6242</v>
      </c>
      <c r="D4292" t="str">
        <f>"06242"</f>
        <v>06242</v>
      </c>
      <c r="E4292">
        <v>81.94</v>
      </c>
    </row>
    <row r="4293" spans="1:5" x14ac:dyDescent="0.2">
      <c r="A4293" t="str">
        <f>"06243"</f>
        <v>06243</v>
      </c>
      <c r="B4293" t="s">
        <v>12</v>
      </c>
      <c r="C4293">
        <v>6243</v>
      </c>
      <c r="D4293" t="str">
        <f>"06243"</f>
        <v>06243</v>
      </c>
      <c r="E4293">
        <v>78.569999999999993</v>
      </c>
    </row>
    <row r="4294" spans="1:5" x14ac:dyDescent="0.2">
      <c r="A4294" t="str">
        <f>"06247"</f>
        <v>06247</v>
      </c>
      <c r="B4294" t="s">
        <v>12</v>
      </c>
      <c r="C4294">
        <v>6247</v>
      </c>
      <c r="D4294" t="str">
        <f>"06247"</f>
        <v>06247</v>
      </c>
      <c r="E4294">
        <v>82.11</v>
      </c>
    </row>
    <row r="4295" spans="1:5" x14ac:dyDescent="0.2">
      <c r="A4295" t="str">
        <f>"06248"</f>
        <v>06248</v>
      </c>
      <c r="B4295" t="s">
        <v>12</v>
      </c>
      <c r="C4295">
        <v>6248</v>
      </c>
      <c r="D4295" t="str">
        <f>"06248"</f>
        <v>06248</v>
      </c>
      <c r="E4295">
        <v>82.31</v>
      </c>
    </row>
    <row r="4296" spans="1:5" x14ac:dyDescent="0.2">
      <c r="A4296" t="str">
        <f>"06249"</f>
        <v>06249</v>
      </c>
      <c r="B4296" t="s">
        <v>12</v>
      </c>
      <c r="C4296">
        <v>6249</v>
      </c>
      <c r="D4296" t="str">
        <f>"06249"</f>
        <v>06249</v>
      </c>
      <c r="E4296">
        <v>81.489999999999995</v>
      </c>
    </row>
    <row r="4297" spans="1:5" x14ac:dyDescent="0.2">
      <c r="A4297" t="str">
        <f>"06250"</f>
        <v>06250</v>
      </c>
      <c r="B4297" t="s">
        <v>12</v>
      </c>
      <c r="C4297">
        <v>6250</v>
      </c>
      <c r="D4297" t="str">
        <f>"06250"</f>
        <v>06250</v>
      </c>
      <c r="E4297">
        <v>79.319999999999993</v>
      </c>
    </row>
    <row r="4298" spans="1:5" x14ac:dyDescent="0.2">
      <c r="A4298" t="str">
        <f>"06254"</f>
        <v>06254</v>
      </c>
      <c r="B4298" t="s">
        <v>12</v>
      </c>
      <c r="C4298">
        <v>6254</v>
      </c>
      <c r="D4298" t="str">
        <f>"06254"</f>
        <v>06254</v>
      </c>
      <c r="E4298">
        <v>83.33</v>
      </c>
    </row>
    <row r="4299" spans="1:5" x14ac:dyDescent="0.2">
      <c r="A4299" t="str">
        <f>"06255"</f>
        <v>06255</v>
      </c>
      <c r="B4299" t="s">
        <v>12</v>
      </c>
      <c r="C4299">
        <v>6255</v>
      </c>
      <c r="D4299" t="str">
        <f>"06255"</f>
        <v>06255</v>
      </c>
      <c r="E4299">
        <v>81.19</v>
      </c>
    </row>
    <row r="4300" spans="1:5" x14ac:dyDescent="0.2">
      <c r="A4300" t="str">
        <f>"06256"</f>
        <v>06256</v>
      </c>
      <c r="B4300" t="s">
        <v>12</v>
      </c>
      <c r="C4300">
        <v>6256</v>
      </c>
      <c r="D4300" t="str">
        <f>"06256"</f>
        <v>06256</v>
      </c>
      <c r="E4300">
        <v>78.260000000000005</v>
      </c>
    </row>
    <row r="4301" spans="1:5" x14ac:dyDescent="0.2">
      <c r="A4301" t="str">
        <f>"06259"</f>
        <v>06259</v>
      </c>
      <c r="B4301" t="s">
        <v>12</v>
      </c>
      <c r="C4301">
        <v>6259</v>
      </c>
      <c r="D4301" t="str">
        <f>"06259"</f>
        <v>06259</v>
      </c>
      <c r="E4301">
        <v>81.52</v>
      </c>
    </row>
    <row r="4302" spans="1:5" x14ac:dyDescent="0.2">
      <c r="A4302" t="str">
        <f>"06260"</f>
        <v>06260</v>
      </c>
      <c r="B4302" t="s">
        <v>12</v>
      </c>
      <c r="C4302">
        <v>6260</v>
      </c>
      <c r="D4302" t="str">
        <f>"06260"</f>
        <v>06260</v>
      </c>
      <c r="E4302">
        <v>75.22</v>
      </c>
    </row>
    <row r="4303" spans="1:5" x14ac:dyDescent="0.2">
      <c r="A4303" t="str">
        <f>"06262"</f>
        <v>06262</v>
      </c>
      <c r="B4303" t="s">
        <v>12</v>
      </c>
      <c r="C4303">
        <v>6262</v>
      </c>
      <c r="D4303" t="str">
        <f>"06262"</f>
        <v>06262</v>
      </c>
      <c r="E4303">
        <v>78.13</v>
      </c>
    </row>
    <row r="4304" spans="1:5" x14ac:dyDescent="0.2">
      <c r="A4304" t="str">
        <f>"06263"</f>
        <v>06263</v>
      </c>
      <c r="B4304" t="s">
        <v>12</v>
      </c>
      <c r="C4304">
        <v>6263</v>
      </c>
      <c r="D4304" t="str">
        <f>"06263"</f>
        <v>06263</v>
      </c>
      <c r="E4304" t="s">
        <v>6</v>
      </c>
    </row>
    <row r="4305" spans="1:5" x14ac:dyDescent="0.2">
      <c r="A4305" t="str">
        <f>"06264"</f>
        <v>06264</v>
      </c>
      <c r="B4305" t="s">
        <v>12</v>
      </c>
      <c r="C4305">
        <v>6264</v>
      </c>
      <c r="D4305" t="str">
        <f>"06264"</f>
        <v>06264</v>
      </c>
      <c r="E4305">
        <v>87.1</v>
      </c>
    </row>
    <row r="4306" spans="1:5" x14ac:dyDescent="0.2">
      <c r="A4306" t="str">
        <f>"06266"</f>
        <v>06266</v>
      </c>
      <c r="B4306" t="s">
        <v>12</v>
      </c>
      <c r="C4306">
        <v>6266</v>
      </c>
      <c r="D4306" t="str">
        <f>"06266"</f>
        <v>06266</v>
      </c>
      <c r="E4306">
        <v>74.19</v>
      </c>
    </row>
    <row r="4307" spans="1:5" x14ac:dyDescent="0.2">
      <c r="A4307" t="str">
        <f>"06268"</f>
        <v>06268</v>
      </c>
      <c r="B4307" t="s">
        <v>12</v>
      </c>
      <c r="C4307">
        <v>6268</v>
      </c>
      <c r="D4307" t="str">
        <f>"06268"</f>
        <v>06268</v>
      </c>
      <c r="E4307">
        <v>79.62</v>
      </c>
    </row>
    <row r="4308" spans="1:5" x14ac:dyDescent="0.2">
      <c r="A4308" t="str">
        <f>"06269"</f>
        <v>06269</v>
      </c>
      <c r="B4308" t="s">
        <v>12</v>
      </c>
      <c r="C4308">
        <v>6269</v>
      </c>
      <c r="D4308" t="str">
        <f>"06269"</f>
        <v>06269</v>
      </c>
      <c r="E4308" t="s">
        <v>6</v>
      </c>
    </row>
    <row r="4309" spans="1:5" x14ac:dyDescent="0.2">
      <c r="A4309" t="str">
        <f>"06277"</f>
        <v>06277</v>
      </c>
      <c r="B4309" t="s">
        <v>12</v>
      </c>
      <c r="C4309">
        <v>6277</v>
      </c>
      <c r="D4309" t="str">
        <f>"06277"</f>
        <v>06277</v>
      </c>
      <c r="E4309">
        <v>83.73</v>
      </c>
    </row>
    <row r="4310" spans="1:5" x14ac:dyDescent="0.2">
      <c r="A4310" t="str">
        <f>"06278"</f>
        <v>06278</v>
      </c>
      <c r="B4310" t="s">
        <v>12</v>
      </c>
      <c r="C4310">
        <v>6278</v>
      </c>
      <c r="D4310" t="str">
        <f>"06278"</f>
        <v>06278</v>
      </c>
      <c r="E4310">
        <v>80.73</v>
      </c>
    </row>
    <row r="4311" spans="1:5" x14ac:dyDescent="0.2">
      <c r="A4311" t="str">
        <f>"06279"</f>
        <v>06279</v>
      </c>
      <c r="B4311" t="s">
        <v>12</v>
      </c>
      <c r="C4311">
        <v>6279</v>
      </c>
      <c r="D4311" t="str">
        <f>"06279"</f>
        <v>06279</v>
      </c>
      <c r="E4311">
        <v>82.31</v>
      </c>
    </row>
    <row r="4312" spans="1:5" x14ac:dyDescent="0.2">
      <c r="A4312" t="str">
        <f>"06280"</f>
        <v>06280</v>
      </c>
      <c r="B4312" t="s">
        <v>12</v>
      </c>
      <c r="C4312">
        <v>6280</v>
      </c>
      <c r="D4312" t="str">
        <f>"06280"</f>
        <v>06280</v>
      </c>
      <c r="E4312">
        <v>80</v>
      </c>
    </row>
    <row r="4313" spans="1:5" x14ac:dyDescent="0.2">
      <c r="A4313" t="str">
        <f>"06281"</f>
        <v>06281</v>
      </c>
      <c r="B4313" t="s">
        <v>12</v>
      </c>
      <c r="C4313">
        <v>6281</v>
      </c>
      <c r="D4313" t="str">
        <f>"06281"</f>
        <v>06281</v>
      </c>
      <c r="E4313">
        <v>81.599999999999994</v>
      </c>
    </row>
    <row r="4314" spans="1:5" x14ac:dyDescent="0.2">
      <c r="A4314" t="str">
        <f>"06282"</f>
        <v>06282</v>
      </c>
      <c r="B4314" t="s">
        <v>12</v>
      </c>
      <c r="C4314">
        <v>6282</v>
      </c>
      <c r="D4314" t="str">
        <f>"06282"</f>
        <v>06282</v>
      </c>
      <c r="E4314">
        <v>81.819999999999993</v>
      </c>
    </row>
    <row r="4315" spans="1:5" x14ac:dyDescent="0.2">
      <c r="A4315" t="str">
        <f>"06320"</f>
        <v>06320</v>
      </c>
      <c r="B4315" t="s">
        <v>12</v>
      </c>
      <c r="C4315">
        <v>6320</v>
      </c>
      <c r="D4315" t="str">
        <f>"06320"</f>
        <v>06320</v>
      </c>
      <c r="E4315">
        <v>66.400000000000006</v>
      </c>
    </row>
    <row r="4316" spans="1:5" x14ac:dyDescent="0.2">
      <c r="A4316" t="str">
        <f>"06330"</f>
        <v>06330</v>
      </c>
      <c r="B4316" t="s">
        <v>12</v>
      </c>
      <c r="C4316">
        <v>6330</v>
      </c>
      <c r="D4316" t="str">
        <f>"06330"</f>
        <v>06330</v>
      </c>
      <c r="E4316">
        <v>76.92</v>
      </c>
    </row>
    <row r="4317" spans="1:5" x14ac:dyDescent="0.2">
      <c r="A4317" t="str">
        <f>"06331"</f>
        <v>06331</v>
      </c>
      <c r="B4317" t="s">
        <v>12</v>
      </c>
      <c r="C4317">
        <v>6331</v>
      </c>
      <c r="D4317" t="str">
        <f>"06331"</f>
        <v>06331</v>
      </c>
      <c r="E4317">
        <v>80.39</v>
      </c>
    </row>
    <row r="4318" spans="1:5" x14ac:dyDescent="0.2">
      <c r="A4318" t="str">
        <f>"06332"</f>
        <v>06332</v>
      </c>
      <c r="B4318" t="s">
        <v>12</v>
      </c>
      <c r="C4318">
        <v>6332</v>
      </c>
      <c r="D4318" t="str">
        <f>"06332"</f>
        <v>06332</v>
      </c>
      <c r="E4318" t="s">
        <v>6</v>
      </c>
    </row>
    <row r="4319" spans="1:5" x14ac:dyDescent="0.2">
      <c r="A4319" t="str">
        <f>"06333"</f>
        <v>06333</v>
      </c>
      <c r="B4319" t="s">
        <v>12</v>
      </c>
      <c r="C4319">
        <v>6333</v>
      </c>
      <c r="D4319" t="str">
        <f>"06333"</f>
        <v>06333</v>
      </c>
      <c r="E4319">
        <v>82.32</v>
      </c>
    </row>
    <row r="4320" spans="1:5" x14ac:dyDescent="0.2">
      <c r="A4320" t="str">
        <f>"06334"</f>
        <v>06334</v>
      </c>
      <c r="B4320" t="s">
        <v>12</v>
      </c>
      <c r="C4320">
        <v>6334</v>
      </c>
      <c r="D4320" t="str">
        <f>"06334"</f>
        <v>06334</v>
      </c>
      <c r="E4320">
        <v>81.400000000000006</v>
      </c>
    </row>
    <row r="4321" spans="1:5" x14ac:dyDescent="0.2">
      <c r="A4321" t="str">
        <f>"06335"</f>
        <v>06335</v>
      </c>
      <c r="B4321" t="s">
        <v>12</v>
      </c>
      <c r="C4321">
        <v>6335</v>
      </c>
      <c r="D4321" t="str">
        <f>"06335"</f>
        <v>06335</v>
      </c>
      <c r="E4321">
        <v>83.33</v>
      </c>
    </row>
    <row r="4322" spans="1:5" x14ac:dyDescent="0.2">
      <c r="A4322" t="str">
        <f>"06336"</f>
        <v>06336</v>
      </c>
      <c r="B4322" t="s">
        <v>12</v>
      </c>
      <c r="C4322">
        <v>6336</v>
      </c>
      <c r="D4322" t="str">
        <f>"06336"</f>
        <v>06336</v>
      </c>
      <c r="E4322" t="s">
        <v>6</v>
      </c>
    </row>
    <row r="4323" spans="1:5" x14ac:dyDescent="0.2">
      <c r="A4323" t="str">
        <f>"06338"</f>
        <v>06338</v>
      </c>
      <c r="B4323" t="s">
        <v>12</v>
      </c>
      <c r="C4323">
        <v>6338</v>
      </c>
      <c r="D4323" t="str">
        <f>"06338"</f>
        <v>06338</v>
      </c>
      <c r="E4323" t="s">
        <v>6</v>
      </c>
    </row>
    <row r="4324" spans="1:5" x14ac:dyDescent="0.2">
      <c r="A4324" t="str">
        <f>"06339"</f>
        <v>06339</v>
      </c>
      <c r="B4324" t="s">
        <v>12</v>
      </c>
      <c r="C4324">
        <v>6339</v>
      </c>
      <c r="D4324" t="str">
        <f>"06339"</f>
        <v>06339</v>
      </c>
      <c r="E4324">
        <v>80.900000000000006</v>
      </c>
    </row>
    <row r="4325" spans="1:5" x14ac:dyDescent="0.2">
      <c r="A4325" t="str">
        <f>"06340"</f>
        <v>06340</v>
      </c>
      <c r="B4325" t="s">
        <v>12</v>
      </c>
      <c r="C4325">
        <v>6340</v>
      </c>
      <c r="D4325" t="str">
        <f>"06340"</f>
        <v>06340</v>
      </c>
      <c r="E4325">
        <v>76.84</v>
      </c>
    </row>
    <row r="4326" spans="1:5" x14ac:dyDescent="0.2">
      <c r="A4326" t="str">
        <f>"06349"</f>
        <v>06349</v>
      </c>
      <c r="B4326" t="s">
        <v>12</v>
      </c>
      <c r="C4326">
        <v>6349</v>
      </c>
      <c r="D4326" t="str">
        <f>"06349"</f>
        <v>06349</v>
      </c>
      <c r="E4326" t="s">
        <v>6</v>
      </c>
    </row>
    <row r="4327" spans="1:5" x14ac:dyDescent="0.2">
      <c r="A4327" t="str">
        <f>"06351"</f>
        <v>06351</v>
      </c>
      <c r="B4327" t="s">
        <v>12</v>
      </c>
      <c r="C4327">
        <v>6351</v>
      </c>
      <c r="D4327" t="str">
        <f>"06351"</f>
        <v>06351</v>
      </c>
      <c r="E4327">
        <v>79.010000000000005</v>
      </c>
    </row>
    <row r="4328" spans="1:5" x14ac:dyDescent="0.2">
      <c r="A4328" t="str">
        <f>"06353"</f>
        <v>06353</v>
      </c>
      <c r="B4328" t="s">
        <v>12</v>
      </c>
      <c r="C4328">
        <v>6353</v>
      </c>
      <c r="D4328" t="str">
        <f>"06353"</f>
        <v>06353</v>
      </c>
      <c r="E4328">
        <v>78.95</v>
      </c>
    </row>
    <row r="4329" spans="1:5" x14ac:dyDescent="0.2">
      <c r="A4329" t="str">
        <f>"06354"</f>
        <v>06354</v>
      </c>
      <c r="B4329" t="s">
        <v>12</v>
      </c>
      <c r="C4329">
        <v>6354</v>
      </c>
      <c r="D4329" t="str">
        <f>"06354"</f>
        <v>06354</v>
      </c>
      <c r="E4329">
        <v>75.38</v>
      </c>
    </row>
    <row r="4330" spans="1:5" x14ac:dyDescent="0.2">
      <c r="A4330" t="str">
        <f>"06355"</f>
        <v>06355</v>
      </c>
      <c r="B4330" t="s">
        <v>12</v>
      </c>
      <c r="C4330">
        <v>6355</v>
      </c>
      <c r="D4330" t="str">
        <f>"06355"</f>
        <v>06355</v>
      </c>
      <c r="E4330">
        <v>83.01</v>
      </c>
    </row>
    <row r="4331" spans="1:5" x14ac:dyDescent="0.2">
      <c r="A4331" t="str">
        <f>"06357"</f>
        <v>06357</v>
      </c>
      <c r="B4331" t="s">
        <v>12</v>
      </c>
      <c r="C4331">
        <v>6357</v>
      </c>
      <c r="D4331" t="str">
        <f>"06357"</f>
        <v>06357</v>
      </c>
      <c r="E4331">
        <v>81.72</v>
      </c>
    </row>
    <row r="4332" spans="1:5" x14ac:dyDescent="0.2">
      <c r="A4332" t="str">
        <f>"06359"</f>
        <v>06359</v>
      </c>
      <c r="B4332" t="s">
        <v>12</v>
      </c>
      <c r="C4332">
        <v>6359</v>
      </c>
      <c r="D4332" t="str">
        <f>"06359"</f>
        <v>06359</v>
      </c>
      <c r="E4332">
        <v>82.95</v>
      </c>
    </row>
    <row r="4333" spans="1:5" x14ac:dyDescent="0.2">
      <c r="A4333" t="str">
        <f>"06360"</f>
        <v>06360</v>
      </c>
      <c r="B4333" t="s">
        <v>12</v>
      </c>
      <c r="C4333">
        <v>6360</v>
      </c>
      <c r="D4333" t="str">
        <f>"06360"</f>
        <v>06360</v>
      </c>
      <c r="E4333">
        <v>70.61</v>
      </c>
    </row>
    <row r="4334" spans="1:5" x14ac:dyDescent="0.2">
      <c r="A4334" t="str">
        <f>"06365"</f>
        <v>06365</v>
      </c>
      <c r="B4334" t="s">
        <v>12</v>
      </c>
      <c r="C4334">
        <v>6365</v>
      </c>
      <c r="D4334" t="str">
        <f>"06365"</f>
        <v>06365</v>
      </c>
      <c r="E4334">
        <v>81.36</v>
      </c>
    </row>
    <row r="4335" spans="1:5" x14ac:dyDescent="0.2">
      <c r="A4335" t="str">
        <f>"06370"</f>
        <v>06370</v>
      </c>
      <c r="B4335" t="s">
        <v>12</v>
      </c>
      <c r="C4335">
        <v>6370</v>
      </c>
      <c r="D4335" t="str">
        <f>"06370"</f>
        <v>06370</v>
      </c>
      <c r="E4335">
        <v>82.87</v>
      </c>
    </row>
    <row r="4336" spans="1:5" x14ac:dyDescent="0.2">
      <c r="A4336" t="str">
        <f>"06371"</f>
        <v>06371</v>
      </c>
      <c r="B4336" t="s">
        <v>12</v>
      </c>
      <c r="C4336">
        <v>6371</v>
      </c>
      <c r="D4336" t="str">
        <f>"06371"</f>
        <v>06371</v>
      </c>
      <c r="E4336">
        <v>80.84</v>
      </c>
    </row>
    <row r="4337" spans="1:5" x14ac:dyDescent="0.2">
      <c r="A4337" t="str">
        <f>"06373"</f>
        <v>06373</v>
      </c>
      <c r="B4337" t="s">
        <v>12</v>
      </c>
      <c r="C4337">
        <v>6373</v>
      </c>
      <c r="D4337" t="str">
        <f>"06373"</f>
        <v>06373</v>
      </c>
      <c r="E4337" t="s">
        <v>6</v>
      </c>
    </row>
    <row r="4338" spans="1:5" x14ac:dyDescent="0.2">
      <c r="A4338" t="str">
        <f>"06374"</f>
        <v>06374</v>
      </c>
      <c r="B4338" t="s">
        <v>12</v>
      </c>
      <c r="C4338">
        <v>6374</v>
      </c>
      <c r="D4338" t="str">
        <f>"06374"</f>
        <v>06374</v>
      </c>
      <c r="E4338">
        <v>78.78</v>
      </c>
    </row>
    <row r="4339" spans="1:5" x14ac:dyDescent="0.2">
      <c r="A4339" t="str">
        <f>"06375"</f>
        <v>06375</v>
      </c>
      <c r="B4339" t="s">
        <v>12</v>
      </c>
      <c r="C4339">
        <v>6375</v>
      </c>
      <c r="D4339" t="str">
        <f>"06375"</f>
        <v>06375</v>
      </c>
      <c r="E4339">
        <v>80.099999999999994</v>
      </c>
    </row>
    <row r="4340" spans="1:5" x14ac:dyDescent="0.2">
      <c r="A4340" t="str">
        <f>"06377"</f>
        <v>06377</v>
      </c>
      <c r="B4340" t="s">
        <v>12</v>
      </c>
      <c r="C4340">
        <v>6377</v>
      </c>
      <c r="D4340" t="str">
        <f>"06377"</f>
        <v>06377</v>
      </c>
      <c r="E4340">
        <v>79.7</v>
      </c>
    </row>
    <row r="4341" spans="1:5" x14ac:dyDescent="0.2">
      <c r="A4341" t="str">
        <f>"06378"</f>
        <v>06378</v>
      </c>
      <c r="B4341" t="s">
        <v>12</v>
      </c>
      <c r="C4341">
        <v>6378</v>
      </c>
      <c r="D4341" t="str">
        <f>"06378"</f>
        <v>06378</v>
      </c>
      <c r="E4341">
        <v>82.7</v>
      </c>
    </row>
    <row r="4342" spans="1:5" x14ac:dyDescent="0.2">
      <c r="A4342" t="str">
        <f>"06379"</f>
        <v>06379</v>
      </c>
      <c r="B4342" t="s">
        <v>12</v>
      </c>
      <c r="C4342">
        <v>6379</v>
      </c>
      <c r="D4342" t="str">
        <f>"06379"</f>
        <v>06379</v>
      </c>
      <c r="E4342">
        <v>78.38</v>
      </c>
    </row>
    <row r="4343" spans="1:5" x14ac:dyDescent="0.2">
      <c r="A4343" t="str">
        <f>"06380"</f>
        <v>06380</v>
      </c>
      <c r="B4343" t="s">
        <v>12</v>
      </c>
      <c r="C4343">
        <v>6380</v>
      </c>
      <c r="D4343" t="str">
        <f>"06380"</f>
        <v>06380</v>
      </c>
      <c r="E4343">
        <v>65.319999999999993</v>
      </c>
    </row>
    <row r="4344" spans="1:5" x14ac:dyDescent="0.2">
      <c r="A4344" t="str">
        <f>"06382"</f>
        <v>06382</v>
      </c>
      <c r="B4344" t="s">
        <v>12</v>
      </c>
      <c r="C4344">
        <v>6382</v>
      </c>
      <c r="D4344" t="str">
        <f>"06382"</f>
        <v>06382</v>
      </c>
      <c r="E4344">
        <v>79.2</v>
      </c>
    </row>
    <row r="4345" spans="1:5" x14ac:dyDescent="0.2">
      <c r="A4345" t="str">
        <f>"06384"</f>
        <v>06384</v>
      </c>
      <c r="B4345" t="s">
        <v>12</v>
      </c>
      <c r="C4345">
        <v>6384</v>
      </c>
      <c r="D4345" t="str">
        <f>"06384"</f>
        <v>06384</v>
      </c>
      <c r="E4345">
        <v>82.96</v>
      </c>
    </row>
    <row r="4346" spans="1:5" x14ac:dyDescent="0.2">
      <c r="A4346" t="str">
        <f>"06385"</f>
        <v>06385</v>
      </c>
      <c r="B4346" t="s">
        <v>12</v>
      </c>
      <c r="C4346">
        <v>6385</v>
      </c>
      <c r="D4346" t="str">
        <f>"06385"</f>
        <v>06385</v>
      </c>
      <c r="E4346">
        <v>81.900000000000006</v>
      </c>
    </row>
    <row r="4347" spans="1:5" x14ac:dyDescent="0.2">
      <c r="A4347" t="str">
        <f>"06387"</f>
        <v>06387</v>
      </c>
      <c r="B4347" t="s">
        <v>12</v>
      </c>
      <c r="C4347">
        <v>6387</v>
      </c>
      <c r="D4347" t="str">
        <f>"06387"</f>
        <v>06387</v>
      </c>
      <c r="E4347" t="s">
        <v>6</v>
      </c>
    </row>
    <row r="4348" spans="1:5" x14ac:dyDescent="0.2">
      <c r="A4348" t="str">
        <f>"06389"</f>
        <v>06389</v>
      </c>
      <c r="B4348" t="s">
        <v>12</v>
      </c>
      <c r="C4348">
        <v>6389</v>
      </c>
      <c r="D4348" t="str">
        <f>"06389"</f>
        <v>06389</v>
      </c>
      <c r="E4348">
        <v>91.67</v>
      </c>
    </row>
    <row r="4349" spans="1:5" x14ac:dyDescent="0.2">
      <c r="A4349" t="str">
        <f>"06401"</f>
        <v>06401</v>
      </c>
      <c r="B4349" t="s">
        <v>12</v>
      </c>
      <c r="C4349">
        <v>6401</v>
      </c>
      <c r="D4349" t="str">
        <f>"06401"</f>
        <v>06401</v>
      </c>
      <c r="E4349">
        <v>72.94</v>
      </c>
    </row>
    <row r="4350" spans="1:5" x14ac:dyDescent="0.2">
      <c r="A4350" t="str">
        <f>"06403"</f>
        <v>06403</v>
      </c>
      <c r="B4350" t="s">
        <v>12</v>
      </c>
      <c r="C4350">
        <v>6403</v>
      </c>
      <c r="D4350" t="str">
        <f>"06403"</f>
        <v>06403</v>
      </c>
      <c r="E4350">
        <v>82.24</v>
      </c>
    </row>
    <row r="4351" spans="1:5" x14ac:dyDescent="0.2">
      <c r="A4351" t="str">
        <f>"06405"</f>
        <v>06405</v>
      </c>
      <c r="B4351" t="s">
        <v>12</v>
      </c>
      <c r="C4351">
        <v>6405</v>
      </c>
      <c r="D4351" t="str">
        <f>"06405"</f>
        <v>06405</v>
      </c>
      <c r="E4351">
        <v>81.05</v>
      </c>
    </row>
    <row r="4352" spans="1:5" x14ac:dyDescent="0.2">
      <c r="A4352" t="str">
        <f>"06409"</f>
        <v>06409</v>
      </c>
      <c r="B4352" t="s">
        <v>12</v>
      </c>
      <c r="C4352">
        <v>6409</v>
      </c>
      <c r="D4352" t="str">
        <f>"06409"</f>
        <v>06409</v>
      </c>
      <c r="E4352">
        <v>72.22</v>
      </c>
    </row>
    <row r="4353" spans="1:5" x14ac:dyDescent="0.2">
      <c r="A4353" t="str">
        <f>"06410"</f>
        <v>06410</v>
      </c>
      <c r="B4353" t="s">
        <v>12</v>
      </c>
      <c r="C4353">
        <v>6410</v>
      </c>
      <c r="D4353" t="str">
        <f>"06410"</f>
        <v>06410</v>
      </c>
      <c r="E4353">
        <v>81.56</v>
      </c>
    </row>
    <row r="4354" spans="1:5" x14ac:dyDescent="0.2">
      <c r="A4354" t="str">
        <f>"06412"</f>
        <v>06412</v>
      </c>
      <c r="B4354" t="s">
        <v>12</v>
      </c>
      <c r="C4354">
        <v>6412</v>
      </c>
      <c r="D4354" t="str">
        <f>"06412"</f>
        <v>06412</v>
      </c>
      <c r="E4354">
        <v>80.2</v>
      </c>
    </row>
    <row r="4355" spans="1:5" x14ac:dyDescent="0.2">
      <c r="A4355" t="str">
        <f>"06413"</f>
        <v>06413</v>
      </c>
      <c r="B4355" t="s">
        <v>12</v>
      </c>
      <c r="C4355">
        <v>6413</v>
      </c>
      <c r="D4355" t="str">
        <f>"06413"</f>
        <v>06413</v>
      </c>
      <c r="E4355">
        <v>79.680000000000007</v>
      </c>
    </row>
    <row r="4356" spans="1:5" x14ac:dyDescent="0.2">
      <c r="A4356" t="str">
        <f>"06414"</f>
        <v>06414</v>
      </c>
      <c r="B4356" t="s">
        <v>12</v>
      </c>
      <c r="C4356">
        <v>6414</v>
      </c>
      <c r="D4356" t="str">
        <f>"06414"</f>
        <v>06414</v>
      </c>
      <c r="E4356" t="s">
        <v>6</v>
      </c>
    </row>
    <row r="4357" spans="1:5" x14ac:dyDescent="0.2">
      <c r="A4357" t="str">
        <f>"06415"</f>
        <v>06415</v>
      </c>
      <c r="B4357" t="s">
        <v>12</v>
      </c>
      <c r="C4357">
        <v>6415</v>
      </c>
      <c r="D4357" t="str">
        <f>"06415"</f>
        <v>06415</v>
      </c>
      <c r="E4357">
        <v>81.44</v>
      </c>
    </row>
    <row r="4358" spans="1:5" x14ac:dyDescent="0.2">
      <c r="A4358" t="str">
        <f>"06416"</f>
        <v>06416</v>
      </c>
      <c r="B4358" t="s">
        <v>12</v>
      </c>
      <c r="C4358">
        <v>6416</v>
      </c>
      <c r="D4358" t="str">
        <f>"06416"</f>
        <v>06416</v>
      </c>
      <c r="E4358">
        <v>82.65</v>
      </c>
    </row>
    <row r="4359" spans="1:5" x14ac:dyDescent="0.2">
      <c r="A4359" t="str">
        <f>"06417"</f>
        <v>06417</v>
      </c>
      <c r="B4359" t="s">
        <v>12</v>
      </c>
      <c r="C4359">
        <v>6417</v>
      </c>
      <c r="D4359" t="str">
        <f>"06417"</f>
        <v>06417</v>
      </c>
      <c r="E4359">
        <v>81.7</v>
      </c>
    </row>
    <row r="4360" spans="1:5" x14ac:dyDescent="0.2">
      <c r="A4360" t="str">
        <f>"06418"</f>
        <v>06418</v>
      </c>
      <c r="B4360" t="s">
        <v>12</v>
      </c>
      <c r="C4360">
        <v>6418</v>
      </c>
      <c r="D4360" t="str">
        <f>"06418"</f>
        <v>06418</v>
      </c>
      <c r="E4360">
        <v>74.92</v>
      </c>
    </row>
    <row r="4361" spans="1:5" x14ac:dyDescent="0.2">
      <c r="A4361" t="str">
        <f>"06419"</f>
        <v>06419</v>
      </c>
      <c r="B4361" t="s">
        <v>12</v>
      </c>
      <c r="C4361">
        <v>6419</v>
      </c>
      <c r="D4361" t="str">
        <f>"06419"</f>
        <v>06419</v>
      </c>
      <c r="E4361">
        <v>80.8</v>
      </c>
    </row>
    <row r="4362" spans="1:5" x14ac:dyDescent="0.2">
      <c r="A4362" t="str">
        <f>"06420"</f>
        <v>06420</v>
      </c>
      <c r="B4362" t="s">
        <v>12</v>
      </c>
      <c r="C4362">
        <v>6420</v>
      </c>
      <c r="D4362" t="str">
        <f>"06420"</f>
        <v>06420</v>
      </c>
      <c r="E4362">
        <v>83.41</v>
      </c>
    </row>
    <row r="4363" spans="1:5" x14ac:dyDescent="0.2">
      <c r="A4363" t="str">
        <f>"06422"</f>
        <v>06422</v>
      </c>
      <c r="B4363" t="s">
        <v>12</v>
      </c>
      <c r="C4363">
        <v>6422</v>
      </c>
      <c r="D4363" t="str">
        <f>"06422"</f>
        <v>06422</v>
      </c>
      <c r="E4363">
        <v>83.06</v>
      </c>
    </row>
    <row r="4364" spans="1:5" x14ac:dyDescent="0.2">
      <c r="A4364" t="str">
        <f>"06423"</f>
        <v>06423</v>
      </c>
      <c r="B4364" t="s">
        <v>12</v>
      </c>
      <c r="C4364">
        <v>6423</v>
      </c>
      <c r="D4364" t="str">
        <f>"06423"</f>
        <v>06423</v>
      </c>
      <c r="E4364">
        <v>83.73</v>
      </c>
    </row>
    <row r="4365" spans="1:5" x14ac:dyDescent="0.2">
      <c r="A4365" t="str">
        <f>"06424"</f>
        <v>06424</v>
      </c>
      <c r="B4365" t="s">
        <v>12</v>
      </c>
      <c r="C4365">
        <v>6424</v>
      </c>
      <c r="D4365" t="str">
        <f>"06424"</f>
        <v>06424</v>
      </c>
      <c r="E4365">
        <v>83.17</v>
      </c>
    </row>
    <row r="4366" spans="1:5" x14ac:dyDescent="0.2">
      <c r="A4366" t="str">
        <f>"06426"</f>
        <v>06426</v>
      </c>
      <c r="B4366" t="s">
        <v>12</v>
      </c>
      <c r="C4366">
        <v>6426</v>
      </c>
      <c r="D4366" t="str">
        <f>"06426"</f>
        <v>06426</v>
      </c>
      <c r="E4366">
        <v>81.52</v>
      </c>
    </row>
    <row r="4367" spans="1:5" x14ac:dyDescent="0.2">
      <c r="A4367" t="str">
        <f>"06437"</f>
        <v>06437</v>
      </c>
      <c r="B4367" t="s">
        <v>12</v>
      </c>
      <c r="C4367">
        <v>6437</v>
      </c>
      <c r="D4367" t="str">
        <f>"06437"</f>
        <v>06437</v>
      </c>
      <c r="E4367">
        <v>81.459999999999994</v>
      </c>
    </row>
    <row r="4368" spans="1:5" x14ac:dyDescent="0.2">
      <c r="A4368" t="str">
        <f>"06438"</f>
        <v>06438</v>
      </c>
      <c r="B4368" t="s">
        <v>12</v>
      </c>
      <c r="C4368">
        <v>6438</v>
      </c>
      <c r="D4368" t="str">
        <f>"06438"</f>
        <v>06438</v>
      </c>
      <c r="E4368">
        <v>84.21</v>
      </c>
    </row>
    <row r="4369" spans="1:5" x14ac:dyDescent="0.2">
      <c r="A4369" t="str">
        <f>"06439"</f>
        <v>06439</v>
      </c>
      <c r="B4369" t="s">
        <v>12</v>
      </c>
      <c r="C4369">
        <v>6439</v>
      </c>
      <c r="D4369" t="str">
        <f>"06439"</f>
        <v>06439</v>
      </c>
      <c r="E4369" t="s">
        <v>6</v>
      </c>
    </row>
    <row r="4370" spans="1:5" x14ac:dyDescent="0.2">
      <c r="A4370" t="str">
        <f>"06441"</f>
        <v>06441</v>
      </c>
      <c r="B4370" t="s">
        <v>12</v>
      </c>
      <c r="C4370">
        <v>6441</v>
      </c>
      <c r="D4370" t="str">
        <f>"06441"</f>
        <v>06441</v>
      </c>
      <c r="E4370">
        <v>84.64</v>
      </c>
    </row>
    <row r="4371" spans="1:5" x14ac:dyDescent="0.2">
      <c r="A4371" t="str">
        <f>"06442"</f>
        <v>06442</v>
      </c>
      <c r="B4371" t="s">
        <v>12</v>
      </c>
      <c r="C4371">
        <v>6442</v>
      </c>
      <c r="D4371" t="str">
        <f>"06442"</f>
        <v>06442</v>
      </c>
      <c r="E4371">
        <v>79.59</v>
      </c>
    </row>
    <row r="4372" spans="1:5" x14ac:dyDescent="0.2">
      <c r="A4372" t="str">
        <f>"06443"</f>
        <v>06443</v>
      </c>
      <c r="B4372" t="s">
        <v>12</v>
      </c>
      <c r="C4372">
        <v>6443</v>
      </c>
      <c r="D4372" t="str">
        <f>"06443"</f>
        <v>06443</v>
      </c>
      <c r="E4372">
        <v>80.87</v>
      </c>
    </row>
    <row r="4373" spans="1:5" x14ac:dyDescent="0.2">
      <c r="A4373" t="str">
        <f>"06444"</f>
        <v>06444</v>
      </c>
      <c r="B4373" t="s">
        <v>12</v>
      </c>
      <c r="C4373">
        <v>6444</v>
      </c>
      <c r="D4373" t="str">
        <f>"06444"</f>
        <v>06444</v>
      </c>
      <c r="E4373" t="s">
        <v>6</v>
      </c>
    </row>
    <row r="4374" spans="1:5" x14ac:dyDescent="0.2">
      <c r="A4374" t="str">
        <f>"06447"</f>
        <v>06447</v>
      </c>
      <c r="B4374" t="s">
        <v>12</v>
      </c>
      <c r="C4374">
        <v>6447</v>
      </c>
      <c r="D4374" t="str">
        <f>"06447"</f>
        <v>06447</v>
      </c>
      <c r="E4374">
        <v>83.82</v>
      </c>
    </row>
    <row r="4375" spans="1:5" x14ac:dyDescent="0.2">
      <c r="A4375" t="str">
        <f>"06450"</f>
        <v>06450</v>
      </c>
      <c r="B4375" t="s">
        <v>12</v>
      </c>
      <c r="C4375">
        <v>6450</v>
      </c>
      <c r="D4375" t="str">
        <f>"06450"</f>
        <v>06450</v>
      </c>
      <c r="E4375">
        <v>72.790000000000006</v>
      </c>
    </row>
    <row r="4376" spans="1:5" x14ac:dyDescent="0.2">
      <c r="A4376" t="str">
        <f>"06451"</f>
        <v>06451</v>
      </c>
      <c r="B4376" t="s">
        <v>12</v>
      </c>
      <c r="C4376">
        <v>6451</v>
      </c>
      <c r="D4376" t="str">
        <f>"06451"</f>
        <v>06451</v>
      </c>
      <c r="E4376">
        <v>70.349999999999994</v>
      </c>
    </row>
    <row r="4377" spans="1:5" x14ac:dyDescent="0.2">
      <c r="A4377" t="str">
        <f>"06455"</f>
        <v>06455</v>
      </c>
      <c r="B4377" t="s">
        <v>12</v>
      </c>
      <c r="C4377">
        <v>6455</v>
      </c>
      <c r="D4377" t="str">
        <f>"06455"</f>
        <v>06455</v>
      </c>
      <c r="E4377">
        <v>82.35</v>
      </c>
    </row>
    <row r="4378" spans="1:5" x14ac:dyDescent="0.2">
      <c r="A4378" t="str">
        <f>"06456"</f>
        <v>06456</v>
      </c>
      <c r="B4378" t="s">
        <v>12</v>
      </c>
      <c r="C4378">
        <v>6456</v>
      </c>
      <c r="D4378" t="str">
        <f>"06456"</f>
        <v>06456</v>
      </c>
      <c r="E4378" t="s">
        <v>6</v>
      </c>
    </row>
    <row r="4379" spans="1:5" x14ac:dyDescent="0.2">
      <c r="A4379" t="str">
        <f>"06457"</f>
        <v>06457</v>
      </c>
      <c r="B4379" t="s">
        <v>12</v>
      </c>
      <c r="C4379">
        <v>6457</v>
      </c>
      <c r="D4379" t="str">
        <f>"06457"</f>
        <v>06457</v>
      </c>
      <c r="E4379">
        <v>79.040000000000006</v>
      </c>
    </row>
    <row r="4380" spans="1:5" x14ac:dyDescent="0.2">
      <c r="A4380" t="str">
        <f>"06459"</f>
        <v>06459</v>
      </c>
      <c r="B4380" t="s">
        <v>12</v>
      </c>
      <c r="C4380">
        <v>6459</v>
      </c>
      <c r="D4380" t="str">
        <f>"06459"</f>
        <v>06459</v>
      </c>
      <c r="E4380" t="s">
        <v>6</v>
      </c>
    </row>
    <row r="4381" spans="1:5" x14ac:dyDescent="0.2">
      <c r="A4381" t="str">
        <f>"06460"</f>
        <v>06460</v>
      </c>
      <c r="B4381" t="s">
        <v>12</v>
      </c>
      <c r="C4381">
        <v>6460</v>
      </c>
      <c r="D4381" t="str">
        <f>"06460"</f>
        <v>06460</v>
      </c>
      <c r="E4381">
        <v>81.88</v>
      </c>
    </row>
    <row r="4382" spans="1:5" x14ac:dyDescent="0.2">
      <c r="A4382" t="str">
        <f>"06461"</f>
        <v>06461</v>
      </c>
      <c r="B4382" t="s">
        <v>12</v>
      </c>
      <c r="C4382">
        <v>6461</v>
      </c>
      <c r="D4382" t="str">
        <f>"06461"</f>
        <v>06461</v>
      </c>
      <c r="E4382">
        <v>82.04</v>
      </c>
    </row>
    <row r="4383" spans="1:5" x14ac:dyDescent="0.2">
      <c r="A4383" t="str">
        <f>"06467"</f>
        <v>06467</v>
      </c>
      <c r="B4383" t="s">
        <v>12</v>
      </c>
      <c r="C4383">
        <v>6467</v>
      </c>
      <c r="D4383" t="str">
        <f>"06467"</f>
        <v>06467</v>
      </c>
      <c r="E4383" t="s">
        <v>6</v>
      </c>
    </row>
    <row r="4384" spans="1:5" x14ac:dyDescent="0.2">
      <c r="A4384" t="str">
        <f>"06468"</f>
        <v>06468</v>
      </c>
      <c r="B4384" t="s">
        <v>12</v>
      </c>
      <c r="C4384">
        <v>6468</v>
      </c>
      <c r="D4384" t="str">
        <f>"06468"</f>
        <v>06468</v>
      </c>
      <c r="E4384">
        <v>80.44</v>
      </c>
    </row>
    <row r="4385" spans="1:5" x14ac:dyDescent="0.2">
      <c r="A4385" t="str">
        <f>"06469"</f>
        <v>06469</v>
      </c>
      <c r="B4385" t="s">
        <v>12</v>
      </c>
      <c r="C4385">
        <v>6469</v>
      </c>
      <c r="D4385" t="str">
        <f>"06469"</f>
        <v>06469</v>
      </c>
      <c r="E4385">
        <v>81.48</v>
      </c>
    </row>
    <row r="4386" spans="1:5" x14ac:dyDescent="0.2">
      <c r="A4386" t="str">
        <f>"06470"</f>
        <v>06470</v>
      </c>
      <c r="B4386" t="s">
        <v>12</v>
      </c>
      <c r="C4386">
        <v>6470</v>
      </c>
      <c r="D4386" t="str">
        <f>"06470"</f>
        <v>06470</v>
      </c>
      <c r="E4386">
        <v>80.89</v>
      </c>
    </row>
    <row r="4387" spans="1:5" x14ac:dyDescent="0.2">
      <c r="A4387" t="str">
        <f>"06471"</f>
        <v>06471</v>
      </c>
      <c r="B4387" t="s">
        <v>12</v>
      </c>
      <c r="C4387">
        <v>6471</v>
      </c>
      <c r="D4387" t="str">
        <f>"06471"</f>
        <v>06471</v>
      </c>
      <c r="E4387">
        <v>81.89</v>
      </c>
    </row>
    <row r="4388" spans="1:5" x14ac:dyDescent="0.2">
      <c r="A4388" t="str">
        <f>"06472"</f>
        <v>06472</v>
      </c>
      <c r="B4388" t="s">
        <v>12</v>
      </c>
      <c r="C4388">
        <v>6472</v>
      </c>
      <c r="D4388" t="str">
        <f>"06472"</f>
        <v>06472</v>
      </c>
      <c r="E4388">
        <v>82.99</v>
      </c>
    </row>
    <row r="4389" spans="1:5" x14ac:dyDescent="0.2">
      <c r="A4389" t="str">
        <f>"06473"</f>
        <v>06473</v>
      </c>
      <c r="B4389" t="s">
        <v>12</v>
      </c>
      <c r="C4389">
        <v>6473</v>
      </c>
      <c r="D4389" t="str">
        <f>"06473"</f>
        <v>06473</v>
      </c>
      <c r="E4389">
        <v>81.84</v>
      </c>
    </row>
    <row r="4390" spans="1:5" x14ac:dyDescent="0.2">
      <c r="A4390" t="str">
        <f>"06475"</f>
        <v>06475</v>
      </c>
      <c r="B4390" t="s">
        <v>12</v>
      </c>
      <c r="C4390">
        <v>6475</v>
      </c>
      <c r="D4390" t="str">
        <f>"06475"</f>
        <v>06475</v>
      </c>
      <c r="E4390">
        <v>80.099999999999994</v>
      </c>
    </row>
    <row r="4391" spans="1:5" x14ac:dyDescent="0.2">
      <c r="A4391" t="str">
        <f>"06477"</f>
        <v>06477</v>
      </c>
      <c r="B4391" t="s">
        <v>12</v>
      </c>
      <c r="C4391">
        <v>6477</v>
      </c>
      <c r="D4391" t="str">
        <f>"06477"</f>
        <v>06477</v>
      </c>
      <c r="E4391">
        <v>81.25</v>
      </c>
    </row>
    <row r="4392" spans="1:5" x14ac:dyDescent="0.2">
      <c r="A4392" t="str">
        <f>"06478"</f>
        <v>06478</v>
      </c>
      <c r="B4392" t="s">
        <v>12</v>
      </c>
      <c r="C4392">
        <v>6478</v>
      </c>
      <c r="D4392" t="str">
        <f>"06478"</f>
        <v>06478</v>
      </c>
      <c r="E4392">
        <v>84.14</v>
      </c>
    </row>
    <row r="4393" spans="1:5" x14ac:dyDescent="0.2">
      <c r="A4393" t="str">
        <f>"06479"</f>
        <v>06479</v>
      </c>
      <c r="B4393" t="s">
        <v>12</v>
      </c>
      <c r="C4393">
        <v>6479</v>
      </c>
      <c r="D4393" t="str">
        <f>"06479"</f>
        <v>06479</v>
      </c>
      <c r="E4393">
        <v>82.25</v>
      </c>
    </row>
    <row r="4394" spans="1:5" x14ac:dyDescent="0.2">
      <c r="A4394" t="str">
        <f>"06480"</f>
        <v>06480</v>
      </c>
      <c r="B4394" t="s">
        <v>12</v>
      </c>
      <c r="C4394">
        <v>6480</v>
      </c>
      <c r="D4394" t="str">
        <f>"06480"</f>
        <v>06480</v>
      </c>
      <c r="E4394">
        <v>82.95</v>
      </c>
    </row>
    <row r="4395" spans="1:5" x14ac:dyDescent="0.2">
      <c r="A4395" t="str">
        <f>"06481"</f>
        <v>06481</v>
      </c>
      <c r="B4395" t="s">
        <v>12</v>
      </c>
      <c r="C4395">
        <v>6481</v>
      </c>
      <c r="D4395" t="str">
        <f>"06481"</f>
        <v>06481</v>
      </c>
      <c r="E4395">
        <v>81.67</v>
      </c>
    </row>
    <row r="4396" spans="1:5" x14ac:dyDescent="0.2">
      <c r="A4396" t="str">
        <f>"06482"</f>
        <v>06482</v>
      </c>
      <c r="B4396" t="s">
        <v>12</v>
      </c>
      <c r="C4396">
        <v>6482</v>
      </c>
      <c r="D4396" t="str">
        <f>"06482"</f>
        <v>06482</v>
      </c>
      <c r="E4396">
        <v>80.569999999999993</v>
      </c>
    </row>
    <row r="4397" spans="1:5" x14ac:dyDescent="0.2">
      <c r="A4397" t="str">
        <f>"06483"</f>
        <v>06483</v>
      </c>
      <c r="B4397" t="s">
        <v>12</v>
      </c>
      <c r="C4397">
        <v>6483</v>
      </c>
      <c r="D4397" t="str">
        <f>"06483"</f>
        <v>06483</v>
      </c>
      <c r="E4397">
        <v>79.739999999999995</v>
      </c>
    </row>
    <row r="4398" spans="1:5" x14ac:dyDescent="0.2">
      <c r="A4398" t="str">
        <f>"06484"</f>
        <v>06484</v>
      </c>
      <c r="B4398" t="s">
        <v>12</v>
      </c>
      <c r="C4398">
        <v>6484</v>
      </c>
      <c r="D4398" t="str">
        <f>"06484"</f>
        <v>06484</v>
      </c>
      <c r="E4398">
        <v>81.08</v>
      </c>
    </row>
    <row r="4399" spans="1:5" x14ac:dyDescent="0.2">
      <c r="A4399" t="str">
        <f>"06488"</f>
        <v>06488</v>
      </c>
      <c r="B4399" t="s">
        <v>12</v>
      </c>
      <c r="C4399">
        <v>6488</v>
      </c>
      <c r="D4399" t="str">
        <f>"06488"</f>
        <v>06488</v>
      </c>
      <c r="E4399">
        <v>79.37</v>
      </c>
    </row>
    <row r="4400" spans="1:5" x14ac:dyDescent="0.2">
      <c r="A4400" t="str">
        <f>"06489"</f>
        <v>06489</v>
      </c>
      <c r="B4400" t="s">
        <v>12</v>
      </c>
      <c r="C4400">
        <v>6489</v>
      </c>
      <c r="D4400" t="str">
        <f>"06489"</f>
        <v>06489</v>
      </c>
      <c r="E4400">
        <v>81.45</v>
      </c>
    </row>
    <row r="4401" spans="1:5" x14ac:dyDescent="0.2">
      <c r="A4401" t="str">
        <f>"06492"</f>
        <v>06492</v>
      </c>
      <c r="B4401" t="s">
        <v>12</v>
      </c>
      <c r="C4401">
        <v>6492</v>
      </c>
      <c r="D4401" t="str">
        <f>"06492"</f>
        <v>06492</v>
      </c>
      <c r="E4401">
        <v>81.28</v>
      </c>
    </row>
    <row r="4402" spans="1:5" x14ac:dyDescent="0.2">
      <c r="A4402" t="str">
        <f>"06498"</f>
        <v>06498</v>
      </c>
      <c r="B4402" t="s">
        <v>12</v>
      </c>
      <c r="C4402">
        <v>6498</v>
      </c>
      <c r="D4402" t="str">
        <f>"06498"</f>
        <v>06498</v>
      </c>
      <c r="E4402">
        <v>77.69</v>
      </c>
    </row>
    <row r="4403" spans="1:5" x14ac:dyDescent="0.2">
      <c r="A4403" t="str">
        <f>"06510"</f>
        <v>06510</v>
      </c>
      <c r="B4403" t="s">
        <v>12</v>
      </c>
      <c r="C4403">
        <v>6510</v>
      </c>
      <c r="D4403" t="str">
        <f>"06510"</f>
        <v>06510</v>
      </c>
      <c r="E4403">
        <v>82.28</v>
      </c>
    </row>
    <row r="4404" spans="1:5" x14ac:dyDescent="0.2">
      <c r="A4404" t="str">
        <f>"06511"</f>
        <v>06511</v>
      </c>
      <c r="B4404" t="s">
        <v>12</v>
      </c>
      <c r="C4404">
        <v>6511</v>
      </c>
      <c r="D4404" t="str">
        <f>"06511"</f>
        <v>06511</v>
      </c>
      <c r="E4404">
        <v>65.95</v>
      </c>
    </row>
    <row r="4405" spans="1:5" x14ac:dyDescent="0.2">
      <c r="A4405" t="str">
        <f>"06512"</f>
        <v>06512</v>
      </c>
      <c r="B4405" t="s">
        <v>12</v>
      </c>
      <c r="C4405">
        <v>6512</v>
      </c>
      <c r="D4405" t="str">
        <f>"06512"</f>
        <v>06512</v>
      </c>
      <c r="E4405">
        <v>76.34</v>
      </c>
    </row>
    <row r="4406" spans="1:5" x14ac:dyDescent="0.2">
      <c r="A4406" t="str">
        <f>"06513"</f>
        <v>06513</v>
      </c>
      <c r="B4406" t="s">
        <v>12</v>
      </c>
      <c r="C4406">
        <v>6513</v>
      </c>
      <c r="D4406" t="str">
        <f>"06513"</f>
        <v>06513</v>
      </c>
      <c r="E4406">
        <v>60.72</v>
      </c>
    </row>
    <row r="4407" spans="1:5" x14ac:dyDescent="0.2">
      <c r="A4407" t="str">
        <f>"06514"</f>
        <v>06514</v>
      </c>
      <c r="B4407" t="s">
        <v>12</v>
      </c>
      <c r="C4407">
        <v>6514</v>
      </c>
      <c r="D4407" t="str">
        <f>"06514"</f>
        <v>06514</v>
      </c>
      <c r="E4407">
        <v>74.64</v>
      </c>
    </row>
    <row r="4408" spans="1:5" x14ac:dyDescent="0.2">
      <c r="A4408" t="str">
        <f>"06515"</f>
        <v>06515</v>
      </c>
      <c r="B4408" t="s">
        <v>12</v>
      </c>
      <c r="C4408">
        <v>6515</v>
      </c>
      <c r="D4408" t="str">
        <f>"06515"</f>
        <v>06515</v>
      </c>
      <c r="E4408">
        <v>68.650000000000006</v>
      </c>
    </row>
    <row r="4409" spans="1:5" x14ac:dyDescent="0.2">
      <c r="A4409" t="str">
        <f>"06516"</f>
        <v>06516</v>
      </c>
      <c r="B4409" t="s">
        <v>12</v>
      </c>
      <c r="C4409">
        <v>6516</v>
      </c>
      <c r="D4409" t="str">
        <f>"06516"</f>
        <v>06516</v>
      </c>
      <c r="E4409">
        <v>71.22</v>
      </c>
    </row>
    <row r="4410" spans="1:5" x14ac:dyDescent="0.2">
      <c r="A4410" t="str">
        <f>"06517"</f>
        <v>06517</v>
      </c>
      <c r="B4410" t="s">
        <v>12</v>
      </c>
      <c r="C4410">
        <v>6517</v>
      </c>
      <c r="D4410" t="str">
        <f>"06517"</f>
        <v>06517</v>
      </c>
      <c r="E4410">
        <v>78.239999999999995</v>
      </c>
    </row>
    <row r="4411" spans="1:5" x14ac:dyDescent="0.2">
      <c r="A4411" t="str">
        <f>"06518"</f>
        <v>06518</v>
      </c>
      <c r="B4411" t="s">
        <v>12</v>
      </c>
      <c r="C4411">
        <v>6518</v>
      </c>
      <c r="D4411" t="str">
        <f>"06518"</f>
        <v>06518</v>
      </c>
      <c r="E4411">
        <v>82.05</v>
      </c>
    </row>
    <row r="4412" spans="1:5" x14ac:dyDescent="0.2">
      <c r="A4412" t="str">
        <f>"06519"</f>
        <v>06519</v>
      </c>
      <c r="B4412" t="s">
        <v>12</v>
      </c>
      <c r="C4412">
        <v>6519</v>
      </c>
      <c r="D4412" t="str">
        <f>"06519"</f>
        <v>06519</v>
      </c>
      <c r="E4412">
        <v>50.58</v>
      </c>
    </row>
    <row r="4413" spans="1:5" x14ac:dyDescent="0.2">
      <c r="A4413" t="str">
        <f>"06524"</f>
        <v>06524</v>
      </c>
      <c r="B4413" t="s">
        <v>12</v>
      </c>
      <c r="C4413">
        <v>6524</v>
      </c>
      <c r="D4413" t="str">
        <f>"06524"</f>
        <v>06524</v>
      </c>
      <c r="E4413">
        <v>81</v>
      </c>
    </row>
    <row r="4414" spans="1:5" x14ac:dyDescent="0.2">
      <c r="A4414" t="str">
        <f>"06525"</f>
        <v>06525</v>
      </c>
      <c r="B4414" t="s">
        <v>12</v>
      </c>
      <c r="C4414">
        <v>6525</v>
      </c>
      <c r="D4414" t="str">
        <f>"06525"</f>
        <v>06525</v>
      </c>
      <c r="E4414">
        <v>80.94</v>
      </c>
    </row>
    <row r="4415" spans="1:5" x14ac:dyDescent="0.2">
      <c r="A4415" t="str">
        <f>"06602"</f>
        <v>06602</v>
      </c>
      <c r="B4415" t="s">
        <v>12</v>
      </c>
      <c r="C4415">
        <v>6602</v>
      </c>
      <c r="D4415" t="str">
        <f>"06602"</f>
        <v>06602</v>
      </c>
      <c r="E4415" t="s">
        <v>6</v>
      </c>
    </row>
    <row r="4416" spans="1:5" x14ac:dyDescent="0.2">
      <c r="A4416" t="str">
        <f>"06604"</f>
        <v>06604</v>
      </c>
      <c r="B4416" t="s">
        <v>12</v>
      </c>
      <c r="C4416">
        <v>6604</v>
      </c>
      <c r="D4416" t="str">
        <f>"06604"</f>
        <v>06604</v>
      </c>
      <c r="E4416">
        <v>58.37</v>
      </c>
    </row>
    <row r="4417" spans="1:5" x14ac:dyDescent="0.2">
      <c r="A4417" t="str">
        <f>"06605"</f>
        <v>06605</v>
      </c>
      <c r="B4417" t="s">
        <v>12</v>
      </c>
      <c r="C4417">
        <v>6605</v>
      </c>
      <c r="D4417" t="str">
        <f>"06605"</f>
        <v>06605</v>
      </c>
      <c r="E4417">
        <v>58.77</v>
      </c>
    </row>
    <row r="4418" spans="1:5" x14ac:dyDescent="0.2">
      <c r="A4418" t="str">
        <f>"06606"</f>
        <v>06606</v>
      </c>
      <c r="B4418" t="s">
        <v>12</v>
      </c>
      <c r="C4418">
        <v>6606</v>
      </c>
      <c r="D4418" t="str">
        <f>"06606"</f>
        <v>06606</v>
      </c>
      <c r="E4418">
        <v>64.81</v>
      </c>
    </row>
    <row r="4419" spans="1:5" x14ac:dyDescent="0.2">
      <c r="A4419" t="str">
        <f>"06607"</f>
        <v>06607</v>
      </c>
      <c r="B4419" t="s">
        <v>12</v>
      </c>
      <c r="C4419">
        <v>6607</v>
      </c>
      <c r="D4419" t="str">
        <f>"06607"</f>
        <v>06607</v>
      </c>
      <c r="E4419">
        <v>53.98</v>
      </c>
    </row>
    <row r="4420" spans="1:5" x14ac:dyDescent="0.2">
      <c r="A4420" t="str">
        <f>"06608"</f>
        <v>06608</v>
      </c>
      <c r="B4420" t="s">
        <v>12</v>
      </c>
      <c r="C4420">
        <v>6608</v>
      </c>
      <c r="D4420" t="str">
        <f>"06608"</f>
        <v>06608</v>
      </c>
      <c r="E4420">
        <v>48.95</v>
      </c>
    </row>
    <row r="4421" spans="1:5" x14ac:dyDescent="0.2">
      <c r="A4421" t="str">
        <f>"06610"</f>
        <v>06610</v>
      </c>
      <c r="B4421" t="s">
        <v>12</v>
      </c>
      <c r="C4421">
        <v>6610</v>
      </c>
      <c r="D4421" t="str">
        <f>"06610"</f>
        <v>06610</v>
      </c>
      <c r="E4421">
        <v>61.38</v>
      </c>
    </row>
    <row r="4422" spans="1:5" x14ac:dyDescent="0.2">
      <c r="A4422" t="str">
        <f>"06611"</f>
        <v>06611</v>
      </c>
      <c r="B4422" t="s">
        <v>12</v>
      </c>
      <c r="C4422">
        <v>6611</v>
      </c>
      <c r="D4422" t="str">
        <f>"06611"</f>
        <v>06611</v>
      </c>
      <c r="E4422">
        <v>80.069999999999993</v>
      </c>
    </row>
    <row r="4423" spans="1:5" x14ac:dyDescent="0.2">
      <c r="A4423" t="str">
        <f>"06612"</f>
        <v>06612</v>
      </c>
      <c r="B4423" t="s">
        <v>12</v>
      </c>
      <c r="C4423">
        <v>6612</v>
      </c>
      <c r="D4423" t="str">
        <f>"06612"</f>
        <v>06612</v>
      </c>
      <c r="E4423">
        <v>80.39</v>
      </c>
    </row>
    <row r="4424" spans="1:5" x14ac:dyDescent="0.2">
      <c r="A4424" t="str">
        <f>"06614"</f>
        <v>06614</v>
      </c>
      <c r="B4424" t="s">
        <v>12</v>
      </c>
      <c r="C4424">
        <v>6614</v>
      </c>
      <c r="D4424" t="str">
        <f>"06614"</f>
        <v>06614</v>
      </c>
      <c r="E4424">
        <v>78.52</v>
      </c>
    </row>
    <row r="4425" spans="1:5" x14ac:dyDescent="0.2">
      <c r="A4425" t="str">
        <f>"06615"</f>
        <v>06615</v>
      </c>
      <c r="B4425" t="s">
        <v>12</v>
      </c>
      <c r="C4425">
        <v>6615</v>
      </c>
      <c r="D4425" t="str">
        <f>"06615"</f>
        <v>06615</v>
      </c>
      <c r="E4425">
        <v>72.63</v>
      </c>
    </row>
    <row r="4426" spans="1:5" x14ac:dyDescent="0.2">
      <c r="A4426" t="str">
        <f>"06702"</f>
        <v>06702</v>
      </c>
      <c r="B4426" t="s">
        <v>12</v>
      </c>
      <c r="C4426">
        <v>6702</v>
      </c>
      <c r="D4426" t="str">
        <f>"06702"</f>
        <v>06702</v>
      </c>
      <c r="E4426">
        <v>40.82</v>
      </c>
    </row>
    <row r="4427" spans="1:5" x14ac:dyDescent="0.2">
      <c r="A4427" t="str">
        <f>"06704"</f>
        <v>06704</v>
      </c>
      <c r="B4427" t="s">
        <v>12</v>
      </c>
      <c r="C4427">
        <v>6704</v>
      </c>
      <c r="D4427" t="str">
        <f>"06704"</f>
        <v>06704</v>
      </c>
      <c r="E4427">
        <v>56.19</v>
      </c>
    </row>
    <row r="4428" spans="1:5" x14ac:dyDescent="0.2">
      <c r="A4428" t="str">
        <f>"06705"</f>
        <v>06705</v>
      </c>
      <c r="B4428" t="s">
        <v>12</v>
      </c>
      <c r="C4428">
        <v>6705</v>
      </c>
      <c r="D4428" t="str">
        <f>"06705"</f>
        <v>06705</v>
      </c>
      <c r="E4428">
        <v>65.45</v>
      </c>
    </row>
    <row r="4429" spans="1:5" x14ac:dyDescent="0.2">
      <c r="A4429" t="str">
        <f>"06706"</f>
        <v>06706</v>
      </c>
      <c r="B4429" t="s">
        <v>12</v>
      </c>
      <c r="C4429">
        <v>6706</v>
      </c>
      <c r="D4429" t="str">
        <f>"06706"</f>
        <v>06706</v>
      </c>
      <c r="E4429">
        <v>60.53</v>
      </c>
    </row>
    <row r="4430" spans="1:5" x14ac:dyDescent="0.2">
      <c r="A4430" t="str">
        <f>"06708"</f>
        <v>06708</v>
      </c>
      <c r="B4430" t="s">
        <v>12</v>
      </c>
      <c r="C4430">
        <v>6708</v>
      </c>
      <c r="D4430" t="str">
        <f>"06708"</f>
        <v>06708</v>
      </c>
      <c r="E4430">
        <v>68.260000000000005</v>
      </c>
    </row>
    <row r="4431" spans="1:5" x14ac:dyDescent="0.2">
      <c r="A4431" t="str">
        <f>"06710"</f>
        <v>06710</v>
      </c>
      <c r="B4431" t="s">
        <v>12</v>
      </c>
      <c r="C4431">
        <v>6710</v>
      </c>
      <c r="D4431" t="str">
        <f>"06710"</f>
        <v>06710</v>
      </c>
      <c r="E4431">
        <v>52.54</v>
      </c>
    </row>
    <row r="4432" spans="1:5" x14ac:dyDescent="0.2">
      <c r="A4432" t="str">
        <f>"06712"</f>
        <v>06712</v>
      </c>
      <c r="B4432" t="s">
        <v>12</v>
      </c>
      <c r="C4432">
        <v>6712</v>
      </c>
      <c r="D4432" t="str">
        <f>"06712"</f>
        <v>06712</v>
      </c>
      <c r="E4432">
        <v>82.55</v>
      </c>
    </row>
    <row r="4433" spans="1:5" x14ac:dyDescent="0.2">
      <c r="A4433" t="str">
        <f>"06716"</f>
        <v>06716</v>
      </c>
      <c r="B4433" t="s">
        <v>12</v>
      </c>
      <c r="C4433">
        <v>6716</v>
      </c>
      <c r="D4433" t="str">
        <f>"06716"</f>
        <v>06716</v>
      </c>
      <c r="E4433">
        <v>80.58</v>
      </c>
    </row>
    <row r="4434" spans="1:5" x14ac:dyDescent="0.2">
      <c r="A4434" t="str">
        <f>"06750"</f>
        <v>06750</v>
      </c>
      <c r="B4434" t="s">
        <v>12</v>
      </c>
      <c r="C4434">
        <v>6750</v>
      </c>
      <c r="D4434" t="str">
        <f>"06750"</f>
        <v>06750</v>
      </c>
      <c r="E4434">
        <v>78.260000000000005</v>
      </c>
    </row>
    <row r="4435" spans="1:5" x14ac:dyDescent="0.2">
      <c r="A4435" t="str">
        <f>"06751"</f>
        <v>06751</v>
      </c>
      <c r="B4435" t="s">
        <v>12</v>
      </c>
      <c r="C4435">
        <v>6751</v>
      </c>
      <c r="D4435" t="str">
        <f>"06751"</f>
        <v>06751</v>
      </c>
      <c r="E4435">
        <v>80</v>
      </c>
    </row>
    <row r="4436" spans="1:5" x14ac:dyDescent="0.2">
      <c r="A4436" t="str">
        <f>"06752"</f>
        <v>06752</v>
      </c>
      <c r="B4436" t="s">
        <v>12</v>
      </c>
      <c r="C4436">
        <v>6752</v>
      </c>
      <c r="D4436" t="str">
        <f>"06752"</f>
        <v>06752</v>
      </c>
      <c r="E4436">
        <v>80.680000000000007</v>
      </c>
    </row>
    <row r="4437" spans="1:5" x14ac:dyDescent="0.2">
      <c r="A4437" t="str">
        <f>"06753"</f>
        <v>06753</v>
      </c>
      <c r="B4437" t="s">
        <v>12</v>
      </c>
      <c r="C4437">
        <v>6753</v>
      </c>
      <c r="D4437" t="str">
        <f>"06753"</f>
        <v>06753</v>
      </c>
      <c r="E4437" t="s">
        <v>6</v>
      </c>
    </row>
    <row r="4438" spans="1:5" x14ac:dyDescent="0.2">
      <c r="A4438" t="str">
        <f>"06754"</f>
        <v>06754</v>
      </c>
      <c r="B4438" t="s">
        <v>12</v>
      </c>
      <c r="C4438">
        <v>6754</v>
      </c>
      <c r="D4438" t="str">
        <f>"06754"</f>
        <v>06754</v>
      </c>
      <c r="E4438">
        <v>74.03</v>
      </c>
    </row>
    <row r="4439" spans="1:5" x14ac:dyDescent="0.2">
      <c r="A4439" t="str">
        <f>"06755"</f>
        <v>06755</v>
      </c>
      <c r="B4439" t="s">
        <v>12</v>
      </c>
      <c r="C4439">
        <v>6755</v>
      </c>
      <c r="D4439" t="str">
        <f>"06755"</f>
        <v>06755</v>
      </c>
      <c r="E4439">
        <v>83.05</v>
      </c>
    </row>
    <row r="4440" spans="1:5" x14ac:dyDescent="0.2">
      <c r="A4440" t="str">
        <f>"06756"</f>
        <v>06756</v>
      </c>
      <c r="B4440" t="s">
        <v>12</v>
      </c>
      <c r="C4440">
        <v>6756</v>
      </c>
      <c r="D4440" t="str">
        <f>"06756"</f>
        <v>06756</v>
      </c>
      <c r="E4440">
        <v>81.63</v>
      </c>
    </row>
    <row r="4441" spans="1:5" x14ac:dyDescent="0.2">
      <c r="A4441" t="str">
        <f>"06757"</f>
        <v>06757</v>
      </c>
      <c r="B4441" t="s">
        <v>12</v>
      </c>
      <c r="C4441">
        <v>6757</v>
      </c>
      <c r="D4441" t="str">
        <f>"06757"</f>
        <v>06757</v>
      </c>
      <c r="E4441">
        <v>78.180000000000007</v>
      </c>
    </row>
    <row r="4442" spans="1:5" x14ac:dyDescent="0.2">
      <c r="A4442" t="str">
        <f>"06758"</f>
        <v>06758</v>
      </c>
      <c r="B4442" t="s">
        <v>12</v>
      </c>
      <c r="C4442">
        <v>6758</v>
      </c>
      <c r="D4442" t="str">
        <f>"06758"</f>
        <v>06758</v>
      </c>
      <c r="E4442" t="s">
        <v>6</v>
      </c>
    </row>
    <row r="4443" spans="1:5" x14ac:dyDescent="0.2">
      <c r="A4443" t="str">
        <f>"06759"</f>
        <v>06759</v>
      </c>
      <c r="B4443" t="s">
        <v>12</v>
      </c>
      <c r="C4443">
        <v>6759</v>
      </c>
      <c r="D4443" t="str">
        <f>"06759"</f>
        <v>06759</v>
      </c>
      <c r="E4443">
        <v>79.37</v>
      </c>
    </row>
    <row r="4444" spans="1:5" x14ac:dyDescent="0.2">
      <c r="A4444" t="str">
        <f>"06762"</f>
        <v>06762</v>
      </c>
      <c r="B4444" t="s">
        <v>12</v>
      </c>
      <c r="C4444">
        <v>6762</v>
      </c>
      <c r="D4444" t="str">
        <f>"06762"</f>
        <v>06762</v>
      </c>
      <c r="E4444">
        <v>81.77</v>
      </c>
    </row>
    <row r="4445" spans="1:5" x14ac:dyDescent="0.2">
      <c r="A4445" t="str">
        <f>"06763"</f>
        <v>06763</v>
      </c>
      <c r="B4445" t="s">
        <v>12</v>
      </c>
      <c r="C4445">
        <v>6763</v>
      </c>
      <c r="D4445" t="str">
        <f>"06763"</f>
        <v>06763</v>
      </c>
      <c r="E4445">
        <v>79.61</v>
      </c>
    </row>
    <row r="4446" spans="1:5" x14ac:dyDescent="0.2">
      <c r="A4446" t="str">
        <f>"06770"</f>
        <v>06770</v>
      </c>
      <c r="B4446" t="s">
        <v>12</v>
      </c>
      <c r="C4446">
        <v>6770</v>
      </c>
      <c r="D4446" t="str">
        <f>"06770"</f>
        <v>06770</v>
      </c>
      <c r="E4446">
        <v>75.540000000000006</v>
      </c>
    </row>
    <row r="4447" spans="1:5" x14ac:dyDescent="0.2">
      <c r="A4447" t="str">
        <f>"06776"</f>
        <v>06776</v>
      </c>
      <c r="B4447" t="s">
        <v>12</v>
      </c>
      <c r="C4447">
        <v>6776</v>
      </c>
      <c r="D4447" t="str">
        <f>"06776"</f>
        <v>06776</v>
      </c>
      <c r="E4447">
        <v>78.63</v>
      </c>
    </row>
    <row r="4448" spans="1:5" x14ac:dyDescent="0.2">
      <c r="A4448" t="str">
        <f>"06777"</f>
        <v>06777</v>
      </c>
      <c r="B4448" t="s">
        <v>12</v>
      </c>
      <c r="C4448">
        <v>6777</v>
      </c>
      <c r="D4448" t="str">
        <f>"06777"</f>
        <v>06777</v>
      </c>
      <c r="E4448">
        <v>80</v>
      </c>
    </row>
    <row r="4449" spans="1:5" x14ac:dyDescent="0.2">
      <c r="A4449" t="str">
        <f>"06778"</f>
        <v>06778</v>
      </c>
      <c r="B4449" t="s">
        <v>12</v>
      </c>
      <c r="C4449">
        <v>6778</v>
      </c>
      <c r="D4449" t="str">
        <f>"06778"</f>
        <v>06778</v>
      </c>
      <c r="E4449">
        <v>78.459999999999994</v>
      </c>
    </row>
    <row r="4450" spans="1:5" x14ac:dyDescent="0.2">
      <c r="A4450" t="str">
        <f>"06779"</f>
        <v>06779</v>
      </c>
      <c r="B4450" t="s">
        <v>12</v>
      </c>
      <c r="C4450">
        <v>6779</v>
      </c>
      <c r="D4450" t="str">
        <f>"06779"</f>
        <v>06779</v>
      </c>
      <c r="E4450">
        <v>78.27</v>
      </c>
    </row>
    <row r="4451" spans="1:5" x14ac:dyDescent="0.2">
      <c r="A4451" t="str">
        <f>"06782"</f>
        <v>06782</v>
      </c>
      <c r="B4451" t="s">
        <v>12</v>
      </c>
      <c r="C4451">
        <v>6782</v>
      </c>
      <c r="D4451" t="str">
        <f>"06782"</f>
        <v>06782</v>
      </c>
      <c r="E4451">
        <v>81.67</v>
      </c>
    </row>
    <row r="4452" spans="1:5" x14ac:dyDescent="0.2">
      <c r="A4452" t="str">
        <f>"06783"</f>
        <v>06783</v>
      </c>
      <c r="B4452" t="s">
        <v>12</v>
      </c>
      <c r="C4452">
        <v>6783</v>
      </c>
      <c r="D4452" t="str">
        <f>"06783"</f>
        <v>06783</v>
      </c>
      <c r="E4452">
        <v>79.63</v>
      </c>
    </row>
    <row r="4453" spans="1:5" x14ac:dyDescent="0.2">
      <c r="A4453" t="str">
        <f>"06784"</f>
        <v>06784</v>
      </c>
      <c r="B4453" t="s">
        <v>12</v>
      </c>
      <c r="C4453">
        <v>6784</v>
      </c>
      <c r="D4453" t="str">
        <f>"06784"</f>
        <v>06784</v>
      </c>
      <c r="E4453">
        <v>79.55</v>
      </c>
    </row>
    <row r="4454" spans="1:5" x14ac:dyDescent="0.2">
      <c r="A4454" t="str">
        <f>"06785"</f>
        <v>06785</v>
      </c>
      <c r="B4454" t="s">
        <v>12</v>
      </c>
      <c r="C4454">
        <v>6785</v>
      </c>
      <c r="D4454" t="str">
        <f>"06785"</f>
        <v>06785</v>
      </c>
      <c r="E4454">
        <v>75.760000000000005</v>
      </c>
    </row>
    <row r="4455" spans="1:5" x14ac:dyDescent="0.2">
      <c r="A4455" t="str">
        <f>"06786"</f>
        <v>06786</v>
      </c>
      <c r="B4455" t="s">
        <v>12</v>
      </c>
      <c r="C4455">
        <v>6786</v>
      </c>
      <c r="D4455" t="str">
        <f>"06786"</f>
        <v>06786</v>
      </c>
      <c r="E4455">
        <v>80.739999999999995</v>
      </c>
    </row>
    <row r="4456" spans="1:5" x14ac:dyDescent="0.2">
      <c r="A4456" t="str">
        <f>"06787"</f>
        <v>06787</v>
      </c>
      <c r="B4456" t="s">
        <v>12</v>
      </c>
      <c r="C4456">
        <v>6787</v>
      </c>
      <c r="D4456" t="str">
        <f>"06787"</f>
        <v>06787</v>
      </c>
      <c r="E4456">
        <v>81.06</v>
      </c>
    </row>
    <row r="4457" spans="1:5" x14ac:dyDescent="0.2">
      <c r="A4457" t="str">
        <f>"06790"</f>
        <v>06790</v>
      </c>
      <c r="B4457" t="s">
        <v>12</v>
      </c>
      <c r="C4457">
        <v>6790</v>
      </c>
      <c r="D4457" t="str">
        <f>"06790"</f>
        <v>06790</v>
      </c>
      <c r="E4457">
        <v>74.510000000000005</v>
      </c>
    </row>
    <row r="4458" spans="1:5" x14ac:dyDescent="0.2">
      <c r="A4458" t="str">
        <f>"06791"</f>
        <v>06791</v>
      </c>
      <c r="B4458" t="s">
        <v>12</v>
      </c>
      <c r="C4458">
        <v>6791</v>
      </c>
      <c r="D4458" t="str">
        <f>"06791"</f>
        <v>06791</v>
      </c>
      <c r="E4458">
        <v>81.53</v>
      </c>
    </row>
    <row r="4459" spans="1:5" x14ac:dyDescent="0.2">
      <c r="A4459" t="str">
        <f>"06793"</f>
        <v>06793</v>
      </c>
      <c r="B4459" t="s">
        <v>12</v>
      </c>
      <c r="C4459">
        <v>6793</v>
      </c>
      <c r="D4459" t="str">
        <f>"06793"</f>
        <v>06793</v>
      </c>
      <c r="E4459">
        <v>80.39</v>
      </c>
    </row>
    <row r="4460" spans="1:5" x14ac:dyDescent="0.2">
      <c r="A4460" t="str">
        <f>"06794"</f>
        <v>06794</v>
      </c>
      <c r="B4460" t="s">
        <v>12</v>
      </c>
      <c r="C4460">
        <v>6794</v>
      </c>
      <c r="D4460" t="str">
        <f>"06794"</f>
        <v>06794</v>
      </c>
      <c r="E4460">
        <v>81.03</v>
      </c>
    </row>
    <row r="4461" spans="1:5" x14ac:dyDescent="0.2">
      <c r="A4461" t="str">
        <f>"06795"</f>
        <v>06795</v>
      </c>
      <c r="B4461" t="s">
        <v>12</v>
      </c>
      <c r="C4461">
        <v>6795</v>
      </c>
      <c r="D4461" t="str">
        <f>"06795"</f>
        <v>06795</v>
      </c>
      <c r="E4461">
        <v>80.39</v>
      </c>
    </row>
    <row r="4462" spans="1:5" x14ac:dyDescent="0.2">
      <c r="A4462" t="str">
        <f>"06796"</f>
        <v>06796</v>
      </c>
      <c r="B4462" t="s">
        <v>12</v>
      </c>
      <c r="C4462">
        <v>6796</v>
      </c>
      <c r="D4462" t="str">
        <f>"06796"</f>
        <v>06796</v>
      </c>
      <c r="E4462">
        <v>70.45</v>
      </c>
    </row>
    <row r="4463" spans="1:5" x14ac:dyDescent="0.2">
      <c r="A4463" t="str">
        <f>"06798"</f>
        <v>06798</v>
      </c>
      <c r="B4463" t="s">
        <v>12</v>
      </c>
      <c r="C4463">
        <v>6798</v>
      </c>
      <c r="D4463" t="str">
        <f>"06798"</f>
        <v>06798</v>
      </c>
      <c r="E4463">
        <v>80.430000000000007</v>
      </c>
    </row>
    <row r="4464" spans="1:5" x14ac:dyDescent="0.2">
      <c r="A4464" t="str">
        <f>"06801"</f>
        <v>06801</v>
      </c>
      <c r="B4464" t="s">
        <v>12</v>
      </c>
      <c r="C4464">
        <v>6801</v>
      </c>
      <c r="D4464" t="str">
        <f>"06801"</f>
        <v>06801</v>
      </c>
      <c r="E4464">
        <v>79.55</v>
      </c>
    </row>
    <row r="4465" spans="1:5" x14ac:dyDescent="0.2">
      <c r="A4465" t="str">
        <f>"06804"</f>
        <v>06804</v>
      </c>
      <c r="B4465" t="s">
        <v>12</v>
      </c>
      <c r="C4465">
        <v>6804</v>
      </c>
      <c r="D4465" t="str">
        <f>"06804"</f>
        <v>06804</v>
      </c>
      <c r="E4465">
        <v>81.48</v>
      </c>
    </row>
    <row r="4466" spans="1:5" x14ac:dyDescent="0.2">
      <c r="A4466" t="str">
        <f>"06807"</f>
        <v>06807</v>
      </c>
      <c r="B4466" t="s">
        <v>12</v>
      </c>
      <c r="C4466">
        <v>6807</v>
      </c>
      <c r="D4466" t="str">
        <f>"06807"</f>
        <v>06807</v>
      </c>
      <c r="E4466">
        <v>81.34</v>
      </c>
    </row>
    <row r="4467" spans="1:5" x14ac:dyDescent="0.2">
      <c r="A4467" t="str">
        <f>"06810"</f>
        <v>06810</v>
      </c>
      <c r="B4467" t="s">
        <v>12</v>
      </c>
      <c r="C4467">
        <v>6810</v>
      </c>
      <c r="D4467" t="str">
        <f>"06810"</f>
        <v>06810</v>
      </c>
      <c r="E4467">
        <v>67.67</v>
      </c>
    </row>
    <row r="4468" spans="1:5" x14ac:dyDescent="0.2">
      <c r="A4468" t="str">
        <f>"06811"</f>
        <v>06811</v>
      </c>
      <c r="B4468" t="s">
        <v>12</v>
      </c>
      <c r="C4468">
        <v>6811</v>
      </c>
      <c r="D4468" t="str">
        <f>"06811"</f>
        <v>06811</v>
      </c>
      <c r="E4468">
        <v>78.55</v>
      </c>
    </row>
    <row r="4469" spans="1:5" x14ac:dyDescent="0.2">
      <c r="A4469" t="str">
        <f>"06812"</f>
        <v>06812</v>
      </c>
      <c r="B4469" t="s">
        <v>12</v>
      </c>
      <c r="C4469">
        <v>6812</v>
      </c>
      <c r="D4469" t="str">
        <f>"06812"</f>
        <v>06812</v>
      </c>
      <c r="E4469">
        <v>81.3</v>
      </c>
    </row>
    <row r="4470" spans="1:5" x14ac:dyDescent="0.2">
      <c r="A4470" t="str">
        <f>"06820"</f>
        <v>06820</v>
      </c>
      <c r="B4470" t="s">
        <v>12</v>
      </c>
      <c r="C4470">
        <v>6820</v>
      </c>
      <c r="D4470" t="str">
        <f>"06820"</f>
        <v>06820</v>
      </c>
      <c r="E4470">
        <v>82.14</v>
      </c>
    </row>
    <row r="4471" spans="1:5" x14ac:dyDescent="0.2">
      <c r="A4471" t="str">
        <f>"06824"</f>
        <v>06824</v>
      </c>
      <c r="B4471" t="s">
        <v>12</v>
      </c>
      <c r="C4471">
        <v>6824</v>
      </c>
      <c r="D4471" t="str">
        <f>"06824"</f>
        <v>06824</v>
      </c>
      <c r="E4471">
        <v>81.16</v>
      </c>
    </row>
    <row r="4472" spans="1:5" x14ac:dyDescent="0.2">
      <c r="A4472" t="str">
        <f>"06825"</f>
        <v>06825</v>
      </c>
      <c r="B4472" t="s">
        <v>12</v>
      </c>
      <c r="C4472">
        <v>6825</v>
      </c>
      <c r="D4472" t="str">
        <f>"06825"</f>
        <v>06825</v>
      </c>
      <c r="E4472">
        <v>77.959999999999994</v>
      </c>
    </row>
    <row r="4473" spans="1:5" x14ac:dyDescent="0.2">
      <c r="A4473" t="str">
        <f>"06830"</f>
        <v>06830</v>
      </c>
      <c r="B4473" t="s">
        <v>12</v>
      </c>
      <c r="C4473">
        <v>6830</v>
      </c>
      <c r="D4473" t="str">
        <f>"06830"</f>
        <v>06830</v>
      </c>
      <c r="E4473">
        <v>78.37</v>
      </c>
    </row>
    <row r="4474" spans="1:5" x14ac:dyDescent="0.2">
      <c r="A4474" t="str">
        <f>"06831"</f>
        <v>06831</v>
      </c>
      <c r="B4474" t="s">
        <v>12</v>
      </c>
      <c r="C4474">
        <v>6831</v>
      </c>
      <c r="D4474" t="str">
        <f>"06831"</f>
        <v>06831</v>
      </c>
      <c r="E4474">
        <v>81.34</v>
      </c>
    </row>
    <row r="4475" spans="1:5" x14ac:dyDescent="0.2">
      <c r="A4475" t="str">
        <f>"06840"</f>
        <v>06840</v>
      </c>
      <c r="B4475" t="s">
        <v>12</v>
      </c>
      <c r="C4475">
        <v>6840</v>
      </c>
      <c r="D4475" t="str">
        <f>"06840"</f>
        <v>06840</v>
      </c>
      <c r="E4475">
        <v>80.62</v>
      </c>
    </row>
    <row r="4476" spans="1:5" x14ac:dyDescent="0.2">
      <c r="A4476" t="str">
        <f>"06850"</f>
        <v>06850</v>
      </c>
      <c r="B4476" t="s">
        <v>12</v>
      </c>
      <c r="C4476">
        <v>6850</v>
      </c>
      <c r="D4476" t="str">
        <f>"06850"</f>
        <v>06850</v>
      </c>
      <c r="E4476">
        <v>78.7</v>
      </c>
    </row>
    <row r="4477" spans="1:5" x14ac:dyDescent="0.2">
      <c r="A4477" t="str">
        <f>"06851"</f>
        <v>06851</v>
      </c>
      <c r="B4477" t="s">
        <v>12</v>
      </c>
      <c r="C4477">
        <v>6851</v>
      </c>
      <c r="D4477" t="str">
        <f>"06851"</f>
        <v>06851</v>
      </c>
      <c r="E4477">
        <v>78.36</v>
      </c>
    </row>
    <row r="4478" spans="1:5" x14ac:dyDescent="0.2">
      <c r="A4478" t="str">
        <f>"06853"</f>
        <v>06853</v>
      </c>
      <c r="B4478" t="s">
        <v>12</v>
      </c>
      <c r="C4478">
        <v>6853</v>
      </c>
      <c r="D4478" t="str">
        <f>"06853"</f>
        <v>06853</v>
      </c>
      <c r="E4478">
        <v>84.3</v>
      </c>
    </row>
    <row r="4479" spans="1:5" x14ac:dyDescent="0.2">
      <c r="A4479" t="str">
        <f>"06854"</f>
        <v>06854</v>
      </c>
      <c r="B4479" t="s">
        <v>12</v>
      </c>
      <c r="C4479">
        <v>6854</v>
      </c>
      <c r="D4479" t="str">
        <f>"06854"</f>
        <v>06854</v>
      </c>
      <c r="E4479">
        <v>68.489999999999995</v>
      </c>
    </row>
    <row r="4480" spans="1:5" x14ac:dyDescent="0.2">
      <c r="A4480" t="str">
        <f>"06855"</f>
        <v>06855</v>
      </c>
      <c r="B4480" t="s">
        <v>12</v>
      </c>
      <c r="C4480">
        <v>6855</v>
      </c>
      <c r="D4480" t="str">
        <f>"06855"</f>
        <v>06855</v>
      </c>
      <c r="E4480">
        <v>75.41</v>
      </c>
    </row>
    <row r="4481" spans="1:5" x14ac:dyDescent="0.2">
      <c r="A4481" t="str">
        <f>"06870"</f>
        <v>06870</v>
      </c>
      <c r="B4481" t="s">
        <v>12</v>
      </c>
      <c r="C4481">
        <v>6870</v>
      </c>
      <c r="D4481" t="str">
        <f>"06870"</f>
        <v>06870</v>
      </c>
      <c r="E4481">
        <v>83.79</v>
      </c>
    </row>
    <row r="4482" spans="1:5" x14ac:dyDescent="0.2">
      <c r="A4482" t="str">
        <f>"06877"</f>
        <v>06877</v>
      </c>
      <c r="B4482" t="s">
        <v>12</v>
      </c>
      <c r="C4482">
        <v>6877</v>
      </c>
      <c r="D4482" t="str">
        <f>"06877"</f>
        <v>06877</v>
      </c>
      <c r="E4482">
        <v>81.86</v>
      </c>
    </row>
    <row r="4483" spans="1:5" x14ac:dyDescent="0.2">
      <c r="A4483" t="str">
        <f>"06878"</f>
        <v>06878</v>
      </c>
      <c r="B4483" t="s">
        <v>12</v>
      </c>
      <c r="C4483">
        <v>6878</v>
      </c>
      <c r="D4483" t="str">
        <f>"06878"</f>
        <v>06878</v>
      </c>
      <c r="E4483">
        <v>81.319999999999993</v>
      </c>
    </row>
    <row r="4484" spans="1:5" x14ac:dyDescent="0.2">
      <c r="A4484" t="str">
        <f>"06880"</f>
        <v>06880</v>
      </c>
      <c r="B4484" t="s">
        <v>12</v>
      </c>
      <c r="C4484">
        <v>6880</v>
      </c>
      <c r="D4484" t="str">
        <f>"06880"</f>
        <v>06880</v>
      </c>
      <c r="E4484">
        <v>80.61</v>
      </c>
    </row>
    <row r="4485" spans="1:5" x14ac:dyDescent="0.2">
      <c r="A4485" t="str">
        <f>"06883"</f>
        <v>06883</v>
      </c>
      <c r="B4485" t="s">
        <v>12</v>
      </c>
      <c r="C4485">
        <v>6883</v>
      </c>
      <c r="D4485" t="str">
        <f>"06883"</f>
        <v>06883</v>
      </c>
      <c r="E4485">
        <v>79.959999999999994</v>
      </c>
    </row>
    <row r="4486" spans="1:5" x14ac:dyDescent="0.2">
      <c r="A4486" t="str">
        <f>"06890"</f>
        <v>06890</v>
      </c>
      <c r="B4486" t="s">
        <v>12</v>
      </c>
      <c r="C4486">
        <v>6890</v>
      </c>
      <c r="D4486" t="str">
        <f>"06890"</f>
        <v>06890</v>
      </c>
      <c r="E4486">
        <v>81.19</v>
      </c>
    </row>
    <row r="4487" spans="1:5" x14ac:dyDescent="0.2">
      <c r="A4487" t="str">
        <f>"06896"</f>
        <v>06896</v>
      </c>
      <c r="B4487" t="s">
        <v>12</v>
      </c>
      <c r="C4487">
        <v>6896</v>
      </c>
      <c r="D4487" t="str">
        <f>"06896"</f>
        <v>06896</v>
      </c>
      <c r="E4487">
        <v>80.760000000000005</v>
      </c>
    </row>
    <row r="4488" spans="1:5" x14ac:dyDescent="0.2">
      <c r="A4488" t="str">
        <f>"06897"</f>
        <v>06897</v>
      </c>
      <c r="B4488" t="s">
        <v>12</v>
      </c>
      <c r="C4488">
        <v>6897</v>
      </c>
      <c r="D4488" t="str">
        <f>"06897"</f>
        <v>06897</v>
      </c>
      <c r="E4488">
        <v>80.83</v>
      </c>
    </row>
    <row r="4489" spans="1:5" x14ac:dyDescent="0.2">
      <c r="A4489" t="str">
        <f>"06901"</f>
        <v>06901</v>
      </c>
      <c r="B4489" t="s">
        <v>12</v>
      </c>
      <c r="C4489">
        <v>6901</v>
      </c>
      <c r="D4489" t="str">
        <f>"06901"</f>
        <v>06901</v>
      </c>
      <c r="E4489">
        <v>83.33</v>
      </c>
    </row>
    <row r="4490" spans="1:5" x14ac:dyDescent="0.2">
      <c r="A4490" t="str">
        <f>"06902"</f>
        <v>06902</v>
      </c>
      <c r="B4490" t="s">
        <v>12</v>
      </c>
      <c r="C4490">
        <v>6902</v>
      </c>
      <c r="D4490" t="str">
        <f>"06902"</f>
        <v>06902</v>
      </c>
      <c r="E4490">
        <v>71.489999999999995</v>
      </c>
    </row>
    <row r="4491" spans="1:5" x14ac:dyDescent="0.2">
      <c r="A4491" t="str">
        <f>"06903"</f>
        <v>06903</v>
      </c>
      <c r="B4491" t="s">
        <v>12</v>
      </c>
      <c r="C4491">
        <v>6903</v>
      </c>
      <c r="D4491" t="str">
        <f>"06903"</f>
        <v>06903</v>
      </c>
      <c r="E4491">
        <v>82.72</v>
      </c>
    </row>
    <row r="4492" spans="1:5" x14ac:dyDescent="0.2">
      <c r="A4492" t="str">
        <f>"06905"</f>
        <v>06905</v>
      </c>
      <c r="B4492" t="s">
        <v>12</v>
      </c>
      <c r="C4492">
        <v>6905</v>
      </c>
      <c r="D4492" t="str">
        <f>"06905"</f>
        <v>06905</v>
      </c>
      <c r="E4492">
        <v>80.77</v>
      </c>
    </row>
    <row r="4493" spans="1:5" x14ac:dyDescent="0.2">
      <c r="A4493" t="str">
        <f>"06906"</f>
        <v>06906</v>
      </c>
      <c r="B4493" t="s">
        <v>12</v>
      </c>
      <c r="C4493">
        <v>6906</v>
      </c>
      <c r="D4493" t="str">
        <f>"06906"</f>
        <v>06906</v>
      </c>
      <c r="E4493">
        <v>74.8</v>
      </c>
    </row>
    <row r="4494" spans="1:5" x14ac:dyDescent="0.2">
      <c r="A4494" t="str">
        <f>"06907"</f>
        <v>06907</v>
      </c>
      <c r="B4494" t="s">
        <v>12</v>
      </c>
      <c r="C4494">
        <v>6907</v>
      </c>
      <c r="D4494" t="str">
        <f>"06907"</f>
        <v>06907</v>
      </c>
      <c r="E4494">
        <v>79.56</v>
      </c>
    </row>
    <row r="4495" spans="1:5" x14ac:dyDescent="0.2">
      <c r="A4495">
        <v>20001</v>
      </c>
      <c r="B4495" t="s">
        <v>13</v>
      </c>
      <c r="C4495">
        <v>20001</v>
      </c>
      <c r="D4495" t="str">
        <f>"20001"</f>
        <v>20001</v>
      </c>
      <c r="E4495">
        <v>84.86</v>
      </c>
    </row>
    <row r="4496" spans="1:5" x14ac:dyDescent="0.2">
      <c r="A4496">
        <v>20002</v>
      </c>
      <c r="B4496" t="s">
        <v>13</v>
      </c>
      <c r="C4496">
        <v>20002</v>
      </c>
      <c r="D4496" t="str">
        <f>"20002"</f>
        <v>20002</v>
      </c>
      <c r="E4496">
        <v>81.47</v>
      </c>
    </row>
    <row r="4497" spans="1:5" x14ac:dyDescent="0.2">
      <c r="A4497">
        <v>20003</v>
      </c>
      <c r="B4497" t="s">
        <v>13</v>
      </c>
      <c r="C4497">
        <v>20003</v>
      </c>
      <c r="D4497" t="str">
        <f>"20003"</f>
        <v>20003</v>
      </c>
      <c r="E4497">
        <v>89.82</v>
      </c>
    </row>
    <row r="4498" spans="1:5" x14ac:dyDescent="0.2">
      <c r="A4498">
        <v>20004</v>
      </c>
      <c r="B4498" t="s">
        <v>13</v>
      </c>
      <c r="C4498">
        <v>20004</v>
      </c>
      <c r="D4498" t="str">
        <f>"20004"</f>
        <v>20004</v>
      </c>
      <c r="E4498">
        <v>92.86</v>
      </c>
    </row>
    <row r="4499" spans="1:5" x14ac:dyDescent="0.2">
      <c r="A4499">
        <v>20005</v>
      </c>
      <c r="B4499" t="s">
        <v>13</v>
      </c>
      <c r="C4499">
        <v>20005</v>
      </c>
      <c r="D4499" t="str">
        <f>"20005"</f>
        <v>20005</v>
      </c>
      <c r="E4499">
        <v>90.01</v>
      </c>
    </row>
    <row r="4500" spans="1:5" x14ac:dyDescent="0.2">
      <c r="A4500">
        <v>20006</v>
      </c>
      <c r="B4500" t="s">
        <v>13</v>
      </c>
      <c r="C4500">
        <v>20006</v>
      </c>
      <c r="D4500" t="str">
        <f>"20006"</f>
        <v>20006</v>
      </c>
      <c r="E4500">
        <v>78.180000000000007</v>
      </c>
    </row>
    <row r="4501" spans="1:5" x14ac:dyDescent="0.2">
      <c r="A4501">
        <v>20007</v>
      </c>
      <c r="B4501" t="s">
        <v>13</v>
      </c>
      <c r="C4501">
        <v>20007</v>
      </c>
      <c r="D4501" t="str">
        <f>"20007"</f>
        <v>20007</v>
      </c>
      <c r="E4501">
        <v>87.59</v>
      </c>
    </row>
    <row r="4502" spans="1:5" x14ac:dyDescent="0.2">
      <c r="A4502">
        <v>20008</v>
      </c>
      <c r="B4502" t="s">
        <v>13</v>
      </c>
      <c r="C4502">
        <v>20008</v>
      </c>
      <c r="D4502" t="str">
        <f>"20008"</f>
        <v>20008</v>
      </c>
      <c r="E4502">
        <v>90.35</v>
      </c>
    </row>
    <row r="4503" spans="1:5" x14ac:dyDescent="0.2">
      <c r="A4503">
        <v>20009</v>
      </c>
      <c r="B4503" t="s">
        <v>13</v>
      </c>
      <c r="C4503">
        <v>20009</v>
      </c>
      <c r="D4503" t="str">
        <f>"20009"</f>
        <v>20009</v>
      </c>
      <c r="E4503">
        <v>87.83</v>
      </c>
    </row>
    <row r="4504" spans="1:5" x14ac:dyDescent="0.2">
      <c r="A4504">
        <v>20010</v>
      </c>
      <c r="B4504" t="s">
        <v>13</v>
      </c>
      <c r="C4504">
        <v>20010</v>
      </c>
      <c r="D4504" t="str">
        <f>"20010"</f>
        <v>20010</v>
      </c>
      <c r="E4504">
        <v>80.930000000000007</v>
      </c>
    </row>
    <row r="4505" spans="1:5" x14ac:dyDescent="0.2">
      <c r="A4505">
        <v>20011</v>
      </c>
      <c r="B4505" t="s">
        <v>13</v>
      </c>
      <c r="C4505">
        <v>20011</v>
      </c>
      <c r="D4505" t="str">
        <f>"20011"</f>
        <v>20011</v>
      </c>
      <c r="E4505">
        <v>74.2</v>
      </c>
    </row>
    <row r="4506" spans="1:5" x14ac:dyDescent="0.2">
      <c r="A4506">
        <v>20012</v>
      </c>
      <c r="B4506" t="s">
        <v>13</v>
      </c>
      <c r="C4506">
        <v>20012</v>
      </c>
      <c r="D4506" t="str">
        <f>"20012"</f>
        <v>20012</v>
      </c>
      <c r="E4506">
        <v>79.45</v>
      </c>
    </row>
    <row r="4507" spans="1:5" x14ac:dyDescent="0.2">
      <c r="A4507">
        <v>20015</v>
      </c>
      <c r="B4507" t="s">
        <v>13</v>
      </c>
      <c r="C4507">
        <v>20015</v>
      </c>
      <c r="D4507" t="str">
        <f>"20015"</f>
        <v>20015</v>
      </c>
      <c r="E4507">
        <v>87.15</v>
      </c>
    </row>
    <row r="4508" spans="1:5" x14ac:dyDescent="0.2">
      <c r="A4508">
        <v>20016</v>
      </c>
      <c r="B4508" t="s">
        <v>13</v>
      </c>
      <c r="C4508">
        <v>20016</v>
      </c>
      <c r="D4508" t="str">
        <f>"20016"</f>
        <v>20016</v>
      </c>
      <c r="E4508">
        <v>85.88</v>
      </c>
    </row>
    <row r="4509" spans="1:5" x14ac:dyDescent="0.2">
      <c r="A4509">
        <v>20017</v>
      </c>
      <c r="B4509" t="s">
        <v>13</v>
      </c>
      <c r="C4509">
        <v>20017</v>
      </c>
      <c r="D4509" t="str">
        <f>"20017"</f>
        <v>20017</v>
      </c>
      <c r="E4509">
        <v>78.62</v>
      </c>
    </row>
    <row r="4510" spans="1:5" x14ac:dyDescent="0.2">
      <c r="A4510">
        <v>20018</v>
      </c>
      <c r="B4510" t="s">
        <v>13</v>
      </c>
      <c r="C4510">
        <v>20018</v>
      </c>
      <c r="D4510" t="str">
        <f>"20018"</f>
        <v>20018</v>
      </c>
      <c r="E4510">
        <v>75.540000000000006</v>
      </c>
    </row>
    <row r="4511" spans="1:5" x14ac:dyDescent="0.2">
      <c r="A4511">
        <v>20019</v>
      </c>
      <c r="B4511" t="s">
        <v>13</v>
      </c>
      <c r="C4511">
        <v>20019</v>
      </c>
      <c r="D4511" t="str">
        <f>"20019"</f>
        <v>20019</v>
      </c>
      <c r="E4511">
        <v>61.57</v>
      </c>
    </row>
    <row r="4512" spans="1:5" x14ac:dyDescent="0.2">
      <c r="A4512">
        <v>20020</v>
      </c>
      <c r="B4512" t="s">
        <v>13</v>
      </c>
      <c r="C4512">
        <v>20020</v>
      </c>
      <c r="D4512" t="str">
        <f>"20020"</f>
        <v>20020</v>
      </c>
      <c r="E4512">
        <v>61.01</v>
      </c>
    </row>
    <row r="4513" spans="1:5" x14ac:dyDescent="0.2">
      <c r="A4513">
        <v>20024</v>
      </c>
      <c r="B4513" t="s">
        <v>13</v>
      </c>
      <c r="C4513">
        <v>20024</v>
      </c>
      <c r="D4513" t="str">
        <f>"20024"</f>
        <v>20024</v>
      </c>
      <c r="E4513">
        <v>83.91</v>
      </c>
    </row>
    <row r="4514" spans="1:5" x14ac:dyDescent="0.2">
      <c r="A4514">
        <v>20032</v>
      </c>
      <c r="B4514" t="s">
        <v>13</v>
      </c>
      <c r="C4514">
        <v>20032</v>
      </c>
      <c r="D4514" t="str">
        <f>"20032"</f>
        <v>20032</v>
      </c>
      <c r="E4514">
        <v>57.33</v>
      </c>
    </row>
    <row r="4515" spans="1:5" x14ac:dyDescent="0.2">
      <c r="A4515">
        <v>20036</v>
      </c>
      <c r="B4515" t="s">
        <v>13</v>
      </c>
      <c r="C4515">
        <v>20036</v>
      </c>
      <c r="D4515" t="str">
        <f>"20036"</f>
        <v>20036</v>
      </c>
      <c r="E4515">
        <v>91.33</v>
      </c>
    </row>
    <row r="4516" spans="1:5" x14ac:dyDescent="0.2">
      <c r="A4516">
        <v>20037</v>
      </c>
      <c r="B4516" t="s">
        <v>13</v>
      </c>
      <c r="C4516">
        <v>20037</v>
      </c>
      <c r="D4516" t="str">
        <f>"20037"</f>
        <v>20037</v>
      </c>
      <c r="E4516">
        <v>87.2</v>
      </c>
    </row>
    <row r="4517" spans="1:5" x14ac:dyDescent="0.2">
      <c r="A4517">
        <v>20045</v>
      </c>
      <c r="B4517" t="s">
        <v>13</v>
      </c>
      <c r="C4517">
        <v>20045</v>
      </c>
      <c r="D4517" t="str">
        <f>"20045"</f>
        <v>20045</v>
      </c>
      <c r="E4517" t="s">
        <v>6</v>
      </c>
    </row>
    <row r="4518" spans="1:5" x14ac:dyDescent="0.2">
      <c r="A4518">
        <v>20052</v>
      </c>
      <c r="B4518" t="s">
        <v>13</v>
      </c>
      <c r="C4518">
        <v>20052</v>
      </c>
      <c r="D4518" t="str">
        <f>"20052"</f>
        <v>20052</v>
      </c>
      <c r="E4518" t="s">
        <v>6</v>
      </c>
    </row>
    <row r="4519" spans="1:5" x14ac:dyDescent="0.2">
      <c r="A4519">
        <v>20059</v>
      </c>
      <c r="B4519" t="s">
        <v>13</v>
      </c>
      <c r="C4519">
        <v>20059</v>
      </c>
      <c r="D4519" t="str">
        <f>"20059"</f>
        <v>20059</v>
      </c>
      <c r="E4519" t="s">
        <v>6</v>
      </c>
    </row>
    <row r="4520" spans="1:5" x14ac:dyDescent="0.2">
      <c r="A4520">
        <v>20201</v>
      </c>
      <c r="B4520" t="s">
        <v>13</v>
      </c>
      <c r="C4520">
        <v>20201</v>
      </c>
      <c r="D4520" t="str">
        <f>"20201"</f>
        <v>20201</v>
      </c>
      <c r="E4520" t="s">
        <v>6</v>
      </c>
    </row>
    <row r="4521" spans="1:5" x14ac:dyDescent="0.2">
      <c r="A4521">
        <v>20202</v>
      </c>
      <c r="B4521" t="s">
        <v>13</v>
      </c>
      <c r="C4521">
        <v>20202</v>
      </c>
      <c r="D4521" t="str">
        <f>"20202"</f>
        <v>20202</v>
      </c>
      <c r="E4521" t="s">
        <v>6</v>
      </c>
    </row>
    <row r="4522" spans="1:5" x14ac:dyDescent="0.2">
      <c r="A4522">
        <v>20212</v>
      </c>
      <c r="B4522" t="s">
        <v>13</v>
      </c>
      <c r="C4522">
        <v>20212</v>
      </c>
      <c r="D4522" t="str">
        <f>"20212"</f>
        <v>20212</v>
      </c>
      <c r="E4522" t="s">
        <v>6</v>
      </c>
    </row>
    <row r="4523" spans="1:5" x14ac:dyDescent="0.2">
      <c r="A4523">
        <v>20216</v>
      </c>
      <c r="B4523" t="s">
        <v>13</v>
      </c>
      <c r="C4523">
        <v>20216</v>
      </c>
      <c r="D4523" t="str">
        <f>"20216"</f>
        <v>20216</v>
      </c>
      <c r="E4523" t="s">
        <v>6</v>
      </c>
    </row>
    <row r="4524" spans="1:5" x14ac:dyDescent="0.2">
      <c r="A4524">
        <v>20217</v>
      </c>
      <c r="B4524" t="s">
        <v>13</v>
      </c>
      <c r="C4524">
        <v>20217</v>
      </c>
      <c r="D4524" t="str">
        <f>"20217"</f>
        <v>20217</v>
      </c>
      <c r="E4524" t="s">
        <v>6</v>
      </c>
    </row>
    <row r="4525" spans="1:5" x14ac:dyDescent="0.2">
      <c r="A4525">
        <v>20227</v>
      </c>
      <c r="B4525" t="s">
        <v>13</v>
      </c>
      <c r="C4525">
        <v>20227</v>
      </c>
      <c r="D4525" t="str">
        <f>"20227"</f>
        <v>20227</v>
      </c>
      <c r="E4525" t="s">
        <v>6</v>
      </c>
    </row>
    <row r="4526" spans="1:5" x14ac:dyDescent="0.2">
      <c r="A4526">
        <v>20228</v>
      </c>
      <c r="B4526" t="s">
        <v>13</v>
      </c>
      <c r="C4526">
        <v>20228</v>
      </c>
      <c r="D4526" t="str">
        <f>"20228"</f>
        <v>20228</v>
      </c>
      <c r="E4526" t="s">
        <v>6</v>
      </c>
    </row>
    <row r="4527" spans="1:5" x14ac:dyDescent="0.2">
      <c r="A4527">
        <v>20229</v>
      </c>
      <c r="B4527" t="s">
        <v>13</v>
      </c>
      <c r="C4527">
        <v>20229</v>
      </c>
      <c r="D4527" t="str">
        <f>"20229"</f>
        <v>20229</v>
      </c>
      <c r="E4527" t="s">
        <v>6</v>
      </c>
    </row>
    <row r="4528" spans="1:5" x14ac:dyDescent="0.2">
      <c r="A4528">
        <v>20230</v>
      </c>
      <c r="B4528" t="s">
        <v>13</v>
      </c>
      <c r="C4528">
        <v>20230</v>
      </c>
      <c r="D4528" t="str">
        <f>"20230"</f>
        <v>20230</v>
      </c>
      <c r="E4528" t="s">
        <v>6</v>
      </c>
    </row>
    <row r="4529" spans="1:5" x14ac:dyDescent="0.2">
      <c r="A4529">
        <v>20237</v>
      </c>
      <c r="B4529" t="s">
        <v>13</v>
      </c>
      <c r="C4529">
        <v>20237</v>
      </c>
      <c r="D4529" t="str">
        <f>"20237"</f>
        <v>20237</v>
      </c>
      <c r="E4529" t="s">
        <v>6</v>
      </c>
    </row>
    <row r="4530" spans="1:5" x14ac:dyDescent="0.2">
      <c r="A4530">
        <v>20240</v>
      </c>
      <c r="B4530" t="s">
        <v>13</v>
      </c>
      <c r="C4530">
        <v>20240</v>
      </c>
      <c r="D4530" t="str">
        <f>"20240"</f>
        <v>20240</v>
      </c>
      <c r="E4530" t="s">
        <v>6</v>
      </c>
    </row>
    <row r="4531" spans="1:5" x14ac:dyDescent="0.2">
      <c r="A4531">
        <v>20242</v>
      </c>
      <c r="B4531" t="s">
        <v>13</v>
      </c>
      <c r="C4531">
        <v>20242</v>
      </c>
      <c r="D4531" t="str">
        <f>"20242"</f>
        <v>20242</v>
      </c>
      <c r="E4531" t="s">
        <v>6</v>
      </c>
    </row>
    <row r="4532" spans="1:5" x14ac:dyDescent="0.2">
      <c r="A4532">
        <v>20245</v>
      </c>
      <c r="B4532" t="s">
        <v>13</v>
      </c>
      <c r="C4532">
        <v>20245</v>
      </c>
      <c r="D4532" t="str">
        <f>"20245"</f>
        <v>20245</v>
      </c>
      <c r="E4532" t="s">
        <v>6</v>
      </c>
    </row>
    <row r="4533" spans="1:5" x14ac:dyDescent="0.2">
      <c r="A4533">
        <v>20250</v>
      </c>
      <c r="B4533" t="s">
        <v>13</v>
      </c>
      <c r="C4533">
        <v>20250</v>
      </c>
      <c r="D4533" t="str">
        <f>"20250"</f>
        <v>20250</v>
      </c>
      <c r="E4533" t="s">
        <v>6</v>
      </c>
    </row>
    <row r="4534" spans="1:5" x14ac:dyDescent="0.2">
      <c r="A4534">
        <v>20260</v>
      </c>
      <c r="B4534" t="s">
        <v>13</v>
      </c>
      <c r="C4534">
        <v>20260</v>
      </c>
      <c r="D4534" t="str">
        <f>"20260"</f>
        <v>20260</v>
      </c>
      <c r="E4534" t="s">
        <v>6</v>
      </c>
    </row>
    <row r="4535" spans="1:5" x14ac:dyDescent="0.2">
      <c r="A4535">
        <v>20303</v>
      </c>
      <c r="B4535" t="s">
        <v>13</v>
      </c>
      <c r="C4535">
        <v>20303</v>
      </c>
      <c r="D4535" t="str">
        <f>"20303"</f>
        <v>20303</v>
      </c>
      <c r="E4535" t="s">
        <v>6</v>
      </c>
    </row>
    <row r="4536" spans="1:5" x14ac:dyDescent="0.2">
      <c r="A4536">
        <v>20306</v>
      </c>
      <c r="B4536" t="s">
        <v>13</v>
      </c>
      <c r="C4536">
        <v>20306</v>
      </c>
      <c r="D4536" t="str">
        <f>"20306"</f>
        <v>20306</v>
      </c>
      <c r="E4536" t="s">
        <v>6</v>
      </c>
    </row>
    <row r="4537" spans="1:5" x14ac:dyDescent="0.2">
      <c r="A4537">
        <v>20319</v>
      </c>
      <c r="B4537" t="s">
        <v>13</v>
      </c>
      <c r="C4537">
        <v>20319</v>
      </c>
      <c r="D4537" t="str">
        <f>"20319"</f>
        <v>20319</v>
      </c>
      <c r="E4537" t="s">
        <v>6</v>
      </c>
    </row>
    <row r="4538" spans="1:5" x14ac:dyDescent="0.2">
      <c r="A4538">
        <v>20372</v>
      </c>
      <c r="B4538" t="s">
        <v>13</v>
      </c>
      <c r="C4538">
        <v>20372</v>
      </c>
      <c r="D4538" t="str">
        <f>"20372"</f>
        <v>20372</v>
      </c>
      <c r="E4538" t="s">
        <v>6</v>
      </c>
    </row>
    <row r="4539" spans="1:5" x14ac:dyDescent="0.2">
      <c r="A4539">
        <v>20373</v>
      </c>
      <c r="B4539" t="s">
        <v>13</v>
      </c>
      <c r="C4539">
        <v>20373</v>
      </c>
      <c r="D4539" t="str">
        <f>"20373"</f>
        <v>20373</v>
      </c>
      <c r="E4539" t="s">
        <v>6</v>
      </c>
    </row>
    <row r="4540" spans="1:5" x14ac:dyDescent="0.2">
      <c r="A4540">
        <v>20374</v>
      </c>
      <c r="B4540" t="s">
        <v>13</v>
      </c>
      <c r="C4540">
        <v>20374</v>
      </c>
      <c r="D4540" t="str">
        <f>"20374"</f>
        <v>20374</v>
      </c>
      <c r="E4540" t="s">
        <v>6</v>
      </c>
    </row>
    <row r="4541" spans="1:5" x14ac:dyDescent="0.2">
      <c r="A4541">
        <v>20375</v>
      </c>
      <c r="B4541" t="s">
        <v>13</v>
      </c>
      <c r="C4541">
        <v>20375</v>
      </c>
      <c r="D4541" t="str">
        <f>"20375"</f>
        <v>20375</v>
      </c>
      <c r="E4541" t="s">
        <v>6</v>
      </c>
    </row>
    <row r="4542" spans="1:5" x14ac:dyDescent="0.2">
      <c r="A4542">
        <v>20390</v>
      </c>
      <c r="B4542" t="s">
        <v>13</v>
      </c>
      <c r="C4542">
        <v>20390</v>
      </c>
      <c r="D4542" t="str">
        <f>"20390"</f>
        <v>20390</v>
      </c>
      <c r="E4542" t="s">
        <v>6</v>
      </c>
    </row>
    <row r="4543" spans="1:5" x14ac:dyDescent="0.2">
      <c r="A4543">
        <v>20392</v>
      </c>
      <c r="B4543" t="s">
        <v>13</v>
      </c>
      <c r="C4543">
        <v>20392</v>
      </c>
      <c r="D4543" t="str">
        <f>"20392"</f>
        <v>20392</v>
      </c>
      <c r="E4543" t="s">
        <v>6</v>
      </c>
    </row>
    <row r="4544" spans="1:5" x14ac:dyDescent="0.2">
      <c r="A4544">
        <v>20401</v>
      </c>
      <c r="B4544" t="s">
        <v>13</v>
      </c>
      <c r="C4544">
        <v>20401</v>
      </c>
      <c r="D4544" t="str">
        <f>"20401"</f>
        <v>20401</v>
      </c>
      <c r="E4544" t="s">
        <v>6</v>
      </c>
    </row>
    <row r="4545" spans="1:5" x14ac:dyDescent="0.2">
      <c r="A4545">
        <v>20410</v>
      </c>
      <c r="B4545" t="s">
        <v>13</v>
      </c>
      <c r="C4545">
        <v>20410</v>
      </c>
      <c r="D4545" t="str">
        <f>"20410"</f>
        <v>20410</v>
      </c>
      <c r="E4545" t="s">
        <v>6</v>
      </c>
    </row>
    <row r="4546" spans="1:5" x14ac:dyDescent="0.2">
      <c r="A4546">
        <v>20415</v>
      </c>
      <c r="B4546" t="s">
        <v>13</v>
      </c>
      <c r="C4546">
        <v>20415</v>
      </c>
      <c r="D4546" t="str">
        <f>"20415"</f>
        <v>20415</v>
      </c>
      <c r="E4546" t="s">
        <v>6</v>
      </c>
    </row>
    <row r="4547" spans="1:5" x14ac:dyDescent="0.2">
      <c r="A4547">
        <v>20418</v>
      </c>
      <c r="B4547" t="s">
        <v>13</v>
      </c>
      <c r="C4547">
        <v>20418</v>
      </c>
      <c r="D4547" t="str">
        <f>"20418"</f>
        <v>20418</v>
      </c>
      <c r="E4547" t="s">
        <v>6</v>
      </c>
    </row>
    <row r="4548" spans="1:5" x14ac:dyDescent="0.2">
      <c r="A4548">
        <v>20422</v>
      </c>
      <c r="B4548" t="s">
        <v>13</v>
      </c>
      <c r="C4548">
        <v>20422</v>
      </c>
      <c r="D4548" t="str">
        <f>"20422"</f>
        <v>20422</v>
      </c>
      <c r="E4548" t="s">
        <v>6</v>
      </c>
    </row>
    <row r="4549" spans="1:5" x14ac:dyDescent="0.2">
      <c r="A4549">
        <v>20427</v>
      </c>
      <c r="B4549" t="s">
        <v>13</v>
      </c>
      <c r="C4549">
        <v>20427</v>
      </c>
      <c r="D4549" t="str">
        <f>"20427"</f>
        <v>20427</v>
      </c>
      <c r="E4549" t="s">
        <v>6</v>
      </c>
    </row>
    <row r="4550" spans="1:5" x14ac:dyDescent="0.2">
      <c r="A4550">
        <v>20431</v>
      </c>
      <c r="B4550" t="s">
        <v>13</v>
      </c>
      <c r="C4550">
        <v>20431</v>
      </c>
      <c r="D4550" t="str">
        <f>"20431"</f>
        <v>20431</v>
      </c>
      <c r="E4550" t="s">
        <v>6</v>
      </c>
    </row>
    <row r="4551" spans="1:5" x14ac:dyDescent="0.2">
      <c r="A4551">
        <v>20433</v>
      </c>
      <c r="B4551" t="s">
        <v>13</v>
      </c>
      <c r="C4551">
        <v>20433</v>
      </c>
      <c r="D4551" t="str">
        <f>"20433"</f>
        <v>20433</v>
      </c>
      <c r="E4551" t="s">
        <v>6</v>
      </c>
    </row>
    <row r="4552" spans="1:5" x14ac:dyDescent="0.2">
      <c r="A4552">
        <v>20436</v>
      </c>
      <c r="B4552" t="s">
        <v>13</v>
      </c>
      <c r="C4552">
        <v>20436</v>
      </c>
      <c r="D4552" t="str">
        <f>"20436"</f>
        <v>20436</v>
      </c>
      <c r="E4552" t="s">
        <v>6</v>
      </c>
    </row>
    <row r="4553" spans="1:5" x14ac:dyDescent="0.2">
      <c r="A4553">
        <v>20451</v>
      </c>
      <c r="B4553" t="s">
        <v>13</v>
      </c>
      <c r="C4553">
        <v>20451</v>
      </c>
      <c r="D4553" t="str">
        <f>"20451"</f>
        <v>20451</v>
      </c>
      <c r="E4553" t="s">
        <v>6</v>
      </c>
    </row>
    <row r="4554" spans="1:5" x14ac:dyDescent="0.2">
      <c r="A4554">
        <v>20472</v>
      </c>
      <c r="B4554" t="s">
        <v>13</v>
      </c>
      <c r="C4554">
        <v>20472</v>
      </c>
      <c r="D4554" t="str">
        <f>"20472"</f>
        <v>20472</v>
      </c>
      <c r="E4554" t="s">
        <v>6</v>
      </c>
    </row>
    <row r="4555" spans="1:5" x14ac:dyDescent="0.2">
      <c r="A4555">
        <v>20500</v>
      </c>
      <c r="B4555" t="s">
        <v>13</v>
      </c>
      <c r="C4555">
        <v>20500</v>
      </c>
      <c r="D4555" t="str">
        <f>"20500"</f>
        <v>20500</v>
      </c>
      <c r="E4555" t="s">
        <v>6</v>
      </c>
    </row>
    <row r="4556" spans="1:5" x14ac:dyDescent="0.2">
      <c r="A4556">
        <v>20510</v>
      </c>
      <c r="B4556" t="s">
        <v>13</v>
      </c>
      <c r="C4556">
        <v>20510</v>
      </c>
      <c r="D4556" t="str">
        <f>"20510"</f>
        <v>20510</v>
      </c>
      <c r="E4556" t="s">
        <v>6</v>
      </c>
    </row>
    <row r="4557" spans="1:5" x14ac:dyDescent="0.2">
      <c r="A4557">
        <v>20515</v>
      </c>
      <c r="B4557" t="s">
        <v>13</v>
      </c>
      <c r="C4557">
        <v>20515</v>
      </c>
      <c r="D4557" t="str">
        <f>"20515"</f>
        <v>20515</v>
      </c>
      <c r="E4557" t="s">
        <v>6</v>
      </c>
    </row>
    <row r="4558" spans="1:5" x14ac:dyDescent="0.2">
      <c r="A4558">
        <v>20520</v>
      </c>
      <c r="B4558" t="s">
        <v>13</v>
      </c>
      <c r="C4558">
        <v>20520</v>
      </c>
      <c r="D4558" t="str">
        <f>"20520"</f>
        <v>20520</v>
      </c>
      <c r="E4558" t="s">
        <v>6</v>
      </c>
    </row>
    <row r="4559" spans="1:5" x14ac:dyDescent="0.2">
      <c r="A4559">
        <v>20523</v>
      </c>
      <c r="B4559" t="s">
        <v>13</v>
      </c>
      <c r="C4559">
        <v>20523</v>
      </c>
      <c r="D4559" t="str">
        <f>"20523"</f>
        <v>20523</v>
      </c>
      <c r="E4559" t="s">
        <v>6</v>
      </c>
    </row>
    <row r="4560" spans="1:5" x14ac:dyDescent="0.2">
      <c r="A4560">
        <v>20529</v>
      </c>
      <c r="B4560" t="s">
        <v>13</v>
      </c>
      <c r="C4560">
        <v>20529</v>
      </c>
      <c r="D4560" t="str">
        <f>"20529"</f>
        <v>20529</v>
      </c>
      <c r="E4560" t="s">
        <v>6</v>
      </c>
    </row>
    <row r="4561" spans="1:5" x14ac:dyDescent="0.2">
      <c r="A4561">
        <v>20530</v>
      </c>
      <c r="B4561" t="s">
        <v>13</v>
      </c>
      <c r="C4561">
        <v>20530</v>
      </c>
      <c r="D4561" t="str">
        <f>"20530"</f>
        <v>20530</v>
      </c>
      <c r="E4561" t="s">
        <v>6</v>
      </c>
    </row>
    <row r="4562" spans="1:5" x14ac:dyDescent="0.2">
      <c r="A4562">
        <v>20534</v>
      </c>
      <c r="B4562" t="s">
        <v>13</v>
      </c>
      <c r="C4562">
        <v>20534</v>
      </c>
      <c r="D4562" t="str">
        <f>"20534"</f>
        <v>20534</v>
      </c>
      <c r="E4562" t="s">
        <v>6</v>
      </c>
    </row>
    <row r="4563" spans="1:5" x14ac:dyDescent="0.2">
      <c r="A4563">
        <v>20535</v>
      </c>
      <c r="B4563" t="s">
        <v>13</v>
      </c>
      <c r="C4563">
        <v>20535</v>
      </c>
      <c r="D4563" t="str">
        <f>"20535"</f>
        <v>20535</v>
      </c>
      <c r="E4563" t="s">
        <v>6</v>
      </c>
    </row>
    <row r="4564" spans="1:5" x14ac:dyDescent="0.2">
      <c r="A4564">
        <v>20536</v>
      </c>
      <c r="B4564" t="s">
        <v>13</v>
      </c>
      <c r="C4564">
        <v>20536</v>
      </c>
      <c r="D4564" t="str">
        <f>"20536"</f>
        <v>20536</v>
      </c>
      <c r="E4564" t="s">
        <v>6</v>
      </c>
    </row>
    <row r="4565" spans="1:5" x14ac:dyDescent="0.2">
      <c r="A4565">
        <v>20540</v>
      </c>
      <c r="B4565" t="s">
        <v>13</v>
      </c>
      <c r="C4565">
        <v>20540</v>
      </c>
      <c r="D4565" t="str">
        <f>"20540"</f>
        <v>20540</v>
      </c>
      <c r="E4565" t="s">
        <v>6</v>
      </c>
    </row>
    <row r="4566" spans="1:5" x14ac:dyDescent="0.2">
      <c r="A4566">
        <v>20542</v>
      </c>
      <c r="B4566" t="s">
        <v>13</v>
      </c>
      <c r="C4566">
        <v>20542</v>
      </c>
      <c r="D4566" t="str">
        <f>"20542"</f>
        <v>20542</v>
      </c>
      <c r="E4566" t="s">
        <v>6</v>
      </c>
    </row>
    <row r="4567" spans="1:5" x14ac:dyDescent="0.2">
      <c r="A4567">
        <v>20543</v>
      </c>
      <c r="B4567" t="s">
        <v>13</v>
      </c>
      <c r="C4567">
        <v>20543</v>
      </c>
      <c r="D4567" t="str">
        <f>"20543"</f>
        <v>20543</v>
      </c>
      <c r="E4567" t="s">
        <v>6</v>
      </c>
    </row>
    <row r="4568" spans="1:5" x14ac:dyDescent="0.2">
      <c r="A4568">
        <v>20544</v>
      </c>
      <c r="B4568" t="s">
        <v>13</v>
      </c>
      <c r="C4568">
        <v>20544</v>
      </c>
      <c r="D4568" t="str">
        <f>"20544"</f>
        <v>20544</v>
      </c>
      <c r="E4568" t="s">
        <v>6</v>
      </c>
    </row>
    <row r="4569" spans="1:5" x14ac:dyDescent="0.2">
      <c r="A4569">
        <v>20546</v>
      </c>
      <c r="B4569" t="s">
        <v>13</v>
      </c>
      <c r="C4569">
        <v>20546</v>
      </c>
      <c r="D4569" t="str">
        <f>"20546"</f>
        <v>20546</v>
      </c>
      <c r="E4569" t="s">
        <v>6</v>
      </c>
    </row>
    <row r="4570" spans="1:5" x14ac:dyDescent="0.2">
      <c r="A4570">
        <v>20549</v>
      </c>
      <c r="B4570" t="s">
        <v>13</v>
      </c>
      <c r="C4570">
        <v>20549</v>
      </c>
      <c r="D4570" t="str">
        <f>"20549"</f>
        <v>20549</v>
      </c>
      <c r="E4570" t="s">
        <v>6</v>
      </c>
    </row>
    <row r="4571" spans="1:5" x14ac:dyDescent="0.2">
      <c r="A4571">
        <v>20551</v>
      </c>
      <c r="B4571" t="s">
        <v>13</v>
      </c>
      <c r="C4571">
        <v>20551</v>
      </c>
      <c r="D4571" t="str">
        <f>"20551"</f>
        <v>20551</v>
      </c>
      <c r="E4571" t="s">
        <v>6</v>
      </c>
    </row>
    <row r="4572" spans="1:5" x14ac:dyDescent="0.2">
      <c r="A4572">
        <v>20553</v>
      </c>
      <c r="B4572" t="s">
        <v>13</v>
      </c>
      <c r="C4572">
        <v>20553</v>
      </c>
      <c r="D4572" t="str">
        <f>"20553"</f>
        <v>20553</v>
      </c>
      <c r="E4572" t="s">
        <v>6</v>
      </c>
    </row>
    <row r="4573" spans="1:5" x14ac:dyDescent="0.2">
      <c r="A4573">
        <v>20560</v>
      </c>
      <c r="B4573" t="s">
        <v>13</v>
      </c>
      <c r="C4573">
        <v>20560</v>
      </c>
      <c r="D4573" t="str">
        <f>"20560"</f>
        <v>20560</v>
      </c>
      <c r="E4573" t="s">
        <v>6</v>
      </c>
    </row>
    <row r="4574" spans="1:5" x14ac:dyDescent="0.2">
      <c r="A4574">
        <v>20565</v>
      </c>
      <c r="B4574" t="s">
        <v>13</v>
      </c>
      <c r="C4574">
        <v>20565</v>
      </c>
      <c r="D4574" t="str">
        <f>"20565"</f>
        <v>20565</v>
      </c>
      <c r="E4574" t="s">
        <v>6</v>
      </c>
    </row>
    <row r="4575" spans="1:5" x14ac:dyDescent="0.2">
      <c r="A4575">
        <v>20566</v>
      </c>
      <c r="B4575" t="s">
        <v>13</v>
      </c>
      <c r="C4575">
        <v>20566</v>
      </c>
      <c r="D4575" t="str">
        <f>"20566"</f>
        <v>20566</v>
      </c>
      <c r="E4575" t="s">
        <v>6</v>
      </c>
    </row>
    <row r="4576" spans="1:5" x14ac:dyDescent="0.2">
      <c r="A4576">
        <v>20571</v>
      </c>
      <c r="B4576" t="s">
        <v>13</v>
      </c>
      <c r="C4576">
        <v>20571</v>
      </c>
      <c r="D4576" t="str">
        <f>"20571"</f>
        <v>20571</v>
      </c>
      <c r="E4576" t="s">
        <v>6</v>
      </c>
    </row>
    <row r="4577" spans="1:5" x14ac:dyDescent="0.2">
      <c r="A4577">
        <v>20580</v>
      </c>
      <c r="B4577" t="s">
        <v>13</v>
      </c>
      <c r="C4577">
        <v>20580</v>
      </c>
      <c r="D4577" t="str">
        <f>"20580"</f>
        <v>20580</v>
      </c>
      <c r="E4577" t="s">
        <v>6</v>
      </c>
    </row>
    <row r="4578" spans="1:5" x14ac:dyDescent="0.2">
      <c r="A4578">
        <v>20585</v>
      </c>
      <c r="B4578" t="s">
        <v>13</v>
      </c>
      <c r="C4578">
        <v>20585</v>
      </c>
      <c r="D4578" t="str">
        <f>"20585"</f>
        <v>20585</v>
      </c>
      <c r="E4578" t="s">
        <v>6</v>
      </c>
    </row>
    <row r="4579" spans="1:5" x14ac:dyDescent="0.2">
      <c r="A4579">
        <v>20590</v>
      </c>
      <c r="B4579" t="s">
        <v>13</v>
      </c>
      <c r="C4579">
        <v>20590</v>
      </c>
      <c r="D4579" t="str">
        <f>"20590"</f>
        <v>20590</v>
      </c>
      <c r="E4579" t="s">
        <v>6</v>
      </c>
    </row>
    <row r="4580" spans="1:5" x14ac:dyDescent="0.2">
      <c r="A4580">
        <v>20593</v>
      </c>
      <c r="B4580" t="s">
        <v>13</v>
      </c>
      <c r="C4580">
        <v>20593</v>
      </c>
      <c r="D4580" t="str">
        <f>"20593"</f>
        <v>20593</v>
      </c>
      <c r="E4580" t="s">
        <v>6</v>
      </c>
    </row>
    <row r="4581" spans="1:5" x14ac:dyDescent="0.2">
      <c r="A4581">
        <v>20597</v>
      </c>
      <c r="B4581" t="s">
        <v>13</v>
      </c>
      <c r="C4581">
        <v>20597</v>
      </c>
      <c r="D4581" t="str">
        <f>"20597"</f>
        <v>20597</v>
      </c>
      <c r="E4581" t="s">
        <v>6</v>
      </c>
    </row>
    <row r="4582" spans="1:5" x14ac:dyDescent="0.2">
      <c r="A4582">
        <v>19701</v>
      </c>
      <c r="B4582" t="s">
        <v>14</v>
      </c>
      <c r="C4582">
        <v>19701</v>
      </c>
      <c r="D4582" t="str">
        <f>"19701"</f>
        <v>19701</v>
      </c>
      <c r="E4582">
        <v>79.23</v>
      </c>
    </row>
    <row r="4583" spans="1:5" x14ac:dyDescent="0.2">
      <c r="A4583">
        <v>19702</v>
      </c>
      <c r="B4583" t="s">
        <v>14</v>
      </c>
      <c r="C4583">
        <v>19702</v>
      </c>
      <c r="D4583" t="str">
        <f>"19702"</f>
        <v>19702</v>
      </c>
      <c r="E4583">
        <v>75.64</v>
      </c>
    </row>
    <row r="4584" spans="1:5" x14ac:dyDescent="0.2">
      <c r="A4584">
        <v>19703</v>
      </c>
      <c r="B4584" t="s">
        <v>14</v>
      </c>
      <c r="C4584">
        <v>19703</v>
      </c>
      <c r="D4584" t="str">
        <f>"19703"</f>
        <v>19703</v>
      </c>
      <c r="E4584">
        <v>74.27</v>
      </c>
    </row>
    <row r="4585" spans="1:5" x14ac:dyDescent="0.2">
      <c r="A4585">
        <v>19706</v>
      </c>
      <c r="B4585" t="s">
        <v>14</v>
      </c>
      <c r="C4585">
        <v>19706</v>
      </c>
      <c r="D4585" t="str">
        <f>"19706"</f>
        <v>19706</v>
      </c>
      <c r="E4585" t="s">
        <v>6</v>
      </c>
    </row>
    <row r="4586" spans="1:5" x14ac:dyDescent="0.2">
      <c r="A4586">
        <v>19707</v>
      </c>
      <c r="B4586" t="s">
        <v>14</v>
      </c>
      <c r="C4586">
        <v>19707</v>
      </c>
      <c r="D4586" t="str">
        <f>"19707"</f>
        <v>19707</v>
      </c>
      <c r="E4586">
        <v>83.84</v>
      </c>
    </row>
    <row r="4587" spans="1:5" x14ac:dyDescent="0.2">
      <c r="A4587">
        <v>19709</v>
      </c>
      <c r="B4587" t="s">
        <v>14</v>
      </c>
      <c r="C4587">
        <v>19709</v>
      </c>
      <c r="D4587" t="str">
        <f>"19709"</f>
        <v>19709</v>
      </c>
      <c r="E4587">
        <v>80.38</v>
      </c>
    </row>
    <row r="4588" spans="1:5" x14ac:dyDescent="0.2">
      <c r="A4588">
        <v>19710</v>
      </c>
      <c r="B4588" t="s">
        <v>14</v>
      </c>
      <c r="C4588">
        <v>19710</v>
      </c>
      <c r="D4588" t="str">
        <f>"19710"</f>
        <v>19710</v>
      </c>
      <c r="E4588" t="s">
        <v>6</v>
      </c>
    </row>
    <row r="4589" spans="1:5" x14ac:dyDescent="0.2">
      <c r="A4589">
        <v>19711</v>
      </c>
      <c r="B4589" t="s">
        <v>14</v>
      </c>
      <c r="C4589">
        <v>19711</v>
      </c>
      <c r="D4589" t="str">
        <f>"19711"</f>
        <v>19711</v>
      </c>
      <c r="E4589">
        <v>79.989999999999995</v>
      </c>
    </row>
    <row r="4590" spans="1:5" x14ac:dyDescent="0.2">
      <c r="A4590">
        <v>19713</v>
      </c>
      <c r="B4590" t="s">
        <v>14</v>
      </c>
      <c r="C4590">
        <v>19713</v>
      </c>
      <c r="D4590" t="str">
        <f>"19713"</f>
        <v>19713</v>
      </c>
      <c r="E4590">
        <v>74.56</v>
      </c>
    </row>
    <row r="4591" spans="1:5" x14ac:dyDescent="0.2">
      <c r="A4591">
        <v>19716</v>
      </c>
      <c r="B4591" t="s">
        <v>14</v>
      </c>
      <c r="C4591">
        <v>19716</v>
      </c>
      <c r="D4591" t="str">
        <f>"19716"</f>
        <v>19716</v>
      </c>
      <c r="E4591" t="s">
        <v>6</v>
      </c>
    </row>
    <row r="4592" spans="1:5" x14ac:dyDescent="0.2">
      <c r="A4592">
        <v>19717</v>
      </c>
      <c r="B4592" t="s">
        <v>14</v>
      </c>
      <c r="C4592">
        <v>19717</v>
      </c>
      <c r="D4592" t="str">
        <f>"19717"</f>
        <v>19717</v>
      </c>
      <c r="E4592" t="s">
        <v>6</v>
      </c>
    </row>
    <row r="4593" spans="1:5" x14ac:dyDescent="0.2">
      <c r="A4593">
        <v>19720</v>
      </c>
      <c r="B4593" t="s">
        <v>14</v>
      </c>
      <c r="C4593">
        <v>19720</v>
      </c>
      <c r="D4593" t="str">
        <f>"19720"</f>
        <v>19720</v>
      </c>
      <c r="E4593">
        <v>69.8</v>
      </c>
    </row>
    <row r="4594" spans="1:5" x14ac:dyDescent="0.2">
      <c r="A4594">
        <v>19730</v>
      </c>
      <c r="B4594" t="s">
        <v>14</v>
      </c>
      <c r="C4594">
        <v>19730</v>
      </c>
      <c r="D4594" t="str">
        <f>"19730"</f>
        <v>19730</v>
      </c>
      <c r="E4594" t="s">
        <v>6</v>
      </c>
    </row>
    <row r="4595" spans="1:5" x14ac:dyDescent="0.2">
      <c r="A4595">
        <v>19731</v>
      </c>
      <c r="B4595" t="s">
        <v>14</v>
      </c>
      <c r="C4595">
        <v>19731</v>
      </c>
      <c r="D4595" t="str">
        <f>"19731"</f>
        <v>19731</v>
      </c>
      <c r="E4595" t="s">
        <v>6</v>
      </c>
    </row>
    <row r="4596" spans="1:5" x14ac:dyDescent="0.2">
      <c r="A4596">
        <v>19732</v>
      </c>
      <c r="B4596" t="s">
        <v>14</v>
      </c>
      <c r="C4596">
        <v>19732</v>
      </c>
      <c r="D4596" t="str">
        <f>"19732"</f>
        <v>19732</v>
      </c>
      <c r="E4596" t="s">
        <v>6</v>
      </c>
    </row>
    <row r="4597" spans="1:5" x14ac:dyDescent="0.2">
      <c r="A4597">
        <v>19733</v>
      </c>
      <c r="B4597" t="s">
        <v>14</v>
      </c>
      <c r="C4597">
        <v>19733</v>
      </c>
      <c r="D4597" t="str">
        <f>"19733"</f>
        <v>19733</v>
      </c>
      <c r="E4597" t="s">
        <v>6</v>
      </c>
    </row>
    <row r="4598" spans="1:5" x14ac:dyDescent="0.2">
      <c r="A4598">
        <v>19734</v>
      </c>
      <c r="B4598" t="s">
        <v>14</v>
      </c>
      <c r="C4598">
        <v>19734</v>
      </c>
      <c r="D4598" t="str">
        <f>"19734"</f>
        <v>19734</v>
      </c>
      <c r="E4598">
        <v>79.67</v>
      </c>
    </row>
    <row r="4599" spans="1:5" x14ac:dyDescent="0.2">
      <c r="A4599">
        <v>19735</v>
      </c>
      <c r="B4599" t="s">
        <v>14</v>
      </c>
      <c r="C4599">
        <v>19735</v>
      </c>
      <c r="D4599" t="str">
        <f>"19735"</f>
        <v>19735</v>
      </c>
      <c r="E4599" t="s">
        <v>6</v>
      </c>
    </row>
    <row r="4600" spans="1:5" x14ac:dyDescent="0.2">
      <c r="A4600">
        <v>19736</v>
      </c>
      <c r="B4600" t="s">
        <v>14</v>
      </c>
      <c r="C4600">
        <v>19736</v>
      </c>
      <c r="D4600" t="str">
        <f>"19736"</f>
        <v>19736</v>
      </c>
      <c r="E4600">
        <v>83.33</v>
      </c>
    </row>
    <row r="4601" spans="1:5" x14ac:dyDescent="0.2">
      <c r="A4601">
        <v>19801</v>
      </c>
      <c r="B4601" t="s">
        <v>14</v>
      </c>
      <c r="C4601">
        <v>19801</v>
      </c>
      <c r="D4601" t="str">
        <f>"19801"</f>
        <v>19801</v>
      </c>
      <c r="E4601">
        <v>54.63</v>
      </c>
    </row>
    <row r="4602" spans="1:5" x14ac:dyDescent="0.2">
      <c r="A4602">
        <v>19802</v>
      </c>
      <c r="B4602" t="s">
        <v>14</v>
      </c>
      <c r="C4602">
        <v>19802</v>
      </c>
      <c r="D4602" t="str">
        <f>"19802"</f>
        <v>19802</v>
      </c>
      <c r="E4602">
        <v>61.33</v>
      </c>
    </row>
    <row r="4603" spans="1:5" x14ac:dyDescent="0.2">
      <c r="A4603">
        <v>19803</v>
      </c>
      <c r="B4603" t="s">
        <v>14</v>
      </c>
      <c r="C4603">
        <v>19803</v>
      </c>
      <c r="D4603" t="str">
        <f>"19803"</f>
        <v>19803</v>
      </c>
      <c r="E4603">
        <v>84.01</v>
      </c>
    </row>
    <row r="4604" spans="1:5" x14ac:dyDescent="0.2">
      <c r="A4604">
        <v>19804</v>
      </c>
      <c r="B4604" t="s">
        <v>14</v>
      </c>
      <c r="C4604">
        <v>19804</v>
      </c>
      <c r="D4604" t="str">
        <f>"19804"</f>
        <v>19804</v>
      </c>
      <c r="E4604">
        <v>73.209999999999994</v>
      </c>
    </row>
    <row r="4605" spans="1:5" x14ac:dyDescent="0.2">
      <c r="A4605">
        <v>19805</v>
      </c>
      <c r="B4605" t="s">
        <v>14</v>
      </c>
      <c r="C4605">
        <v>19805</v>
      </c>
      <c r="D4605" t="str">
        <f>"19805"</f>
        <v>19805</v>
      </c>
      <c r="E4605">
        <v>62.53</v>
      </c>
    </row>
    <row r="4606" spans="1:5" x14ac:dyDescent="0.2">
      <c r="A4606">
        <v>19806</v>
      </c>
      <c r="B4606" t="s">
        <v>14</v>
      </c>
      <c r="C4606">
        <v>19806</v>
      </c>
      <c r="D4606" t="str">
        <f>"19806"</f>
        <v>19806</v>
      </c>
      <c r="E4606">
        <v>84.52</v>
      </c>
    </row>
    <row r="4607" spans="1:5" x14ac:dyDescent="0.2">
      <c r="A4607">
        <v>19807</v>
      </c>
      <c r="B4607" t="s">
        <v>14</v>
      </c>
      <c r="C4607">
        <v>19807</v>
      </c>
      <c r="D4607" t="str">
        <f>"19807"</f>
        <v>19807</v>
      </c>
      <c r="E4607">
        <v>85.31</v>
      </c>
    </row>
    <row r="4608" spans="1:5" x14ac:dyDescent="0.2">
      <c r="A4608">
        <v>19808</v>
      </c>
      <c r="B4608" t="s">
        <v>14</v>
      </c>
      <c r="C4608">
        <v>19808</v>
      </c>
      <c r="D4608" t="str">
        <f>"19808"</f>
        <v>19808</v>
      </c>
      <c r="E4608">
        <v>79.349999999999994</v>
      </c>
    </row>
    <row r="4609" spans="1:5" x14ac:dyDescent="0.2">
      <c r="A4609">
        <v>19809</v>
      </c>
      <c r="B4609" t="s">
        <v>14</v>
      </c>
      <c r="C4609">
        <v>19809</v>
      </c>
      <c r="D4609" t="str">
        <f>"19809"</f>
        <v>19809</v>
      </c>
      <c r="E4609">
        <v>77.37</v>
      </c>
    </row>
    <row r="4610" spans="1:5" x14ac:dyDescent="0.2">
      <c r="A4610">
        <v>19810</v>
      </c>
      <c r="B4610" t="s">
        <v>14</v>
      </c>
      <c r="C4610">
        <v>19810</v>
      </c>
      <c r="D4610" t="str">
        <f>"19810"</f>
        <v>19810</v>
      </c>
      <c r="E4610">
        <v>81.55</v>
      </c>
    </row>
    <row r="4611" spans="1:5" x14ac:dyDescent="0.2">
      <c r="A4611">
        <v>19901</v>
      </c>
      <c r="B4611" t="s">
        <v>14</v>
      </c>
      <c r="C4611">
        <v>19901</v>
      </c>
      <c r="D4611" t="str">
        <f>"19901"</f>
        <v>19901</v>
      </c>
      <c r="E4611">
        <v>65.69</v>
      </c>
    </row>
    <row r="4612" spans="1:5" x14ac:dyDescent="0.2">
      <c r="A4612">
        <v>19902</v>
      </c>
      <c r="B4612" t="s">
        <v>14</v>
      </c>
      <c r="C4612">
        <v>19902</v>
      </c>
      <c r="D4612" t="str">
        <f>"19902"</f>
        <v>19902</v>
      </c>
      <c r="E4612" t="s">
        <v>6</v>
      </c>
    </row>
    <row r="4613" spans="1:5" x14ac:dyDescent="0.2">
      <c r="A4613">
        <v>19903</v>
      </c>
      <c r="B4613" t="s">
        <v>14</v>
      </c>
      <c r="C4613">
        <v>19903</v>
      </c>
      <c r="D4613" t="str">
        <f>"19903"</f>
        <v>19903</v>
      </c>
      <c r="E4613" t="s">
        <v>6</v>
      </c>
    </row>
    <row r="4614" spans="1:5" x14ac:dyDescent="0.2">
      <c r="A4614">
        <v>19904</v>
      </c>
      <c r="B4614" t="s">
        <v>14</v>
      </c>
      <c r="C4614">
        <v>19904</v>
      </c>
      <c r="D4614" t="str">
        <f>"19904"</f>
        <v>19904</v>
      </c>
      <c r="E4614">
        <v>70.44</v>
      </c>
    </row>
    <row r="4615" spans="1:5" x14ac:dyDescent="0.2">
      <c r="A4615">
        <v>19930</v>
      </c>
      <c r="B4615" t="s">
        <v>14</v>
      </c>
      <c r="C4615">
        <v>19930</v>
      </c>
      <c r="D4615" t="str">
        <f>"19930"</f>
        <v>19930</v>
      </c>
      <c r="E4615">
        <v>82.39</v>
      </c>
    </row>
    <row r="4616" spans="1:5" x14ac:dyDescent="0.2">
      <c r="A4616">
        <v>19931</v>
      </c>
      <c r="B4616" t="s">
        <v>14</v>
      </c>
      <c r="C4616">
        <v>19931</v>
      </c>
      <c r="D4616" t="str">
        <f>"19931"</f>
        <v>19931</v>
      </c>
      <c r="E4616">
        <v>73.33</v>
      </c>
    </row>
    <row r="4617" spans="1:5" x14ac:dyDescent="0.2">
      <c r="A4617">
        <v>19933</v>
      </c>
      <c r="B4617" t="s">
        <v>14</v>
      </c>
      <c r="C4617">
        <v>19933</v>
      </c>
      <c r="D4617" t="str">
        <f>"19933"</f>
        <v>19933</v>
      </c>
      <c r="E4617">
        <v>64.930000000000007</v>
      </c>
    </row>
    <row r="4618" spans="1:5" x14ac:dyDescent="0.2">
      <c r="A4618">
        <v>19934</v>
      </c>
      <c r="B4618" t="s">
        <v>14</v>
      </c>
      <c r="C4618">
        <v>19934</v>
      </c>
      <c r="D4618" t="str">
        <f>"19934"</f>
        <v>19934</v>
      </c>
      <c r="E4618">
        <v>75.150000000000006</v>
      </c>
    </row>
    <row r="4619" spans="1:5" x14ac:dyDescent="0.2">
      <c r="A4619">
        <v>19936</v>
      </c>
      <c r="B4619" t="s">
        <v>14</v>
      </c>
      <c r="C4619">
        <v>19936</v>
      </c>
      <c r="D4619" t="str">
        <f>"19936"</f>
        <v>19936</v>
      </c>
      <c r="E4619" t="s">
        <v>6</v>
      </c>
    </row>
    <row r="4620" spans="1:5" x14ac:dyDescent="0.2">
      <c r="A4620">
        <v>19938</v>
      </c>
      <c r="B4620" t="s">
        <v>14</v>
      </c>
      <c r="C4620">
        <v>19938</v>
      </c>
      <c r="D4620" t="str">
        <f>"19938"</f>
        <v>19938</v>
      </c>
      <c r="E4620">
        <v>77.7</v>
      </c>
    </row>
    <row r="4621" spans="1:5" x14ac:dyDescent="0.2">
      <c r="A4621">
        <v>19939</v>
      </c>
      <c r="B4621" t="s">
        <v>14</v>
      </c>
      <c r="C4621">
        <v>19939</v>
      </c>
      <c r="D4621" t="str">
        <f>"19939"</f>
        <v>19939</v>
      </c>
      <c r="E4621">
        <v>75.5</v>
      </c>
    </row>
    <row r="4622" spans="1:5" x14ac:dyDescent="0.2">
      <c r="A4622">
        <v>19940</v>
      </c>
      <c r="B4622" t="s">
        <v>14</v>
      </c>
      <c r="C4622">
        <v>19940</v>
      </c>
      <c r="D4622" t="str">
        <f>"19940"</f>
        <v>19940</v>
      </c>
      <c r="E4622">
        <v>70.760000000000005</v>
      </c>
    </row>
    <row r="4623" spans="1:5" x14ac:dyDescent="0.2">
      <c r="A4623">
        <v>19941</v>
      </c>
      <c r="B4623" t="s">
        <v>14</v>
      </c>
      <c r="C4623">
        <v>19941</v>
      </c>
      <c r="D4623" t="str">
        <f>"19941"</f>
        <v>19941</v>
      </c>
      <c r="E4623">
        <v>64.12</v>
      </c>
    </row>
    <row r="4624" spans="1:5" x14ac:dyDescent="0.2">
      <c r="A4624">
        <v>19943</v>
      </c>
      <c r="B4624" t="s">
        <v>14</v>
      </c>
      <c r="C4624">
        <v>19943</v>
      </c>
      <c r="D4624" t="str">
        <f>"19943"</f>
        <v>19943</v>
      </c>
      <c r="E4624">
        <v>73.55</v>
      </c>
    </row>
    <row r="4625" spans="1:5" x14ac:dyDescent="0.2">
      <c r="A4625">
        <v>19944</v>
      </c>
      <c r="B4625" t="s">
        <v>14</v>
      </c>
      <c r="C4625">
        <v>19944</v>
      </c>
      <c r="D4625" t="str">
        <f>"19944"</f>
        <v>19944</v>
      </c>
      <c r="E4625">
        <v>74.069999999999993</v>
      </c>
    </row>
    <row r="4626" spans="1:5" x14ac:dyDescent="0.2">
      <c r="A4626">
        <v>19945</v>
      </c>
      <c r="B4626" t="s">
        <v>14</v>
      </c>
      <c r="C4626">
        <v>19945</v>
      </c>
      <c r="D4626" t="str">
        <f>"19945"</f>
        <v>19945</v>
      </c>
      <c r="E4626">
        <v>69.739999999999995</v>
      </c>
    </row>
    <row r="4627" spans="1:5" x14ac:dyDescent="0.2">
      <c r="A4627">
        <v>19946</v>
      </c>
      <c r="B4627" t="s">
        <v>14</v>
      </c>
      <c r="C4627">
        <v>19946</v>
      </c>
      <c r="D4627" t="str">
        <f>"19946"</f>
        <v>19946</v>
      </c>
      <c r="E4627">
        <v>68.84</v>
      </c>
    </row>
    <row r="4628" spans="1:5" x14ac:dyDescent="0.2">
      <c r="A4628">
        <v>19947</v>
      </c>
      <c r="B4628" t="s">
        <v>14</v>
      </c>
      <c r="C4628">
        <v>19947</v>
      </c>
      <c r="D4628" t="str">
        <f>"19947"</f>
        <v>19947</v>
      </c>
      <c r="E4628">
        <v>64.010000000000005</v>
      </c>
    </row>
    <row r="4629" spans="1:5" x14ac:dyDescent="0.2">
      <c r="A4629">
        <v>19950</v>
      </c>
      <c r="B4629" t="s">
        <v>14</v>
      </c>
      <c r="C4629">
        <v>19950</v>
      </c>
      <c r="D4629" t="str">
        <f>"19950"</f>
        <v>19950</v>
      </c>
      <c r="E4629">
        <v>70.64</v>
      </c>
    </row>
    <row r="4630" spans="1:5" x14ac:dyDescent="0.2">
      <c r="A4630">
        <v>19951</v>
      </c>
      <c r="B4630" t="s">
        <v>14</v>
      </c>
      <c r="C4630">
        <v>19951</v>
      </c>
      <c r="D4630" t="str">
        <f>"19951"</f>
        <v>19951</v>
      </c>
      <c r="E4630">
        <v>75.790000000000006</v>
      </c>
    </row>
    <row r="4631" spans="1:5" x14ac:dyDescent="0.2">
      <c r="A4631">
        <v>19952</v>
      </c>
      <c r="B4631" t="s">
        <v>14</v>
      </c>
      <c r="C4631">
        <v>19952</v>
      </c>
      <c r="D4631" t="str">
        <f>"19952"</f>
        <v>19952</v>
      </c>
      <c r="E4631">
        <v>69.760000000000005</v>
      </c>
    </row>
    <row r="4632" spans="1:5" x14ac:dyDescent="0.2">
      <c r="A4632">
        <v>19953</v>
      </c>
      <c r="B4632" t="s">
        <v>14</v>
      </c>
      <c r="C4632">
        <v>19953</v>
      </c>
      <c r="D4632" t="str">
        <f>"19953"</f>
        <v>19953</v>
      </c>
      <c r="E4632">
        <v>73.08</v>
      </c>
    </row>
    <row r="4633" spans="1:5" x14ac:dyDescent="0.2">
      <c r="A4633">
        <v>19954</v>
      </c>
      <c r="B4633" t="s">
        <v>14</v>
      </c>
      <c r="C4633">
        <v>19954</v>
      </c>
      <c r="D4633" t="str">
        <f>"19954"</f>
        <v>19954</v>
      </c>
      <c r="E4633">
        <v>71.790000000000006</v>
      </c>
    </row>
    <row r="4634" spans="1:5" x14ac:dyDescent="0.2">
      <c r="A4634">
        <v>19955</v>
      </c>
      <c r="B4634" t="s">
        <v>14</v>
      </c>
      <c r="C4634">
        <v>19955</v>
      </c>
      <c r="D4634" t="str">
        <f>"19955"</f>
        <v>19955</v>
      </c>
      <c r="E4634" t="s">
        <v>6</v>
      </c>
    </row>
    <row r="4635" spans="1:5" x14ac:dyDescent="0.2">
      <c r="A4635">
        <v>19956</v>
      </c>
      <c r="B4635" t="s">
        <v>14</v>
      </c>
      <c r="C4635">
        <v>19956</v>
      </c>
      <c r="D4635" t="str">
        <f>"19956"</f>
        <v>19956</v>
      </c>
      <c r="E4635">
        <v>66.069999999999993</v>
      </c>
    </row>
    <row r="4636" spans="1:5" x14ac:dyDescent="0.2">
      <c r="A4636">
        <v>19958</v>
      </c>
      <c r="B4636" t="s">
        <v>14</v>
      </c>
      <c r="C4636">
        <v>19958</v>
      </c>
      <c r="D4636" t="str">
        <f>"19958"</f>
        <v>19958</v>
      </c>
      <c r="E4636">
        <v>80.03</v>
      </c>
    </row>
    <row r="4637" spans="1:5" x14ac:dyDescent="0.2">
      <c r="A4637">
        <v>19960</v>
      </c>
      <c r="B4637" t="s">
        <v>14</v>
      </c>
      <c r="C4637">
        <v>19960</v>
      </c>
      <c r="D4637" t="str">
        <f>"19960"</f>
        <v>19960</v>
      </c>
      <c r="E4637">
        <v>65.94</v>
      </c>
    </row>
    <row r="4638" spans="1:5" x14ac:dyDescent="0.2">
      <c r="A4638">
        <v>19961</v>
      </c>
      <c r="B4638" t="s">
        <v>14</v>
      </c>
      <c r="C4638">
        <v>19961</v>
      </c>
      <c r="D4638" t="str">
        <f>"19961"</f>
        <v>19961</v>
      </c>
      <c r="E4638" t="s">
        <v>6</v>
      </c>
    </row>
    <row r="4639" spans="1:5" x14ac:dyDescent="0.2">
      <c r="A4639">
        <v>19962</v>
      </c>
      <c r="B4639" t="s">
        <v>14</v>
      </c>
      <c r="C4639">
        <v>19962</v>
      </c>
      <c r="D4639" t="str">
        <f>"19962"</f>
        <v>19962</v>
      </c>
      <c r="E4639">
        <v>72.430000000000007</v>
      </c>
    </row>
    <row r="4640" spans="1:5" x14ac:dyDescent="0.2">
      <c r="A4640">
        <v>19963</v>
      </c>
      <c r="B4640" t="s">
        <v>14</v>
      </c>
      <c r="C4640">
        <v>19963</v>
      </c>
      <c r="D4640" t="str">
        <f>"19963"</f>
        <v>19963</v>
      </c>
      <c r="E4640">
        <v>69.959999999999994</v>
      </c>
    </row>
    <row r="4641" spans="1:5" x14ac:dyDescent="0.2">
      <c r="A4641">
        <v>19964</v>
      </c>
      <c r="B4641" t="s">
        <v>14</v>
      </c>
      <c r="C4641">
        <v>19964</v>
      </c>
      <c r="D4641" t="str">
        <f>"19964"</f>
        <v>19964</v>
      </c>
      <c r="E4641">
        <v>68.849999999999994</v>
      </c>
    </row>
    <row r="4642" spans="1:5" x14ac:dyDescent="0.2">
      <c r="A4642">
        <v>19966</v>
      </c>
      <c r="B4642" t="s">
        <v>14</v>
      </c>
      <c r="C4642">
        <v>19966</v>
      </c>
      <c r="D4642" t="str">
        <f>"19966"</f>
        <v>19966</v>
      </c>
      <c r="E4642">
        <v>71.209999999999994</v>
      </c>
    </row>
    <row r="4643" spans="1:5" x14ac:dyDescent="0.2">
      <c r="A4643">
        <v>19967</v>
      </c>
      <c r="B4643" t="s">
        <v>14</v>
      </c>
      <c r="C4643">
        <v>19967</v>
      </c>
      <c r="D4643" t="str">
        <f>"19967"</f>
        <v>19967</v>
      </c>
      <c r="E4643">
        <v>83.53</v>
      </c>
    </row>
    <row r="4644" spans="1:5" x14ac:dyDescent="0.2">
      <c r="A4644">
        <v>19968</v>
      </c>
      <c r="B4644" t="s">
        <v>14</v>
      </c>
      <c r="C4644">
        <v>19968</v>
      </c>
      <c r="D4644" t="str">
        <f>"19968"</f>
        <v>19968</v>
      </c>
      <c r="E4644">
        <v>77.59</v>
      </c>
    </row>
    <row r="4645" spans="1:5" x14ac:dyDescent="0.2">
      <c r="A4645">
        <v>19970</v>
      </c>
      <c r="B4645" t="s">
        <v>14</v>
      </c>
      <c r="C4645">
        <v>19970</v>
      </c>
      <c r="D4645" t="str">
        <f>"19970"</f>
        <v>19970</v>
      </c>
      <c r="E4645">
        <v>79.900000000000006</v>
      </c>
    </row>
    <row r="4646" spans="1:5" x14ac:dyDescent="0.2">
      <c r="A4646">
        <v>19971</v>
      </c>
      <c r="B4646" t="s">
        <v>14</v>
      </c>
      <c r="C4646">
        <v>19971</v>
      </c>
      <c r="D4646" t="str">
        <f>"19971"</f>
        <v>19971</v>
      </c>
      <c r="E4646">
        <v>79.34</v>
      </c>
    </row>
    <row r="4647" spans="1:5" x14ac:dyDescent="0.2">
      <c r="A4647">
        <v>19973</v>
      </c>
      <c r="B4647" t="s">
        <v>14</v>
      </c>
      <c r="C4647">
        <v>19973</v>
      </c>
      <c r="D4647" t="str">
        <f>"19973"</f>
        <v>19973</v>
      </c>
      <c r="E4647">
        <v>64.819999999999993</v>
      </c>
    </row>
    <row r="4648" spans="1:5" x14ac:dyDescent="0.2">
      <c r="A4648">
        <v>19975</v>
      </c>
      <c r="B4648" t="s">
        <v>14</v>
      </c>
      <c r="C4648">
        <v>19975</v>
      </c>
      <c r="D4648" t="str">
        <f>"19975"</f>
        <v>19975</v>
      </c>
      <c r="E4648">
        <v>75.760000000000005</v>
      </c>
    </row>
    <row r="4649" spans="1:5" x14ac:dyDescent="0.2">
      <c r="A4649">
        <v>19977</v>
      </c>
      <c r="B4649" t="s">
        <v>14</v>
      </c>
      <c r="C4649">
        <v>19977</v>
      </c>
      <c r="D4649" t="str">
        <f>"19977"</f>
        <v>19977</v>
      </c>
      <c r="E4649">
        <v>75.38</v>
      </c>
    </row>
    <row r="4650" spans="1:5" x14ac:dyDescent="0.2">
      <c r="A4650">
        <v>19979</v>
      </c>
      <c r="B4650" t="s">
        <v>14</v>
      </c>
      <c r="C4650">
        <v>19979</v>
      </c>
      <c r="D4650" t="str">
        <f>"19979"</f>
        <v>19979</v>
      </c>
      <c r="E4650">
        <v>76.92</v>
      </c>
    </row>
    <row r="4651" spans="1:5" x14ac:dyDescent="0.2">
      <c r="A4651">
        <v>19980</v>
      </c>
      <c r="B4651" t="s">
        <v>14</v>
      </c>
      <c r="C4651">
        <v>19980</v>
      </c>
      <c r="D4651" t="str">
        <f>"19980"</f>
        <v>19980</v>
      </c>
      <c r="E4651" t="s">
        <v>6</v>
      </c>
    </row>
    <row r="4652" spans="1:5" x14ac:dyDescent="0.2">
      <c r="A4652">
        <v>32003</v>
      </c>
      <c r="B4652" t="s">
        <v>15</v>
      </c>
      <c r="C4652">
        <v>32003</v>
      </c>
      <c r="D4652" t="str">
        <f>"32003"</f>
        <v>32003</v>
      </c>
      <c r="E4652">
        <v>80.13</v>
      </c>
    </row>
    <row r="4653" spans="1:5" x14ac:dyDescent="0.2">
      <c r="A4653">
        <v>32008</v>
      </c>
      <c r="B4653" t="s">
        <v>15</v>
      </c>
      <c r="C4653">
        <v>32008</v>
      </c>
      <c r="D4653" t="str">
        <f>"32008"</f>
        <v>32008</v>
      </c>
      <c r="E4653">
        <v>65.91</v>
      </c>
    </row>
    <row r="4654" spans="1:5" x14ac:dyDescent="0.2">
      <c r="A4654">
        <v>32009</v>
      </c>
      <c r="B4654" t="s">
        <v>15</v>
      </c>
      <c r="C4654">
        <v>32009</v>
      </c>
      <c r="D4654" t="str">
        <f>"32009"</f>
        <v>32009</v>
      </c>
      <c r="E4654">
        <v>79.19</v>
      </c>
    </row>
    <row r="4655" spans="1:5" x14ac:dyDescent="0.2">
      <c r="A4655">
        <v>32011</v>
      </c>
      <c r="B4655" t="s">
        <v>15</v>
      </c>
      <c r="C4655">
        <v>32011</v>
      </c>
      <c r="D4655" t="str">
        <f>"32011"</f>
        <v>32011</v>
      </c>
      <c r="E4655">
        <v>74.150000000000006</v>
      </c>
    </row>
    <row r="4656" spans="1:5" x14ac:dyDescent="0.2">
      <c r="A4656">
        <v>32024</v>
      </c>
      <c r="B4656" t="s">
        <v>15</v>
      </c>
      <c r="C4656">
        <v>32024</v>
      </c>
      <c r="D4656" t="str">
        <f>"32024"</f>
        <v>32024</v>
      </c>
      <c r="E4656">
        <v>67.33</v>
      </c>
    </row>
    <row r="4657" spans="1:5" x14ac:dyDescent="0.2">
      <c r="A4657">
        <v>32025</v>
      </c>
      <c r="B4657" t="s">
        <v>15</v>
      </c>
      <c r="C4657">
        <v>32025</v>
      </c>
      <c r="D4657" t="str">
        <f>"32025"</f>
        <v>32025</v>
      </c>
      <c r="E4657">
        <v>63.95</v>
      </c>
    </row>
    <row r="4658" spans="1:5" x14ac:dyDescent="0.2">
      <c r="A4658">
        <v>32033</v>
      </c>
      <c r="B4658" t="s">
        <v>15</v>
      </c>
      <c r="C4658">
        <v>32033</v>
      </c>
      <c r="D4658" t="str">
        <f>"32033"</f>
        <v>32033</v>
      </c>
      <c r="E4658">
        <v>75.11</v>
      </c>
    </row>
    <row r="4659" spans="1:5" x14ac:dyDescent="0.2">
      <c r="A4659">
        <v>32034</v>
      </c>
      <c r="B4659" t="s">
        <v>15</v>
      </c>
      <c r="C4659">
        <v>32034</v>
      </c>
      <c r="D4659" t="str">
        <f>"32034"</f>
        <v>32034</v>
      </c>
      <c r="E4659">
        <v>78.63</v>
      </c>
    </row>
    <row r="4660" spans="1:5" x14ac:dyDescent="0.2">
      <c r="A4660">
        <v>32038</v>
      </c>
      <c r="B4660" t="s">
        <v>15</v>
      </c>
      <c r="C4660">
        <v>32038</v>
      </c>
      <c r="D4660" t="str">
        <f>"32038"</f>
        <v>32038</v>
      </c>
      <c r="E4660">
        <v>64.72</v>
      </c>
    </row>
    <row r="4661" spans="1:5" x14ac:dyDescent="0.2">
      <c r="A4661">
        <v>32040</v>
      </c>
      <c r="B4661" t="s">
        <v>15</v>
      </c>
      <c r="C4661">
        <v>32040</v>
      </c>
      <c r="D4661" t="str">
        <f>"32040"</f>
        <v>32040</v>
      </c>
      <c r="E4661">
        <v>70</v>
      </c>
    </row>
    <row r="4662" spans="1:5" x14ac:dyDescent="0.2">
      <c r="A4662">
        <v>32043</v>
      </c>
      <c r="B4662" t="s">
        <v>15</v>
      </c>
      <c r="C4662">
        <v>32043</v>
      </c>
      <c r="D4662" t="str">
        <f>"32043"</f>
        <v>32043</v>
      </c>
      <c r="E4662">
        <v>75.13</v>
      </c>
    </row>
    <row r="4663" spans="1:5" x14ac:dyDescent="0.2">
      <c r="A4663">
        <v>32044</v>
      </c>
      <c r="B4663" t="s">
        <v>15</v>
      </c>
      <c r="C4663">
        <v>32044</v>
      </c>
      <c r="D4663" t="str">
        <f>"32044"</f>
        <v>32044</v>
      </c>
      <c r="E4663">
        <v>64.86</v>
      </c>
    </row>
    <row r="4664" spans="1:5" x14ac:dyDescent="0.2">
      <c r="A4664">
        <v>32046</v>
      </c>
      <c r="B4664" t="s">
        <v>15</v>
      </c>
      <c r="C4664">
        <v>32046</v>
      </c>
      <c r="D4664" t="str">
        <f>"32046"</f>
        <v>32046</v>
      </c>
      <c r="E4664">
        <v>70.66</v>
      </c>
    </row>
    <row r="4665" spans="1:5" x14ac:dyDescent="0.2">
      <c r="A4665">
        <v>32052</v>
      </c>
      <c r="B4665" t="s">
        <v>15</v>
      </c>
      <c r="C4665">
        <v>32052</v>
      </c>
      <c r="D4665" t="str">
        <f>"32052"</f>
        <v>32052</v>
      </c>
      <c r="E4665">
        <v>60.4</v>
      </c>
    </row>
    <row r="4666" spans="1:5" x14ac:dyDescent="0.2">
      <c r="A4666">
        <v>32053</v>
      </c>
      <c r="B4666" t="s">
        <v>15</v>
      </c>
      <c r="C4666">
        <v>32053</v>
      </c>
      <c r="D4666" t="str">
        <f>"32053"</f>
        <v>32053</v>
      </c>
      <c r="E4666">
        <v>57.14</v>
      </c>
    </row>
    <row r="4667" spans="1:5" x14ac:dyDescent="0.2">
      <c r="A4667">
        <v>32054</v>
      </c>
      <c r="B4667" t="s">
        <v>15</v>
      </c>
      <c r="C4667">
        <v>32054</v>
      </c>
      <c r="D4667" t="str">
        <f>"32054"</f>
        <v>32054</v>
      </c>
      <c r="E4667">
        <v>66.59</v>
      </c>
    </row>
    <row r="4668" spans="1:5" x14ac:dyDescent="0.2">
      <c r="A4668">
        <v>32055</v>
      </c>
      <c r="B4668" t="s">
        <v>15</v>
      </c>
      <c r="C4668">
        <v>32055</v>
      </c>
      <c r="D4668" t="str">
        <f>"32055"</f>
        <v>32055</v>
      </c>
      <c r="E4668">
        <v>60.18</v>
      </c>
    </row>
    <row r="4669" spans="1:5" x14ac:dyDescent="0.2">
      <c r="A4669">
        <v>32058</v>
      </c>
      <c r="B4669" t="s">
        <v>15</v>
      </c>
      <c r="C4669">
        <v>32058</v>
      </c>
      <c r="D4669" t="str">
        <f>"32058"</f>
        <v>32058</v>
      </c>
      <c r="E4669">
        <v>67.11</v>
      </c>
    </row>
    <row r="4670" spans="1:5" x14ac:dyDescent="0.2">
      <c r="A4670">
        <v>32059</v>
      </c>
      <c r="B4670" t="s">
        <v>15</v>
      </c>
      <c r="C4670">
        <v>32059</v>
      </c>
      <c r="D4670" t="str">
        <f>"32059"</f>
        <v>32059</v>
      </c>
      <c r="E4670">
        <v>64.81</v>
      </c>
    </row>
    <row r="4671" spans="1:5" x14ac:dyDescent="0.2">
      <c r="A4671">
        <v>32060</v>
      </c>
      <c r="B4671" t="s">
        <v>15</v>
      </c>
      <c r="C4671">
        <v>32060</v>
      </c>
      <c r="D4671" t="str">
        <f>"32060"</f>
        <v>32060</v>
      </c>
      <c r="E4671">
        <v>63.9</v>
      </c>
    </row>
    <row r="4672" spans="1:5" x14ac:dyDescent="0.2">
      <c r="A4672">
        <v>32061</v>
      </c>
      <c r="B4672" t="s">
        <v>15</v>
      </c>
      <c r="C4672">
        <v>32061</v>
      </c>
      <c r="D4672" t="str">
        <f>"32061"</f>
        <v>32061</v>
      </c>
      <c r="E4672">
        <v>57.14</v>
      </c>
    </row>
    <row r="4673" spans="1:5" x14ac:dyDescent="0.2">
      <c r="A4673">
        <v>32062</v>
      </c>
      <c r="B4673" t="s">
        <v>15</v>
      </c>
      <c r="C4673">
        <v>32062</v>
      </c>
      <c r="D4673" t="str">
        <f>"32062"</f>
        <v>32062</v>
      </c>
      <c r="E4673">
        <v>63.37</v>
      </c>
    </row>
    <row r="4674" spans="1:5" x14ac:dyDescent="0.2">
      <c r="A4674">
        <v>32063</v>
      </c>
      <c r="B4674" t="s">
        <v>15</v>
      </c>
      <c r="C4674">
        <v>32063</v>
      </c>
      <c r="D4674" t="str">
        <f>"32063"</f>
        <v>32063</v>
      </c>
      <c r="E4674">
        <v>68.69</v>
      </c>
    </row>
    <row r="4675" spans="1:5" x14ac:dyDescent="0.2">
      <c r="A4675">
        <v>32064</v>
      </c>
      <c r="B4675" t="s">
        <v>15</v>
      </c>
      <c r="C4675">
        <v>32064</v>
      </c>
      <c r="D4675" t="str">
        <f>"32064"</f>
        <v>32064</v>
      </c>
      <c r="E4675">
        <v>56.15</v>
      </c>
    </row>
    <row r="4676" spans="1:5" x14ac:dyDescent="0.2">
      <c r="A4676">
        <v>32065</v>
      </c>
      <c r="B4676" t="s">
        <v>15</v>
      </c>
      <c r="C4676">
        <v>32065</v>
      </c>
      <c r="D4676" t="str">
        <f>"32065"</f>
        <v>32065</v>
      </c>
      <c r="E4676">
        <v>72.42</v>
      </c>
    </row>
    <row r="4677" spans="1:5" x14ac:dyDescent="0.2">
      <c r="A4677">
        <v>32066</v>
      </c>
      <c r="B4677" t="s">
        <v>15</v>
      </c>
      <c r="C4677">
        <v>32066</v>
      </c>
      <c r="D4677" t="str">
        <f>"32066"</f>
        <v>32066</v>
      </c>
      <c r="E4677">
        <v>61.22</v>
      </c>
    </row>
    <row r="4678" spans="1:5" x14ac:dyDescent="0.2">
      <c r="A4678">
        <v>32067</v>
      </c>
      <c r="B4678" t="s">
        <v>15</v>
      </c>
      <c r="C4678">
        <v>32067</v>
      </c>
      <c r="D4678" t="str">
        <f>"32067"</f>
        <v>32067</v>
      </c>
      <c r="E4678" t="s">
        <v>6</v>
      </c>
    </row>
    <row r="4679" spans="1:5" x14ac:dyDescent="0.2">
      <c r="A4679">
        <v>32068</v>
      </c>
      <c r="B4679" t="s">
        <v>15</v>
      </c>
      <c r="C4679">
        <v>32068</v>
      </c>
      <c r="D4679" t="str">
        <f>"32068"</f>
        <v>32068</v>
      </c>
      <c r="E4679">
        <v>71.53</v>
      </c>
    </row>
    <row r="4680" spans="1:5" x14ac:dyDescent="0.2">
      <c r="A4680">
        <v>32071</v>
      </c>
      <c r="B4680" t="s">
        <v>15</v>
      </c>
      <c r="C4680">
        <v>32071</v>
      </c>
      <c r="D4680" t="str">
        <f>"32071"</f>
        <v>32071</v>
      </c>
      <c r="E4680">
        <v>63.45</v>
      </c>
    </row>
    <row r="4681" spans="1:5" x14ac:dyDescent="0.2">
      <c r="A4681">
        <v>32073</v>
      </c>
      <c r="B4681" t="s">
        <v>15</v>
      </c>
      <c r="C4681">
        <v>32073</v>
      </c>
      <c r="D4681" t="str">
        <f>"32073"</f>
        <v>32073</v>
      </c>
      <c r="E4681">
        <v>71.94</v>
      </c>
    </row>
    <row r="4682" spans="1:5" x14ac:dyDescent="0.2">
      <c r="A4682">
        <v>32080</v>
      </c>
      <c r="B4682" t="s">
        <v>15</v>
      </c>
      <c r="C4682">
        <v>32080</v>
      </c>
      <c r="D4682" t="str">
        <f>"32080"</f>
        <v>32080</v>
      </c>
      <c r="E4682">
        <v>79.25</v>
      </c>
    </row>
    <row r="4683" spans="1:5" x14ac:dyDescent="0.2">
      <c r="A4683">
        <v>32081</v>
      </c>
      <c r="B4683" t="s">
        <v>15</v>
      </c>
      <c r="C4683">
        <v>32081</v>
      </c>
      <c r="D4683" t="str">
        <f>"32081"</f>
        <v>32081</v>
      </c>
      <c r="E4683">
        <v>84.67</v>
      </c>
    </row>
    <row r="4684" spans="1:5" x14ac:dyDescent="0.2">
      <c r="A4684">
        <v>32082</v>
      </c>
      <c r="B4684" t="s">
        <v>15</v>
      </c>
      <c r="C4684">
        <v>32082</v>
      </c>
      <c r="D4684" t="str">
        <f>"32082"</f>
        <v>32082</v>
      </c>
      <c r="E4684">
        <v>82.56</v>
      </c>
    </row>
    <row r="4685" spans="1:5" x14ac:dyDescent="0.2">
      <c r="A4685">
        <v>32083</v>
      </c>
      <c r="B4685" t="s">
        <v>15</v>
      </c>
      <c r="C4685">
        <v>32083</v>
      </c>
      <c r="D4685" t="str">
        <f>"32083"</f>
        <v>32083</v>
      </c>
      <c r="E4685">
        <v>68.849999999999994</v>
      </c>
    </row>
    <row r="4686" spans="1:5" x14ac:dyDescent="0.2">
      <c r="A4686">
        <v>32084</v>
      </c>
      <c r="B4686" t="s">
        <v>15</v>
      </c>
      <c r="C4686">
        <v>32084</v>
      </c>
      <c r="D4686" t="str">
        <f>"32084"</f>
        <v>32084</v>
      </c>
      <c r="E4686">
        <v>69.66</v>
      </c>
    </row>
    <row r="4687" spans="1:5" x14ac:dyDescent="0.2">
      <c r="A4687">
        <v>32086</v>
      </c>
      <c r="B4687" t="s">
        <v>15</v>
      </c>
      <c r="C4687">
        <v>32086</v>
      </c>
      <c r="D4687" t="str">
        <f>"32086"</f>
        <v>32086</v>
      </c>
      <c r="E4687">
        <v>75.03</v>
      </c>
    </row>
    <row r="4688" spans="1:5" x14ac:dyDescent="0.2">
      <c r="A4688">
        <v>32087</v>
      </c>
      <c r="B4688" t="s">
        <v>15</v>
      </c>
      <c r="C4688">
        <v>32087</v>
      </c>
      <c r="D4688" t="str">
        <f>"32087"</f>
        <v>32087</v>
      </c>
      <c r="E4688">
        <v>63.47</v>
      </c>
    </row>
    <row r="4689" spans="1:5" x14ac:dyDescent="0.2">
      <c r="A4689">
        <v>32091</v>
      </c>
      <c r="B4689" t="s">
        <v>15</v>
      </c>
      <c r="C4689">
        <v>32091</v>
      </c>
      <c r="D4689" t="str">
        <f>"32091"</f>
        <v>32091</v>
      </c>
      <c r="E4689">
        <v>65.02</v>
      </c>
    </row>
    <row r="4690" spans="1:5" x14ac:dyDescent="0.2">
      <c r="A4690">
        <v>32092</v>
      </c>
      <c r="B4690" t="s">
        <v>15</v>
      </c>
      <c r="C4690">
        <v>32092</v>
      </c>
      <c r="D4690" t="str">
        <f>"32092"</f>
        <v>32092</v>
      </c>
      <c r="E4690">
        <v>79.63</v>
      </c>
    </row>
    <row r="4691" spans="1:5" x14ac:dyDescent="0.2">
      <c r="A4691">
        <v>32094</v>
      </c>
      <c r="B4691" t="s">
        <v>15</v>
      </c>
      <c r="C4691">
        <v>32094</v>
      </c>
      <c r="D4691" t="str">
        <f>"32094"</f>
        <v>32094</v>
      </c>
      <c r="E4691">
        <v>66.67</v>
      </c>
    </row>
    <row r="4692" spans="1:5" x14ac:dyDescent="0.2">
      <c r="A4692">
        <v>32095</v>
      </c>
      <c r="B4692" t="s">
        <v>15</v>
      </c>
      <c r="C4692">
        <v>32095</v>
      </c>
      <c r="D4692" t="str">
        <f>"32095"</f>
        <v>32095</v>
      </c>
      <c r="E4692">
        <v>79.11</v>
      </c>
    </row>
    <row r="4693" spans="1:5" x14ac:dyDescent="0.2">
      <c r="A4693">
        <v>32096</v>
      </c>
      <c r="B4693" t="s">
        <v>15</v>
      </c>
      <c r="C4693">
        <v>32096</v>
      </c>
      <c r="D4693" t="str">
        <f>"32096"</f>
        <v>32096</v>
      </c>
      <c r="E4693">
        <v>64.41</v>
      </c>
    </row>
    <row r="4694" spans="1:5" x14ac:dyDescent="0.2">
      <c r="A4694">
        <v>32097</v>
      </c>
      <c r="B4694" t="s">
        <v>15</v>
      </c>
      <c r="C4694">
        <v>32097</v>
      </c>
      <c r="D4694" t="str">
        <f>"32097"</f>
        <v>32097</v>
      </c>
      <c r="E4694">
        <v>74.97</v>
      </c>
    </row>
    <row r="4695" spans="1:5" x14ac:dyDescent="0.2">
      <c r="A4695">
        <v>32099</v>
      </c>
      <c r="B4695" t="s">
        <v>15</v>
      </c>
      <c r="C4695">
        <v>32099</v>
      </c>
      <c r="D4695" t="str">
        <f>"32099"</f>
        <v>32099</v>
      </c>
      <c r="E4695" t="s">
        <v>6</v>
      </c>
    </row>
    <row r="4696" spans="1:5" x14ac:dyDescent="0.2">
      <c r="A4696">
        <v>32102</v>
      </c>
      <c r="B4696" t="s">
        <v>15</v>
      </c>
      <c r="C4696">
        <v>32102</v>
      </c>
      <c r="D4696" t="str">
        <f>"32102"</f>
        <v>32102</v>
      </c>
      <c r="E4696">
        <v>64.08</v>
      </c>
    </row>
    <row r="4697" spans="1:5" x14ac:dyDescent="0.2">
      <c r="A4697">
        <v>32110</v>
      </c>
      <c r="B4697" t="s">
        <v>15</v>
      </c>
      <c r="C4697">
        <v>32110</v>
      </c>
      <c r="D4697" t="str">
        <f>"32110"</f>
        <v>32110</v>
      </c>
      <c r="E4697">
        <v>59.66</v>
      </c>
    </row>
    <row r="4698" spans="1:5" x14ac:dyDescent="0.2">
      <c r="A4698">
        <v>32112</v>
      </c>
      <c r="B4698" t="s">
        <v>15</v>
      </c>
      <c r="C4698">
        <v>32112</v>
      </c>
      <c r="D4698" t="str">
        <f>"32112"</f>
        <v>32112</v>
      </c>
      <c r="E4698">
        <v>50.57</v>
      </c>
    </row>
    <row r="4699" spans="1:5" x14ac:dyDescent="0.2">
      <c r="A4699">
        <v>32113</v>
      </c>
      <c r="B4699" t="s">
        <v>15</v>
      </c>
      <c r="C4699">
        <v>32113</v>
      </c>
      <c r="D4699" t="str">
        <f>"32113"</f>
        <v>32113</v>
      </c>
      <c r="E4699">
        <v>59.29</v>
      </c>
    </row>
    <row r="4700" spans="1:5" x14ac:dyDescent="0.2">
      <c r="A4700">
        <v>32114</v>
      </c>
      <c r="B4700" t="s">
        <v>15</v>
      </c>
      <c r="C4700">
        <v>32114</v>
      </c>
      <c r="D4700" t="str">
        <f>"32114"</f>
        <v>32114</v>
      </c>
      <c r="E4700">
        <v>53.05</v>
      </c>
    </row>
    <row r="4701" spans="1:5" x14ac:dyDescent="0.2">
      <c r="A4701">
        <v>32117</v>
      </c>
      <c r="B4701" t="s">
        <v>15</v>
      </c>
      <c r="C4701">
        <v>32117</v>
      </c>
      <c r="D4701" t="str">
        <f>"32117"</f>
        <v>32117</v>
      </c>
      <c r="E4701">
        <v>57.79</v>
      </c>
    </row>
    <row r="4702" spans="1:5" x14ac:dyDescent="0.2">
      <c r="A4702">
        <v>32118</v>
      </c>
      <c r="B4702" t="s">
        <v>15</v>
      </c>
      <c r="C4702">
        <v>32118</v>
      </c>
      <c r="D4702" t="str">
        <f>"32118"</f>
        <v>32118</v>
      </c>
      <c r="E4702">
        <v>72.33</v>
      </c>
    </row>
    <row r="4703" spans="1:5" x14ac:dyDescent="0.2">
      <c r="A4703">
        <v>32119</v>
      </c>
      <c r="B4703" t="s">
        <v>15</v>
      </c>
      <c r="C4703">
        <v>32119</v>
      </c>
      <c r="D4703" t="str">
        <f>"32119"</f>
        <v>32119</v>
      </c>
      <c r="E4703">
        <v>68.72</v>
      </c>
    </row>
    <row r="4704" spans="1:5" x14ac:dyDescent="0.2">
      <c r="A4704">
        <v>32124</v>
      </c>
      <c r="B4704" t="s">
        <v>15</v>
      </c>
      <c r="C4704">
        <v>32124</v>
      </c>
      <c r="D4704" t="str">
        <f>"32124"</f>
        <v>32124</v>
      </c>
      <c r="E4704">
        <v>75.33</v>
      </c>
    </row>
    <row r="4705" spans="1:5" x14ac:dyDescent="0.2">
      <c r="A4705">
        <v>32127</v>
      </c>
      <c r="B4705" t="s">
        <v>15</v>
      </c>
      <c r="C4705">
        <v>32127</v>
      </c>
      <c r="D4705" t="str">
        <f>"32127"</f>
        <v>32127</v>
      </c>
      <c r="E4705">
        <v>73.069999999999993</v>
      </c>
    </row>
    <row r="4706" spans="1:5" x14ac:dyDescent="0.2">
      <c r="A4706">
        <v>32128</v>
      </c>
      <c r="B4706" t="s">
        <v>15</v>
      </c>
      <c r="C4706">
        <v>32128</v>
      </c>
      <c r="D4706" t="str">
        <f>"32128"</f>
        <v>32128</v>
      </c>
      <c r="E4706">
        <v>76.739999999999995</v>
      </c>
    </row>
    <row r="4707" spans="1:5" x14ac:dyDescent="0.2">
      <c r="A4707">
        <v>32129</v>
      </c>
      <c r="B4707" t="s">
        <v>15</v>
      </c>
      <c r="C4707">
        <v>32129</v>
      </c>
      <c r="D4707" t="str">
        <f>"32129"</f>
        <v>32129</v>
      </c>
      <c r="E4707">
        <v>70.58</v>
      </c>
    </row>
    <row r="4708" spans="1:5" x14ac:dyDescent="0.2">
      <c r="A4708">
        <v>32130</v>
      </c>
      <c r="B4708" t="s">
        <v>15</v>
      </c>
      <c r="C4708">
        <v>32130</v>
      </c>
      <c r="D4708" t="str">
        <f>"32130"</f>
        <v>32130</v>
      </c>
      <c r="E4708">
        <v>64.03</v>
      </c>
    </row>
    <row r="4709" spans="1:5" x14ac:dyDescent="0.2">
      <c r="A4709">
        <v>32131</v>
      </c>
      <c r="B4709" t="s">
        <v>15</v>
      </c>
      <c r="C4709">
        <v>32131</v>
      </c>
      <c r="D4709" t="str">
        <f>"32131"</f>
        <v>32131</v>
      </c>
      <c r="E4709">
        <v>68.56</v>
      </c>
    </row>
    <row r="4710" spans="1:5" x14ac:dyDescent="0.2">
      <c r="A4710">
        <v>32132</v>
      </c>
      <c r="B4710" t="s">
        <v>15</v>
      </c>
      <c r="C4710">
        <v>32132</v>
      </c>
      <c r="D4710" t="str">
        <f>"32132"</f>
        <v>32132</v>
      </c>
      <c r="E4710">
        <v>69.900000000000006</v>
      </c>
    </row>
    <row r="4711" spans="1:5" x14ac:dyDescent="0.2">
      <c r="A4711">
        <v>32133</v>
      </c>
      <c r="B4711" t="s">
        <v>15</v>
      </c>
      <c r="C4711">
        <v>32133</v>
      </c>
      <c r="D4711" t="str">
        <f>"32133"</f>
        <v>32133</v>
      </c>
      <c r="E4711" t="s">
        <v>6</v>
      </c>
    </row>
    <row r="4712" spans="1:5" x14ac:dyDescent="0.2">
      <c r="A4712">
        <v>32134</v>
      </c>
      <c r="B4712" t="s">
        <v>15</v>
      </c>
      <c r="C4712">
        <v>32134</v>
      </c>
      <c r="D4712" t="str">
        <f>"32134"</f>
        <v>32134</v>
      </c>
      <c r="E4712">
        <v>65.33</v>
      </c>
    </row>
    <row r="4713" spans="1:5" x14ac:dyDescent="0.2">
      <c r="A4713">
        <v>32136</v>
      </c>
      <c r="B4713" t="s">
        <v>15</v>
      </c>
      <c r="C4713">
        <v>32136</v>
      </c>
      <c r="D4713" t="str">
        <f>"32136"</f>
        <v>32136</v>
      </c>
      <c r="E4713">
        <v>74.88</v>
      </c>
    </row>
    <row r="4714" spans="1:5" x14ac:dyDescent="0.2">
      <c r="A4714">
        <v>32137</v>
      </c>
      <c r="B4714" t="s">
        <v>15</v>
      </c>
      <c r="C4714">
        <v>32137</v>
      </c>
      <c r="D4714" t="str">
        <f>"32137"</f>
        <v>32137</v>
      </c>
      <c r="E4714">
        <v>72.459999999999994</v>
      </c>
    </row>
    <row r="4715" spans="1:5" x14ac:dyDescent="0.2">
      <c r="A4715">
        <v>32139</v>
      </c>
      <c r="B4715" t="s">
        <v>15</v>
      </c>
      <c r="C4715">
        <v>32139</v>
      </c>
      <c r="D4715" t="str">
        <f>"32139"</f>
        <v>32139</v>
      </c>
      <c r="E4715">
        <v>57.14</v>
      </c>
    </row>
    <row r="4716" spans="1:5" x14ac:dyDescent="0.2">
      <c r="A4716">
        <v>32140</v>
      </c>
      <c r="B4716" t="s">
        <v>15</v>
      </c>
      <c r="C4716">
        <v>32140</v>
      </c>
      <c r="D4716" t="str">
        <f>"32140"</f>
        <v>32140</v>
      </c>
      <c r="E4716">
        <v>68.12</v>
      </c>
    </row>
    <row r="4717" spans="1:5" x14ac:dyDescent="0.2">
      <c r="A4717">
        <v>32141</v>
      </c>
      <c r="B4717" t="s">
        <v>15</v>
      </c>
      <c r="C4717">
        <v>32141</v>
      </c>
      <c r="D4717" t="str">
        <f>"32141"</f>
        <v>32141</v>
      </c>
      <c r="E4717">
        <v>70.680000000000007</v>
      </c>
    </row>
    <row r="4718" spans="1:5" x14ac:dyDescent="0.2">
      <c r="A4718">
        <v>32145</v>
      </c>
      <c r="B4718" t="s">
        <v>15</v>
      </c>
      <c r="C4718">
        <v>32145</v>
      </c>
      <c r="D4718" t="str">
        <f>"32145"</f>
        <v>32145</v>
      </c>
      <c r="E4718">
        <v>62.13</v>
      </c>
    </row>
    <row r="4719" spans="1:5" x14ac:dyDescent="0.2">
      <c r="A4719">
        <v>32148</v>
      </c>
      <c r="B4719" t="s">
        <v>15</v>
      </c>
      <c r="C4719">
        <v>32148</v>
      </c>
      <c r="D4719" t="str">
        <f>"32148"</f>
        <v>32148</v>
      </c>
      <c r="E4719">
        <v>56.89</v>
      </c>
    </row>
    <row r="4720" spans="1:5" x14ac:dyDescent="0.2">
      <c r="A4720">
        <v>32159</v>
      </c>
      <c r="B4720" t="s">
        <v>15</v>
      </c>
      <c r="C4720">
        <v>32159</v>
      </c>
      <c r="D4720" t="str">
        <f>"32159"</f>
        <v>32159</v>
      </c>
      <c r="E4720">
        <v>73.41</v>
      </c>
    </row>
    <row r="4721" spans="1:5" x14ac:dyDescent="0.2">
      <c r="A4721">
        <v>32162</v>
      </c>
      <c r="B4721" t="s">
        <v>15</v>
      </c>
      <c r="C4721">
        <v>32162</v>
      </c>
      <c r="D4721" t="str">
        <f>"32162"</f>
        <v>32162</v>
      </c>
      <c r="E4721">
        <v>83.38</v>
      </c>
    </row>
    <row r="4722" spans="1:5" x14ac:dyDescent="0.2">
      <c r="A4722">
        <v>32163</v>
      </c>
      <c r="B4722" t="s">
        <v>15</v>
      </c>
      <c r="C4722">
        <v>32163</v>
      </c>
      <c r="D4722" t="str">
        <f>"32163"</f>
        <v>32163</v>
      </c>
      <c r="E4722" t="s">
        <v>6</v>
      </c>
    </row>
    <row r="4723" spans="1:5" x14ac:dyDescent="0.2">
      <c r="A4723">
        <v>32164</v>
      </c>
      <c r="B4723" t="s">
        <v>15</v>
      </c>
      <c r="C4723">
        <v>32164</v>
      </c>
      <c r="D4723" t="str">
        <f>"32164"</f>
        <v>32164</v>
      </c>
      <c r="E4723">
        <v>67.11</v>
      </c>
    </row>
    <row r="4724" spans="1:5" x14ac:dyDescent="0.2">
      <c r="A4724">
        <v>32168</v>
      </c>
      <c r="B4724" t="s">
        <v>15</v>
      </c>
      <c r="C4724">
        <v>32168</v>
      </c>
      <c r="D4724" t="str">
        <f>"32168"</f>
        <v>32168</v>
      </c>
      <c r="E4724">
        <v>73.599999999999994</v>
      </c>
    </row>
    <row r="4725" spans="1:5" x14ac:dyDescent="0.2">
      <c r="A4725">
        <v>32169</v>
      </c>
      <c r="B4725" t="s">
        <v>15</v>
      </c>
      <c r="C4725">
        <v>32169</v>
      </c>
      <c r="D4725" t="str">
        <f>"32169"</f>
        <v>32169</v>
      </c>
      <c r="E4725">
        <v>78.900000000000006</v>
      </c>
    </row>
    <row r="4726" spans="1:5" x14ac:dyDescent="0.2">
      <c r="A4726">
        <v>32174</v>
      </c>
      <c r="B4726" t="s">
        <v>15</v>
      </c>
      <c r="C4726">
        <v>32174</v>
      </c>
      <c r="D4726" t="str">
        <f>"32174"</f>
        <v>32174</v>
      </c>
      <c r="E4726">
        <v>74.12</v>
      </c>
    </row>
    <row r="4727" spans="1:5" x14ac:dyDescent="0.2">
      <c r="A4727">
        <v>32176</v>
      </c>
      <c r="B4727" t="s">
        <v>15</v>
      </c>
      <c r="C4727">
        <v>32176</v>
      </c>
      <c r="D4727" t="str">
        <f>"32176"</f>
        <v>32176</v>
      </c>
      <c r="E4727">
        <v>75.27</v>
      </c>
    </row>
    <row r="4728" spans="1:5" x14ac:dyDescent="0.2">
      <c r="A4728">
        <v>32177</v>
      </c>
      <c r="B4728" t="s">
        <v>15</v>
      </c>
      <c r="C4728">
        <v>32177</v>
      </c>
      <c r="D4728" t="str">
        <f>"32177"</f>
        <v>32177</v>
      </c>
      <c r="E4728">
        <v>59.78</v>
      </c>
    </row>
    <row r="4729" spans="1:5" x14ac:dyDescent="0.2">
      <c r="A4729">
        <v>32179</v>
      </c>
      <c r="B4729" t="s">
        <v>15</v>
      </c>
      <c r="C4729">
        <v>32179</v>
      </c>
      <c r="D4729" t="str">
        <f>"32179"</f>
        <v>32179</v>
      </c>
      <c r="E4729">
        <v>60.74</v>
      </c>
    </row>
    <row r="4730" spans="1:5" x14ac:dyDescent="0.2">
      <c r="A4730">
        <v>32180</v>
      </c>
      <c r="B4730" t="s">
        <v>15</v>
      </c>
      <c r="C4730">
        <v>32180</v>
      </c>
      <c r="D4730" t="str">
        <f>"32180"</f>
        <v>32180</v>
      </c>
      <c r="E4730">
        <v>58.19</v>
      </c>
    </row>
    <row r="4731" spans="1:5" x14ac:dyDescent="0.2">
      <c r="A4731">
        <v>32181</v>
      </c>
      <c r="B4731" t="s">
        <v>15</v>
      </c>
      <c r="C4731">
        <v>32181</v>
      </c>
      <c r="D4731" t="str">
        <f>"32181"</f>
        <v>32181</v>
      </c>
      <c r="E4731">
        <v>59.79</v>
      </c>
    </row>
    <row r="4732" spans="1:5" x14ac:dyDescent="0.2">
      <c r="A4732">
        <v>32187</v>
      </c>
      <c r="B4732" t="s">
        <v>15</v>
      </c>
      <c r="C4732">
        <v>32187</v>
      </c>
      <c r="D4732" t="str">
        <f>"32187"</f>
        <v>32187</v>
      </c>
      <c r="E4732">
        <v>66.290000000000006</v>
      </c>
    </row>
    <row r="4733" spans="1:5" x14ac:dyDescent="0.2">
      <c r="A4733">
        <v>32189</v>
      </c>
      <c r="B4733" t="s">
        <v>15</v>
      </c>
      <c r="C4733">
        <v>32189</v>
      </c>
      <c r="D4733" t="str">
        <f>"32189"</f>
        <v>32189</v>
      </c>
      <c r="E4733">
        <v>62.02</v>
      </c>
    </row>
    <row r="4734" spans="1:5" x14ac:dyDescent="0.2">
      <c r="A4734">
        <v>32190</v>
      </c>
      <c r="B4734" t="s">
        <v>15</v>
      </c>
      <c r="C4734">
        <v>32190</v>
      </c>
      <c r="D4734" t="str">
        <f>"32190"</f>
        <v>32190</v>
      </c>
      <c r="E4734">
        <v>54</v>
      </c>
    </row>
    <row r="4735" spans="1:5" x14ac:dyDescent="0.2">
      <c r="A4735">
        <v>32193</v>
      </c>
      <c r="B4735" t="s">
        <v>15</v>
      </c>
      <c r="C4735">
        <v>32193</v>
      </c>
      <c r="D4735" t="str">
        <f>"32193"</f>
        <v>32193</v>
      </c>
      <c r="E4735">
        <v>66</v>
      </c>
    </row>
    <row r="4736" spans="1:5" x14ac:dyDescent="0.2">
      <c r="A4736">
        <v>32195</v>
      </c>
      <c r="B4736" t="s">
        <v>15</v>
      </c>
      <c r="C4736">
        <v>32195</v>
      </c>
      <c r="D4736" t="str">
        <f>"32195"</f>
        <v>32195</v>
      </c>
      <c r="E4736">
        <v>67.48</v>
      </c>
    </row>
    <row r="4737" spans="1:5" x14ac:dyDescent="0.2">
      <c r="A4737">
        <v>32202</v>
      </c>
      <c r="B4737" t="s">
        <v>15</v>
      </c>
      <c r="C4737">
        <v>32202</v>
      </c>
      <c r="D4737" t="str">
        <f>"32202"</f>
        <v>32202</v>
      </c>
      <c r="E4737">
        <v>69.09</v>
      </c>
    </row>
    <row r="4738" spans="1:5" x14ac:dyDescent="0.2">
      <c r="A4738">
        <v>32204</v>
      </c>
      <c r="B4738" t="s">
        <v>15</v>
      </c>
      <c r="C4738">
        <v>32204</v>
      </c>
      <c r="D4738" t="str">
        <f>"32204"</f>
        <v>32204</v>
      </c>
      <c r="E4738">
        <v>73.91</v>
      </c>
    </row>
    <row r="4739" spans="1:5" x14ac:dyDescent="0.2">
      <c r="A4739">
        <v>32205</v>
      </c>
      <c r="B4739" t="s">
        <v>15</v>
      </c>
      <c r="C4739">
        <v>32205</v>
      </c>
      <c r="D4739" t="str">
        <f>"32205"</f>
        <v>32205</v>
      </c>
      <c r="E4739">
        <v>70.790000000000006</v>
      </c>
    </row>
    <row r="4740" spans="1:5" x14ac:dyDescent="0.2">
      <c r="A4740">
        <v>32206</v>
      </c>
      <c r="B4740" t="s">
        <v>15</v>
      </c>
      <c r="C4740">
        <v>32206</v>
      </c>
      <c r="D4740" t="str">
        <f>"32206"</f>
        <v>32206</v>
      </c>
      <c r="E4740">
        <v>50.34</v>
      </c>
    </row>
    <row r="4741" spans="1:5" x14ac:dyDescent="0.2">
      <c r="A4741">
        <v>32207</v>
      </c>
      <c r="B4741" t="s">
        <v>15</v>
      </c>
      <c r="C4741">
        <v>32207</v>
      </c>
      <c r="D4741" t="str">
        <f>"32207"</f>
        <v>32207</v>
      </c>
      <c r="E4741">
        <v>68.41</v>
      </c>
    </row>
    <row r="4742" spans="1:5" x14ac:dyDescent="0.2">
      <c r="A4742">
        <v>32208</v>
      </c>
      <c r="B4742" t="s">
        <v>15</v>
      </c>
      <c r="C4742">
        <v>32208</v>
      </c>
      <c r="D4742" t="str">
        <f>"32208"</f>
        <v>32208</v>
      </c>
      <c r="E4742">
        <v>52.58</v>
      </c>
    </row>
    <row r="4743" spans="1:5" x14ac:dyDescent="0.2">
      <c r="A4743">
        <v>32209</v>
      </c>
      <c r="B4743" t="s">
        <v>15</v>
      </c>
      <c r="C4743">
        <v>32209</v>
      </c>
      <c r="D4743" t="str">
        <f>"32209"</f>
        <v>32209</v>
      </c>
      <c r="E4743">
        <v>43.09</v>
      </c>
    </row>
    <row r="4744" spans="1:5" x14ac:dyDescent="0.2">
      <c r="A4744">
        <v>32210</v>
      </c>
      <c r="B4744" t="s">
        <v>15</v>
      </c>
      <c r="C4744">
        <v>32210</v>
      </c>
      <c r="D4744" t="str">
        <f>"32210"</f>
        <v>32210</v>
      </c>
      <c r="E4744">
        <v>61.32</v>
      </c>
    </row>
    <row r="4745" spans="1:5" x14ac:dyDescent="0.2">
      <c r="A4745">
        <v>32211</v>
      </c>
      <c r="B4745" t="s">
        <v>15</v>
      </c>
      <c r="C4745">
        <v>32211</v>
      </c>
      <c r="D4745" t="str">
        <f>"32211"</f>
        <v>32211</v>
      </c>
      <c r="E4745">
        <v>60.55</v>
      </c>
    </row>
    <row r="4746" spans="1:5" x14ac:dyDescent="0.2">
      <c r="A4746">
        <v>32212</v>
      </c>
      <c r="B4746" t="s">
        <v>15</v>
      </c>
      <c r="C4746">
        <v>32212</v>
      </c>
      <c r="D4746" t="str">
        <f>"32212"</f>
        <v>32212</v>
      </c>
      <c r="E4746">
        <v>66.67</v>
      </c>
    </row>
    <row r="4747" spans="1:5" x14ac:dyDescent="0.2">
      <c r="A4747">
        <v>32214</v>
      </c>
      <c r="B4747" t="s">
        <v>15</v>
      </c>
      <c r="C4747">
        <v>32214</v>
      </c>
      <c r="D4747" t="str">
        <f>"32214"</f>
        <v>32214</v>
      </c>
      <c r="E4747" t="s">
        <v>6</v>
      </c>
    </row>
    <row r="4748" spans="1:5" x14ac:dyDescent="0.2">
      <c r="A4748">
        <v>32216</v>
      </c>
      <c r="B4748" t="s">
        <v>15</v>
      </c>
      <c r="C4748">
        <v>32216</v>
      </c>
      <c r="D4748" t="str">
        <f>"32216"</f>
        <v>32216</v>
      </c>
      <c r="E4748">
        <v>69.55</v>
      </c>
    </row>
    <row r="4749" spans="1:5" x14ac:dyDescent="0.2">
      <c r="A4749">
        <v>32217</v>
      </c>
      <c r="B4749" t="s">
        <v>15</v>
      </c>
      <c r="C4749">
        <v>32217</v>
      </c>
      <c r="D4749" t="str">
        <f>"32217"</f>
        <v>32217</v>
      </c>
      <c r="E4749">
        <v>70.400000000000006</v>
      </c>
    </row>
    <row r="4750" spans="1:5" x14ac:dyDescent="0.2">
      <c r="A4750">
        <v>32218</v>
      </c>
      <c r="B4750" t="s">
        <v>15</v>
      </c>
      <c r="C4750">
        <v>32218</v>
      </c>
      <c r="D4750" t="str">
        <f>"32218"</f>
        <v>32218</v>
      </c>
      <c r="E4750">
        <v>67.45</v>
      </c>
    </row>
    <row r="4751" spans="1:5" x14ac:dyDescent="0.2">
      <c r="A4751">
        <v>32219</v>
      </c>
      <c r="B4751" t="s">
        <v>15</v>
      </c>
      <c r="C4751">
        <v>32219</v>
      </c>
      <c r="D4751" t="str">
        <f>"32219"</f>
        <v>32219</v>
      </c>
      <c r="E4751">
        <v>64.33</v>
      </c>
    </row>
    <row r="4752" spans="1:5" x14ac:dyDescent="0.2">
      <c r="A4752">
        <v>32220</v>
      </c>
      <c r="B4752" t="s">
        <v>15</v>
      </c>
      <c r="C4752">
        <v>32220</v>
      </c>
      <c r="D4752" t="str">
        <f>"32220"</f>
        <v>32220</v>
      </c>
      <c r="E4752">
        <v>73.010000000000005</v>
      </c>
    </row>
    <row r="4753" spans="1:5" x14ac:dyDescent="0.2">
      <c r="A4753">
        <v>32221</v>
      </c>
      <c r="B4753" t="s">
        <v>15</v>
      </c>
      <c r="C4753">
        <v>32221</v>
      </c>
      <c r="D4753" t="str">
        <f>"32221"</f>
        <v>32221</v>
      </c>
      <c r="E4753">
        <v>70.28</v>
      </c>
    </row>
    <row r="4754" spans="1:5" x14ac:dyDescent="0.2">
      <c r="A4754">
        <v>32222</v>
      </c>
      <c r="B4754" t="s">
        <v>15</v>
      </c>
      <c r="C4754">
        <v>32222</v>
      </c>
      <c r="D4754" t="str">
        <f>"32222"</f>
        <v>32222</v>
      </c>
      <c r="E4754">
        <v>71.53</v>
      </c>
    </row>
    <row r="4755" spans="1:5" x14ac:dyDescent="0.2">
      <c r="A4755">
        <v>32223</v>
      </c>
      <c r="B4755" t="s">
        <v>15</v>
      </c>
      <c r="C4755">
        <v>32223</v>
      </c>
      <c r="D4755" t="str">
        <f>"32223"</f>
        <v>32223</v>
      </c>
      <c r="E4755">
        <v>78.959999999999994</v>
      </c>
    </row>
    <row r="4756" spans="1:5" x14ac:dyDescent="0.2">
      <c r="A4756">
        <v>32224</v>
      </c>
      <c r="B4756" t="s">
        <v>15</v>
      </c>
      <c r="C4756">
        <v>32224</v>
      </c>
      <c r="D4756" t="str">
        <f>"32224"</f>
        <v>32224</v>
      </c>
      <c r="E4756">
        <v>79.59</v>
      </c>
    </row>
    <row r="4757" spans="1:5" x14ac:dyDescent="0.2">
      <c r="A4757">
        <v>32225</v>
      </c>
      <c r="B4757" t="s">
        <v>15</v>
      </c>
      <c r="C4757">
        <v>32225</v>
      </c>
      <c r="D4757" t="str">
        <f>"32225"</f>
        <v>32225</v>
      </c>
      <c r="E4757">
        <v>76.28</v>
      </c>
    </row>
    <row r="4758" spans="1:5" x14ac:dyDescent="0.2">
      <c r="A4758">
        <v>32226</v>
      </c>
      <c r="B4758" t="s">
        <v>15</v>
      </c>
      <c r="C4758">
        <v>32226</v>
      </c>
      <c r="D4758" t="str">
        <f>"32226"</f>
        <v>32226</v>
      </c>
      <c r="E4758">
        <v>76.78</v>
      </c>
    </row>
    <row r="4759" spans="1:5" x14ac:dyDescent="0.2">
      <c r="A4759">
        <v>32227</v>
      </c>
      <c r="B4759" t="s">
        <v>15</v>
      </c>
      <c r="C4759">
        <v>32227</v>
      </c>
      <c r="D4759" t="str">
        <f>"32227"</f>
        <v>32227</v>
      </c>
      <c r="E4759">
        <v>59.02</v>
      </c>
    </row>
    <row r="4760" spans="1:5" x14ac:dyDescent="0.2">
      <c r="A4760">
        <v>32233</v>
      </c>
      <c r="B4760" t="s">
        <v>15</v>
      </c>
      <c r="C4760">
        <v>32233</v>
      </c>
      <c r="D4760" t="str">
        <f>"32233"</f>
        <v>32233</v>
      </c>
      <c r="E4760">
        <v>75.27</v>
      </c>
    </row>
    <row r="4761" spans="1:5" x14ac:dyDescent="0.2">
      <c r="A4761">
        <v>32234</v>
      </c>
      <c r="B4761" t="s">
        <v>15</v>
      </c>
      <c r="C4761">
        <v>32234</v>
      </c>
      <c r="D4761" t="str">
        <f>"32234"</f>
        <v>32234</v>
      </c>
      <c r="E4761">
        <v>68.11</v>
      </c>
    </row>
    <row r="4762" spans="1:5" x14ac:dyDescent="0.2">
      <c r="A4762">
        <v>32244</v>
      </c>
      <c r="B4762" t="s">
        <v>15</v>
      </c>
      <c r="C4762">
        <v>32244</v>
      </c>
      <c r="D4762" t="str">
        <f>"32244"</f>
        <v>32244</v>
      </c>
      <c r="E4762">
        <v>64.83</v>
      </c>
    </row>
    <row r="4763" spans="1:5" x14ac:dyDescent="0.2">
      <c r="A4763">
        <v>32246</v>
      </c>
      <c r="B4763" t="s">
        <v>15</v>
      </c>
      <c r="C4763">
        <v>32246</v>
      </c>
      <c r="D4763" t="str">
        <f>"32246"</f>
        <v>32246</v>
      </c>
      <c r="E4763">
        <v>72.81</v>
      </c>
    </row>
    <row r="4764" spans="1:5" x14ac:dyDescent="0.2">
      <c r="A4764">
        <v>32250</v>
      </c>
      <c r="B4764" t="s">
        <v>15</v>
      </c>
      <c r="C4764">
        <v>32250</v>
      </c>
      <c r="D4764" t="str">
        <f>"32250"</f>
        <v>32250</v>
      </c>
      <c r="E4764">
        <v>80.77</v>
      </c>
    </row>
    <row r="4765" spans="1:5" x14ac:dyDescent="0.2">
      <c r="A4765">
        <v>32254</v>
      </c>
      <c r="B4765" t="s">
        <v>15</v>
      </c>
      <c r="C4765">
        <v>32254</v>
      </c>
      <c r="D4765" t="str">
        <f>"32254"</f>
        <v>32254</v>
      </c>
      <c r="E4765">
        <v>48.73</v>
      </c>
    </row>
    <row r="4766" spans="1:5" x14ac:dyDescent="0.2">
      <c r="A4766">
        <v>32256</v>
      </c>
      <c r="B4766" t="s">
        <v>15</v>
      </c>
      <c r="C4766">
        <v>32256</v>
      </c>
      <c r="D4766" t="str">
        <f>"32256"</f>
        <v>32256</v>
      </c>
      <c r="E4766">
        <v>79.03</v>
      </c>
    </row>
    <row r="4767" spans="1:5" x14ac:dyDescent="0.2">
      <c r="A4767">
        <v>32257</v>
      </c>
      <c r="B4767" t="s">
        <v>15</v>
      </c>
      <c r="C4767">
        <v>32257</v>
      </c>
      <c r="D4767" t="str">
        <f>"32257"</f>
        <v>32257</v>
      </c>
      <c r="E4767">
        <v>73.87</v>
      </c>
    </row>
    <row r="4768" spans="1:5" x14ac:dyDescent="0.2">
      <c r="A4768">
        <v>32258</v>
      </c>
      <c r="B4768" t="s">
        <v>15</v>
      </c>
      <c r="C4768">
        <v>32258</v>
      </c>
      <c r="D4768" t="str">
        <f>"32258"</f>
        <v>32258</v>
      </c>
      <c r="E4768">
        <v>80.97</v>
      </c>
    </row>
    <row r="4769" spans="1:5" x14ac:dyDescent="0.2">
      <c r="A4769">
        <v>32259</v>
      </c>
      <c r="B4769" t="s">
        <v>15</v>
      </c>
      <c r="C4769">
        <v>32259</v>
      </c>
      <c r="D4769" t="str">
        <f>"32259"</f>
        <v>32259</v>
      </c>
      <c r="E4769">
        <v>81.84</v>
      </c>
    </row>
    <row r="4770" spans="1:5" x14ac:dyDescent="0.2">
      <c r="A4770">
        <v>32266</v>
      </c>
      <c r="B4770" t="s">
        <v>15</v>
      </c>
      <c r="C4770">
        <v>32266</v>
      </c>
      <c r="D4770" t="str">
        <f>"32266"</f>
        <v>32266</v>
      </c>
      <c r="E4770">
        <v>84.46</v>
      </c>
    </row>
    <row r="4771" spans="1:5" x14ac:dyDescent="0.2">
      <c r="A4771">
        <v>32277</v>
      </c>
      <c r="B4771" t="s">
        <v>15</v>
      </c>
      <c r="C4771">
        <v>32277</v>
      </c>
      <c r="D4771" t="str">
        <f>"32277"</f>
        <v>32277</v>
      </c>
      <c r="E4771">
        <v>64.19</v>
      </c>
    </row>
    <row r="4772" spans="1:5" x14ac:dyDescent="0.2">
      <c r="A4772">
        <v>32301</v>
      </c>
      <c r="B4772" t="s">
        <v>15</v>
      </c>
      <c r="C4772">
        <v>32301</v>
      </c>
      <c r="D4772" t="str">
        <f>"32301"</f>
        <v>32301</v>
      </c>
      <c r="E4772">
        <v>68.17</v>
      </c>
    </row>
    <row r="4773" spans="1:5" x14ac:dyDescent="0.2">
      <c r="A4773">
        <v>32303</v>
      </c>
      <c r="B4773" t="s">
        <v>15</v>
      </c>
      <c r="C4773">
        <v>32303</v>
      </c>
      <c r="D4773" t="str">
        <f>"32303"</f>
        <v>32303</v>
      </c>
      <c r="E4773">
        <v>69.900000000000006</v>
      </c>
    </row>
    <row r="4774" spans="1:5" x14ac:dyDescent="0.2">
      <c r="A4774">
        <v>32304</v>
      </c>
      <c r="B4774" t="s">
        <v>15</v>
      </c>
      <c r="C4774">
        <v>32304</v>
      </c>
      <c r="D4774" t="str">
        <f>"32304"</f>
        <v>32304</v>
      </c>
      <c r="E4774">
        <v>50.96</v>
      </c>
    </row>
    <row r="4775" spans="1:5" x14ac:dyDescent="0.2">
      <c r="A4775">
        <v>32305</v>
      </c>
      <c r="B4775" t="s">
        <v>15</v>
      </c>
      <c r="C4775">
        <v>32305</v>
      </c>
      <c r="D4775" t="str">
        <f>"32305"</f>
        <v>32305</v>
      </c>
      <c r="E4775">
        <v>59.33</v>
      </c>
    </row>
    <row r="4776" spans="1:5" x14ac:dyDescent="0.2">
      <c r="A4776">
        <v>32307</v>
      </c>
      <c r="B4776" t="s">
        <v>15</v>
      </c>
      <c r="C4776">
        <v>32307</v>
      </c>
      <c r="D4776" t="str">
        <f>"32307"</f>
        <v>32307</v>
      </c>
      <c r="E4776" t="s">
        <v>6</v>
      </c>
    </row>
    <row r="4777" spans="1:5" x14ac:dyDescent="0.2">
      <c r="A4777">
        <v>32308</v>
      </c>
      <c r="B4777" t="s">
        <v>15</v>
      </c>
      <c r="C4777">
        <v>32308</v>
      </c>
      <c r="D4777" t="str">
        <f>"32308"</f>
        <v>32308</v>
      </c>
      <c r="E4777">
        <v>79.16</v>
      </c>
    </row>
    <row r="4778" spans="1:5" x14ac:dyDescent="0.2">
      <c r="A4778">
        <v>32309</v>
      </c>
      <c r="B4778" t="s">
        <v>15</v>
      </c>
      <c r="C4778">
        <v>32309</v>
      </c>
      <c r="D4778" t="str">
        <f>"32309"</f>
        <v>32309</v>
      </c>
      <c r="E4778">
        <v>81.36</v>
      </c>
    </row>
    <row r="4779" spans="1:5" x14ac:dyDescent="0.2">
      <c r="A4779">
        <v>32310</v>
      </c>
      <c r="B4779" t="s">
        <v>15</v>
      </c>
      <c r="C4779">
        <v>32310</v>
      </c>
      <c r="D4779" t="str">
        <f>"32310"</f>
        <v>32310</v>
      </c>
      <c r="E4779">
        <v>56.25</v>
      </c>
    </row>
    <row r="4780" spans="1:5" x14ac:dyDescent="0.2">
      <c r="A4780">
        <v>32311</v>
      </c>
      <c r="B4780" t="s">
        <v>15</v>
      </c>
      <c r="C4780">
        <v>32311</v>
      </c>
      <c r="D4780" t="str">
        <f>"32311"</f>
        <v>32311</v>
      </c>
      <c r="E4780">
        <v>79.069999999999993</v>
      </c>
    </row>
    <row r="4781" spans="1:5" x14ac:dyDescent="0.2">
      <c r="A4781">
        <v>32312</v>
      </c>
      <c r="B4781" t="s">
        <v>15</v>
      </c>
      <c r="C4781">
        <v>32312</v>
      </c>
      <c r="D4781" t="str">
        <f>"32312"</f>
        <v>32312</v>
      </c>
      <c r="E4781">
        <v>81.91</v>
      </c>
    </row>
    <row r="4782" spans="1:5" x14ac:dyDescent="0.2">
      <c r="A4782">
        <v>32317</v>
      </c>
      <c r="B4782" t="s">
        <v>15</v>
      </c>
      <c r="C4782">
        <v>32317</v>
      </c>
      <c r="D4782" t="str">
        <f>"32317"</f>
        <v>32317</v>
      </c>
      <c r="E4782">
        <v>82.1</v>
      </c>
    </row>
    <row r="4783" spans="1:5" x14ac:dyDescent="0.2">
      <c r="A4783">
        <v>32320</v>
      </c>
      <c r="B4783" t="s">
        <v>15</v>
      </c>
      <c r="C4783">
        <v>32320</v>
      </c>
      <c r="D4783" t="str">
        <f>"32320"</f>
        <v>32320</v>
      </c>
      <c r="E4783">
        <v>60.74</v>
      </c>
    </row>
    <row r="4784" spans="1:5" x14ac:dyDescent="0.2">
      <c r="A4784">
        <v>32321</v>
      </c>
      <c r="B4784" t="s">
        <v>15</v>
      </c>
      <c r="C4784">
        <v>32321</v>
      </c>
      <c r="D4784" t="str">
        <f>"32321"</f>
        <v>32321</v>
      </c>
      <c r="E4784">
        <v>65.22</v>
      </c>
    </row>
    <row r="4785" spans="1:5" x14ac:dyDescent="0.2">
      <c r="A4785">
        <v>32322</v>
      </c>
      <c r="B4785" t="s">
        <v>15</v>
      </c>
      <c r="C4785">
        <v>32322</v>
      </c>
      <c r="D4785" t="str">
        <f>"32322"</f>
        <v>32322</v>
      </c>
      <c r="E4785">
        <v>65.55</v>
      </c>
    </row>
    <row r="4786" spans="1:5" x14ac:dyDescent="0.2">
      <c r="A4786">
        <v>32324</v>
      </c>
      <c r="B4786" t="s">
        <v>15</v>
      </c>
      <c r="C4786">
        <v>32324</v>
      </c>
      <c r="D4786" t="str">
        <f>"32324"</f>
        <v>32324</v>
      </c>
      <c r="E4786">
        <v>62.57</v>
      </c>
    </row>
    <row r="4787" spans="1:5" x14ac:dyDescent="0.2">
      <c r="A4787">
        <v>32327</v>
      </c>
      <c r="B4787" t="s">
        <v>15</v>
      </c>
      <c r="C4787">
        <v>32327</v>
      </c>
      <c r="D4787" t="str">
        <f>"32327"</f>
        <v>32327</v>
      </c>
      <c r="E4787">
        <v>73.44</v>
      </c>
    </row>
    <row r="4788" spans="1:5" x14ac:dyDescent="0.2">
      <c r="A4788">
        <v>32328</v>
      </c>
      <c r="B4788" t="s">
        <v>15</v>
      </c>
      <c r="C4788">
        <v>32328</v>
      </c>
      <c r="D4788" t="str">
        <f>"32328"</f>
        <v>32328</v>
      </c>
      <c r="E4788">
        <v>66.900000000000006</v>
      </c>
    </row>
    <row r="4789" spans="1:5" x14ac:dyDescent="0.2">
      <c r="A4789">
        <v>32330</v>
      </c>
      <c r="B4789" t="s">
        <v>15</v>
      </c>
      <c r="C4789">
        <v>32330</v>
      </c>
      <c r="D4789" t="str">
        <f>"32330"</f>
        <v>32330</v>
      </c>
      <c r="E4789" t="s">
        <v>6</v>
      </c>
    </row>
    <row r="4790" spans="1:5" x14ac:dyDescent="0.2">
      <c r="A4790">
        <v>32331</v>
      </c>
      <c r="B4790" t="s">
        <v>15</v>
      </c>
      <c r="C4790">
        <v>32331</v>
      </c>
      <c r="D4790" t="str">
        <f>"32331"</f>
        <v>32331</v>
      </c>
      <c r="E4790">
        <v>62.5</v>
      </c>
    </row>
    <row r="4791" spans="1:5" x14ac:dyDescent="0.2">
      <c r="A4791">
        <v>32332</v>
      </c>
      <c r="B4791" t="s">
        <v>15</v>
      </c>
      <c r="C4791">
        <v>32332</v>
      </c>
      <c r="D4791" t="str">
        <f>"32332"</f>
        <v>32332</v>
      </c>
      <c r="E4791">
        <v>45.12</v>
      </c>
    </row>
    <row r="4792" spans="1:5" x14ac:dyDescent="0.2">
      <c r="A4792">
        <v>32333</v>
      </c>
      <c r="B4792" t="s">
        <v>15</v>
      </c>
      <c r="C4792">
        <v>32333</v>
      </c>
      <c r="D4792" t="str">
        <f>"32333"</f>
        <v>32333</v>
      </c>
      <c r="E4792">
        <v>68.34</v>
      </c>
    </row>
    <row r="4793" spans="1:5" x14ac:dyDescent="0.2">
      <c r="A4793">
        <v>32334</v>
      </c>
      <c r="B4793" t="s">
        <v>15</v>
      </c>
      <c r="C4793">
        <v>32334</v>
      </c>
      <c r="D4793" t="str">
        <f>"32334"</f>
        <v>32334</v>
      </c>
      <c r="E4793">
        <v>68.66</v>
      </c>
    </row>
    <row r="4794" spans="1:5" x14ac:dyDescent="0.2">
      <c r="A4794">
        <v>32336</v>
      </c>
      <c r="B4794" t="s">
        <v>15</v>
      </c>
      <c r="C4794">
        <v>32336</v>
      </c>
      <c r="D4794" t="str">
        <f>"32336"</f>
        <v>32336</v>
      </c>
      <c r="E4794">
        <v>68.33</v>
      </c>
    </row>
    <row r="4795" spans="1:5" x14ac:dyDescent="0.2">
      <c r="A4795">
        <v>32340</v>
      </c>
      <c r="B4795" t="s">
        <v>15</v>
      </c>
      <c r="C4795">
        <v>32340</v>
      </c>
      <c r="D4795" t="str">
        <f>"32340"</f>
        <v>32340</v>
      </c>
      <c r="E4795">
        <v>57.42</v>
      </c>
    </row>
    <row r="4796" spans="1:5" x14ac:dyDescent="0.2">
      <c r="A4796">
        <v>32343</v>
      </c>
      <c r="B4796" t="s">
        <v>15</v>
      </c>
      <c r="C4796">
        <v>32343</v>
      </c>
      <c r="D4796" t="str">
        <f>"32343"</f>
        <v>32343</v>
      </c>
      <c r="E4796">
        <v>59.87</v>
      </c>
    </row>
    <row r="4797" spans="1:5" x14ac:dyDescent="0.2">
      <c r="A4797">
        <v>32344</v>
      </c>
      <c r="B4797" t="s">
        <v>15</v>
      </c>
      <c r="C4797">
        <v>32344</v>
      </c>
      <c r="D4797" t="str">
        <f>"32344"</f>
        <v>32344</v>
      </c>
      <c r="E4797">
        <v>68.290000000000006</v>
      </c>
    </row>
    <row r="4798" spans="1:5" x14ac:dyDescent="0.2">
      <c r="A4798">
        <v>32346</v>
      </c>
      <c r="B4798" t="s">
        <v>15</v>
      </c>
      <c r="C4798">
        <v>32346</v>
      </c>
      <c r="D4798" t="str">
        <f>"32346"</f>
        <v>32346</v>
      </c>
      <c r="E4798">
        <v>67.569999999999993</v>
      </c>
    </row>
    <row r="4799" spans="1:5" x14ac:dyDescent="0.2">
      <c r="A4799">
        <v>32347</v>
      </c>
      <c r="B4799" t="s">
        <v>15</v>
      </c>
      <c r="C4799">
        <v>32347</v>
      </c>
      <c r="D4799" t="str">
        <f>"32347"</f>
        <v>32347</v>
      </c>
      <c r="E4799">
        <v>66.45</v>
      </c>
    </row>
    <row r="4800" spans="1:5" x14ac:dyDescent="0.2">
      <c r="A4800">
        <v>32348</v>
      </c>
      <c r="B4800" t="s">
        <v>15</v>
      </c>
      <c r="C4800">
        <v>32348</v>
      </c>
      <c r="D4800" t="str">
        <f>"32348"</f>
        <v>32348</v>
      </c>
      <c r="E4800">
        <v>62.6</v>
      </c>
    </row>
    <row r="4801" spans="1:5" x14ac:dyDescent="0.2">
      <c r="A4801">
        <v>32350</v>
      </c>
      <c r="B4801" t="s">
        <v>15</v>
      </c>
      <c r="C4801">
        <v>32350</v>
      </c>
      <c r="D4801" t="str">
        <f>"32350"</f>
        <v>32350</v>
      </c>
      <c r="E4801">
        <v>68.33</v>
      </c>
    </row>
    <row r="4802" spans="1:5" x14ac:dyDescent="0.2">
      <c r="A4802">
        <v>32351</v>
      </c>
      <c r="B4802" t="s">
        <v>15</v>
      </c>
      <c r="C4802">
        <v>32351</v>
      </c>
      <c r="D4802" t="str">
        <f>"32351"</f>
        <v>32351</v>
      </c>
      <c r="E4802">
        <v>54.59</v>
      </c>
    </row>
    <row r="4803" spans="1:5" x14ac:dyDescent="0.2">
      <c r="A4803">
        <v>32352</v>
      </c>
      <c r="B4803" t="s">
        <v>15</v>
      </c>
      <c r="C4803">
        <v>32352</v>
      </c>
      <c r="D4803" t="str">
        <f>"32352"</f>
        <v>32352</v>
      </c>
      <c r="E4803">
        <v>57.52</v>
      </c>
    </row>
    <row r="4804" spans="1:5" x14ac:dyDescent="0.2">
      <c r="A4804">
        <v>32355</v>
      </c>
      <c r="B4804" t="s">
        <v>15</v>
      </c>
      <c r="C4804">
        <v>32355</v>
      </c>
      <c r="D4804" t="str">
        <f>"32355"</f>
        <v>32355</v>
      </c>
      <c r="E4804" t="s">
        <v>6</v>
      </c>
    </row>
    <row r="4805" spans="1:5" x14ac:dyDescent="0.2">
      <c r="A4805">
        <v>32356</v>
      </c>
      <c r="B4805" t="s">
        <v>15</v>
      </c>
      <c r="C4805">
        <v>32356</v>
      </c>
      <c r="D4805" t="str">
        <f>"32356"</f>
        <v>32356</v>
      </c>
      <c r="E4805" t="s">
        <v>6</v>
      </c>
    </row>
    <row r="4806" spans="1:5" x14ac:dyDescent="0.2">
      <c r="A4806">
        <v>32358</v>
      </c>
      <c r="B4806" t="s">
        <v>15</v>
      </c>
      <c r="C4806">
        <v>32358</v>
      </c>
      <c r="D4806" t="str">
        <f>"32358"</f>
        <v>32358</v>
      </c>
      <c r="E4806">
        <v>67.819999999999993</v>
      </c>
    </row>
    <row r="4807" spans="1:5" x14ac:dyDescent="0.2">
      <c r="A4807">
        <v>32359</v>
      </c>
      <c r="B4807" t="s">
        <v>15</v>
      </c>
      <c r="C4807">
        <v>32359</v>
      </c>
      <c r="D4807" t="str">
        <f>"32359"</f>
        <v>32359</v>
      </c>
      <c r="E4807">
        <v>63.38</v>
      </c>
    </row>
    <row r="4808" spans="1:5" x14ac:dyDescent="0.2">
      <c r="A4808">
        <v>32360</v>
      </c>
      <c r="B4808" t="s">
        <v>15</v>
      </c>
      <c r="C4808">
        <v>32360</v>
      </c>
      <c r="D4808" t="str">
        <f>"32360"</f>
        <v>32360</v>
      </c>
      <c r="E4808" t="s">
        <v>6</v>
      </c>
    </row>
    <row r="4809" spans="1:5" x14ac:dyDescent="0.2">
      <c r="A4809">
        <v>32399</v>
      </c>
      <c r="B4809" t="s">
        <v>15</v>
      </c>
      <c r="C4809">
        <v>32399</v>
      </c>
      <c r="D4809" t="str">
        <f>"32399"</f>
        <v>32399</v>
      </c>
      <c r="E4809" t="s">
        <v>6</v>
      </c>
    </row>
    <row r="4810" spans="1:5" x14ac:dyDescent="0.2">
      <c r="A4810">
        <v>32401</v>
      </c>
      <c r="B4810" t="s">
        <v>15</v>
      </c>
      <c r="C4810">
        <v>32401</v>
      </c>
      <c r="D4810" t="str">
        <f>"32401"</f>
        <v>32401</v>
      </c>
      <c r="E4810">
        <v>60.65</v>
      </c>
    </row>
    <row r="4811" spans="1:5" x14ac:dyDescent="0.2">
      <c r="A4811">
        <v>32403</v>
      </c>
      <c r="B4811" t="s">
        <v>15</v>
      </c>
      <c r="C4811">
        <v>32403</v>
      </c>
      <c r="D4811" t="str">
        <f>"32403"</f>
        <v>32403</v>
      </c>
      <c r="E4811">
        <v>72</v>
      </c>
    </row>
    <row r="4812" spans="1:5" x14ac:dyDescent="0.2">
      <c r="A4812">
        <v>32404</v>
      </c>
      <c r="B4812" t="s">
        <v>15</v>
      </c>
      <c r="C4812">
        <v>32404</v>
      </c>
      <c r="D4812" t="str">
        <f>"32404"</f>
        <v>32404</v>
      </c>
      <c r="E4812">
        <v>69.099999999999994</v>
      </c>
    </row>
    <row r="4813" spans="1:5" x14ac:dyDescent="0.2">
      <c r="A4813">
        <v>32405</v>
      </c>
      <c r="B4813" t="s">
        <v>15</v>
      </c>
      <c r="C4813">
        <v>32405</v>
      </c>
      <c r="D4813" t="str">
        <f>"32405"</f>
        <v>32405</v>
      </c>
      <c r="E4813">
        <v>69.03</v>
      </c>
    </row>
    <row r="4814" spans="1:5" x14ac:dyDescent="0.2">
      <c r="A4814">
        <v>32407</v>
      </c>
      <c r="B4814" t="s">
        <v>15</v>
      </c>
      <c r="C4814">
        <v>32407</v>
      </c>
      <c r="D4814" t="str">
        <f>"32407"</f>
        <v>32407</v>
      </c>
      <c r="E4814">
        <v>71.900000000000006</v>
      </c>
    </row>
    <row r="4815" spans="1:5" x14ac:dyDescent="0.2">
      <c r="A4815">
        <v>32408</v>
      </c>
      <c r="B4815" t="s">
        <v>15</v>
      </c>
      <c r="C4815">
        <v>32408</v>
      </c>
      <c r="D4815" t="str">
        <f>"32408"</f>
        <v>32408</v>
      </c>
      <c r="E4815">
        <v>75.150000000000006</v>
      </c>
    </row>
    <row r="4816" spans="1:5" x14ac:dyDescent="0.2">
      <c r="A4816">
        <v>32409</v>
      </c>
      <c r="B4816" t="s">
        <v>15</v>
      </c>
      <c r="C4816">
        <v>32409</v>
      </c>
      <c r="D4816" t="str">
        <f>"32409"</f>
        <v>32409</v>
      </c>
      <c r="E4816">
        <v>70.66</v>
      </c>
    </row>
    <row r="4817" spans="1:5" x14ac:dyDescent="0.2">
      <c r="A4817">
        <v>32413</v>
      </c>
      <c r="B4817" t="s">
        <v>15</v>
      </c>
      <c r="C4817">
        <v>32413</v>
      </c>
      <c r="D4817" t="str">
        <f>"32413"</f>
        <v>32413</v>
      </c>
      <c r="E4817">
        <v>75.92</v>
      </c>
    </row>
    <row r="4818" spans="1:5" x14ac:dyDescent="0.2">
      <c r="A4818">
        <v>32420</v>
      </c>
      <c r="B4818" t="s">
        <v>15</v>
      </c>
      <c r="C4818">
        <v>32420</v>
      </c>
      <c r="D4818" t="str">
        <f>"32420"</f>
        <v>32420</v>
      </c>
      <c r="E4818">
        <v>63.04</v>
      </c>
    </row>
    <row r="4819" spans="1:5" x14ac:dyDescent="0.2">
      <c r="A4819">
        <v>32421</v>
      </c>
      <c r="B4819" t="s">
        <v>15</v>
      </c>
      <c r="C4819">
        <v>32421</v>
      </c>
      <c r="D4819" t="str">
        <f>"32421"</f>
        <v>32421</v>
      </c>
      <c r="E4819">
        <v>65.03</v>
      </c>
    </row>
    <row r="4820" spans="1:5" x14ac:dyDescent="0.2">
      <c r="A4820">
        <v>32423</v>
      </c>
      <c r="B4820" t="s">
        <v>15</v>
      </c>
      <c r="C4820">
        <v>32423</v>
      </c>
      <c r="D4820" t="str">
        <f>"32423"</f>
        <v>32423</v>
      </c>
      <c r="E4820">
        <v>66.67</v>
      </c>
    </row>
    <row r="4821" spans="1:5" x14ac:dyDescent="0.2">
      <c r="A4821">
        <v>32424</v>
      </c>
      <c r="B4821" t="s">
        <v>15</v>
      </c>
      <c r="C4821">
        <v>32424</v>
      </c>
      <c r="D4821" t="str">
        <f>"32424"</f>
        <v>32424</v>
      </c>
      <c r="E4821">
        <v>64.599999999999994</v>
      </c>
    </row>
    <row r="4822" spans="1:5" x14ac:dyDescent="0.2">
      <c r="A4822">
        <v>32425</v>
      </c>
      <c r="B4822" t="s">
        <v>15</v>
      </c>
      <c r="C4822">
        <v>32425</v>
      </c>
      <c r="D4822" t="str">
        <f>"32425"</f>
        <v>32425</v>
      </c>
      <c r="E4822">
        <v>62.37</v>
      </c>
    </row>
    <row r="4823" spans="1:5" x14ac:dyDescent="0.2">
      <c r="A4823">
        <v>32426</v>
      </c>
      <c r="B4823" t="s">
        <v>15</v>
      </c>
      <c r="C4823">
        <v>32426</v>
      </c>
      <c r="D4823" t="str">
        <f>"32426"</f>
        <v>32426</v>
      </c>
      <c r="E4823">
        <v>58.97</v>
      </c>
    </row>
    <row r="4824" spans="1:5" x14ac:dyDescent="0.2">
      <c r="A4824">
        <v>32427</v>
      </c>
      <c r="B4824" t="s">
        <v>15</v>
      </c>
      <c r="C4824">
        <v>32427</v>
      </c>
      <c r="D4824" t="str">
        <f>"32427"</f>
        <v>32427</v>
      </c>
      <c r="E4824">
        <v>58.14</v>
      </c>
    </row>
    <row r="4825" spans="1:5" x14ac:dyDescent="0.2">
      <c r="A4825">
        <v>32428</v>
      </c>
      <c r="B4825" t="s">
        <v>15</v>
      </c>
      <c r="C4825">
        <v>32428</v>
      </c>
      <c r="D4825" t="str">
        <f>"32428"</f>
        <v>32428</v>
      </c>
      <c r="E4825">
        <v>64.91</v>
      </c>
    </row>
    <row r="4826" spans="1:5" x14ac:dyDescent="0.2">
      <c r="A4826">
        <v>32430</v>
      </c>
      <c r="B4826" t="s">
        <v>15</v>
      </c>
      <c r="C4826">
        <v>32430</v>
      </c>
      <c r="D4826" t="str">
        <f>"32430"</f>
        <v>32430</v>
      </c>
      <c r="E4826">
        <v>70</v>
      </c>
    </row>
    <row r="4827" spans="1:5" x14ac:dyDescent="0.2">
      <c r="A4827">
        <v>32431</v>
      </c>
      <c r="B4827" t="s">
        <v>15</v>
      </c>
      <c r="C4827">
        <v>32431</v>
      </c>
      <c r="D4827" t="str">
        <f>"32431"</f>
        <v>32431</v>
      </c>
      <c r="E4827">
        <v>63.05</v>
      </c>
    </row>
    <row r="4828" spans="1:5" x14ac:dyDescent="0.2">
      <c r="A4828">
        <v>32433</v>
      </c>
      <c r="B4828" t="s">
        <v>15</v>
      </c>
      <c r="C4828">
        <v>32433</v>
      </c>
      <c r="D4828" t="str">
        <f>"32433"</f>
        <v>32433</v>
      </c>
      <c r="E4828">
        <v>62.11</v>
      </c>
    </row>
    <row r="4829" spans="1:5" x14ac:dyDescent="0.2">
      <c r="A4829">
        <v>32435</v>
      </c>
      <c r="B4829" t="s">
        <v>15</v>
      </c>
      <c r="C4829">
        <v>32435</v>
      </c>
      <c r="D4829" t="str">
        <f>"32435"</f>
        <v>32435</v>
      </c>
      <c r="E4829">
        <v>66.67</v>
      </c>
    </row>
    <row r="4830" spans="1:5" x14ac:dyDescent="0.2">
      <c r="A4830">
        <v>32437</v>
      </c>
      <c r="B4830" t="s">
        <v>15</v>
      </c>
      <c r="C4830">
        <v>32437</v>
      </c>
      <c r="D4830" t="str">
        <f>"32437"</f>
        <v>32437</v>
      </c>
      <c r="E4830">
        <v>59.26</v>
      </c>
    </row>
    <row r="4831" spans="1:5" x14ac:dyDescent="0.2">
      <c r="A4831">
        <v>32438</v>
      </c>
      <c r="B4831" t="s">
        <v>15</v>
      </c>
      <c r="C4831">
        <v>32438</v>
      </c>
      <c r="D4831" t="str">
        <f>"32438"</f>
        <v>32438</v>
      </c>
      <c r="E4831">
        <v>58.33</v>
      </c>
    </row>
    <row r="4832" spans="1:5" x14ac:dyDescent="0.2">
      <c r="A4832">
        <v>32439</v>
      </c>
      <c r="B4832" t="s">
        <v>15</v>
      </c>
      <c r="C4832">
        <v>32439</v>
      </c>
      <c r="D4832" t="str">
        <f>"32439"</f>
        <v>32439</v>
      </c>
      <c r="E4832">
        <v>71.540000000000006</v>
      </c>
    </row>
    <row r="4833" spans="1:5" x14ac:dyDescent="0.2">
      <c r="A4833">
        <v>32440</v>
      </c>
      <c r="B4833" t="s">
        <v>15</v>
      </c>
      <c r="C4833">
        <v>32440</v>
      </c>
      <c r="D4833" t="str">
        <f>"32440"</f>
        <v>32440</v>
      </c>
      <c r="E4833">
        <v>63.16</v>
      </c>
    </row>
    <row r="4834" spans="1:5" x14ac:dyDescent="0.2">
      <c r="A4834">
        <v>32442</v>
      </c>
      <c r="B4834" t="s">
        <v>15</v>
      </c>
      <c r="C4834">
        <v>32442</v>
      </c>
      <c r="D4834" t="str">
        <f>"32442"</f>
        <v>32442</v>
      </c>
      <c r="E4834">
        <v>64.739999999999995</v>
      </c>
    </row>
    <row r="4835" spans="1:5" x14ac:dyDescent="0.2">
      <c r="A4835">
        <v>32443</v>
      </c>
      <c r="B4835" t="s">
        <v>15</v>
      </c>
      <c r="C4835">
        <v>32443</v>
      </c>
      <c r="D4835" t="str">
        <f>"32443"</f>
        <v>32443</v>
      </c>
      <c r="E4835">
        <v>60.58</v>
      </c>
    </row>
    <row r="4836" spans="1:5" x14ac:dyDescent="0.2">
      <c r="A4836">
        <v>32444</v>
      </c>
      <c r="B4836" t="s">
        <v>15</v>
      </c>
      <c r="C4836">
        <v>32444</v>
      </c>
      <c r="D4836" t="str">
        <f>"32444"</f>
        <v>32444</v>
      </c>
      <c r="E4836">
        <v>75.84</v>
      </c>
    </row>
    <row r="4837" spans="1:5" x14ac:dyDescent="0.2">
      <c r="A4837">
        <v>32445</v>
      </c>
      <c r="B4837" t="s">
        <v>15</v>
      </c>
      <c r="C4837">
        <v>32445</v>
      </c>
      <c r="D4837" t="str">
        <f>"32445"</f>
        <v>32445</v>
      </c>
      <c r="E4837">
        <v>53.85</v>
      </c>
    </row>
    <row r="4838" spans="1:5" x14ac:dyDescent="0.2">
      <c r="A4838">
        <v>32446</v>
      </c>
      <c r="B4838" t="s">
        <v>15</v>
      </c>
      <c r="C4838">
        <v>32446</v>
      </c>
      <c r="D4838" t="str">
        <f>"32446"</f>
        <v>32446</v>
      </c>
      <c r="E4838">
        <v>67.67</v>
      </c>
    </row>
    <row r="4839" spans="1:5" x14ac:dyDescent="0.2">
      <c r="A4839">
        <v>32448</v>
      </c>
      <c r="B4839" t="s">
        <v>15</v>
      </c>
      <c r="C4839">
        <v>32448</v>
      </c>
      <c r="D4839" t="str">
        <f>"32448"</f>
        <v>32448</v>
      </c>
      <c r="E4839">
        <v>60.12</v>
      </c>
    </row>
    <row r="4840" spans="1:5" x14ac:dyDescent="0.2">
      <c r="A4840">
        <v>32449</v>
      </c>
      <c r="B4840" t="s">
        <v>15</v>
      </c>
      <c r="C4840">
        <v>32449</v>
      </c>
      <c r="D4840" t="str">
        <f>"32449"</f>
        <v>32449</v>
      </c>
      <c r="E4840">
        <v>65</v>
      </c>
    </row>
    <row r="4841" spans="1:5" x14ac:dyDescent="0.2">
      <c r="A4841">
        <v>32455</v>
      </c>
      <c r="B4841" t="s">
        <v>15</v>
      </c>
      <c r="C4841">
        <v>32455</v>
      </c>
      <c r="D4841" t="str">
        <f>"32455"</f>
        <v>32455</v>
      </c>
      <c r="E4841">
        <v>62.87</v>
      </c>
    </row>
    <row r="4842" spans="1:5" x14ac:dyDescent="0.2">
      <c r="A4842">
        <v>32456</v>
      </c>
      <c r="B4842" t="s">
        <v>15</v>
      </c>
      <c r="C4842">
        <v>32456</v>
      </c>
      <c r="D4842" t="str">
        <f>"32456"</f>
        <v>32456</v>
      </c>
      <c r="E4842">
        <v>70.92</v>
      </c>
    </row>
    <row r="4843" spans="1:5" x14ac:dyDescent="0.2">
      <c r="A4843">
        <v>32459</v>
      </c>
      <c r="B4843" t="s">
        <v>15</v>
      </c>
      <c r="C4843">
        <v>32459</v>
      </c>
      <c r="D4843" t="str">
        <f>"32459"</f>
        <v>32459</v>
      </c>
      <c r="E4843">
        <v>77.900000000000006</v>
      </c>
    </row>
    <row r="4844" spans="1:5" x14ac:dyDescent="0.2">
      <c r="A4844">
        <v>32460</v>
      </c>
      <c r="B4844" t="s">
        <v>15</v>
      </c>
      <c r="C4844">
        <v>32460</v>
      </c>
      <c r="D4844" t="str">
        <f>"32460"</f>
        <v>32460</v>
      </c>
      <c r="E4844">
        <v>69.94</v>
      </c>
    </row>
    <row r="4845" spans="1:5" x14ac:dyDescent="0.2">
      <c r="A4845">
        <v>32461</v>
      </c>
      <c r="B4845" t="s">
        <v>15</v>
      </c>
      <c r="C4845">
        <v>32461</v>
      </c>
      <c r="D4845" t="str">
        <f>"32461"</f>
        <v>32461</v>
      </c>
      <c r="E4845">
        <v>83.59</v>
      </c>
    </row>
    <row r="4846" spans="1:5" x14ac:dyDescent="0.2">
      <c r="A4846">
        <v>32462</v>
      </c>
      <c r="B4846" t="s">
        <v>15</v>
      </c>
      <c r="C4846">
        <v>32462</v>
      </c>
      <c r="D4846" t="str">
        <f>"32462"</f>
        <v>32462</v>
      </c>
      <c r="E4846">
        <v>61.27</v>
      </c>
    </row>
    <row r="4847" spans="1:5" x14ac:dyDescent="0.2">
      <c r="A4847">
        <v>32463</v>
      </c>
      <c r="B4847" t="s">
        <v>15</v>
      </c>
      <c r="C4847">
        <v>32463</v>
      </c>
      <c r="D4847" t="str">
        <f>"32463"</f>
        <v>32463</v>
      </c>
      <c r="E4847" t="s">
        <v>6</v>
      </c>
    </row>
    <row r="4848" spans="1:5" x14ac:dyDescent="0.2">
      <c r="A4848">
        <v>32464</v>
      </c>
      <c r="B4848" t="s">
        <v>15</v>
      </c>
      <c r="C4848">
        <v>32464</v>
      </c>
      <c r="D4848" t="str">
        <f>"32464"</f>
        <v>32464</v>
      </c>
      <c r="E4848">
        <v>63.64</v>
      </c>
    </row>
    <row r="4849" spans="1:5" x14ac:dyDescent="0.2">
      <c r="A4849">
        <v>32465</v>
      </c>
      <c r="B4849" t="s">
        <v>15</v>
      </c>
      <c r="C4849">
        <v>32465</v>
      </c>
      <c r="D4849" t="str">
        <f>"32465"</f>
        <v>32465</v>
      </c>
      <c r="E4849">
        <v>64.66</v>
      </c>
    </row>
    <row r="4850" spans="1:5" x14ac:dyDescent="0.2">
      <c r="A4850">
        <v>32466</v>
      </c>
      <c r="B4850" t="s">
        <v>15</v>
      </c>
      <c r="C4850">
        <v>32466</v>
      </c>
      <c r="D4850" t="str">
        <f>"32466"</f>
        <v>32466</v>
      </c>
      <c r="E4850">
        <v>66.790000000000006</v>
      </c>
    </row>
    <row r="4851" spans="1:5" x14ac:dyDescent="0.2">
      <c r="A4851">
        <v>32501</v>
      </c>
      <c r="B4851" t="s">
        <v>15</v>
      </c>
      <c r="C4851">
        <v>32501</v>
      </c>
      <c r="D4851" t="str">
        <f>"32501"</f>
        <v>32501</v>
      </c>
      <c r="E4851">
        <v>61.74</v>
      </c>
    </row>
    <row r="4852" spans="1:5" x14ac:dyDescent="0.2">
      <c r="A4852">
        <v>32502</v>
      </c>
      <c r="B4852" t="s">
        <v>15</v>
      </c>
      <c r="C4852">
        <v>32502</v>
      </c>
      <c r="D4852" t="str">
        <f>"32502"</f>
        <v>32502</v>
      </c>
      <c r="E4852">
        <v>73.959999999999994</v>
      </c>
    </row>
    <row r="4853" spans="1:5" x14ac:dyDescent="0.2">
      <c r="A4853">
        <v>32503</v>
      </c>
      <c r="B4853" t="s">
        <v>15</v>
      </c>
      <c r="C4853">
        <v>32503</v>
      </c>
      <c r="D4853" t="str">
        <f>"32503"</f>
        <v>32503</v>
      </c>
      <c r="E4853">
        <v>70.52</v>
      </c>
    </row>
    <row r="4854" spans="1:5" x14ac:dyDescent="0.2">
      <c r="A4854">
        <v>32504</v>
      </c>
      <c r="B4854" t="s">
        <v>15</v>
      </c>
      <c r="C4854">
        <v>32504</v>
      </c>
      <c r="D4854" t="str">
        <f>"32504"</f>
        <v>32504</v>
      </c>
      <c r="E4854">
        <v>75.5</v>
      </c>
    </row>
    <row r="4855" spans="1:5" x14ac:dyDescent="0.2">
      <c r="A4855">
        <v>32505</v>
      </c>
      <c r="B4855" t="s">
        <v>15</v>
      </c>
      <c r="C4855">
        <v>32505</v>
      </c>
      <c r="D4855" t="str">
        <f>"32505"</f>
        <v>32505</v>
      </c>
      <c r="E4855">
        <v>50.68</v>
      </c>
    </row>
    <row r="4856" spans="1:5" x14ac:dyDescent="0.2">
      <c r="A4856">
        <v>32506</v>
      </c>
      <c r="B4856" t="s">
        <v>15</v>
      </c>
      <c r="C4856">
        <v>32506</v>
      </c>
      <c r="D4856" t="str">
        <f>"32506"</f>
        <v>32506</v>
      </c>
      <c r="E4856">
        <v>66.75</v>
      </c>
    </row>
    <row r="4857" spans="1:5" x14ac:dyDescent="0.2">
      <c r="A4857">
        <v>32507</v>
      </c>
      <c r="B4857" t="s">
        <v>15</v>
      </c>
      <c r="C4857">
        <v>32507</v>
      </c>
      <c r="D4857" t="str">
        <f>"32507"</f>
        <v>32507</v>
      </c>
      <c r="E4857">
        <v>69.900000000000006</v>
      </c>
    </row>
    <row r="4858" spans="1:5" x14ac:dyDescent="0.2">
      <c r="A4858">
        <v>32508</v>
      </c>
      <c r="B4858" t="s">
        <v>15</v>
      </c>
      <c r="C4858">
        <v>32508</v>
      </c>
      <c r="D4858" t="str">
        <f>"32508"</f>
        <v>32508</v>
      </c>
      <c r="E4858">
        <v>65.45</v>
      </c>
    </row>
    <row r="4859" spans="1:5" x14ac:dyDescent="0.2">
      <c r="A4859">
        <v>32509</v>
      </c>
      <c r="B4859" t="s">
        <v>15</v>
      </c>
      <c r="C4859">
        <v>32509</v>
      </c>
      <c r="D4859" t="str">
        <f>"32509"</f>
        <v>32509</v>
      </c>
      <c r="E4859" t="s">
        <v>6</v>
      </c>
    </row>
    <row r="4860" spans="1:5" x14ac:dyDescent="0.2">
      <c r="A4860">
        <v>32511</v>
      </c>
      <c r="B4860" t="s">
        <v>15</v>
      </c>
      <c r="C4860">
        <v>32511</v>
      </c>
      <c r="D4860" t="str">
        <f>"32511"</f>
        <v>32511</v>
      </c>
      <c r="E4860" t="s">
        <v>6</v>
      </c>
    </row>
    <row r="4861" spans="1:5" x14ac:dyDescent="0.2">
      <c r="A4861">
        <v>32512</v>
      </c>
      <c r="B4861" t="s">
        <v>15</v>
      </c>
      <c r="C4861">
        <v>32512</v>
      </c>
      <c r="D4861" t="str">
        <f>"32512"</f>
        <v>32512</v>
      </c>
      <c r="E4861" t="s">
        <v>6</v>
      </c>
    </row>
    <row r="4862" spans="1:5" x14ac:dyDescent="0.2">
      <c r="A4862">
        <v>32514</v>
      </c>
      <c r="B4862" t="s">
        <v>15</v>
      </c>
      <c r="C4862">
        <v>32514</v>
      </c>
      <c r="D4862" t="str">
        <f>"32514"</f>
        <v>32514</v>
      </c>
      <c r="E4862">
        <v>71.650000000000006</v>
      </c>
    </row>
    <row r="4863" spans="1:5" x14ac:dyDescent="0.2">
      <c r="A4863">
        <v>32520</v>
      </c>
      <c r="B4863" t="s">
        <v>15</v>
      </c>
      <c r="C4863">
        <v>32520</v>
      </c>
      <c r="D4863" t="str">
        <f>"32520"</f>
        <v>32520</v>
      </c>
      <c r="E4863" t="s">
        <v>6</v>
      </c>
    </row>
    <row r="4864" spans="1:5" x14ac:dyDescent="0.2">
      <c r="A4864">
        <v>32526</v>
      </c>
      <c r="B4864" t="s">
        <v>15</v>
      </c>
      <c r="C4864">
        <v>32526</v>
      </c>
      <c r="D4864" t="str">
        <f>"32526"</f>
        <v>32526</v>
      </c>
      <c r="E4864">
        <v>71.13</v>
      </c>
    </row>
    <row r="4865" spans="1:5" x14ac:dyDescent="0.2">
      <c r="A4865">
        <v>32530</v>
      </c>
      <c r="B4865" t="s">
        <v>15</v>
      </c>
      <c r="C4865">
        <v>32530</v>
      </c>
      <c r="D4865" t="str">
        <f>"32530"</f>
        <v>32530</v>
      </c>
      <c r="E4865" t="s">
        <v>6</v>
      </c>
    </row>
    <row r="4866" spans="1:5" x14ac:dyDescent="0.2">
      <c r="A4866">
        <v>32531</v>
      </c>
      <c r="B4866" t="s">
        <v>15</v>
      </c>
      <c r="C4866">
        <v>32531</v>
      </c>
      <c r="D4866" t="str">
        <f>"32531"</f>
        <v>32531</v>
      </c>
      <c r="E4866">
        <v>71.849999999999994</v>
      </c>
    </row>
    <row r="4867" spans="1:5" x14ac:dyDescent="0.2">
      <c r="A4867">
        <v>32533</v>
      </c>
      <c r="B4867" t="s">
        <v>15</v>
      </c>
      <c r="C4867">
        <v>32533</v>
      </c>
      <c r="D4867" t="str">
        <f>"32533"</f>
        <v>32533</v>
      </c>
      <c r="E4867">
        <v>75.2</v>
      </c>
    </row>
    <row r="4868" spans="1:5" x14ac:dyDescent="0.2">
      <c r="A4868">
        <v>32534</v>
      </c>
      <c r="B4868" t="s">
        <v>15</v>
      </c>
      <c r="C4868">
        <v>32534</v>
      </c>
      <c r="D4868" t="str">
        <f>"32534"</f>
        <v>32534</v>
      </c>
      <c r="E4868">
        <v>67.510000000000005</v>
      </c>
    </row>
    <row r="4869" spans="1:5" x14ac:dyDescent="0.2">
      <c r="A4869">
        <v>32535</v>
      </c>
      <c r="B4869" t="s">
        <v>15</v>
      </c>
      <c r="C4869">
        <v>32535</v>
      </c>
      <c r="D4869" t="str">
        <f>"32535"</f>
        <v>32535</v>
      </c>
      <c r="E4869">
        <v>62.86</v>
      </c>
    </row>
    <row r="4870" spans="1:5" x14ac:dyDescent="0.2">
      <c r="A4870">
        <v>32536</v>
      </c>
      <c r="B4870" t="s">
        <v>15</v>
      </c>
      <c r="C4870">
        <v>32536</v>
      </c>
      <c r="D4870" t="str">
        <f>"32536"</f>
        <v>32536</v>
      </c>
      <c r="E4870">
        <v>72.56</v>
      </c>
    </row>
    <row r="4871" spans="1:5" x14ac:dyDescent="0.2">
      <c r="A4871">
        <v>32539</v>
      </c>
      <c r="B4871" t="s">
        <v>15</v>
      </c>
      <c r="C4871">
        <v>32539</v>
      </c>
      <c r="D4871" t="str">
        <f>"32539"</f>
        <v>32539</v>
      </c>
      <c r="E4871">
        <v>69.28</v>
      </c>
    </row>
    <row r="4872" spans="1:5" x14ac:dyDescent="0.2">
      <c r="A4872">
        <v>32541</v>
      </c>
      <c r="B4872" t="s">
        <v>15</v>
      </c>
      <c r="C4872">
        <v>32541</v>
      </c>
      <c r="D4872" t="str">
        <f>"32541"</f>
        <v>32541</v>
      </c>
      <c r="E4872">
        <v>77.89</v>
      </c>
    </row>
    <row r="4873" spans="1:5" x14ac:dyDescent="0.2">
      <c r="A4873">
        <v>32542</v>
      </c>
      <c r="B4873" t="s">
        <v>15</v>
      </c>
      <c r="C4873">
        <v>32542</v>
      </c>
      <c r="D4873" t="str">
        <f>"32542"</f>
        <v>32542</v>
      </c>
      <c r="E4873">
        <v>67.97</v>
      </c>
    </row>
    <row r="4874" spans="1:5" x14ac:dyDescent="0.2">
      <c r="A4874">
        <v>32544</v>
      </c>
      <c r="B4874" t="s">
        <v>15</v>
      </c>
      <c r="C4874">
        <v>32544</v>
      </c>
      <c r="D4874" t="str">
        <f>"32544"</f>
        <v>32544</v>
      </c>
      <c r="E4874">
        <v>75.53</v>
      </c>
    </row>
    <row r="4875" spans="1:5" x14ac:dyDescent="0.2">
      <c r="A4875">
        <v>32547</v>
      </c>
      <c r="B4875" t="s">
        <v>15</v>
      </c>
      <c r="C4875">
        <v>32547</v>
      </c>
      <c r="D4875" t="str">
        <f>"32547"</f>
        <v>32547</v>
      </c>
      <c r="E4875">
        <v>71.45</v>
      </c>
    </row>
    <row r="4876" spans="1:5" x14ac:dyDescent="0.2">
      <c r="A4876">
        <v>32548</v>
      </c>
      <c r="B4876" t="s">
        <v>15</v>
      </c>
      <c r="C4876">
        <v>32548</v>
      </c>
      <c r="D4876" t="str">
        <f>"32548"</f>
        <v>32548</v>
      </c>
      <c r="E4876">
        <v>71.930000000000007</v>
      </c>
    </row>
    <row r="4877" spans="1:5" x14ac:dyDescent="0.2">
      <c r="A4877">
        <v>32550</v>
      </c>
      <c r="B4877" t="s">
        <v>15</v>
      </c>
      <c r="C4877">
        <v>32550</v>
      </c>
      <c r="D4877" t="str">
        <f>"32550"</f>
        <v>32550</v>
      </c>
      <c r="E4877">
        <v>79.91</v>
      </c>
    </row>
    <row r="4878" spans="1:5" x14ac:dyDescent="0.2">
      <c r="A4878">
        <v>32561</v>
      </c>
      <c r="B4878" t="s">
        <v>15</v>
      </c>
      <c r="C4878">
        <v>32561</v>
      </c>
      <c r="D4878" t="str">
        <f>"32561"</f>
        <v>32561</v>
      </c>
      <c r="E4878">
        <v>80.31</v>
      </c>
    </row>
    <row r="4879" spans="1:5" x14ac:dyDescent="0.2">
      <c r="A4879">
        <v>32563</v>
      </c>
      <c r="B4879" t="s">
        <v>15</v>
      </c>
      <c r="C4879">
        <v>32563</v>
      </c>
      <c r="D4879" t="str">
        <f>"32563"</f>
        <v>32563</v>
      </c>
      <c r="E4879">
        <v>75.88</v>
      </c>
    </row>
    <row r="4880" spans="1:5" x14ac:dyDescent="0.2">
      <c r="A4880">
        <v>32564</v>
      </c>
      <c r="B4880" t="s">
        <v>15</v>
      </c>
      <c r="C4880">
        <v>32564</v>
      </c>
      <c r="D4880" t="str">
        <f>"32564"</f>
        <v>32564</v>
      </c>
      <c r="E4880">
        <v>64.62</v>
      </c>
    </row>
    <row r="4881" spans="1:5" x14ac:dyDescent="0.2">
      <c r="A4881">
        <v>32565</v>
      </c>
      <c r="B4881" t="s">
        <v>15</v>
      </c>
      <c r="C4881">
        <v>32565</v>
      </c>
      <c r="D4881" t="str">
        <f>"32565"</f>
        <v>32565</v>
      </c>
      <c r="E4881">
        <v>71.61</v>
      </c>
    </row>
    <row r="4882" spans="1:5" x14ac:dyDescent="0.2">
      <c r="A4882">
        <v>32566</v>
      </c>
      <c r="B4882" t="s">
        <v>15</v>
      </c>
      <c r="C4882">
        <v>32566</v>
      </c>
      <c r="D4882" t="str">
        <f>"32566"</f>
        <v>32566</v>
      </c>
      <c r="E4882">
        <v>75.52</v>
      </c>
    </row>
    <row r="4883" spans="1:5" x14ac:dyDescent="0.2">
      <c r="A4883">
        <v>32567</v>
      </c>
      <c r="B4883" t="s">
        <v>15</v>
      </c>
      <c r="C4883">
        <v>32567</v>
      </c>
      <c r="D4883" t="str">
        <f>"32567"</f>
        <v>32567</v>
      </c>
      <c r="E4883">
        <v>69.09</v>
      </c>
    </row>
    <row r="4884" spans="1:5" x14ac:dyDescent="0.2">
      <c r="A4884">
        <v>32568</v>
      </c>
      <c r="B4884" t="s">
        <v>15</v>
      </c>
      <c r="C4884">
        <v>32568</v>
      </c>
      <c r="D4884" t="str">
        <f>"32568"</f>
        <v>32568</v>
      </c>
      <c r="E4884">
        <v>70.680000000000007</v>
      </c>
    </row>
    <row r="4885" spans="1:5" x14ac:dyDescent="0.2">
      <c r="A4885">
        <v>32569</v>
      </c>
      <c r="B4885" t="s">
        <v>15</v>
      </c>
      <c r="C4885">
        <v>32569</v>
      </c>
      <c r="D4885" t="str">
        <f>"32569"</f>
        <v>32569</v>
      </c>
      <c r="E4885">
        <v>75.08</v>
      </c>
    </row>
    <row r="4886" spans="1:5" x14ac:dyDescent="0.2">
      <c r="A4886">
        <v>32570</v>
      </c>
      <c r="B4886" t="s">
        <v>15</v>
      </c>
      <c r="C4886">
        <v>32570</v>
      </c>
      <c r="D4886" t="str">
        <f>"32570"</f>
        <v>32570</v>
      </c>
      <c r="E4886">
        <v>70.98</v>
      </c>
    </row>
    <row r="4887" spans="1:5" x14ac:dyDescent="0.2">
      <c r="A4887">
        <v>32571</v>
      </c>
      <c r="B4887" t="s">
        <v>15</v>
      </c>
      <c r="C4887">
        <v>32571</v>
      </c>
      <c r="D4887" t="str">
        <f>"32571"</f>
        <v>32571</v>
      </c>
      <c r="E4887">
        <v>74.819999999999993</v>
      </c>
    </row>
    <row r="4888" spans="1:5" x14ac:dyDescent="0.2">
      <c r="A4888">
        <v>32577</v>
      </c>
      <c r="B4888" t="s">
        <v>15</v>
      </c>
      <c r="C4888">
        <v>32577</v>
      </c>
      <c r="D4888" t="str">
        <f>"32577"</f>
        <v>32577</v>
      </c>
      <c r="E4888">
        <v>72.34</v>
      </c>
    </row>
    <row r="4889" spans="1:5" x14ac:dyDescent="0.2">
      <c r="A4889">
        <v>32578</v>
      </c>
      <c r="B4889" t="s">
        <v>15</v>
      </c>
      <c r="C4889">
        <v>32578</v>
      </c>
      <c r="D4889" t="str">
        <f>"32578"</f>
        <v>32578</v>
      </c>
      <c r="E4889">
        <v>79.16</v>
      </c>
    </row>
    <row r="4890" spans="1:5" x14ac:dyDescent="0.2">
      <c r="A4890">
        <v>32579</v>
      </c>
      <c r="B4890" t="s">
        <v>15</v>
      </c>
      <c r="C4890">
        <v>32579</v>
      </c>
      <c r="D4890" t="str">
        <f>"32579"</f>
        <v>32579</v>
      </c>
      <c r="E4890">
        <v>79.06</v>
      </c>
    </row>
    <row r="4891" spans="1:5" x14ac:dyDescent="0.2">
      <c r="A4891">
        <v>32580</v>
      </c>
      <c r="B4891" t="s">
        <v>15</v>
      </c>
      <c r="C4891">
        <v>32580</v>
      </c>
      <c r="D4891" t="str">
        <f>"32580"</f>
        <v>32580</v>
      </c>
      <c r="E4891">
        <v>77.290000000000006</v>
      </c>
    </row>
    <row r="4892" spans="1:5" x14ac:dyDescent="0.2">
      <c r="A4892">
        <v>32583</v>
      </c>
      <c r="B4892" t="s">
        <v>15</v>
      </c>
      <c r="C4892">
        <v>32583</v>
      </c>
      <c r="D4892" t="str">
        <f>"32583"</f>
        <v>32583</v>
      </c>
      <c r="E4892">
        <v>70.88</v>
      </c>
    </row>
    <row r="4893" spans="1:5" x14ac:dyDescent="0.2">
      <c r="A4893">
        <v>32601</v>
      </c>
      <c r="B4893" t="s">
        <v>15</v>
      </c>
      <c r="C4893">
        <v>32601</v>
      </c>
      <c r="D4893" t="str">
        <f>"32601"</f>
        <v>32601</v>
      </c>
      <c r="E4893">
        <v>69.040000000000006</v>
      </c>
    </row>
    <row r="4894" spans="1:5" x14ac:dyDescent="0.2">
      <c r="A4894">
        <v>32603</v>
      </c>
      <c r="B4894" t="s">
        <v>15</v>
      </c>
      <c r="C4894">
        <v>32603</v>
      </c>
      <c r="D4894" t="str">
        <f>"32603"</f>
        <v>32603</v>
      </c>
      <c r="E4894">
        <v>64.290000000000006</v>
      </c>
    </row>
    <row r="4895" spans="1:5" x14ac:dyDescent="0.2">
      <c r="A4895">
        <v>32605</v>
      </c>
      <c r="B4895" t="s">
        <v>15</v>
      </c>
      <c r="C4895">
        <v>32605</v>
      </c>
      <c r="D4895" t="str">
        <f>"32605"</f>
        <v>32605</v>
      </c>
      <c r="E4895">
        <v>77.739999999999995</v>
      </c>
    </row>
    <row r="4896" spans="1:5" x14ac:dyDescent="0.2">
      <c r="A4896">
        <v>32606</v>
      </c>
      <c r="B4896" t="s">
        <v>15</v>
      </c>
      <c r="C4896">
        <v>32606</v>
      </c>
      <c r="D4896" t="str">
        <f>"32606"</f>
        <v>32606</v>
      </c>
      <c r="E4896">
        <v>79.099999999999994</v>
      </c>
    </row>
    <row r="4897" spans="1:5" x14ac:dyDescent="0.2">
      <c r="A4897">
        <v>32607</v>
      </c>
      <c r="B4897" t="s">
        <v>15</v>
      </c>
      <c r="C4897">
        <v>32607</v>
      </c>
      <c r="D4897" t="str">
        <f>"32607"</f>
        <v>32607</v>
      </c>
      <c r="E4897">
        <v>66.52</v>
      </c>
    </row>
    <row r="4898" spans="1:5" x14ac:dyDescent="0.2">
      <c r="A4898">
        <v>32608</v>
      </c>
      <c r="B4898" t="s">
        <v>15</v>
      </c>
      <c r="C4898">
        <v>32608</v>
      </c>
      <c r="D4898" t="str">
        <f>"32608"</f>
        <v>32608</v>
      </c>
      <c r="E4898">
        <v>73.2</v>
      </c>
    </row>
    <row r="4899" spans="1:5" x14ac:dyDescent="0.2">
      <c r="A4899">
        <v>32609</v>
      </c>
      <c r="B4899" t="s">
        <v>15</v>
      </c>
      <c r="C4899">
        <v>32609</v>
      </c>
      <c r="D4899" t="str">
        <f>"32609"</f>
        <v>32609</v>
      </c>
      <c r="E4899">
        <v>60.94</v>
      </c>
    </row>
    <row r="4900" spans="1:5" x14ac:dyDescent="0.2">
      <c r="A4900">
        <v>32610</v>
      </c>
      <c r="B4900" t="s">
        <v>15</v>
      </c>
      <c r="C4900">
        <v>32610</v>
      </c>
      <c r="D4900" t="str">
        <f>"32610"</f>
        <v>32610</v>
      </c>
      <c r="E4900" t="s">
        <v>6</v>
      </c>
    </row>
    <row r="4901" spans="1:5" x14ac:dyDescent="0.2">
      <c r="A4901">
        <v>32611</v>
      </c>
      <c r="B4901" t="s">
        <v>15</v>
      </c>
      <c r="C4901">
        <v>32611</v>
      </c>
      <c r="D4901" t="str">
        <f>"32611"</f>
        <v>32611</v>
      </c>
      <c r="E4901" t="s">
        <v>6</v>
      </c>
    </row>
    <row r="4902" spans="1:5" x14ac:dyDescent="0.2">
      <c r="A4902">
        <v>32612</v>
      </c>
      <c r="B4902" t="s">
        <v>15</v>
      </c>
      <c r="C4902">
        <v>32612</v>
      </c>
      <c r="D4902" t="str">
        <f>"32612"</f>
        <v>32612</v>
      </c>
      <c r="E4902" t="s">
        <v>6</v>
      </c>
    </row>
    <row r="4903" spans="1:5" x14ac:dyDescent="0.2">
      <c r="A4903">
        <v>32615</v>
      </c>
      <c r="B4903" t="s">
        <v>15</v>
      </c>
      <c r="C4903">
        <v>32615</v>
      </c>
      <c r="D4903" t="str">
        <f>"32615"</f>
        <v>32615</v>
      </c>
      <c r="E4903">
        <v>73.56</v>
      </c>
    </row>
    <row r="4904" spans="1:5" x14ac:dyDescent="0.2">
      <c r="A4904">
        <v>32617</v>
      </c>
      <c r="B4904" t="s">
        <v>15</v>
      </c>
      <c r="C4904">
        <v>32617</v>
      </c>
      <c r="D4904" t="str">
        <f>"32617"</f>
        <v>32617</v>
      </c>
      <c r="E4904">
        <v>66.31</v>
      </c>
    </row>
    <row r="4905" spans="1:5" x14ac:dyDescent="0.2">
      <c r="A4905">
        <v>32618</v>
      </c>
      <c r="B4905" t="s">
        <v>15</v>
      </c>
      <c r="C4905">
        <v>32618</v>
      </c>
      <c r="D4905" t="str">
        <f>"32618"</f>
        <v>32618</v>
      </c>
      <c r="E4905">
        <v>68.349999999999994</v>
      </c>
    </row>
    <row r="4906" spans="1:5" x14ac:dyDescent="0.2">
      <c r="A4906">
        <v>32619</v>
      </c>
      <c r="B4906" t="s">
        <v>15</v>
      </c>
      <c r="C4906">
        <v>32619</v>
      </c>
      <c r="D4906" t="str">
        <f>"32619"</f>
        <v>32619</v>
      </c>
      <c r="E4906">
        <v>65.37</v>
      </c>
    </row>
    <row r="4907" spans="1:5" x14ac:dyDescent="0.2">
      <c r="A4907">
        <v>32621</v>
      </c>
      <c r="B4907" t="s">
        <v>15</v>
      </c>
      <c r="C4907">
        <v>32621</v>
      </c>
      <c r="D4907" t="str">
        <f>"32621"</f>
        <v>32621</v>
      </c>
      <c r="E4907">
        <v>60.09</v>
      </c>
    </row>
    <row r="4908" spans="1:5" x14ac:dyDescent="0.2">
      <c r="A4908">
        <v>32622</v>
      </c>
      <c r="B4908" t="s">
        <v>15</v>
      </c>
      <c r="C4908">
        <v>32622</v>
      </c>
      <c r="D4908" t="str">
        <f>"32622"</f>
        <v>32622</v>
      </c>
      <c r="E4908">
        <v>71.19</v>
      </c>
    </row>
    <row r="4909" spans="1:5" x14ac:dyDescent="0.2">
      <c r="A4909">
        <v>32625</v>
      </c>
      <c r="B4909" t="s">
        <v>15</v>
      </c>
      <c r="C4909">
        <v>32625</v>
      </c>
      <c r="D4909" t="str">
        <f>"32625"</f>
        <v>32625</v>
      </c>
      <c r="E4909">
        <v>61.97</v>
      </c>
    </row>
    <row r="4910" spans="1:5" x14ac:dyDescent="0.2">
      <c r="A4910">
        <v>32626</v>
      </c>
      <c r="B4910" t="s">
        <v>15</v>
      </c>
      <c r="C4910">
        <v>32626</v>
      </c>
      <c r="D4910" t="str">
        <f>"32626"</f>
        <v>32626</v>
      </c>
      <c r="E4910">
        <v>61.22</v>
      </c>
    </row>
    <row r="4911" spans="1:5" x14ac:dyDescent="0.2">
      <c r="A4911">
        <v>32628</v>
      </c>
      <c r="B4911" t="s">
        <v>15</v>
      </c>
      <c r="C4911">
        <v>32628</v>
      </c>
      <c r="D4911" t="str">
        <f>"32628"</f>
        <v>32628</v>
      </c>
      <c r="E4911">
        <v>59.44</v>
      </c>
    </row>
    <row r="4912" spans="1:5" x14ac:dyDescent="0.2">
      <c r="A4912">
        <v>32631</v>
      </c>
      <c r="B4912" t="s">
        <v>15</v>
      </c>
      <c r="C4912">
        <v>32631</v>
      </c>
      <c r="D4912" t="str">
        <f>"32631"</f>
        <v>32631</v>
      </c>
      <c r="E4912">
        <v>81.819999999999993</v>
      </c>
    </row>
    <row r="4913" spans="1:5" x14ac:dyDescent="0.2">
      <c r="A4913">
        <v>32639</v>
      </c>
      <c r="B4913" t="s">
        <v>15</v>
      </c>
      <c r="C4913">
        <v>32639</v>
      </c>
      <c r="D4913" t="str">
        <f>"32639"</f>
        <v>32639</v>
      </c>
      <c r="E4913" t="s">
        <v>6</v>
      </c>
    </row>
    <row r="4914" spans="1:5" x14ac:dyDescent="0.2">
      <c r="A4914">
        <v>32640</v>
      </c>
      <c r="B4914" t="s">
        <v>15</v>
      </c>
      <c r="C4914">
        <v>32640</v>
      </c>
      <c r="D4914" t="str">
        <f>"32640"</f>
        <v>32640</v>
      </c>
      <c r="E4914">
        <v>64.84</v>
      </c>
    </row>
    <row r="4915" spans="1:5" x14ac:dyDescent="0.2">
      <c r="A4915">
        <v>32641</v>
      </c>
      <c r="B4915" t="s">
        <v>15</v>
      </c>
      <c r="C4915">
        <v>32641</v>
      </c>
      <c r="D4915" t="str">
        <f>"32641"</f>
        <v>32641</v>
      </c>
      <c r="E4915">
        <v>49.47</v>
      </c>
    </row>
    <row r="4916" spans="1:5" x14ac:dyDescent="0.2">
      <c r="A4916">
        <v>32643</v>
      </c>
      <c r="B4916" t="s">
        <v>15</v>
      </c>
      <c r="C4916">
        <v>32643</v>
      </c>
      <c r="D4916" t="str">
        <f>"32643"</f>
        <v>32643</v>
      </c>
      <c r="E4916">
        <v>72.41</v>
      </c>
    </row>
    <row r="4917" spans="1:5" x14ac:dyDescent="0.2">
      <c r="A4917">
        <v>32648</v>
      </c>
      <c r="B4917" t="s">
        <v>15</v>
      </c>
      <c r="C4917">
        <v>32648</v>
      </c>
      <c r="D4917" t="str">
        <f>"32648"</f>
        <v>32648</v>
      </c>
      <c r="E4917">
        <v>57.14</v>
      </c>
    </row>
    <row r="4918" spans="1:5" x14ac:dyDescent="0.2">
      <c r="A4918">
        <v>32653</v>
      </c>
      <c r="B4918" t="s">
        <v>15</v>
      </c>
      <c r="C4918">
        <v>32653</v>
      </c>
      <c r="D4918" t="str">
        <f>"32653"</f>
        <v>32653</v>
      </c>
      <c r="E4918">
        <v>76.8</v>
      </c>
    </row>
    <row r="4919" spans="1:5" x14ac:dyDescent="0.2">
      <c r="A4919">
        <v>32656</v>
      </c>
      <c r="B4919" t="s">
        <v>15</v>
      </c>
      <c r="C4919">
        <v>32656</v>
      </c>
      <c r="D4919" t="str">
        <f>"32656"</f>
        <v>32656</v>
      </c>
      <c r="E4919">
        <v>68.040000000000006</v>
      </c>
    </row>
    <row r="4920" spans="1:5" x14ac:dyDescent="0.2">
      <c r="A4920">
        <v>32664</v>
      </c>
      <c r="B4920" t="s">
        <v>15</v>
      </c>
      <c r="C4920">
        <v>32664</v>
      </c>
      <c r="D4920" t="str">
        <f>"32664"</f>
        <v>32664</v>
      </c>
      <c r="E4920" t="s">
        <v>6</v>
      </c>
    </row>
    <row r="4921" spans="1:5" x14ac:dyDescent="0.2">
      <c r="A4921">
        <v>32666</v>
      </c>
      <c r="B4921" t="s">
        <v>15</v>
      </c>
      <c r="C4921">
        <v>32666</v>
      </c>
      <c r="D4921" t="str">
        <f>"32666"</f>
        <v>32666</v>
      </c>
      <c r="E4921">
        <v>71.260000000000005</v>
      </c>
    </row>
    <row r="4922" spans="1:5" x14ac:dyDescent="0.2">
      <c r="A4922">
        <v>32667</v>
      </c>
      <c r="B4922" t="s">
        <v>15</v>
      </c>
      <c r="C4922">
        <v>32667</v>
      </c>
      <c r="D4922" t="str">
        <f>"32667"</f>
        <v>32667</v>
      </c>
      <c r="E4922">
        <v>73.56</v>
      </c>
    </row>
    <row r="4923" spans="1:5" x14ac:dyDescent="0.2">
      <c r="A4923">
        <v>32668</v>
      </c>
      <c r="B4923" t="s">
        <v>15</v>
      </c>
      <c r="C4923">
        <v>32668</v>
      </c>
      <c r="D4923" t="str">
        <f>"32668"</f>
        <v>32668</v>
      </c>
      <c r="E4923">
        <v>65.3</v>
      </c>
    </row>
    <row r="4924" spans="1:5" x14ac:dyDescent="0.2">
      <c r="A4924">
        <v>32669</v>
      </c>
      <c r="B4924" t="s">
        <v>15</v>
      </c>
      <c r="C4924">
        <v>32669</v>
      </c>
      <c r="D4924" t="str">
        <f>"32669"</f>
        <v>32669</v>
      </c>
      <c r="E4924">
        <v>76.2</v>
      </c>
    </row>
    <row r="4925" spans="1:5" x14ac:dyDescent="0.2">
      <c r="A4925">
        <v>32680</v>
      </c>
      <c r="B4925" t="s">
        <v>15</v>
      </c>
      <c r="C4925">
        <v>32680</v>
      </c>
      <c r="D4925" t="str">
        <f>"32680"</f>
        <v>32680</v>
      </c>
      <c r="E4925">
        <v>58.04</v>
      </c>
    </row>
    <row r="4926" spans="1:5" x14ac:dyDescent="0.2">
      <c r="A4926">
        <v>32683</v>
      </c>
      <c r="B4926" t="s">
        <v>15</v>
      </c>
      <c r="C4926">
        <v>32683</v>
      </c>
      <c r="D4926" t="str">
        <f>"32683"</f>
        <v>32683</v>
      </c>
      <c r="E4926" t="s">
        <v>6</v>
      </c>
    </row>
    <row r="4927" spans="1:5" x14ac:dyDescent="0.2">
      <c r="A4927">
        <v>32686</v>
      </c>
      <c r="B4927" t="s">
        <v>15</v>
      </c>
      <c r="C4927">
        <v>32686</v>
      </c>
      <c r="D4927" t="str">
        <f>"32686"</f>
        <v>32686</v>
      </c>
      <c r="E4927">
        <v>57.61</v>
      </c>
    </row>
    <row r="4928" spans="1:5" x14ac:dyDescent="0.2">
      <c r="A4928">
        <v>32693</v>
      </c>
      <c r="B4928" t="s">
        <v>15</v>
      </c>
      <c r="C4928">
        <v>32693</v>
      </c>
      <c r="D4928" t="str">
        <f>"32693"</f>
        <v>32693</v>
      </c>
      <c r="E4928">
        <v>62.23</v>
      </c>
    </row>
    <row r="4929" spans="1:5" x14ac:dyDescent="0.2">
      <c r="A4929">
        <v>32694</v>
      </c>
      <c r="B4929" t="s">
        <v>15</v>
      </c>
      <c r="C4929">
        <v>32694</v>
      </c>
      <c r="D4929" t="str">
        <f>"32694"</f>
        <v>32694</v>
      </c>
      <c r="E4929">
        <v>65.06</v>
      </c>
    </row>
    <row r="4930" spans="1:5" x14ac:dyDescent="0.2">
      <c r="A4930">
        <v>32696</v>
      </c>
      <c r="B4930" t="s">
        <v>15</v>
      </c>
      <c r="C4930">
        <v>32696</v>
      </c>
      <c r="D4930" t="str">
        <f>"32696"</f>
        <v>32696</v>
      </c>
      <c r="E4930">
        <v>64.849999999999994</v>
      </c>
    </row>
    <row r="4931" spans="1:5" x14ac:dyDescent="0.2">
      <c r="A4931">
        <v>32701</v>
      </c>
      <c r="B4931" t="s">
        <v>15</v>
      </c>
      <c r="C4931">
        <v>32701</v>
      </c>
      <c r="D4931" t="str">
        <f>"32701"</f>
        <v>32701</v>
      </c>
      <c r="E4931">
        <v>70.510000000000005</v>
      </c>
    </row>
    <row r="4932" spans="1:5" x14ac:dyDescent="0.2">
      <c r="A4932">
        <v>32702</v>
      </c>
      <c r="B4932" t="s">
        <v>15</v>
      </c>
      <c r="C4932">
        <v>32702</v>
      </c>
      <c r="D4932" t="str">
        <f>"32702"</f>
        <v>32702</v>
      </c>
      <c r="E4932">
        <v>67.83</v>
      </c>
    </row>
    <row r="4933" spans="1:5" x14ac:dyDescent="0.2">
      <c r="A4933">
        <v>32703</v>
      </c>
      <c r="B4933" t="s">
        <v>15</v>
      </c>
      <c r="C4933">
        <v>32703</v>
      </c>
      <c r="D4933" t="str">
        <f>"32703"</f>
        <v>32703</v>
      </c>
      <c r="E4933">
        <v>62.58</v>
      </c>
    </row>
    <row r="4934" spans="1:5" x14ac:dyDescent="0.2">
      <c r="A4934">
        <v>32707</v>
      </c>
      <c r="B4934" t="s">
        <v>15</v>
      </c>
      <c r="C4934">
        <v>32707</v>
      </c>
      <c r="D4934" t="str">
        <f>"32707"</f>
        <v>32707</v>
      </c>
      <c r="E4934">
        <v>72.31</v>
      </c>
    </row>
    <row r="4935" spans="1:5" x14ac:dyDescent="0.2">
      <c r="A4935">
        <v>32708</v>
      </c>
      <c r="B4935" t="s">
        <v>15</v>
      </c>
      <c r="C4935">
        <v>32708</v>
      </c>
      <c r="D4935" t="str">
        <f>"32708"</f>
        <v>32708</v>
      </c>
      <c r="E4935">
        <v>76.39</v>
      </c>
    </row>
    <row r="4936" spans="1:5" x14ac:dyDescent="0.2">
      <c r="A4936">
        <v>32709</v>
      </c>
      <c r="B4936" t="s">
        <v>15</v>
      </c>
      <c r="C4936">
        <v>32709</v>
      </c>
      <c r="D4936" t="str">
        <f>"32709"</f>
        <v>32709</v>
      </c>
      <c r="E4936">
        <v>66.959999999999994</v>
      </c>
    </row>
    <row r="4937" spans="1:5" x14ac:dyDescent="0.2">
      <c r="A4937">
        <v>32712</v>
      </c>
      <c r="B4937" t="s">
        <v>15</v>
      </c>
      <c r="C4937">
        <v>32712</v>
      </c>
      <c r="D4937" t="str">
        <f>"32712"</f>
        <v>32712</v>
      </c>
      <c r="E4937">
        <v>71.22</v>
      </c>
    </row>
    <row r="4938" spans="1:5" x14ac:dyDescent="0.2">
      <c r="A4938">
        <v>32713</v>
      </c>
      <c r="B4938" t="s">
        <v>15</v>
      </c>
      <c r="C4938">
        <v>32713</v>
      </c>
      <c r="D4938" t="str">
        <f>"32713"</f>
        <v>32713</v>
      </c>
      <c r="E4938">
        <v>76.62</v>
      </c>
    </row>
    <row r="4939" spans="1:5" x14ac:dyDescent="0.2">
      <c r="A4939">
        <v>32714</v>
      </c>
      <c r="B4939" t="s">
        <v>15</v>
      </c>
      <c r="C4939">
        <v>32714</v>
      </c>
      <c r="D4939" t="str">
        <f>"32714"</f>
        <v>32714</v>
      </c>
      <c r="E4939">
        <v>69.739999999999995</v>
      </c>
    </row>
    <row r="4940" spans="1:5" x14ac:dyDescent="0.2">
      <c r="A4940">
        <v>32720</v>
      </c>
      <c r="B4940" t="s">
        <v>15</v>
      </c>
      <c r="C4940">
        <v>32720</v>
      </c>
      <c r="D4940" t="str">
        <f>"32720"</f>
        <v>32720</v>
      </c>
      <c r="E4940">
        <v>66.5</v>
      </c>
    </row>
    <row r="4941" spans="1:5" x14ac:dyDescent="0.2">
      <c r="A4941">
        <v>32723</v>
      </c>
      <c r="B4941" t="s">
        <v>15</v>
      </c>
      <c r="C4941">
        <v>32723</v>
      </c>
      <c r="D4941" t="str">
        <f>"32723"</f>
        <v>32723</v>
      </c>
      <c r="E4941" t="s">
        <v>6</v>
      </c>
    </row>
    <row r="4942" spans="1:5" x14ac:dyDescent="0.2">
      <c r="A4942">
        <v>32724</v>
      </c>
      <c r="B4942" t="s">
        <v>15</v>
      </c>
      <c r="C4942">
        <v>32724</v>
      </c>
      <c r="D4942" t="str">
        <f>"32724"</f>
        <v>32724</v>
      </c>
      <c r="E4942">
        <v>70.7</v>
      </c>
    </row>
    <row r="4943" spans="1:5" x14ac:dyDescent="0.2">
      <c r="A4943">
        <v>32725</v>
      </c>
      <c r="B4943" t="s">
        <v>15</v>
      </c>
      <c r="C4943">
        <v>32725</v>
      </c>
      <c r="D4943" t="str">
        <f>"32725"</f>
        <v>32725</v>
      </c>
      <c r="E4943">
        <v>65.14</v>
      </c>
    </row>
    <row r="4944" spans="1:5" x14ac:dyDescent="0.2">
      <c r="A4944">
        <v>32726</v>
      </c>
      <c r="B4944" t="s">
        <v>15</v>
      </c>
      <c r="C4944">
        <v>32726</v>
      </c>
      <c r="D4944" t="str">
        <f>"32726"</f>
        <v>32726</v>
      </c>
      <c r="E4944">
        <v>64.739999999999995</v>
      </c>
    </row>
    <row r="4945" spans="1:5" x14ac:dyDescent="0.2">
      <c r="A4945">
        <v>32730</v>
      </c>
      <c r="B4945" t="s">
        <v>15</v>
      </c>
      <c r="C4945">
        <v>32730</v>
      </c>
      <c r="D4945" t="str">
        <f>"32730"</f>
        <v>32730</v>
      </c>
      <c r="E4945">
        <v>67.92</v>
      </c>
    </row>
    <row r="4946" spans="1:5" x14ac:dyDescent="0.2">
      <c r="A4946">
        <v>32732</v>
      </c>
      <c r="B4946" t="s">
        <v>15</v>
      </c>
      <c r="C4946">
        <v>32732</v>
      </c>
      <c r="D4946" t="str">
        <f>"32732"</f>
        <v>32732</v>
      </c>
      <c r="E4946">
        <v>75</v>
      </c>
    </row>
    <row r="4947" spans="1:5" x14ac:dyDescent="0.2">
      <c r="A4947">
        <v>32735</v>
      </c>
      <c r="B4947" t="s">
        <v>15</v>
      </c>
      <c r="C4947">
        <v>32735</v>
      </c>
      <c r="D4947" t="str">
        <f>"32735"</f>
        <v>32735</v>
      </c>
      <c r="E4947">
        <v>73.55</v>
      </c>
    </row>
    <row r="4948" spans="1:5" x14ac:dyDescent="0.2">
      <c r="A4948">
        <v>32736</v>
      </c>
      <c r="B4948" t="s">
        <v>15</v>
      </c>
      <c r="C4948">
        <v>32736</v>
      </c>
      <c r="D4948" t="str">
        <f>"32736"</f>
        <v>32736</v>
      </c>
      <c r="E4948">
        <v>73.459999999999994</v>
      </c>
    </row>
    <row r="4949" spans="1:5" x14ac:dyDescent="0.2">
      <c r="A4949">
        <v>32738</v>
      </c>
      <c r="B4949" t="s">
        <v>15</v>
      </c>
      <c r="C4949">
        <v>32738</v>
      </c>
      <c r="D4949" t="str">
        <f>"32738"</f>
        <v>32738</v>
      </c>
      <c r="E4949">
        <v>65.2</v>
      </c>
    </row>
    <row r="4950" spans="1:5" x14ac:dyDescent="0.2">
      <c r="A4950">
        <v>32744</v>
      </c>
      <c r="B4950" t="s">
        <v>15</v>
      </c>
      <c r="C4950">
        <v>32744</v>
      </c>
      <c r="D4950" t="str">
        <f>"32744"</f>
        <v>32744</v>
      </c>
      <c r="E4950">
        <v>70.06</v>
      </c>
    </row>
    <row r="4951" spans="1:5" x14ac:dyDescent="0.2">
      <c r="A4951">
        <v>32746</v>
      </c>
      <c r="B4951" t="s">
        <v>15</v>
      </c>
      <c r="C4951">
        <v>32746</v>
      </c>
      <c r="D4951" t="str">
        <f>"32746"</f>
        <v>32746</v>
      </c>
      <c r="E4951">
        <v>78.91</v>
      </c>
    </row>
    <row r="4952" spans="1:5" x14ac:dyDescent="0.2">
      <c r="A4952">
        <v>32750</v>
      </c>
      <c r="B4952" t="s">
        <v>15</v>
      </c>
      <c r="C4952">
        <v>32750</v>
      </c>
      <c r="D4952" t="str">
        <f>"32750"</f>
        <v>32750</v>
      </c>
      <c r="E4952">
        <v>74.709999999999994</v>
      </c>
    </row>
    <row r="4953" spans="1:5" x14ac:dyDescent="0.2">
      <c r="A4953">
        <v>32751</v>
      </c>
      <c r="B4953" t="s">
        <v>15</v>
      </c>
      <c r="C4953">
        <v>32751</v>
      </c>
      <c r="D4953" t="str">
        <f>"32751"</f>
        <v>32751</v>
      </c>
      <c r="E4953">
        <v>77.34</v>
      </c>
    </row>
    <row r="4954" spans="1:5" x14ac:dyDescent="0.2">
      <c r="A4954">
        <v>32754</v>
      </c>
      <c r="B4954" t="s">
        <v>15</v>
      </c>
      <c r="C4954">
        <v>32754</v>
      </c>
      <c r="D4954" t="str">
        <f>"32754"</f>
        <v>32754</v>
      </c>
      <c r="E4954">
        <v>70.709999999999994</v>
      </c>
    </row>
    <row r="4955" spans="1:5" x14ac:dyDescent="0.2">
      <c r="A4955">
        <v>32757</v>
      </c>
      <c r="B4955" t="s">
        <v>15</v>
      </c>
      <c r="C4955">
        <v>32757</v>
      </c>
      <c r="D4955" t="str">
        <f>"32757"</f>
        <v>32757</v>
      </c>
      <c r="E4955">
        <v>72.010000000000005</v>
      </c>
    </row>
    <row r="4956" spans="1:5" x14ac:dyDescent="0.2">
      <c r="A4956">
        <v>32759</v>
      </c>
      <c r="B4956" t="s">
        <v>15</v>
      </c>
      <c r="C4956">
        <v>32759</v>
      </c>
      <c r="D4956" t="str">
        <f>"32759"</f>
        <v>32759</v>
      </c>
      <c r="E4956">
        <v>64.84</v>
      </c>
    </row>
    <row r="4957" spans="1:5" x14ac:dyDescent="0.2">
      <c r="A4957">
        <v>32763</v>
      </c>
      <c r="B4957" t="s">
        <v>15</v>
      </c>
      <c r="C4957">
        <v>32763</v>
      </c>
      <c r="D4957" t="str">
        <f>"32763"</f>
        <v>32763</v>
      </c>
      <c r="E4957">
        <v>68.09</v>
      </c>
    </row>
    <row r="4958" spans="1:5" x14ac:dyDescent="0.2">
      <c r="A4958">
        <v>32764</v>
      </c>
      <c r="B4958" t="s">
        <v>15</v>
      </c>
      <c r="C4958">
        <v>32764</v>
      </c>
      <c r="D4958" t="str">
        <f>"32764"</f>
        <v>32764</v>
      </c>
      <c r="E4958">
        <v>73.13</v>
      </c>
    </row>
    <row r="4959" spans="1:5" x14ac:dyDescent="0.2">
      <c r="A4959">
        <v>32765</v>
      </c>
      <c r="B4959" t="s">
        <v>15</v>
      </c>
      <c r="C4959">
        <v>32765</v>
      </c>
      <c r="D4959" t="str">
        <f>"32765"</f>
        <v>32765</v>
      </c>
      <c r="E4959">
        <v>76.42</v>
      </c>
    </row>
    <row r="4960" spans="1:5" x14ac:dyDescent="0.2">
      <c r="A4960">
        <v>32766</v>
      </c>
      <c r="B4960" t="s">
        <v>15</v>
      </c>
      <c r="C4960">
        <v>32766</v>
      </c>
      <c r="D4960" t="str">
        <f>"32766"</f>
        <v>32766</v>
      </c>
      <c r="E4960">
        <v>79.59</v>
      </c>
    </row>
    <row r="4961" spans="1:5" x14ac:dyDescent="0.2">
      <c r="A4961">
        <v>32767</v>
      </c>
      <c r="B4961" t="s">
        <v>15</v>
      </c>
      <c r="C4961">
        <v>32767</v>
      </c>
      <c r="D4961" t="str">
        <f>"32767"</f>
        <v>32767</v>
      </c>
      <c r="E4961">
        <v>58.04</v>
      </c>
    </row>
    <row r="4962" spans="1:5" x14ac:dyDescent="0.2">
      <c r="A4962">
        <v>32771</v>
      </c>
      <c r="B4962" t="s">
        <v>15</v>
      </c>
      <c r="C4962">
        <v>32771</v>
      </c>
      <c r="D4962" t="str">
        <f>"32771"</f>
        <v>32771</v>
      </c>
      <c r="E4962">
        <v>67.97</v>
      </c>
    </row>
    <row r="4963" spans="1:5" x14ac:dyDescent="0.2">
      <c r="A4963">
        <v>32773</v>
      </c>
      <c r="B4963" t="s">
        <v>15</v>
      </c>
      <c r="C4963">
        <v>32773</v>
      </c>
      <c r="D4963" t="str">
        <f>"32773"</f>
        <v>32773</v>
      </c>
      <c r="E4963">
        <v>62.95</v>
      </c>
    </row>
    <row r="4964" spans="1:5" x14ac:dyDescent="0.2">
      <c r="A4964">
        <v>32776</v>
      </c>
      <c r="B4964" t="s">
        <v>15</v>
      </c>
      <c r="C4964">
        <v>32776</v>
      </c>
      <c r="D4964" t="str">
        <f>"32776"</f>
        <v>32776</v>
      </c>
      <c r="E4964">
        <v>73.33</v>
      </c>
    </row>
    <row r="4965" spans="1:5" x14ac:dyDescent="0.2">
      <c r="A4965">
        <v>32778</v>
      </c>
      <c r="B4965" t="s">
        <v>15</v>
      </c>
      <c r="C4965">
        <v>32778</v>
      </c>
      <c r="D4965" t="str">
        <f>"32778"</f>
        <v>32778</v>
      </c>
      <c r="E4965">
        <v>69.47</v>
      </c>
    </row>
    <row r="4966" spans="1:5" x14ac:dyDescent="0.2">
      <c r="A4966">
        <v>32779</v>
      </c>
      <c r="B4966" t="s">
        <v>15</v>
      </c>
      <c r="C4966">
        <v>32779</v>
      </c>
      <c r="D4966" t="str">
        <f>"32779"</f>
        <v>32779</v>
      </c>
      <c r="E4966">
        <v>79.77</v>
      </c>
    </row>
    <row r="4967" spans="1:5" x14ac:dyDescent="0.2">
      <c r="A4967">
        <v>32780</v>
      </c>
      <c r="B4967" t="s">
        <v>15</v>
      </c>
      <c r="C4967">
        <v>32780</v>
      </c>
      <c r="D4967" t="str">
        <f>"32780"</f>
        <v>32780</v>
      </c>
      <c r="E4967">
        <v>70.569999999999993</v>
      </c>
    </row>
    <row r="4968" spans="1:5" x14ac:dyDescent="0.2">
      <c r="A4968">
        <v>32784</v>
      </c>
      <c r="B4968" t="s">
        <v>15</v>
      </c>
      <c r="C4968">
        <v>32784</v>
      </c>
      <c r="D4968" t="str">
        <f>"32784"</f>
        <v>32784</v>
      </c>
      <c r="E4968">
        <v>65.86</v>
      </c>
    </row>
    <row r="4969" spans="1:5" x14ac:dyDescent="0.2">
      <c r="A4969">
        <v>32789</v>
      </c>
      <c r="B4969" t="s">
        <v>15</v>
      </c>
      <c r="C4969">
        <v>32789</v>
      </c>
      <c r="D4969" t="str">
        <f>"32789"</f>
        <v>32789</v>
      </c>
      <c r="E4969">
        <v>79.290000000000006</v>
      </c>
    </row>
    <row r="4970" spans="1:5" x14ac:dyDescent="0.2">
      <c r="A4970">
        <v>32792</v>
      </c>
      <c r="B4970" t="s">
        <v>15</v>
      </c>
      <c r="C4970">
        <v>32792</v>
      </c>
      <c r="D4970" t="str">
        <f>"32792"</f>
        <v>32792</v>
      </c>
      <c r="E4970">
        <v>70.89</v>
      </c>
    </row>
    <row r="4971" spans="1:5" x14ac:dyDescent="0.2">
      <c r="A4971">
        <v>32796</v>
      </c>
      <c r="B4971" t="s">
        <v>15</v>
      </c>
      <c r="C4971">
        <v>32796</v>
      </c>
      <c r="D4971" t="str">
        <f>"32796"</f>
        <v>32796</v>
      </c>
      <c r="E4971">
        <v>69.64</v>
      </c>
    </row>
    <row r="4972" spans="1:5" x14ac:dyDescent="0.2">
      <c r="A4972">
        <v>32798</v>
      </c>
      <c r="B4972" t="s">
        <v>15</v>
      </c>
      <c r="C4972">
        <v>32798</v>
      </c>
      <c r="D4972" t="str">
        <f>"32798"</f>
        <v>32798</v>
      </c>
      <c r="E4972">
        <v>64.739999999999995</v>
      </c>
    </row>
    <row r="4973" spans="1:5" x14ac:dyDescent="0.2">
      <c r="A4973">
        <v>32801</v>
      </c>
      <c r="B4973" t="s">
        <v>15</v>
      </c>
      <c r="C4973">
        <v>32801</v>
      </c>
      <c r="D4973" t="str">
        <f>"32801"</f>
        <v>32801</v>
      </c>
      <c r="E4973">
        <v>82.28</v>
      </c>
    </row>
    <row r="4974" spans="1:5" x14ac:dyDescent="0.2">
      <c r="A4974">
        <v>32803</v>
      </c>
      <c r="B4974" t="s">
        <v>15</v>
      </c>
      <c r="C4974">
        <v>32803</v>
      </c>
      <c r="D4974" t="str">
        <f>"32803"</f>
        <v>32803</v>
      </c>
      <c r="E4974">
        <v>83.81</v>
      </c>
    </row>
    <row r="4975" spans="1:5" x14ac:dyDescent="0.2">
      <c r="A4975">
        <v>32804</v>
      </c>
      <c r="B4975" t="s">
        <v>15</v>
      </c>
      <c r="C4975">
        <v>32804</v>
      </c>
      <c r="D4975" t="str">
        <f>"32804"</f>
        <v>32804</v>
      </c>
      <c r="E4975">
        <v>81.650000000000006</v>
      </c>
    </row>
    <row r="4976" spans="1:5" x14ac:dyDescent="0.2">
      <c r="A4976">
        <v>32805</v>
      </c>
      <c r="B4976" t="s">
        <v>15</v>
      </c>
      <c r="C4976">
        <v>32805</v>
      </c>
      <c r="D4976" t="str">
        <f>"32805"</f>
        <v>32805</v>
      </c>
      <c r="E4976">
        <v>44.13</v>
      </c>
    </row>
    <row r="4977" spans="1:5" x14ac:dyDescent="0.2">
      <c r="A4977">
        <v>32806</v>
      </c>
      <c r="B4977" t="s">
        <v>15</v>
      </c>
      <c r="C4977">
        <v>32806</v>
      </c>
      <c r="D4977" t="str">
        <f>"32806"</f>
        <v>32806</v>
      </c>
      <c r="E4977">
        <v>79.64</v>
      </c>
    </row>
    <row r="4978" spans="1:5" x14ac:dyDescent="0.2">
      <c r="A4978">
        <v>32807</v>
      </c>
      <c r="B4978" t="s">
        <v>15</v>
      </c>
      <c r="C4978">
        <v>32807</v>
      </c>
      <c r="D4978" t="str">
        <f>"32807"</f>
        <v>32807</v>
      </c>
      <c r="E4978">
        <v>59.6</v>
      </c>
    </row>
    <row r="4979" spans="1:5" x14ac:dyDescent="0.2">
      <c r="A4979">
        <v>32808</v>
      </c>
      <c r="B4979" t="s">
        <v>15</v>
      </c>
      <c r="C4979">
        <v>32808</v>
      </c>
      <c r="D4979" t="str">
        <f>"32808"</f>
        <v>32808</v>
      </c>
      <c r="E4979">
        <v>45.21</v>
      </c>
    </row>
    <row r="4980" spans="1:5" x14ac:dyDescent="0.2">
      <c r="A4980">
        <v>32809</v>
      </c>
      <c r="B4980" t="s">
        <v>15</v>
      </c>
      <c r="C4980">
        <v>32809</v>
      </c>
      <c r="D4980" t="str">
        <f>"32809"</f>
        <v>32809</v>
      </c>
      <c r="E4980">
        <v>51.83</v>
      </c>
    </row>
    <row r="4981" spans="1:5" x14ac:dyDescent="0.2">
      <c r="A4981">
        <v>32810</v>
      </c>
      <c r="B4981" t="s">
        <v>15</v>
      </c>
      <c r="C4981">
        <v>32810</v>
      </c>
      <c r="D4981" t="str">
        <f>"32810"</f>
        <v>32810</v>
      </c>
      <c r="E4981">
        <v>60.1</v>
      </c>
    </row>
    <row r="4982" spans="1:5" x14ac:dyDescent="0.2">
      <c r="A4982">
        <v>32811</v>
      </c>
      <c r="B4982" t="s">
        <v>15</v>
      </c>
      <c r="C4982">
        <v>32811</v>
      </c>
      <c r="D4982" t="str">
        <f>"32811"</f>
        <v>32811</v>
      </c>
      <c r="E4982">
        <v>49.65</v>
      </c>
    </row>
    <row r="4983" spans="1:5" x14ac:dyDescent="0.2">
      <c r="A4983">
        <v>32812</v>
      </c>
      <c r="B4983" t="s">
        <v>15</v>
      </c>
      <c r="C4983">
        <v>32812</v>
      </c>
      <c r="D4983" t="str">
        <f>"32812"</f>
        <v>32812</v>
      </c>
      <c r="E4983">
        <v>70.84</v>
      </c>
    </row>
    <row r="4984" spans="1:5" x14ac:dyDescent="0.2">
      <c r="A4984">
        <v>32814</v>
      </c>
      <c r="B4984" t="s">
        <v>15</v>
      </c>
      <c r="C4984">
        <v>32814</v>
      </c>
      <c r="D4984" t="str">
        <f>"32814"</f>
        <v>32814</v>
      </c>
      <c r="E4984">
        <v>85.84</v>
      </c>
    </row>
    <row r="4985" spans="1:5" x14ac:dyDescent="0.2">
      <c r="A4985">
        <v>32815</v>
      </c>
      <c r="B4985" t="s">
        <v>15</v>
      </c>
      <c r="C4985">
        <v>32815</v>
      </c>
      <c r="D4985" t="str">
        <f>"32815"</f>
        <v>32815</v>
      </c>
      <c r="E4985" t="s">
        <v>6</v>
      </c>
    </row>
    <row r="4986" spans="1:5" x14ac:dyDescent="0.2">
      <c r="A4986">
        <v>32816</v>
      </c>
      <c r="B4986" t="s">
        <v>15</v>
      </c>
      <c r="C4986">
        <v>32816</v>
      </c>
      <c r="D4986" t="str">
        <f>"32816"</f>
        <v>32816</v>
      </c>
      <c r="E4986" t="s">
        <v>6</v>
      </c>
    </row>
    <row r="4987" spans="1:5" x14ac:dyDescent="0.2">
      <c r="A4987">
        <v>32817</v>
      </c>
      <c r="B4987" t="s">
        <v>15</v>
      </c>
      <c r="C4987">
        <v>32817</v>
      </c>
      <c r="D4987" t="str">
        <f>"32817"</f>
        <v>32817</v>
      </c>
      <c r="E4987">
        <v>68.19</v>
      </c>
    </row>
    <row r="4988" spans="1:5" x14ac:dyDescent="0.2">
      <c r="A4988">
        <v>32818</v>
      </c>
      <c r="B4988" t="s">
        <v>15</v>
      </c>
      <c r="C4988">
        <v>32818</v>
      </c>
      <c r="D4988" t="str">
        <f>"32818"</f>
        <v>32818</v>
      </c>
      <c r="E4988">
        <v>50.7</v>
      </c>
    </row>
    <row r="4989" spans="1:5" x14ac:dyDescent="0.2">
      <c r="A4989">
        <v>32819</v>
      </c>
      <c r="B4989" t="s">
        <v>15</v>
      </c>
      <c r="C4989">
        <v>32819</v>
      </c>
      <c r="D4989" t="str">
        <f>"32819"</f>
        <v>32819</v>
      </c>
      <c r="E4989">
        <v>72.400000000000006</v>
      </c>
    </row>
    <row r="4990" spans="1:5" x14ac:dyDescent="0.2">
      <c r="A4990">
        <v>32820</v>
      </c>
      <c r="B4990" t="s">
        <v>15</v>
      </c>
      <c r="C4990">
        <v>32820</v>
      </c>
      <c r="D4990" t="str">
        <f>"32820"</f>
        <v>32820</v>
      </c>
      <c r="E4990">
        <v>71.53</v>
      </c>
    </row>
    <row r="4991" spans="1:5" x14ac:dyDescent="0.2">
      <c r="A4991">
        <v>32821</v>
      </c>
      <c r="B4991" t="s">
        <v>15</v>
      </c>
      <c r="C4991">
        <v>32821</v>
      </c>
      <c r="D4991" t="str">
        <f>"32821"</f>
        <v>32821</v>
      </c>
      <c r="E4991">
        <v>70.290000000000006</v>
      </c>
    </row>
    <row r="4992" spans="1:5" x14ac:dyDescent="0.2">
      <c r="A4992">
        <v>32822</v>
      </c>
      <c r="B4992" t="s">
        <v>15</v>
      </c>
      <c r="C4992">
        <v>32822</v>
      </c>
      <c r="D4992" t="str">
        <f>"32822"</f>
        <v>32822</v>
      </c>
      <c r="E4992">
        <v>57.55</v>
      </c>
    </row>
    <row r="4993" spans="1:5" x14ac:dyDescent="0.2">
      <c r="A4993">
        <v>32824</v>
      </c>
      <c r="B4993" t="s">
        <v>15</v>
      </c>
      <c r="C4993">
        <v>32824</v>
      </c>
      <c r="D4993" t="str">
        <f>"32824"</f>
        <v>32824</v>
      </c>
      <c r="E4993">
        <v>61.96</v>
      </c>
    </row>
    <row r="4994" spans="1:5" x14ac:dyDescent="0.2">
      <c r="A4994">
        <v>32825</v>
      </c>
      <c r="B4994" t="s">
        <v>15</v>
      </c>
      <c r="C4994">
        <v>32825</v>
      </c>
      <c r="D4994" t="str">
        <f>"32825"</f>
        <v>32825</v>
      </c>
      <c r="E4994">
        <v>66.44</v>
      </c>
    </row>
    <row r="4995" spans="1:5" x14ac:dyDescent="0.2">
      <c r="A4995">
        <v>32826</v>
      </c>
      <c r="B4995" t="s">
        <v>15</v>
      </c>
      <c r="C4995">
        <v>32826</v>
      </c>
      <c r="D4995" t="str">
        <f>"32826"</f>
        <v>32826</v>
      </c>
      <c r="E4995">
        <v>63.48</v>
      </c>
    </row>
    <row r="4996" spans="1:5" x14ac:dyDescent="0.2">
      <c r="A4996">
        <v>32827</v>
      </c>
      <c r="B4996" t="s">
        <v>15</v>
      </c>
      <c r="C4996">
        <v>32827</v>
      </c>
      <c r="D4996" t="str">
        <f>"32827"</f>
        <v>32827</v>
      </c>
      <c r="E4996">
        <v>77.75</v>
      </c>
    </row>
    <row r="4997" spans="1:5" x14ac:dyDescent="0.2">
      <c r="A4997">
        <v>32828</v>
      </c>
      <c r="B4997" t="s">
        <v>15</v>
      </c>
      <c r="C4997">
        <v>32828</v>
      </c>
      <c r="D4997" t="str">
        <f>"32828"</f>
        <v>32828</v>
      </c>
      <c r="E4997">
        <v>71.67</v>
      </c>
    </row>
    <row r="4998" spans="1:5" x14ac:dyDescent="0.2">
      <c r="A4998">
        <v>32829</v>
      </c>
      <c r="B4998" t="s">
        <v>15</v>
      </c>
      <c r="C4998">
        <v>32829</v>
      </c>
      <c r="D4998" t="str">
        <f>"32829"</f>
        <v>32829</v>
      </c>
      <c r="E4998">
        <v>69.61</v>
      </c>
    </row>
    <row r="4999" spans="1:5" x14ac:dyDescent="0.2">
      <c r="A4999">
        <v>32830</v>
      </c>
      <c r="B4999" t="s">
        <v>15</v>
      </c>
      <c r="C4999">
        <v>32830</v>
      </c>
      <c r="D4999" t="str">
        <f>"32830"</f>
        <v>32830</v>
      </c>
      <c r="E4999" t="s">
        <v>6</v>
      </c>
    </row>
    <row r="5000" spans="1:5" x14ac:dyDescent="0.2">
      <c r="A5000">
        <v>32831</v>
      </c>
      <c r="B5000" t="s">
        <v>15</v>
      </c>
      <c r="C5000">
        <v>32831</v>
      </c>
      <c r="D5000" t="str">
        <f>"32831"</f>
        <v>32831</v>
      </c>
      <c r="E5000" t="s">
        <v>6</v>
      </c>
    </row>
    <row r="5001" spans="1:5" x14ac:dyDescent="0.2">
      <c r="A5001">
        <v>32832</v>
      </c>
      <c r="B5001" t="s">
        <v>15</v>
      </c>
      <c r="C5001">
        <v>32832</v>
      </c>
      <c r="D5001" t="str">
        <f>"32832"</f>
        <v>32832</v>
      </c>
      <c r="E5001">
        <v>74.239999999999995</v>
      </c>
    </row>
    <row r="5002" spans="1:5" x14ac:dyDescent="0.2">
      <c r="A5002">
        <v>32833</v>
      </c>
      <c r="B5002" t="s">
        <v>15</v>
      </c>
      <c r="C5002">
        <v>32833</v>
      </c>
      <c r="D5002" t="str">
        <f>"32833"</f>
        <v>32833</v>
      </c>
      <c r="E5002">
        <v>72.2</v>
      </c>
    </row>
    <row r="5003" spans="1:5" x14ac:dyDescent="0.2">
      <c r="A5003">
        <v>32835</v>
      </c>
      <c r="B5003" t="s">
        <v>15</v>
      </c>
      <c r="C5003">
        <v>32835</v>
      </c>
      <c r="D5003" t="str">
        <f>"32835"</f>
        <v>32835</v>
      </c>
      <c r="E5003">
        <v>65.73</v>
      </c>
    </row>
    <row r="5004" spans="1:5" x14ac:dyDescent="0.2">
      <c r="A5004">
        <v>32836</v>
      </c>
      <c r="B5004" t="s">
        <v>15</v>
      </c>
      <c r="C5004">
        <v>32836</v>
      </c>
      <c r="D5004" t="str">
        <f>"32836"</f>
        <v>32836</v>
      </c>
      <c r="E5004">
        <v>77.239999999999995</v>
      </c>
    </row>
    <row r="5005" spans="1:5" x14ac:dyDescent="0.2">
      <c r="A5005">
        <v>32837</v>
      </c>
      <c r="B5005" t="s">
        <v>15</v>
      </c>
      <c r="C5005">
        <v>32837</v>
      </c>
      <c r="D5005" t="str">
        <f>"32837"</f>
        <v>32837</v>
      </c>
      <c r="E5005">
        <v>65.349999999999994</v>
      </c>
    </row>
    <row r="5006" spans="1:5" x14ac:dyDescent="0.2">
      <c r="A5006">
        <v>32839</v>
      </c>
      <c r="B5006" t="s">
        <v>15</v>
      </c>
      <c r="C5006">
        <v>32839</v>
      </c>
      <c r="D5006" t="str">
        <f>"32839"</f>
        <v>32839</v>
      </c>
      <c r="E5006">
        <v>50.17</v>
      </c>
    </row>
    <row r="5007" spans="1:5" x14ac:dyDescent="0.2">
      <c r="A5007">
        <v>32901</v>
      </c>
      <c r="B5007" t="s">
        <v>15</v>
      </c>
      <c r="C5007">
        <v>32901</v>
      </c>
      <c r="D5007" t="str">
        <f>"32901"</f>
        <v>32901</v>
      </c>
      <c r="E5007">
        <v>64.430000000000007</v>
      </c>
    </row>
    <row r="5008" spans="1:5" x14ac:dyDescent="0.2">
      <c r="A5008">
        <v>32903</v>
      </c>
      <c r="B5008" t="s">
        <v>15</v>
      </c>
      <c r="C5008">
        <v>32903</v>
      </c>
      <c r="D5008" t="str">
        <f>"32903"</f>
        <v>32903</v>
      </c>
      <c r="E5008">
        <v>80.39</v>
      </c>
    </row>
    <row r="5009" spans="1:5" x14ac:dyDescent="0.2">
      <c r="A5009">
        <v>32904</v>
      </c>
      <c r="B5009" t="s">
        <v>15</v>
      </c>
      <c r="C5009">
        <v>32904</v>
      </c>
      <c r="D5009" t="str">
        <f>"32904"</f>
        <v>32904</v>
      </c>
      <c r="E5009">
        <v>76.819999999999993</v>
      </c>
    </row>
    <row r="5010" spans="1:5" x14ac:dyDescent="0.2">
      <c r="A5010">
        <v>32905</v>
      </c>
      <c r="B5010" t="s">
        <v>15</v>
      </c>
      <c r="C5010">
        <v>32905</v>
      </c>
      <c r="D5010" t="str">
        <f>"32905"</f>
        <v>32905</v>
      </c>
      <c r="E5010">
        <v>64.7</v>
      </c>
    </row>
    <row r="5011" spans="1:5" x14ac:dyDescent="0.2">
      <c r="A5011">
        <v>32907</v>
      </c>
      <c r="B5011" t="s">
        <v>15</v>
      </c>
      <c r="C5011">
        <v>32907</v>
      </c>
      <c r="D5011" t="str">
        <f>"32907"</f>
        <v>32907</v>
      </c>
      <c r="E5011">
        <v>67.37</v>
      </c>
    </row>
    <row r="5012" spans="1:5" x14ac:dyDescent="0.2">
      <c r="A5012">
        <v>32908</v>
      </c>
      <c r="B5012" t="s">
        <v>15</v>
      </c>
      <c r="C5012">
        <v>32908</v>
      </c>
      <c r="D5012" t="str">
        <f>"32908"</f>
        <v>32908</v>
      </c>
      <c r="E5012">
        <v>63.17</v>
      </c>
    </row>
    <row r="5013" spans="1:5" x14ac:dyDescent="0.2">
      <c r="A5013">
        <v>32909</v>
      </c>
      <c r="B5013" t="s">
        <v>15</v>
      </c>
      <c r="C5013">
        <v>32909</v>
      </c>
      <c r="D5013" t="str">
        <f>"32909"</f>
        <v>32909</v>
      </c>
      <c r="E5013">
        <v>66.430000000000007</v>
      </c>
    </row>
    <row r="5014" spans="1:5" x14ac:dyDescent="0.2">
      <c r="A5014">
        <v>32919</v>
      </c>
      <c r="B5014" t="s">
        <v>15</v>
      </c>
      <c r="C5014">
        <v>32919</v>
      </c>
      <c r="D5014" t="str">
        <f>"32919"</f>
        <v>32919</v>
      </c>
      <c r="E5014" t="s">
        <v>6</v>
      </c>
    </row>
    <row r="5015" spans="1:5" x14ac:dyDescent="0.2">
      <c r="A5015">
        <v>32920</v>
      </c>
      <c r="B5015" t="s">
        <v>15</v>
      </c>
      <c r="C5015">
        <v>32920</v>
      </c>
      <c r="D5015" t="str">
        <f>"32920"</f>
        <v>32920</v>
      </c>
      <c r="E5015">
        <v>77.010000000000005</v>
      </c>
    </row>
    <row r="5016" spans="1:5" x14ac:dyDescent="0.2">
      <c r="A5016">
        <v>32922</v>
      </c>
      <c r="B5016" t="s">
        <v>15</v>
      </c>
      <c r="C5016">
        <v>32922</v>
      </c>
      <c r="D5016" t="str">
        <f>"32922"</f>
        <v>32922</v>
      </c>
      <c r="E5016">
        <v>50.88</v>
      </c>
    </row>
    <row r="5017" spans="1:5" x14ac:dyDescent="0.2">
      <c r="A5017">
        <v>32925</v>
      </c>
      <c r="B5017" t="s">
        <v>15</v>
      </c>
      <c r="C5017">
        <v>32925</v>
      </c>
      <c r="D5017" t="str">
        <f>"32925"</f>
        <v>32925</v>
      </c>
      <c r="E5017">
        <v>73.02</v>
      </c>
    </row>
    <row r="5018" spans="1:5" x14ac:dyDescent="0.2">
      <c r="A5018">
        <v>32926</v>
      </c>
      <c r="B5018" t="s">
        <v>15</v>
      </c>
      <c r="C5018">
        <v>32926</v>
      </c>
      <c r="D5018" t="str">
        <f>"32926"</f>
        <v>32926</v>
      </c>
      <c r="E5018">
        <v>69.650000000000006</v>
      </c>
    </row>
    <row r="5019" spans="1:5" x14ac:dyDescent="0.2">
      <c r="A5019">
        <v>32927</v>
      </c>
      <c r="B5019" t="s">
        <v>15</v>
      </c>
      <c r="C5019">
        <v>32927</v>
      </c>
      <c r="D5019" t="str">
        <f>"32927"</f>
        <v>32927</v>
      </c>
      <c r="E5019">
        <v>72.08</v>
      </c>
    </row>
    <row r="5020" spans="1:5" x14ac:dyDescent="0.2">
      <c r="A5020">
        <v>32931</v>
      </c>
      <c r="B5020" t="s">
        <v>15</v>
      </c>
      <c r="C5020">
        <v>32931</v>
      </c>
      <c r="D5020" t="str">
        <f>"32931"</f>
        <v>32931</v>
      </c>
      <c r="E5020">
        <v>79.489999999999995</v>
      </c>
    </row>
    <row r="5021" spans="1:5" x14ac:dyDescent="0.2">
      <c r="A5021">
        <v>32934</v>
      </c>
      <c r="B5021" t="s">
        <v>15</v>
      </c>
      <c r="C5021">
        <v>32934</v>
      </c>
      <c r="D5021" t="str">
        <f>"32934"</f>
        <v>32934</v>
      </c>
      <c r="E5021">
        <v>76.16</v>
      </c>
    </row>
    <row r="5022" spans="1:5" x14ac:dyDescent="0.2">
      <c r="A5022">
        <v>32935</v>
      </c>
      <c r="B5022" t="s">
        <v>15</v>
      </c>
      <c r="C5022">
        <v>32935</v>
      </c>
      <c r="D5022" t="str">
        <f>"32935"</f>
        <v>32935</v>
      </c>
      <c r="E5022">
        <v>70.53</v>
      </c>
    </row>
    <row r="5023" spans="1:5" x14ac:dyDescent="0.2">
      <c r="A5023">
        <v>32937</v>
      </c>
      <c r="B5023" t="s">
        <v>15</v>
      </c>
      <c r="C5023">
        <v>32937</v>
      </c>
      <c r="D5023" t="str">
        <f>"32937"</f>
        <v>32937</v>
      </c>
      <c r="E5023">
        <v>78.34</v>
      </c>
    </row>
    <row r="5024" spans="1:5" x14ac:dyDescent="0.2">
      <c r="A5024">
        <v>32940</v>
      </c>
      <c r="B5024" t="s">
        <v>15</v>
      </c>
      <c r="C5024">
        <v>32940</v>
      </c>
      <c r="D5024" t="str">
        <f>"32940"</f>
        <v>32940</v>
      </c>
      <c r="E5024">
        <v>81.95</v>
      </c>
    </row>
    <row r="5025" spans="1:5" x14ac:dyDescent="0.2">
      <c r="A5025">
        <v>32948</v>
      </c>
      <c r="B5025" t="s">
        <v>15</v>
      </c>
      <c r="C5025">
        <v>32948</v>
      </c>
      <c r="D5025" t="str">
        <f>"32948"</f>
        <v>32948</v>
      </c>
      <c r="E5025">
        <v>54.36</v>
      </c>
    </row>
    <row r="5026" spans="1:5" x14ac:dyDescent="0.2">
      <c r="A5026">
        <v>32949</v>
      </c>
      <c r="B5026" t="s">
        <v>15</v>
      </c>
      <c r="C5026">
        <v>32949</v>
      </c>
      <c r="D5026" t="str">
        <f>"32949"</f>
        <v>32949</v>
      </c>
      <c r="E5026">
        <v>78.150000000000006</v>
      </c>
    </row>
    <row r="5027" spans="1:5" x14ac:dyDescent="0.2">
      <c r="A5027">
        <v>32950</v>
      </c>
      <c r="B5027" t="s">
        <v>15</v>
      </c>
      <c r="C5027">
        <v>32950</v>
      </c>
      <c r="D5027" t="str">
        <f>"32950"</f>
        <v>32950</v>
      </c>
      <c r="E5027">
        <v>75.66</v>
      </c>
    </row>
    <row r="5028" spans="1:5" x14ac:dyDescent="0.2">
      <c r="A5028">
        <v>32951</v>
      </c>
      <c r="B5028" t="s">
        <v>15</v>
      </c>
      <c r="C5028">
        <v>32951</v>
      </c>
      <c r="D5028" t="str">
        <f>"32951"</f>
        <v>32951</v>
      </c>
      <c r="E5028">
        <v>80.72</v>
      </c>
    </row>
    <row r="5029" spans="1:5" x14ac:dyDescent="0.2">
      <c r="A5029">
        <v>32952</v>
      </c>
      <c r="B5029" t="s">
        <v>15</v>
      </c>
      <c r="C5029">
        <v>32952</v>
      </c>
      <c r="D5029" t="str">
        <f>"32952"</f>
        <v>32952</v>
      </c>
      <c r="E5029">
        <v>76.84</v>
      </c>
    </row>
    <row r="5030" spans="1:5" x14ac:dyDescent="0.2">
      <c r="A5030">
        <v>32953</v>
      </c>
      <c r="B5030" t="s">
        <v>15</v>
      </c>
      <c r="C5030">
        <v>32953</v>
      </c>
      <c r="D5030" t="str">
        <f>"32953"</f>
        <v>32953</v>
      </c>
      <c r="E5030">
        <v>73.34</v>
      </c>
    </row>
    <row r="5031" spans="1:5" x14ac:dyDescent="0.2">
      <c r="A5031">
        <v>32955</v>
      </c>
      <c r="B5031" t="s">
        <v>15</v>
      </c>
      <c r="C5031">
        <v>32955</v>
      </c>
      <c r="D5031" t="str">
        <f>"32955"</f>
        <v>32955</v>
      </c>
      <c r="E5031">
        <v>75.31</v>
      </c>
    </row>
    <row r="5032" spans="1:5" x14ac:dyDescent="0.2">
      <c r="A5032">
        <v>32958</v>
      </c>
      <c r="B5032" t="s">
        <v>15</v>
      </c>
      <c r="C5032">
        <v>32958</v>
      </c>
      <c r="D5032" t="str">
        <f>"32958"</f>
        <v>32958</v>
      </c>
      <c r="E5032">
        <v>73.37</v>
      </c>
    </row>
    <row r="5033" spans="1:5" x14ac:dyDescent="0.2">
      <c r="A5033">
        <v>32960</v>
      </c>
      <c r="B5033" t="s">
        <v>15</v>
      </c>
      <c r="C5033">
        <v>32960</v>
      </c>
      <c r="D5033" t="str">
        <f>"32960"</f>
        <v>32960</v>
      </c>
      <c r="E5033">
        <v>66.94</v>
      </c>
    </row>
    <row r="5034" spans="1:5" x14ac:dyDescent="0.2">
      <c r="A5034">
        <v>32961</v>
      </c>
      <c r="B5034" t="s">
        <v>15</v>
      </c>
      <c r="C5034">
        <v>32961</v>
      </c>
      <c r="D5034" t="str">
        <f>"32961"</f>
        <v>32961</v>
      </c>
      <c r="E5034" t="s">
        <v>6</v>
      </c>
    </row>
    <row r="5035" spans="1:5" x14ac:dyDescent="0.2">
      <c r="A5035">
        <v>32962</v>
      </c>
      <c r="B5035" t="s">
        <v>15</v>
      </c>
      <c r="C5035">
        <v>32962</v>
      </c>
      <c r="D5035" t="str">
        <f>"32962"</f>
        <v>32962</v>
      </c>
      <c r="E5035">
        <v>66.25</v>
      </c>
    </row>
    <row r="5036" spans="1:5" x14ac:dyDescent="0.2">
      <c r="A5036">
        <v>32963</v>
      </c>
      <c r="B5036" t="s">
        <v>15</v>
      </c>
      <c r="C5036">
        <v>32963</v>
      </c>
      <c r="D5036" t="str">
        <f>"32963"</f>
        <v>32963</v>
      </c>
      <c r="E5036">
        <v>85.08</v>
      </c>
    </row>
    <row r="5037" spans="1:5" x14ac:dyDescent="0.2">
      <c r="A5037">
        <v>32966</v>
      </c>
      <c r="B5037" t="s">
        <v>15</v>
      </c>
      <c r="C5037">
        <v>32966</v>
      </c>
      <c r="D5037" t="str">
        <f>"32966"</f>
        <v>32966</v>
      </c>
      <c r="E5037">
        <v>74.459999999999994</v>
      </c>
    </row>
    <row r="5038" spans="1:5" x14ac:dyDescent="0.2">
      <c r="A5038">
        <v>32967</v>
      </c>
      <c r="B5038" t="s">
        <v>15</v>
      </c>
      <c r="C5038">
        <v>32967</v>
      </c>
      <c r="D5038" t="str">
        <f>"32967"</f>
        <v>32967</v>
      </c>
      <c r="E5038">
        <v>67.989999999999995</v>
      </c>
    </row>
    <row r="5039" spans="1:5" x14ac:dyDescent="0.2">
      <c r="A5039">
        <v>32968</v>
      </c>
      <c r="B5039" t="s">
        <v>15</v>
      </c>
      <c r="C5039">
        <v>32968</v>
      </c>
      <c r="D5039" t="str">
        <f>"32968"</f>
        <v>32968</v>
      </c>
      <c r="E5039">
        <v>75.63</v>
      </c>
    </row>
    <row r="5040" spans="1:5" x14ac:dyDescent="0.2">
      <c r="A5040">
        <v>32969</v>
      </c>
      <c r="B5040" t="s">
        <v>15</v>
      </c>
      <c r="C5040">
        <v>32969</v>
      </c>
      <c r="D5040" t="str">
        <f>"32969"</f>
        <v>32969</v>
      </c>
      <c r="E5040" t="s">
        <v>6</v>
      </c>
    </row>
    <row r="5041" spans="1:5" x14ac:dyDescent="0.2">
      <c r="A5041">
        <v>32976</v>
      </c>
      <c r="B5041" t="s">
        <v>15</v>
      </c>
      <c r="C5041">
        <v>32976</v>
      </c>
      <c r="D5041" t="str">
        <f>"32976"</f>
        <v>32976</v>
      </c>
      <c r="E5041">
        <v>68.84</v>
      </c>
    </row>
    <row r="5042" spans="1:5" x14ac:dyDescent="0.2">
      <c r="A5042">
        <v>33001</v>
      </c>
      <c r="B5042" t="s">
        <v>15</v>
      </c>
      <c r="C5042">
        <v>33001</v>
      </c>
      <c r="D5042" t="str">
        <f>"33001"</f>
        <v>33001</v>
      </c>
      <c r="E5042" t="s">
        <v>6</v>
      </c>
    </row>
    <row r="5043" spans="1:5" x14ac:dyDescent="0.2">
      <c r="A5043">
        <v>33004</v>
      </c>
      <c r="B5043" t="s">
        <v>15</v>
      </c>
      <c r="C5043">
        <v>33004</v>
      </c>
      <c r="D5043" t="str">
        <f>"33004"</f>
        <v>33004</v>
      </c>
      <c r="E5043">
        <v>64.739999999999995</v>
      </c>
    </row>
    <row r="5044" spans="1:5" x14ac:dyDescent="0.2">
      <c r="A5044">
        <v>33009</v>
      </c>
      <c r="B5044" t="s">
        <v>15</v>
      </c>
      <c r="C5044">
        <v>33009</v>
      </c>
      <c r="D5044" t="str">
        <f>"33009"</f>
        <v>33009</v>
      </c>
      <c r="E5044">
        <v>60.71</v>
      </c>
    </row>
    <row r="5045" spans="1:5" x14ac:dyDescent="0.2">
      <c r="A5045">
        <v>33010</v>
      </c>
      <c r="B5045" t="s">
        <v>15</v>
      </c>
      <c r="C5045">
        <v>33010</v>
      </c>
      <c r="D5045" t="str">
        <f>"33010"</f>
        <v>33010</v>
      </c>
      <c r="E5045">
        <v>50.7</v>
      </c>
    </row>
    <row r="5046" spans="1:5" x14ac:dyDescent="0.2">
      <c r="A5046">
        <v>33012</v>
      </c>
      <c r="B5046" t="s">
        <v>15</v>
      </c>
      <c r="C5046">
        <v>33012</v>
      </c>
      <c r="D5046" t="str">
        <f>"33012"</f>
        <v>33012</v>
      </c>
      <c r="E5046">
        <v>55.31</v>
      </c>
    </row>
    <row r="5047" spans="1:5" x14ac:dyDescent="0.2">
      <c r="A5047">
        <v>33013</v>
      </c>
      <c r="B5047" t="s">
        <v>15</v>
      </c>
      <c r="C5047">
        <v>33013</v>
      </c>
      <c r="D5047" t="str">
        <f>"33013"</f>
        <v>33013</v>
      </c>
      <c r="E5047">
        <v>54.58</v>
      </c>
    </row>
    <row r="5048" spans="1:5" x14ac:dyDescent="0.2">
      <c r="A5048">
        <v>33014</v>
      </c>
      <c r="B5048" t="s">
        <v>15</v>
      </c>
      <c r="C5048">
        <v>33014</v>
      </c>
      <c r="D5048" t="str">
        <f>"33014"</f>
        <v>33014</v>
      </c>
      <c r="E5048">
        <v>62.41</v>
      </c>
    </row>
    <row r="5049" spans="1:5" x14ac:dyDescent="0.2">
      <c r="A5049">
        <v>33015</v>
      </c>
      <c r="B5049" t="s">
        <v>15</v>
      </c>
      <c r="C5049">
        <v>33015</v>
      </c>
      <c r="D5049" t="str">
        <f>"33015"</f>
        <v>33015</v>
      </c>
      <c r="E5049">
        <v>62.29</v>
      </c>
    </row>
    <row r="5050" spans="1:5" x14ac:dyDescent="0.2">
      <c r="A5050">
        <v>33016</v>
      </c>
      <c r="B5050" t="s">
        <v>15</v>
      </c>
      <c r="C5050">
        <v>33016</v>
      </c>
      <c r="D5050" t="str">
        <f>"33016"</f>
        <v>33016</v>
      </c>
      <c r="E5050">
        <v>58.74</v>
      </c>
    </row>
    <row r="5051" spans="1:5" x14ac:dyDescent="0.2">
      <c r="A5051">
        <v>33018</v>
      </c>
      <c r="B5051" t="s">
        <v>15</v>
      </c>
      <c r="C5051">
        <v>33018</v>
      </c>
      <c r="D5051" t="str">
        <f>"33018"</f>
        <v>33018</v>
      </c>
      <c r="E5051">
        <v>62.88</v>
      </c>
    </row>
    <row r="5052" spans="1:5" x14ac:dyDescent="0.2">
      <c r="A5052">
        <v>33019</v>
      </c>
      <c r="B5052" t="s">
        <v>15</v>
      </c>
      <c r="C5052">
        <v>33019</v>
      </c>
      <c r="D5052" t="str">
        <f>"33019"</f>
        <v>33019</v>
      </c>
      <c r="E5052">
        <v>77.34</v>
      </c>
    </row>
    <row r="5053" spans="1:5" x14ac:dyDescent="0.2">
      <c r="A5053">
        <v>33020</v>
      </c>
      <c r="B5053" t="s">
        <v>15</v>
      </c>
      <c r="C5053">
        <v>33020</v>
      </c>
      <c r="D5053" t="str">
        <f>"33020"</f>
        <v>33020</v>
      </c>
      <c r="E5053">
        <v>61.15</v>
      </c>
    </row>
    <row r="5054" spans="1:5" x14ac:dyDescent="0.2">
      <c r="A5054">
        <v>33021</v>
      </c>
      <c r="B5054" t="s">
        <v>15</v>
      </c>
      <c r="C5054">
        <v>33021</v>
      </c>
      <c r="D5054" t="str">
        <f>"33021"</f>
        <v>33021</v>
      </c>
      <c r="E5054">
        <v>69.59</v>
      </c>
    </row>
    <row r="5055" spans="1:5" x14ac:dyDescent="0.2">
      <c r="A5055">
        <v>33022</v>
      </c>
      <c r="B5055" t="s">
        <v>15</v>
      </c>
      <c r="C5055">
        <v>33022</v>
      </c>
      <c r="D5055" t="str">
        <f>"33022"</f>
        <v>33022</v>
      </c>
      <c r="E5055" t="s">
        <v>6</v>
      </c>
    </row>
    <row r="5056" spans="1:5" x14ac:dyDescent="0.2">
      <c r="A5056">
        <v>33023</v>
      </c>
      <c r="B5056" t="s">
        <v>15</v>
      </c>
      <c r="C5056">
        <v>33023</v>
      </c>
      <c r="D5056" t="str">
        <f>"33023"</f>
        <v>33023</v>
      </c>
      <c r="E5056">
        <v>54.75</v>
      </c>
    </row>
    <row r="5057" spans="1:5" x14ac:dyDescent="0.2">
      <c r="A5057">
        <v>33024</v>
      </c>
      <c r="B5057" t="s">
        <v>15</v>
      </c>
      <c r="C5057">
        <v>33024</v>
      </c>
      <c r="D5057" t="str">
        <f>"33024"</f>
        <v>33024</v>
      </c>
      <c r="E5057">
        <v>65.47</v>
      </c>
    </row>
    <row r="5058" spans="1:5" x14ac:dyDescent="0.2">
      <c r="A5058">
        <v>33025</v>
      </c>
      <c r="B5058" t="s">
        <v>15</v>
      </c>
      <c r="C5058">
        <v>33025</v>
      </c>
      <c r="D5058" t="str">
        <f>"33025"</f>
        <v>33025</v>
      </c>
      <c r="E5058">
        <v>64.069999999999993</v>
      </c>
    </row>
    <row r="5059" spans="1:5" x14ac:dyDescent="0.2">
      <c r="A5059">
        <v>33026</v>
      </c>
      <c r="B5059" t="s">
        <v>15</v>
      </c>
      <c r="C5059">
        <v>33026</v>
      </c>
      <c r="D5059" t="str">
        <f>"33026"</f>
        <v>33026</v>
      </c>
      <c r="E5059">
        <v>75.3</v>
      </c>
    </row>
    <row r="5060" spans="1:5" x14ac:dyDescent="0.2">
      <c r="A5060">
        <v>33027</v>
      </c>
      <c r="B5060" t="s">
        <v>15</v>
      </c>
      <c r="C5060">
        <v>33027</v>
      </c>
      <c r="D5060" t="str">
        <f>"33027"</f>
        <v>33027</v>
      </c>
      <c r="E5060">
        <v>71.510000000000005</v>
      </c>
    </row>
    <row r="5061" spans="1:5" x14ac:dyDescent="0.2">
      <c r="A5061">
        <v>33028</v>
      </c>
      <c r="B5061" t="s">
        <v>15</v>
      </c>
      <c r="C5061">
        <v>33028</v>
      </c>
      <c r="D5061" t="str">
        <f>"33028"</f>
        <v>33028</v>
      </c>
      <c r="E5061">
        <v>74.62</v>
      </c>
    </row>
    <row r="5062" spans="1:5" x14ac:dyDescent="0.2">
      <c r="A5062">
        <v>33029</v>
      </c>
      <c r="B5062" t="s">
        <v>15</v>
      </c>
      <c r="C5062">
        <v>33029</v>
      </c>
      <c r="D5062" t="str">
        <f>"33029"</f>
        <v>33029</v>
      </c>
      <c r="E5062">
        <v>75.34</v>
      </c>
    </row>
    <row r="5063" spans="1:5" x14ac:dyDescent="0.2">
      <c r="A5063">
        <v>33030</v>
      </c>
      <c r="B5063" t="s">
        <v>15</v>
      </c>
      <c r="C5063">
        <v>33030</v>
      </c>
      <c r="D5063" t="str">
        <f>"33030"</f>
        <v>33030</v>
      </c>
      <c r="E5063">
        <v>46.1</v>
      </c>
    </row>
    <row r="5064" spans="1:5" x14ac:dyDescent="0.2">
      <c r="A5064">
        <v>33031</v>
      </c>
      <c r="B5064" t="s">
        <v>15</v>
      </c>
      <c r="C5064">
        <v>33031</v>
      </c>
      <c r="D5064" t="str">
        <f>"33031"</f>
        <v>33031</v>
      </c>
      <c r="E5064">
        <v>65.92</v>
      </c>
    </row>
    <row r="5065" spans="1:5" x14ac:dyDescent="0.2">
      <c r="A5065">
        <v>33032</v>
      </c>
      <c r="B5065" t="s">
        <v>15</v>
      </c>
      <c r="C5065">
        <v>33032</v>
      </c>
      <c r="D5065" t="str">
        <f>"33032"</f>
        <v>33032</v>
      </c>
      <c r="E5065">
        <v>53.79</v>
      </c>
    </row>
    <row r="5066" spans="1:5" x14ac:dyDescent="0.2">
      <c r="A5066">
        <v>33033</v>
      </c>
      <c r="B5066" t="s">
        <v>15</v>
      </c>
      <c r="C5066">
        <v>33033</v>
      </c>
      <c r="D5066" t="str">
        <f>"33033"</f>
        <v>33033</v>
      </c>
      <c r="E5066">
        <v>53.45</v>
      </c>
    </row>
    <row r="5067" spans="1:5" x14ac:dyDescent="0.2">
      <c r="A5067">
        <v>33034</v>
      </c>
      <c r="B5067" t="s">
        <v>15</v>
      </c>
      <c r="C5067">
        <v>33034</v>
      </c>
      <c r="D5067" t="str">
        <f>"33034"</f>
        <v>33034</v>
      </c>
      <c r="E5067">
        <v>39.17</v>
      </c>
    </row>
    <row r="5068" spans="1:5" x14ac:dyDescent="0.2">
      <c r="A5068">
        <v>33035</v>
      </c>
      <c r="B5068" t="s">
        <v>15</v>
      </c>
      <c r="C5068">
        <v>33035</v>
      </c>
      <c r="D5068" t="str">
        <f>"33035"</f>
        <v>33035</v>
      </c>
      <c r="E5068">
        <v>57.08</v>
      </c>
    </row>
    <row r="5069" spans="1:5" x14ac:dyDescent="0.2">
      <c r="A5069">
        <v>33036</v>
      </c>
      <c r="B5069" t="s">
        <v>15</v>
      </c>
      <c r="C5069">
        <v>33036</v>
      </c>
      <c r="D5069" t="str">
        <f>"33036"</f>
        <v>33036</v>
      </c>
      <c r="E5069">
        <v>75.13</v>
      </c>
    </row>
    <row r="5070" spans="1:5" x14ac:dyDescent="0.2">
      <c r="A5070">
        <v>33037</v>
      </c>
      <c r="B5070" t="s">
        <v>15</v>
      </c>
      <c r="C5070">
        <v>33037</v>
      </c>
      <c r="D5070" t="str">
        <f>"33037"</f>
        <v>33037</v>
      </c>
      <c r="E5070">
        <v>73.260000000000005</v>
      </c>
    </row>
    <row r="5071" spans="1:5" x14ac:dyDescent="0.2">
      <c r="A5071">
        <v>33039</v>
      </c>
      <c r="B5071" t="s">
        <v>15</v>
      </c>
      <c r="C5071">
        <v>33039</v>
      </c>
      <c r="D5071" t="str">
        <f>"33039"</f>
        <v>33039</v>
      </c>
      <c r="E5071" t="s">
        <v>6</v>
      </c>
    </row>
    <row r="5072" spans="1:5" x14ac:dyDescent="0.2">
      <c r="A5072">
        <v>33040</v>
      </c>
      <c r="B5072" t="s">
        <v>15</v>
      </c>
      <c r="C5072">
        <v>33040</v>
      </c>
      <c r="D5072" t="str">
        <f>"33040"</f>
        <v>33040</v>
      </c>
      <c r="E5072">
        <v>72.55</v>
      </c>
    </row>
    <row r="5073" spans="1:5" x14ac:dyDescent="0.2">
      <c r="A5073">
        <v>33042</v>
      </c>
      <c r="B5073" t="s">
        <v>15</v>
      </c>
      <c r="C5073">
        <v>33042</v>
      </c>
      <c r="D5073" t="str">
        <f>"33042"</f>
        <v>33042</v>
      </c>
      <c r="E5073">
        <v>72.42</v>
      </c>
    </row>
    <row r="5074" spans="1:5" x14ac:dyDescent="0.2">
      <c r="A5074">
        <v>33043</v>
      </c>
      <c r="B5074" t="s">
        <v>15</v>
      </c>
      <c r="C5074">
        <v>33043</v>
      </c>
      <c r="D5074" t="str">
        <f>"33043"</f>
        <v>33043</v>
      </c>
      <c r="E5074">
        <v>71.489999999999995</v>
      </c>
    </row>
    <row r="5075" spans="1:5" x14ac:dyDescent="0.2">
      <c r="A5075">
        <v>33050</v>
      </c>
      <c r="B5075" t="s">
        <v>15</v>
      </c>
      <c r="C5075">
        <v>33050</v>
      </c>
      <c r="D5075" t="str">
        <f>"33050"</f>
        <v>33050</v>
      </c>
      <c r="E5075">
        <v>64.349999999999994</v>
      </c>
    </row>
    <row r="5076" spans="1:5" x14ac:dyDescent="0.2">
      <c r="A5076">
        <v>33051</v>
      </c>
      <c r="B5076" t="s">
        <v>15</v>
      </c>
      <c r="C5076">
        <v>33051</v>
      </c>
      <c r="D5076" t="str">
        <f>"33051"</f>
        <v>33051</v>
      </c>
      <c r="E5076" t="s">
        <v>6</v>
      </c>
    </row>
    <row r="5077" spans="1:5" x14ac:dyDescent="0.2">
      <c r="A5077">
        <v>33054</v>
      </c>
      <c r="B5077" t="s">
        <v>15</v>
      </c>
      <c r="C5077">
        <v>33054</v>
      </c>
      <c r="D5077" t="str">
        <f>"33054"</f>
        <v>33054</v>
      </c>
      <c r="E5077">
        <v>45.44</v>
      </c>
    </row>
    <row r="5078" spans="1:5" x14ac:dyDescent="0.2">
      <c r="A5078">
        <v>33055</v>
      </c>
      <c r="B5078" t="s">
        <v>15</v>
      </c>
      <c r="C5078">
        <v>33055</v>
      </c>
      <c r="D5078" t="str">
        <f>"33055"</f>
        <v>33055</v>
      </c>
      <c r="E5078">
        <v>54.94</v>
      </c>
    </row>
    <row r="5079" spans="1:5" x14ac:dyDescent="0.2">
      <c r="A5079">
        <v>33056</v>
      </c>
      <c r="B5079" t="s">
        <v>15</v>
      </c>
      <c r="C5079">
        <v>33056</v>
      </c>
      <c r="D5079" t="str">
        <f>"33056"</f>
        <v>33056</v>
      </c>
      <c r="E5079">
        <v>52.28</v>
      </c>
    </row>
    <row r="5080" spans="1:5" x14ac:dyDescent="0.2">
      <c r="A5080">
        <v>33060</v>
      </c>
      <c r="B5080" t="s">
        <v>15</v>
      </c>
      <c r="C5080">
        <v>33060</v>
      </c>
      <c r="D5080" t="str">
        <f>"33060"</f>
        <v>33060</v>
      </c>
      <c r="E5080">
        <v>58.27</v>
      </c>
    </row>
    <row r="5081" spans="1:5" x14ac:dyDescent="0.2">
      <c r="A5081">
        <v>33062</v>
      </c>
      <c r="B5081" t="s">
        <v>15</v>
      </c>
      <c r="C5081">
        <v>33062</v>
      </c>
      <c r="D5081" t="str">
        <f>"33062"</f>
        <v>33062</v>
      </c>
      <c r="E5081">
        <v>79.36</v>
      </c>
    </row>
    <row r="5082" spans="1:5" x14ac:dyDescent="0.2">
      <c r="A5082">
        <v>33063</v>
      </c>
      <c r="B5082" t="s">
        <v>15</v>
      </c>
      <c r="C5082">
        <v>33063</v>
      </c>
      <c r="D5082" t="str">
        <f>"33063"</f>
        <v>33063</v>
      </c>
      <c r="E5082">
        <v>66.87</v>
      </c>
    </row>
    <row r="5083" spans="1:5" x14ac:dyDescent="0.2">
      <c r="A5083">
        <v>33064</v>
      </c>
      <c r="B5083" t="s">
        <v>15</v>
      </c>
      <c r="C5083">
        <v>33064</v>
      </c>
      <c r="D5083" t="str">
        <f>"33064"</f>
        <v>33064</v>
      </c>
      <c r="E5083">
        <v>59.56</v>
      </c>
    </row>
    <row r="5084" spans="1:5" x14ac:dyDescent="0.2">
      <c r="A5084">
        <v>33065</v>
      </c>
      <c r="B5084" t="s">
        <v>15</v>
      </c>
      <c r="C5084">
        <v>33065</v>
      </c>
      <c r="D5084" t="str">
        <f>"33065"</f>
        <v>33065</v>
      </c>
      <c r="E5084">
        <v>61.75</v>
      </c>
    </row>
    <row r="5085" spans="1:5" x14ac:dyDescent="0.2">
      <c r="A5085">
        <v>33066</v>
      </c>
      <c r="B5085" t="s">
        <v>15</v>
      </c>
      <c r="C5085">
        <v>33066</v>
      </c>
      <c r="D5085" t="str">
        <f>"33066"</f>
        <v>33066</v>
      </c>
      <c r="E5085">
        <v>70.540000000000006</v>
      </c>
    </row>
    <row r="5086" spans="1:5" x14ac:dyDescent="0.2">
      <c r="A5086">
        <v>33067</v>
      </c>
      <c r="B5086" t="s">
        <v>15</v>
      </c>
      <c r="C5086">
        <v>33067</v>
      </c>
      <c r="D5086" t="str">
        <f>"33067"</f>
        <v>33067</v>
      </c>
      <c r="E5086">
        <v>76.069999999999993</v>
      </c>
    </row>
    <row r="5087" spans="1:5" x14ac:dyDescent="0.2">
      <c r="A5087">
        <v>33068</v>
      </c>
      <c r="B5087" t="s">
        <v>15</v>
      </c>
      <c r="C5087">
        <v>33068</v>
      </c>
      <c r="D5087" t="str">
        <f>"33068"</f>
        <v>33068</v>
      </c>
      <c r="E5087">
        <v>53.6</v>
      </c>
    </row>
    <row r="5088" spans="1:5" x14ac:dyDescent="0.2">
      <c r="A5088">
        <v>33069</v>
      </c>
      <c r="B5088" t="s">
        <v>15</v>
      </c>
      <c r="C5088">
        <v>33069</v>
      </c>
      <c r="D5088" t="str">
        <f>"33069"</f>
        <v>33069</v>
      </c>
      <c r="E5088">
        <v>62.91</v>
      </c>
    </row>
    <row r="5089" spans="1:5" x14ac:dyDescent="0.2">
      <c r="A5089">
        <v>33070</v>
      </c>
      <c r="B5089" t="s">
        <v>15</v>
      </c>
      <c r="C5089">
        <v>33070</v>
      </c>
      <c r="D5089" t="str">
        <f>"33070"</f>
        <v>33070</v>
      </c>
      <c r="E5089">
        <v>74.040000000000006</v>
      </c>
    </row>
    <row r="5090" spans="1:5" x14ac:dyDescent="0.2">
      <c r="A5090">
        <v>33071</v>
      </c>
      <c r="B5090" t="s">
        <v>15</v>
      </c>
      <c r="C5090">
        <v>33071</v>
      </c>
      <c r="D5090" t="str">
        <f>"33071"</f>
        <v>33071</v>
      </c>
      <c r="E5090">
        <v>72.319999999999993</v>
      </c>
    </row>
    <row r="5091" spans="1:5" x14ac:dyDescent="0.2">
      <c r="A5091">
        <v>33073</v>
      </c>
      <c r="B5091" t="s">
        <v>15</v>
      </c>
      <c r="C5091">
        <v>33073</v>
      </c>
      <c r="D5091" t="str">
        <f>"33073"</f>
        <v>33073</v>
      </c>
      <c r="E5091">
        <v>71.44</v>
      </c>
    </row>
    <row r="5092" spans="1:5" x14ac:dyDescent="0.2">
      <c r="A5092">
        <v>33076</v>
      </c>
      <c r="B5092" t="s">
        <v>15</v>
      </c>
      <c r="C5092">
        <v>33076</v>
      </c>
      <c r="D5092" t="str">
        <f>"33076"</f>
        <v>33076</v>
      </c>
      <c r="E5092">
        <v>79.19</v>
      </c>
    </row>
    <row r="5093" spans="1:5" x14ac:dyDescent="0.2">
      <c r="A5093">
        <v>33109</v>
      </c>
      <c r="B5093" t="s">
        <v>15</v>
      </c>
      <c r="C5093">
        <v>33109</v>
      </c>
      <c r="D5093" t="str">
        <f>"33109"</f>
        <v>33109</v>
      </c>
      <c r="E5093">
        <v>82.14</v>
      </c>
    </row>
    <row r="5094" spans="1:5" x14ac:dyDescent="0.2">
      <c r="A5094">
        <v>33122</v>
      </c>
      <c r="B5094" t="s">
        <v>15</v>
      </c>
      <c r="C5094">
        <v>33122</v>
      </c>
      <c r="D5094" t="str">
        <f>"33122"</f>
        <v>33122</v>
      </c>
      <c r="E5094">
        <v>71.430000000000007</v>
      </c>
    </row>
    <row r="5095" spans="1:5" x14ac:dyDescent="0.2">
      <c r="A5095">
        <v>33125</v>
      </c>
      <c r="B5095" t="s">
        <v>15</v>
      </c>
      <c r="C5095">
        <v>33125</v>
      </c>
      <c r="D5095" t="str">
        <f>"33125"</f>
        <v>33125</v>
      </c>
      <c r="E5095">
        <v>52.48</v>
      </c>
    </row>
    <row r="5096" spans="1:5" x14ac:dyDescent="0.2">
      <c r="A5096">
        <v>33126</v>
      </c>
      <c r="B5096" t="s">
        <v>15</v>
      </c>
      <c r="C5096">
        <v>33126</v>
      </c>
      <c r="D5096" t="str">
        <f>"33126"</f>
        <v>33126</v>
      </c>
      <c r="E5096">
        <v>57.97</v>
      </c>
    </row>
    <row r="5097" spans="1:5" x14ac:dyDescent="0.2">
      <c r="A5097">
        <v>33127</v>
      </c>
      <c r="B5097" t="s">
        <v>15</v>
      </c>
      <c r="C5097">
        <v>33127</v>
      </c>
      <c r="D5097" t="str">
        <f>"33127"</f>
        <v>33127</v>
      </c>
      <c r="E5097">
        <v>43.41</v>
      </c>
    </row>
    <row r="5098" spans="1:5" x14ac:dyDescent="0.2">
      <c r="A5098">
        <v>33128</v>
      </c>
      <c r="B5098" t="s">
        <v>15</v>
      </c>
      <c r="C5098">
        <v>33128</v>
      </c>
      <c r="D5098" t="str">
        <f>"33128"</f>
        <v>33128</v>
      </c>
      <c r="E5098">
        <v>46.29</v>
      </c>
    </row>
    <row r="5099" spans="1:5" x14ac:dyDescent="0.2">
      <c r="A5099">
        <v>33129</v>
      </c>
      <c r="B5099" t="s">
        <v>15</v>
      </c>
      <c r="C5099">
        <v>33129</v>
      </c>
      <c r="D5099" t="str">
        <f>"33129"</f>
        <v>33129</v>
      </c>
      <c r="E5099">
        <v>76.61</v>
      </c>
    </row>
    <row r="5100" spans="1:5" x14ac:dyDescent="0.2">
      <c r="A5100">
        <v>33130</v>
      </c>
      <c r="B5100" t="s">
        <v>15</v>
      </c>
      <c r="C5100">
        <v>33130</v>
      </c>
      <c r="D5100" t="str">
        <f>"33130"</f>
        <v>33130</v>
      </c>
      <c r="E5100">
        <v>64.11</v>
      </c>
    </row>
    <row r="5101" spans="1:5" x14ac:dyDescent="0.2">
      <c r="A5101">
        <v>33131</v>
      </c>
      <c r="B5101" t="s">
        <v>15</v>
      </c>
      <c r="C5101">
        <v>33131</v>
      </c>
      <c r="D5101" t="str">
        <f>"33131"</f>
        <v>33131</v>
      </c>
      <c r="E5101">
        <v>81.83</v>
      </c>
    </row>
    <row r="5102" spans="1:5" x14ac:dyDescent="0.2">
      <c r="A5102">
        <v>33132</v>
      </c>
      <c r="B5102" t="s">
        <v>15</v>
      </c>
      <c r="C5102">
        <v>33132</v>
      </c>
      <c r="D5102" t="str">
        <f>"33132"</f>
        <v>33132</v>
      </c>
      <c r="E5102">
        <v>79.97</v>
      </c>
    </row>
    <row r="5103" spans="1:5" x14ac:dyDescent="0.2">
      <c r="A5103">
        <v>33133</v>
      </c>
      <c r="B5103" t="s">
        <v>15</v>
      </c>
      <c r="C5103">
        <v>33133</v>
      </c>
      <c r="D5103" t="str">
        <f>"33133"</f>
        <v>33133</v>
      </c>
      <c r="E5103">
        <v>73.11</v>
      </c>
    </row>
    <row r="5104" spans="1:5" x14ac:dyDescent="0.2">
      <c r="A5104">
        <v>33134</v>
      </c>
      <c r="B5104" t="s">
        <v>15</v>
      </c>
      <c r="C5104">
        <v>33134</v>
      </c>
      <c r="D5104" t="str">
        <f>"33134"</f>
        <v>33134</v>
      </c>
      <c r="E5104">
        <v>72.69</v>
      </c>
    </row>
    <row r="5105" spans="1:5" x14ac:dyDescent="0.2">
      <c r="A5105">
        <v>33135</v>
      </c>
      <c r="B5105" t="s">
        <v>15</v>
      </c>
      <c r="C5105">
        <v>33135</v>
      </c>
      <c r="D5105" t="str">
        <f>"33135"</f>
        <v>33135</v>
      </c>
      <c r="E5105">
        <v>51.99</v>
      </c>
    </row>
    <row r="5106" spans="1:5" x14ac:dyDescent="0.2">
      <c r="A5106">
        <v>33136</v>
      </c>
      <c r="B5106" t="s">
        <v>15</v>
      </c>
      <c r="C5106">
        <v>33136</v>
      </c>
      <c r="D5106" t="str">
        <f>"33136"</f>
        <v>33136</v>
      </c>
      <c r="E5106">
        <v>50.07</v>
      </c>
    </row>
    <row r="5107" spans="1:5" x14ac:dyDescent="0.2">
      <c r="A5107">
        <v>33137</v>
      </c>
      <c r="B5107" t="s">
        <v>15</v>
      </c>
      <c r="C5107">
        <v>33137</v>
      </c>
      <c r="D5107" t="str">
        <f>"33137"</f>
        <v>33137</v>
      </c>
      <c r="E5107">
        <v>70.03</v>
      </c>
    </row>
    <row r="5108" spans="1:5" x14ac:dyDescent="0.2">
      <c r="A5108">
        <v>33138</v>
      </c>
      <c r="B5108" t="s">
        <v>15</v>
      </c>
      <c r="C5108">
        <v>33138</v>
      </c>
      <c r="D5108" t="str">
        <f>"33138"</f>
        <v>33138</v>
      </c>
      <c r="E5108">
        <v>65.19</v>
      </c>
    </row>
    <row r="5109" spans="1:5" x14ac:dyDescent="0.2">
      <c r="A5109">
        <v>33139</v>
      </c>
      <c r="B5109" t="s">
        <v>15</v>
      </c>
      <c r="C5109">
        <v>33139</v>
      </c>
      <c r="D5109" t="str">
        <f>"33139"</f>
        <v>33139</v>
      </c>
      <c r="E5109">
        <v>75.58</v>
      </c>
    </row>
    <row r="5110" spans="1:5" x14ac:dyDescent="0.2">
      <c r="A5110">
        <v>33140</v>
      </c>
      <c r="B5110" t="s">
        <v>15</v>
      </c>
      <c r="C5110">
        <v>33140</v>
      </c>
      <c r="D5110" t="str">
        <f>"33140"</f>
        <v>33140</v>
      </c>
      <c r="E5110">
        <v>76.08</v>
      </c>
    </row>
    <row r="5111" spans="1:5" x14ac:dyDescent="0.2">
      <c r="A5111">
        <v>33141</v>
      </c>
      <c r="B5111" t="s">
        <v>15</v>
      </c>
      <c r="C5111">
        <v>33141</v>
      </c>
      <c r="D5111" t="str">
        <f>"33141"</f>
        <v>33141</v>
      </c>
      <c r="E5111">
        <v>67.069999999999993</v>
      </c>
    </row>
    <row r="5112" spans="1:5" x14ac:dyDescent="0.2">
      <c r="A5112">
        <v>33142</v>
      </c>
      <c r="B5112" t="s">
        <v>15</v>
      </c>
      <c r="C5112">
        <v>33142</v>
      </c>
      <c r="D5112" t="str">
        <f>"33142"</f>
        <v>33142</v>
      </c>
      <c r="E5112">
        <v>43.31</v>
      </c>
    </row>
    <row r="5113" spans="1:5" x14ac:dyDescent="0.2">
      <c r="A5113">
        <v>33143</v>
      </c>
      <c r="B5113" t="s">
        <v>15</v>
      </c>
      <c r="C5113">
        <v>33143</v>
      </c>
      <c r="D5113" t="str">
        <f>"33143"</f>
        <v>33143</v>
      </c>
      <c r="E5113">
        <v>74.97</v>
      </c>
    </row>
    <row r="5114" spans="1:5" x14ac:dyDescent="0.2">
      <c r="A5114">
        <v>33144</v>
      </c>
      <c r="B5114" t="s">
        <v>15</v>
      </c>
      <c r="C5114">
        <v>33144</v>
      </c>
      <c r="D5114" t="str">
        <f>"33144"</f>
        <v>33144</v>
      </c>
      <c r="E5114">
        <v>59.25</v>
      </c>
    </row>
    <row r="5115" spans="1:5" x14ac:dyDescent="0.2">
      <c r="A5115">
        <v>33145</v>
      </c>
      <c r="B5115" t="s">
        <v>15</v>
      </c>
      <c r="C5115">
        <v>33145</v>
      </c>
      <c r="D5115" t="str">
        <f>"33145"</f>
        <v>33145</v>
      </c>
      <c r="E5115">
        <v>65.62</v>
      </c>
    </row>
    <row r="5116" spans="1:5" x14ac:dyDescent="0.2">
      <c r="A5116">
        <v>33146</v>
      </c>
      <c r="B5116" t="s">
        <v>15</v>
      </c>
      <c r="C5116">
        <v>33146</v>
      </c>
      <c r="D5116" t="str">
        <f>"33146"</f>
        <v>33146</v>
      </c>
      <c r="E5116">
        <v>82.71</v>
      </c>
    </row>
    <row r="5117" spans="1:5" x14ac:dyDescent="0.2">
      <c r="A5117">
        <v>33147</v>
      </c>
      <c r="B5117" t="s">
        <v>15</v>
      </c>
      <c r="C5117">
        <v>33147</v>
      </c>
      <c r="D5117" t="str">
        <f>"33147"</f>
        <v>33147</v>
      </c>
      <c r="E5117">
        <v>44.29</v>
      </c>
    </row>
    <row r="5118" spans="1:5" x14ac:dyDescent="0.2">
      <c r="A5118">
        <v>33149</v>
      </c>
      <c r="B5118" t="s">
        <v>15</v>
      </c>
      <c r="C5118">
        <v>33149</v>
      </c>
      <c r="D5118" t="str">
        <f>"33149"</f>
        <v>33149</v>
      </c>
      <c r="E5118">
        <v>78.569999999999993</v>
      </c>
    </row>
    <row r="5119" spans="1:5" x14ac:dyDescent="0.2">
      <c r="A5119">
        <v>33150</v>
      </c>
      <c r="B5119" t="s">
        <v>15</v>
      </c>
      <c r="C5119">
        <v>33150</v>
      </c>
      <c r="D5119" t="str">
        <f>"33150"</f>
        <v>33150</v>
      </c>
      <c r="E5119">
        <v>41.78</v>
      </c>
    </row>
    <row r="5120" spans="1:5" x14ac:dyDescent="0.2">
      <c r="A5120">
        <v>33154</v>
      </c>
      <c r="B5120" t="s">
        <v>15</v>
      </c>
      <c r="C5120">
        <v>33154</v>
      </c>
      <c r="D5120" t="str">
        <f>"33154"</f>
        <v>33154</v>
      </c>
      <c r="E5120">
        <v>72.63</v>
      </c>
    </row>
    <row r="5121" spans="1:5" x14ac:dyDescent="0.2">
      <c r="A5121">
        <v>33155</v>
      </c>
      <c r="B5121" t="s">
        <v>15</v>
      </c>
      <c r="C5121">
        <v>33155</v>
      </c>
      <c r="D5121" t="str">
        <f>"33155"</f>
        <v>33155</v>
      </c>
      <c r="E5121">
        <v>67.7</v>
      </c>
    </row>
    <row r="5122" spans="1:5" x14ac:dyDescent="0.2">
      <c r="A5122">
        <v>33156</v>
      </c>
      <c r="B5122" t="s">
        <v>15</v>
      </c>
      <c r="C5122">
        <v>33156</v>
      </c>
      <c r="D5122" t="str">
        <f>"33156"</f>
        <v>33156</v>
      </c>
      <c r="E5122">
        <v>77.8</v>
      </c>
    </row>
    <row r="5123" spans="1:5" x14ac:dyDescent="0.2">
      <c r="A5123">
        <v>33157</v>
      </c>
      <c r="B5123" t="s">
        <v>15</v>
      </c>
      <c r="C5123">
        <v>33157</v>
      </c>
      <c r="D5123" t="str">
        <f>"33157"</f>
        <v>33157</v>
      </c>
      <c r="E5123">
        <v>62.9</v>
      </c>
    </row>
    <row r="5124" spans="1:5" x14ac:dyDescent="0.2">
      <c r="A5124">
        <v>33158</v>
      </c>
      <c r="B5124" t="s">
        <v>15</v>
      </c>
      <c r="C5124">
        <v>33158</v>
      </c>
      <c r="D5124" t="str">
        <f>"33158"</f>
        <v>33158</v>
      </c>
      <c r="E5124">
        <v>82.5</v>
      </c>
    </row>
    <row r="5125" spans="1:5" x14ac:dyDescent="0.2">
      <c r="A5125">
        <v>33160</v>
      </c>
      <c r="B5125" t="s">
        <v>15</v>
      </c>
      <c r="C5125">
        <v>33160</v>
      </c>
      <c r="D5125" t="str">
        <f>"33160"</f>
        <v>33160</v>
      </c>
      <c r="E5125">
        <v>66.77</v>
      </c>
    </row>
    <row r="5126" spans="1:5" x14ac:dyDescent="0.2">
      <c r="A5126">
        <v>33161</v>
      </c>
      <c r="B5126" t="s">
        <v>15</v>
      </c>
      <c r="C5126">
        <v>33161</v>
      </c>
      <c r="D5126" t="str">
        <f>"33161"</f>
        <v>33161</v>
      </c>
      <c r="E5126">
        <v>49.89</v>
      </c>
    </row>
    <row r="5127" spans="1:5" x14ac:dyDescent="0.2">
      <c r="A5127">
        <v>33162</v>
      </c>
      <c r="B5127" t="s">
        <v>15</v>
      </c>
      <c r="C5127">
        <v>33162</v>
      </c>
      <c r="D5127" t="str">
        <f>"33162"</f>
        <v>33162</v>
      </c>
      <c r="E5127">
        <v>49.38</v>
      </c>
    </row>
    <row r="5128" spans="1:5" x14ac:dyDescent="0.2">
      <c r="A5128">
        <v>33165</v>
      </c>
      <c r="B5128" t="s">
        <v>15</v>
      </c>
      <c r="C5128">
        <v>33165</v>
      </c>
      <c r="D5128" t="str">
        <f>"33165"</f>
        <v>33165</v>
      </c>
      <c r="E5128">
        <v>62.34</v>
      </c>
    </row>
    <row r="5129" spans="1:5" x14ac:dyDescent="0.2">
      <c r="A5129">
        <v>33166</v>
      </c>
      <c r="B5129" t="s">
        <v>15</v>
      </c>
      <c r="C5129">
        <v>33166</v>
      </c>
      <c r="D5129" t="str">
        <f>"33166"</f>
        <v>33166</v>
      </c>
      <c r="E5129">
        <v>67.14</v>
      </c>
    </row>
    <row r="5130" spans="1:5" x14ac:dyDescent="0.2">
      <c r="A5130">
        <v>33167</v>
      </c>
      <c r="B5130" t="s">
        <v>15</v>
      </c>
      <c r="C5130">
        <v>33167</v>
      </c>
      <c r="D5130" t="str">
        <f>"33167"</f>
        <v>33167</v>
      </c>
      <c r="E5130">
        <v>48.38</v>
      </c>
    </row>
    <row r="5131" spans="1:5" x14ac:dyDescent="0.2">
      <c r="A5131">
        <v>33168</v>
      </c>
      <c r="B5131" t="s">
        <v>15</v>
      </c>
      <c r="C5131">
        <v>33168</v>
      </c>
      <c r="D5131" t="str">
        <f>"33168"</f>
        <v>33168</v>
      </c>
      <c r="E5131">
        <v>47.72</v>
      </c>
    </row>
    <row r="5132" spans="1:5" x14ac:dyDescent="0.2">
      <c r="A5132">
        <v>33169</v>
      </c>
      <c r="B5132" t="s">
        <v>15</v>
      </c>
      <c r="C5132">
        <v>33169</v>
      </c>
      <c r="D5132" t="str">
        <f>"33169"</f>
        <v>33169</v>
      </c>
      <c r="E5132">
        <v>52.42</v>
      </c>
    </row>
    <row r="5133" spans="1:5" x14ac:dyDescent="0.2">
      <c r="A5133">
        <v>33170</v>
      </c>
      <c r="B5133" t="s">
        <v>15</v>
      </c>
      <c r="C5133">
        <v>33170</v>
      </c>
      <c r="D5133" t="str">
        <f>"33170"</f>
        <v>33170</v>
      </c>
      <c r="E5133">
        <v>51.83</v>
      </c>
    </row>
    <row r="5134" spans="1:5" x14ac:dyDescent="0.2">
      <c r="A5134">
        <v>33172</v>
      </c>
      <c r="B5134" t="s">
        <v>15</v>
      </c>
      <c r="C5134">
        <v>33172</v>
      </c>
      <c r="D5134" t="str">
        <f>"33172"</f>
        <v>33172</v>
      </c>
      <c r="E5134">
        <v>60.92</v>
      </c>
    </row>
    <row r="5135" spans="1:5" x14ac:dyDescent="0.2">
      <c r="A5135">
        <v>33173</v>
      </c>
      <c r="B5135" t="s">
        <v>15</v>
      </c>
      <c r="C5135">
        <v>33173</v>
      </c>
      <c r="D5135" t="str">
        <f>"33173"</f>
        <v>33173</v>
      </c>
      <c r="E5135">
        <v>70.64</v>
      </c>
    </row>
    <row r="5136" spans="1:5" x14ac:dyDescent="0.2">
      <c r="A5136">
        <v>33174</v>
      </c>
      <c r="B5136" t="s">
        <v>15</v>
      </c>
      <c r="C5136">
        <v>33174</v>
      </c>
      <c r="D5136" t="str">
        <f>"33174"</f>
        <v>33174</v>
      </c>
      <c r="E5136">
        <v>59.85</v>
      </c>
    </row>
    <row r="5137" spans="1:5" x14ac:dyDescent="0.2">
      <c r="A5137">
        <v>33175</v>
      </c>
      <c r="B5137" t="s">
        <v>15</v>
      </c>
      <c r="C5137">
        <v>33175</v>
      </c>
      <c r="D5137" t="str">
        <f>"33175"</f>
        <v>33175</v>
      </c>
      <c r="E5137">
        <v>64.069999999999993</v>
      </c>
    </row>
    <row r="5138" spans="1:5" x14ac:dyDescent="0.2">
      <c r="A5138">
        <v>33176</v>
      </c>
      <c r="B5138" t="s">
        <v>15</v>
      </c>
      <c r="C5138">
        <v>33176</v>
      </c>
      <c r="D5138" t="str">
        <f>"33176"</f>
        <v>33176</v>
      </c>
      <c r="E5138">
        <v>71.19</v>
      </c>
    </row>
    <row r="5139" spans="1:5" x14ac:dyDescent="0.2">
      <c r="A5139">
        <v>33177</v>
      </c>
      <c r="B5139" t="s">
        <v>15</v>
      </c>
      <c r="C5139">
        <v>33177</v>
      </c>
      <c r="D5139" t="str">
        <f>"33177"</f>
        <v>33177</v>
      </c>
      <c r="E5139">
        <v>59.09</v>
      </c>
    </row>
    <row r="5140" spans="1:5" x14ac:dyDescent="0.2">
      <c r="A5140">
        <v>33178</v>
      </c>
      <c r="B5140" t="s">
        <v>15</v>
      </c>
      <c r="C5140">
        <v>33178</v>
      </c>
      <c r="D5140" t="str">
        <f>"33178"</f>
        <v>33178</v>
      </c>
      <c r="E5140">
        <v>63.59</v>
      </c>
    </row>
    <row r="5141" spans="1:5" x14ac:dyDescent="0.2">
      <c r="A5141">
        <v>33179</v>
      </c>
      <c r="B5141" t="s">
        <v>15</v>
      </c>
      <c r="C5141">
        <v>33179</v>
      </c>
      <c r="D5141" t="str">
        <f>"33179"</f>
        <v>33179</v>
      </c>
      <c r="E5141">
        <v>61.21</v>
      </c>
    </row>
    <row r="5142" spans="1:5" x14ac:dyDescent="0.2">
      <c r="A5142">
        <v>33180</v>
      </c>
      <c r="B5142" t="s">
        <v>15</v>
      </c>
      <c r="C5142">
        <v>33180</v>
      </c>
      <c r="D5142" t="str">
        <f>"33180"</f>
        <v>33180</v>
      </c>
      <c r="E5142">
        <v>70.959999999999994</v>
      </c>
    </row>
    <row r="5143" spans="1:5" x14ac:dyDescent="0.2">
      <c r="A5143">
        <v>33181</v>
      </c>
      <c r="B5143" t="s">
        <v>15</v>
      </c>
      <c r="C5143">
        <v>33181</v>
      </c>
      <c r="D5143" t="str">
        <f>"33181"</f>
        <v>33181</v>
      </c>
      <c r="E5143">
        <v>62.81</v>
      </c>
    </row>
    <row r="5144" spans="1:5" x14ac:dyDescent="0.2">
      <c r="A5144">
        <v>33182</v>
      </c>
      <c r="B5144" t="s">
        <v>15</v>
      </c>
      <c r="C5144">
        <v>33182</v>
      </c>
      <c r="D5144" t="str">
        <f>"33182"</f>
        <v>33182</v>
      </c>
      <c r="E5144">
        <v>68.61</v>
      </c>
    </row>
    <row r="5145" spans="1:5" x14ac:dyDescent="0.2">
      <c r="A5145">
        <v>33183</v>
      </c>
      <c r="B5145" t="s">
        <v>15</v>
      </c>
      <c r="C5145">
        <v>33183</v>
      </c>
      <c r="D5145" t="str">
        <f>"33183"</f>
        <v>33183</v>
      </c>
      <c r="E5145">
        <v>65.11</v>
      </c>
    </row>
    <row r="5146" spans="1:5" x14ac:dyDescent="0.2">
      <c r="A5146">
        <v>33184</v>
      </c>
      <c r="B5146" t="s">
        <v>15</v>
      </c>
      <c r="C5146">
        <v>33184</v>
      </c>
      <c r="D5146" t="str">
        <f>"33184"</f>
        <v>33184</v>
      </c>
      <c r="E5146">
        <v>61.18</v>
      </c>
    </row>
    <row r="5147" spans="1:5" x14ac:dyDescent="0.2">
      <c r="A5147">
        <v>33185</v>
      </c>
      <c r="B5147" t="s">
        <v>15</v>
      </c>
      <c r="C5147">
        <v>33185</v>
      </c>
      <c r="D5147" t="str">
        <f>"33185"</f>
        <v>33185</v>
      </c>
      <c r="E5147">
        <v>69.010000000000005</v>
      </c>
    </row>
    <row r="5148" spans="1:5" x14ac:dyDescent="0.2">
      <c r="A5148">
        <v>33186</v>
      </c>
      <c r="B5148" t="s">
        <v>15</v>
      </c>
      <c r="C5148">
        <v>33186</v>
      </c>
      <c r="D5148" t="str">
        <f>"33186"</f>
        <v>33186</v>
      </c>
      <c r="E5148">
        <v>69.56</v>
      </c>
    </row>
    <row r="5149" spans="1:5" x14ac:dyDescent="0.2">
      <c r="A5149">
        <v>33187</v>
      </c>
      <c r="B5149" t="s">
        <v>15</v>
      </c>
      <c r="C5149">
        <v>33187</v>
      </c>
      <c r="D5149" t="str">
        <f>"33187"</f>
        <v>33187</v>
      </c>
      <c r="E5149">
        <v>63.37</v>
      </c>
    </row>
    <row r="5150" spans="1:5" x14ac:dyDescent="0.2">
      <c r="A5150">
        <v>33189</v>
      </c>
      <c r="B5150" t="s">
        <v>15</v>
      </c>
      <c r="C5150">
        <v>33189</v>
      </c>
      <c r="D5150" t="str">
        <f>"33189"</f>
        <v>33189</v>
      </c>
      <c r="E5150">
        <v>62.79</v>
      </c>
    </row>
    <row r="5151" spans="1:5" x14ac:dyDescent="0.2">
      <c r="A5151">
        <v>33190</v>
      </c>
      <c r="B5151" t="s">
        <v>15</v>
      </c>
      <c r="C5151">
        <v>33190</v>
      </c>
      <c r="D5151" t="str">
        <f>"33190"</f>
        <v>33190</v>
      </c>
      <c r="E5151">
        <v>62.43</v>
      </c>
    </row>
    <row r="5152" spans="1:5" x14ac:dyDescent="0.2">
      <c r="A5152">
        <v>33193</v>
      </c>
      <c r="B5152" t="s">
        <v>15</v>
      </c>
      <c r="C5152">
        <v>33193</v>
      </c>
      <c r="D5152" t="str">
        <f>"33193"</f>
        <v>33193</v>
      </c>
      <c r="E5152">
        <v>61.67</v>
      </c>
    </row>
    <row r="5153" spans="1:5" x14ac:dyDescent="0.2">
      <c r="A5153">
        <v>33194</v>
      </c>
      <c r="B5153" t="s">
        <v>15</v>
      </c>
      <c r="C5153">
        <v>33194</v>
      </c>
      <c r="D5153" t="str">
        <f>"33194"</f>
        <v>33194</v>
      </c>
      <c r="E5153">
        <v>67.36</v>
      </c>
    </row>
    <row r="5154" spans="1:5" x14ac:dyDescent="0.2">
      <c r="A5154">
        <v>33195</v>
      </c>
      <c r="B5154" t="s">
        <v>15</v>
      </c>
      <c r="C5154">
        <v>33195</v>
      </c>
      <c r="D5154" t="str">
        <f>"33195"</f>
        <v>33195</v>
      </c>
      <c r="E5154" t="s">
        <v>6</v>
      </c>
    </row>
    <row r="5155" spans="1:5" x14ac:dyDescent="0.2">
      <c r="A5155">
        <v>33196</v>
      </c>
      <c r="B5155" t="s">
        <v>15</v>
      </c>
      <c r="C5155">
        <v>33196</v>
      </c>
      <c r="D5155" t="str">
        <f>"33196"</f>
        <v>33196</v>
      </c>
      <c r="E5155">
        <v>66.61</v>
      </c>
    </row>
    <row r="5156" spans="1:5" x14ac:dyDescent="0.2">
      <c r="A5156">
        <v>33199</v>
      </c>
      <c r="B5156" t="s">
        <v>15</v>
      </c>
      <c r="C5156">
        <v>33199</v>
      </c>
      <c r="D5156" t="str">
        <f>"33199"</f>
        <v>33199</v>
      </c>
      <c r="E5156" t="s">
        <v>6</v>
      </c>
    </row>
    <row r="5157" spans="1:5" x14ac:dyDescent="0.2">
      <c r="A5157">
        <v>33256</v>
      </c>
      <c r="B5157" t="s">
        <v>15</v>
      </c>
      <c r="C5157">
        <v>33256</v>
      </c>
      <c r="D5157" t="str">
        <f>"33256"</f>
        <v>33256</v>
      </c>
      <c r="E5157" t="s">
        <v>6</v>
      </c>
    </row>
    <row r="5158" spans="1:5" x14ac:dyDescent="0.2">
      <c r="A5158">
        <v>33301</v>
      </c>
      <c r="B5158" t="s">
        <v>15</v>
      </c>
      <c r="C5158">
        <v>33301</v>
      </c>
      <c r="D5158" t="str">
        <f>"33301"</f>
        <v>33301</v>
      </c>
      <c r="E5158">
        <v>85.02</v>
      </c>
    </row>
    <row r="5159" spans="1:5" x14ac:dyDescent="0.2">
      <c r="A5159">
        <v>33304</v>
      </c>
      <c r="B5159" t="s">
        <v>15</v>
      </c>
      <c r="C5159">
        <v>33304</v>
      </c>
      <c r="D5159" t="str">
        <f>"33304"</f>
        <v>33304</v>
      </c>
      <c r="E5159">
        <v>76.45</v>
      </c>
    </row>
    <row r="5160" spans="1:5" x14ac:dyDescent="0.2">
      <c r="A5160">
        <v>33305</v>
      </c>
      <c r="B5160" t="s">
        <v>15</v>
      </c>
      <c r="C5160">
        <v>33305</v>
      </c>
      <c r="D5160" t="str">
        <f>"33305"</f>
        <v>33305</v>
      </c>
      <c r="E5160">
        <v>81.040000000000006</v>
      </c>
    </row>
    <row r="5161" spans="1:5" x14ac:dyDescent="0.2">
      <c r="A5161">
        <v>33306</v>
      </c>
      <c r="B5161" t="s">
        <v>15</v>
      </c>
      <c r="C5161">
        <v>33306</v>
      </c>
      <c r="D5161" t="str">
        <f>"33306"</f>
        <v>33306</v>
      </c>
      <c r="E5161">
        <v>78.87</v>
      </c>
    </row>
    <row r="5162" spans="1:5" x14ac:dyDescent="0.2">
      <c r="A5162">
        <v>33308</v>
      </c>
      <c r="B5162" t="s">
        <v>15</v>
      </c>
      <c r="C5162">
        <v>33308</v>
      </c>
      <c r="D5162" t="str">
        <f>"33308"</f>
        <v>33308</v>
      </c>
      <c r="E5162">
        <v>80.72</v>
      </c>
    </row>
    <row r="5163" spans="1:5" x14ac:dyDescent="0.2">
      <c r="A5163">
        <v>33309</v>
      </c>
      <c r="B5163" t="s">
        <v>15</v>
      </c>
      <c r="C5163">
        <v>33309</v>
      </c>
      <c r="D5163" t="str">
        <f>"33309"</f>
        <v>33309</v>
      </c>
      <c r="E5163">
        <v>60.86</v>
      </c>
    </row>
    <row r="5164" spans="1:5" x14ac:dyDescent="0.2">
      <c r="A5164">
        <v>33311</v>
      </c>
      <c r="B5164" t="s">
        <v>15</v>
      </c>
      <c r="C5164">
        <v>33311</v>
      </c>
      <c r="D5164" t="str">
        <f>"33311"</f>
        <v>33311</v>
      </c>
      <c r="E5164">
        <v>47.6</v>
      </c>
    </row>
    <row r="5165" spans="1:5" x14ac:dyDescent="0.2">
      <c r="A5165">
        <v>33312</v>
      </c>
      <c r="B5165" t="s">
        <v>15</v>
      </c>
      <c r="C5165">
        <v>33312</v>
      </c>
      <c r="D5165" t="str">
        <f>"33312"</f>
        <v>33312</v>
      </c>
      <c r="E5165">
        <v>63.45</v>
      </c>
    </row>
    <row r="5166" spans="1:5" x14ac:dyDescent="0.2">
      <c r="A5166">
        <v>33313</v>
      </c>
      <c r="B5166" t="s">
        <v>15</v>
      </c>
      <c r="C5166">
        <v>33313</v>
      </c>
      <c r="D5166" t="str">
        <f>"33313"</f>
        <v>33313</v>
      </c>
      <c r="E5166">
        <v>48.29</v>
      </c>
    </row>
    <row r="5167" spans="1:5" x14ac:dyDescent="0.2">
      <c r="A5167">
        <v>33314</v>
      </c>
      <c r="B5167" t="s">
        <v>15</v>
      </c>
      <c r="C5167">
        <v>33314</v>
      </c>
      <c r="D5167" t="str">
        <f>"33314"</f>
        <v>33314</v>
      </c>
      <c r="E5167">
        <v>63.29</v>
      </c>
    </row>
    <row r="5168" spans="1:5" x14ac:dyDescent="0.2">
      <c r="A5168">
        <v>33315</v>
      </c>
      <c r="B5168" t="s">
        <v>15</v>
      </c>
      <c r="C5168">
        <v>33315</v>
      </c>
      <c r="D5168" t="str">
        <f>"33315"</f>
        <v>33315</v>
      </c>
      <c r="E5168">
        <v>74.86</v>
      </c>
    </row>
    <row r="5169" spans="1:5" x14ac:dyDescent="0.2">
      <c r="A5169">
        <v>33316</v>
      </c>
      <c r="B5169" t="s">
        <v>15</v>
      </c>
      <c r="C5169">
        <v>33316</v>
      </c>
      <c r="D5169" t="str">
        <f>"33316"</f>
        <v>33316</v>
      </c>
      <c r="E5169">
        <v>79.66</v>
      </c>
    </row>
    <row r="5170" spans="1:5" x14ac:dyDescent="0.2">
      <c r="A5170">
        <v>33317</v>
      </c>
      <c r="B5170" t="s">
        <v>15</v>
      </c>
      <c r="C5170">
        <v>33317</v>
      </c>
      <c r="D5170" t="str">
        <f>"33317"</f>
        <v>33317</v>
      </c>
      <c r="E5170">
        <v>68.25</v>
      </c>
    </row>
    <row r="5171" spans="1:5" x14ac:dyDescent="0.2">
      <c r="A5171">
        <v>33319</v>
      </c>
      <c r="B5171" t="s">
        <v>15</v>
      </c>
      <c r="C5171">
        <v>33319</v>
      </c>
      <c r="D5171" t="str">
        <f>"33319"</f>
        <v>33319</v>
      </c>
      <c r="E5171">
        <v>59.44</v>
      </c>
    </row>
    <row r="5172" spans="1:5" x14ac:dyDescent="0.2">
      <c r="A5172">
        <v>33321</v>
      </c>
      <c r="B5172" t="s">
        <v>15</v>
      </c>
      <c r="C5172">
        <v>33321</v>
      </c>
      <c r="D5172" t="str">
        <f>"33321"</f>
        <v>33321</v>
      </c>
      <c r="E5172">
        <v>68.2</v>
      </c>
    </row>
    <row r="5173" spans="1:5" x14ac:dyDescent="0.2">
      <c r="A5173">
        <v>33322</v>
      </c>
      <c r="B5173" t="s">
        <v>15</v>
      </c>
      <c r="C5173">
        <v>33322</v>
      </c>
      <c r="D5173" t="str">
        <f>"33322"</f>
        <v>33322</v>
      </c>
      <c r="E5173">
        <v>71.099999999999994</v>
      </c>
    </row>
    <row r="5174" spans="1:5" x14ac:dyDescent="0.2">
      <c r="A5174">
        <v>33323</v>
      </c>
      <c r="B5174" t="s">
        <v>15</v>
      </c>
      <c r="C5174">
        <v>33323</v>
      </c>
      <c r="D5174" t="str">
        <f>"33323"</f>
        <v>33323</v>
      </c>
      <c r="E5174">
        <v>75.78</v>
      </c>
    </row>
    <row r="5175" spans="1:5" x14ac:dyDescent="0.2">
      <c r="A5175">
        <v>33324</v>
      </c>
      <c r="B5175" t="s">
        <v>15</v>
      </c>
      <c r="C5175">
        <v>33324</v>
      </c>
      <c r="D5175" t="str">
        <f>"33324"</f>
        <v>33324</v>
      </c>
      <c r="E5175">
        <v>75.27</v>
      </c>
    </row>
    <row r="5176" spans="1:5" x14ac:dyDescent="0.2">
      <c r="A5176">
        <v>33325</v>
      </c>
      <c r="B5176" t="s">
        <v>15</v>
      </c>
      <c r="C5176">
        <v>33325</v>
      </c>
      <c r="D5176" t="str">
        <f>"33325"</f>
        <v>33325</v>
      </c>
      <c r="E5176">
        <v>71.22</v>
      </c>
    </row>
    <row r="5177" spans="1:5" x14ac:dyDescent="0.2">
      <c r="A5177">
        <v>33326</v>
      </c>
      <c r="B5177" t="s">
        <v>15</v>
      </c>
      <c r="C5177">
        <v>33326</v>
      </c>
      <c r="D5177" t="str">
        <f>"33326"</f>
        <v>33326</v>
      </c>
      <c r="E5177">
        <v>72.930000000000007</v>
      </c>
    </row>
    <row r="5178" spans="1:5" x14ac:dyDescent="0.2">
      <c r="A5178">
        <v>33327</v>
      </c>
      <c r="B5178" t="s">
        <v>15</v>
      </c>
      <c r="C5178">
        <v>33327</v>
      </c>
      <c r="D5178" t="str">
        <f>"33327"</f>
        <v>33327</v>
      </c>
      <c r="E5178">
        <v>74.680000000000007</v>
      </c>
    </row>
    <row r="5179" spans="1:5" x14ac:dyDescent="0.2">
      <c r="A5179">
        <v>33328</v>
      </c>
      <c r="B5179" t="s">
        <v>15</v>
      </c>
      <c r="C5179">
        <v>33328</v>
      </c>
      <c r="D5179" t="str">
        <f>"33328"</f>
        <v>33328</v>
      </c>
      <c r="E5179">
        <v>77.63</v>
      </c>
    </row>
    <row r="5180" spans="1:5" x14ac:dyDescent="0.2">
      <c r="A5180">
        <v>33330</v>
      </c>
      <c r="B5180" t="s">
        <v>15</v>
      </c>
      <c r="C5180">
        <v>33330</v>
      </c>
      <c r="D5180" t="str">
        <f>"33330"</f>
        <v>33330</v>
      </c>
      <c r="E5180">
        <v>79.42</v>
      </c>
    </row>
    <row r="5181" spans="1:5" x14ac:dyDescent="0.2">
      <c r="A5181">
        <v>33331</v>
      </c>
      <c r="B5181" t="s">
        <v>15</v>
      </c>
      <c r="C5181">
        <v>33331</v>
      </c>
      <c r="D5181" t="str">
        <f>"33331"</f>
        <v>33331</v>
      </c>
      <c r="E5181">
        <v>76.92</v>
      </c>
    </row>
    <row r="5182" spans="1:5" x14ac:dyDescent="0.2">
      <c r="A5182">
        <v>33332</v>
      </c>
      <c r="B5182" t="s">
        <v>15</v>
      </c>
      <c r="C5182">
        <v>33332</v>
      </c>
      <c r="D5182" t="str">
        <f>"33332"</f>
        <v>33332</v>
      </c>
      <c r="E5182">
        <v>76.650000000000006</v>
      </c>
    </row>
    <row r="5183" spans="1:5" x14ac:dyDescent="0.2">
      <c r="A5183">
        <v>33334</v>
      </c>
      <c r="B5183" t="s">
        <v>15</v>
      </c>
      <c r="C5183">
        <v>33334</v>
      </c>
      <c r="D5183" t="str">
        <f>"33334"</f>
        <v>33334</v>
      </c>
      <c r="E5183">
        <v>69.34</v>
      </c>
    </row>
    <row r="5184" spans="1:5" x14ac:dyDescent="0.2">
      <c r="A5184">
        <v>33351</v>
      </c>
      <c r="B5184" t="s">
        <v>15</v>
      </c>
      <c r="C5184">
        <v>33351</v>
      </c>
      <c r="D5184" t="str">
        <f>"33351"</f>
        <v>33351</v>
      </c>
      <c r="E5184">
        <v>66.099999999999994</v>
      </c>
    </row>
    <row r="5185" spans="1:5" x14ac:dyDescent="0.2">
      <c r="A5185">
        <v>33388</v>
      </c>
      <c r="B5185" t="s">
        <v>15</v>
      </c>
      <c r="C5185">
        <v>33388</v>
      </c>
      <c r="D5185" t="str">
        <f>"33388"</f>
        <v>33388</v>
      </c>
      <c r="E5185" t="s">
        <v>6</v>
      </c>
    </row>
    <row r="5186" spans="1:5" x14ac:dyDescent="0.2">
      <c r="A5186">
        <v>33394</v>
      </c>
      <c r="B5186" t="s">
        <v>15</v>
      </c>
      <c r="C5186">
        <v>33394</v>
      </c>
      <c r="D5186" t="str">
        <f>"33394"</f>
        <v>33394</v>
      </c>
      <c r="E5186" t="s">
        <v>6</v>
      </c>
    </row>
    <row r="5187" spans="1:5" x14ac:dyDescent="0.2">
      <c r="A5187">
        <v>33401</v>
      </c>
      <c r="B5187" t="s">
        <v>15</v>
      </c>
      <c r="C5187">
        <v>33401</v>
      </c>
      <c r="D5187" t="str">
        <f>"33401"</f>
        <v>33401</v>
      </c>
      <c r="E5187">
        <v>67.400000000000006</v>
      </c>
    </row>
    <row r="5188" spans="1:5" x14ac:dyDescent="0.2">
      <c r="A5188">
        <v>33403</v>
      </c>
      <c r="B5188" t="s">
        <v>15</v>
      </c>
      <c r="C5188">
        <v>33403</v>
      </c>
      <c r="D5188" t="str">
        <f>"33403"</f>
        <v>33403</v>
      </c>
      <c r="E5188">
        <v>59.63</v>
      </c>
    </row>
    <row r="5189" spans="1:5" x14ac:dyDescent="0.2">
      <c r="A5189">
        <v>33404</v>
      </c>
      <c r="B5189" t="s">
        <v>15</v>
      </c>
      <c r="C5189">
        <v>33404</v>
      </c>
      <c r="D5189" t="str">
        <f>"33404"</f>
        <v>33404</v>
      </c>
      <c r="E5189">
        <v>55.22</v>
      </c>
    </row>
    <row r="5190" spans="1:5" x14ac:dyDescent="0.2">
      <c r="A5190">
        <v>33405</v>
      </c>
      <c r="B5190" t="s">
        <v>15</v>
      </c>
      <c r="C5190">
        <v>33405</v>
      </c>
      <c r="D5190" t="str">
        <f>"33405"</f>
        <v>33405</v>
      </c>
      <c r="E5190">
        <v>64.09</v>
      </c>
    </row>
    <row r="5191" spans="1:5" x14ac:dyDescent="0.2">
      <c r="A5191">
        <v>33406</v>
      </c>
      <c r="B5191" t="s">
        <v>15</v>
      </c>
      <c r="C5191">
        <v>33406</v>
      </c>
      <c r="D5191" t="str">
        <f>"33406"</f>
        <v>33406</v>
      </c>
      <c r="E5191">
        <v>61.76</v>
      </c>
    </row>
    <row r="5192" spans="1:5" x14ac:dyDescent="0.2">
      <c r="A5192">
        <v>33407</v>
      </c>
      <c r="B5192" t="s">
        <v>15</v>
      </c>
      <c r="C5192">
        <v>33407</v>
      </c>
      <c r="D5192" t="str">
        <f>"33407"</f>
        <v>33407</v>
      </c>
      <c r="E5192">
        <v>52.42</v>
      </c>
    </row>
    <row r="5193" spans="1:5" x14ac:dyDescent="0.2">
      <c r="A5193">
        <v>33408</v>
      </c>
      <c r="B5193" t="s">
        <v>15</v>
      </c>
      <c r="C5193">
        <v>33408</v>
      </c>
      <c r="D5193" t="str">
        <f>"33408"</f>
        <v>33408</v>
      </c>
      <c r="E5193">
        <v>79.63</v>
      </c>
    </row>
    <row r="5194" spans="1:5" x14ac:dyDescent="0.2">
      <c r="A5194">
        <v>33409</v>
      </c>
      <c r="B5194" t="s">
        <v>15</v>
      </c>
      <c r="C5194">
        <v>33409</v>
      </c>
      <c r="D5194" t="str">
        <f>"33409"</f>
        <v>33409</v>
      </c>
      <c r="E5194">
        <v>60.08</v>
      </c>
    </row>
    <row r="5195" spans="1:5" x14ac:dyDescent="0.2">
      <c r="A5195">
        <v>33410</v>
      </c>
      <c r="B5195" t="s">
        <v>15</v>
      </c>
      <c r="C5195">
        <v>33410</v>
      </c>
      <c r="D5195" t="str">
        <f>"33410"</f>
        <v>33410</v>
      </c>
      <c r="E5195">
        <v>76.290000000000006</v>
      </c>
    </row>
    <row r="5196" spans="1:5" x14ac:dyDescent="0.2">
      <c r="A5196">
        <v>33411</v>
      </c>
      <c r="B5196" t="s">
        <v>15</v>
      </c>
      <c r="C5196">
        <v>33411</v>
      </c>
      <c r="D5196" t="str">
        <f>"33411"</f>
        <v>33411</v>
      </c>
      <c r="E5196">
        <v>71.55</v>
      </c>
    </row>
    <row r="5197" spans="1:5" x14ac:dyDescent="0.2">
      <c r="A5197">
        <v>33412</v>
      </c>
      <c r="B5197" t="s">
        <v>15</v>
      </c>
      <c r="C5197">
        <v>33412</v>
      </c>
      <c r="D5197" t="str">
        <f>"33412"</f>
        <v>33412</v>
      </c>
      <c r="E5197">
        <v>78.02</v>
      </c>
    </row>
    <row r="5198" spans="1:5" x14ac:dyDescent="0.2">
      <c r="A5198">
        <v>33413</v>
      </c>
      <c r="B5198" t="s">
        <v>15</v>
      </c>
      <c r="C5198">
        <v>33413</v>
      </c>
      <c r="D5198" t="str">
        <f>"33413"</f>
        <v>33413</v>
      </c>
      <c r="E5198">
        <v>64.13</v>
      </c>
    </row>
    <row r="5199" spans="1:5" x14ac:dyDescent="0.2">
      <c r="A5199">
        <v>33414</v>
      </c>
      <c r="B5199" t="s">
        <v>15</v>
      </c>
      <c r="C5199">
        <v>33414</v>
      </c>
      <c r="D5199" t="str">
        <f>"33414"</f>
        <v>33414</v>
      </c>
      <c r="E5199">
        <v>73.86</v>
      </c>
    </row>
    <row r="5200" spans="1:5" x14ac:dyDescent="0.2">
      <c r="A5200">
        <v>33415</v>
      </c>
      <c r="B5200" t="s">
        <v>15</v>
      </c>
      <c r="C5200">
        <v>33415</v>
      </c>
      <c r="D5200" t="str">
        <f>"33415"</f>
        <v>33415</v>
      </c>
      <c r="E5200">
        <v>53.71</v>
      </c>
    </row>
    <row r="5201" spans="1:5" x14ac:dyDescent="0.2">
      <c r="A5201">
        <v>33416</v>
      </c>
      <c r="B5201" t="s">
        <v>15</v>
      </c>
      <c r="C5201">
        <v>33416</v>
      </c>
      <c r="D5201" t="str">
        <f>"33416"</f>
        <v>33416</v>
      </c>
      <c r="E5201" t="s">
        <v>6</v>
      </c>
    </row>
    <row r="5202" spans="1:5" x14ac:dyDescent="0.2">
      <c r="A5202">
        <v>33417</v>
      </c>
      <c r="B5202" t="s">
        <v>15</v>
      </c>
      <c r="C5202">
        <v>33417</v>
      </c>
      <c r="D5202" t="str">
        <f>"33417"</f>
        <v>33417</v>
      </c>
      <c r="E5202">
        <v>59.76</v>
      </c>
    </row>
    <row r="5203" spans="1:5" x14ac:dyDescent="0.2">
      <c r="A5203">
        <v>33418</v>
      </c>
      <c r="B5203" t="s">
        <v>15</v>
      </c>
      <c r="C5203">
        <v>33418</v>
      </c>
      <c r="D5203" t="str">
        <f>"33418"</f>
        <v>33418</v>
      </c>
      <c r="E5203">
        <v>80.86</v>
      </c>
    </row>
    <row r="5204" spans="1:5" x14ac:dyDescent="0.2">
      <c r="A5204">
        <v>33420</v>
      </c>
      <c r="B5204" t="s">
        <v>15</v>
      </c>
      <c r="C5204">
        <v>33420</v>
      </c>
      <c r="D5204" t="str">
        <f>"33420"</f>
        <v>33420</v>
      </c>
      <c r="E5204" t="s">
        <v>6</v>
      </c>
    </row>
    <row r="5205" spans="1:5" x14ac:dyDescent="0.2">
      <c r="A5205">
        <v>33421</v>
      </c>
      <c r="B5205" t="s">
        <v>15</v>
      </c>
      <c r="C5205">
        <v>33421</v>
      </c>
      <c r="D5205" t="str">
        <f>"33421"</f>
        <v>33421</v>
      </c>
      <c r="E5205" t="s">
        <v>6</v>
      </c>
    </row>
    <row r="5206" spans="1:5" x14ac:dyDescent="0.2">
      <c r="A5206">
        <v>33426</v>
      </c>
      <c r="B5206" t="s">
        <v>15</v>
      </c>
      <c r="C5206">
        <v>33426</v>
      </c>
      <c r="D5206" t="str">
        <f>"33426"</f>
        <v>33426</v>
      </c>
      <c r="E5206">
        <v>71.53</v>
      </c>
    </row>
    <row r="5207" spans="1:5" x14ac:dyDescent="0.2">
      <c r="A5207">
        <v>33428</v>
      </c>
      <c r="B5207" t="s">
        <v>15</v>
      </c>
      <c r="C5207">
        <v>33428</v>
      </c>
      <c r="D5207" t="str">
        <f>"33428"</f>
        <v>33428</v>
      </c>
      <c r="E5207">
        <v>68.78</v>
      </c>
    </row>
    <row r="5208" spans="1:5" x14ac:dyDescent="0.2">
      <c r="A5208">
        <v>33430</v>
      </c>
      <c r="B5208" t="s">
        <v>15</v>
      </c>
      <c r="C5208">
        <v>33430</v>
      </c>
      <c r="D5208" t="str">
        <f>"33430"</f>
        <v>33430</v>
      </c>
      <c r="E5208">
        <v>41.99</v>
      </c>
    </row>
    <row r="5209" spans="1:5" x14ac:dyDescent="0.2">
      <c r="A5209">
        <v>33431</v>
      </c>
      <c r="B5209" t="s">
        <v>15</v>
      </c>
      <c r="C5209">
        <v>33431</v>
      </c>
      <c r="D5209" t="str">
        <f>"33431"</f>
        <v>33431</v>
      </c>
      <c r="E5209">
        <v>75.16</v>
      </c>
    </row>
    <row r="5210" spans="1:5" x14ac:dyDescent="0.2">
      <c r="A5210">
        <v>33432</v>
      </c>
      <c r="B5210" t="s">
        <v>15</v>
      </c>
      <c r="C5210">
        <v>33432</v>
      </c>
      <c r="D5210" t="str">
        <f>"33432"</f>
        <v>33432</v>
      </c>
      <c r="E5210">
        <v>76.23</v>
      </c>
    </row>
    <row r="5211" spans="1:5" x14ac:dyDescent="0.2">
      <c r="A5211">
        <v>33433</v>
      </c>
      <c r="B5211" t="s">
        <v>15</v>
      </c>
      <c r="C5211">
        <v>33433</v>
      </c>
      <c r="D5211" t="str">
        <f>"33433"</f>
        <v>33433</v>
      </c>
      <c r="E5211">
        <v>73.989999999999995</v>
      </c>
    </row>
    <row r="5212" spans="1:5" x14ac:dyDescent="0.2">
      <c r="A5212">
        <v>33434</v>
      </c>
      <c r="B5212" t="s">
        <v>15</v>
      </c>
      <c r="C5212">
        <v>33434</v>
      </c>
      <c r="D5212" t="str">
        <f>"33434"</f>
        <v>33434</v>
      </c>
      <c r="E5212">
        <v>74.95</v>
      </c>
    </row>
    <row r="5213" spans="1:5" x14ac:dyDescent="0.2">
      <c r="A5213">
        <v>33435</v>
      </c>
      <c r="B5213" t="s">
        <v>15</v>
      </c>
      <c r="C5213">
        <v>33435</v>
      </c>
      <c r="D5213" t="str">
        <f>"33435"</f>
        <v>33435</v>
      </c>
      <c r="E5213">
        <v>60.49</v>
      </c>
    </row>
    <row r="5214" spans="1:5" x14ac:dyDescent="0.2">
      <c r="A5214">
        <v>33436</v>
      </c>
      <c r="B5214" t="s">
        <v>15</v>
      </c>
      <c r="C5214">
        <v>33436</v>
      </c>
      <c r="D5214" t="str">
        <f>"33436"</f>
        <v>33436</v>
      </c>
      <c r="E5214">
        <v>69.680000000000007</v>
      </c>
    </row>
    <row r="5215" spans="1:5" x14ac:dyDescent="0.2">
      <c r="A5215">
        <v>33437</v>
      </c>
      <c r="B5215" t="s">
        <v>15</v>
      </c>
      <c r="C5215">
        <v>33437</v>
      </c>
      <c r="D5215" t="str">
        <f>"33437"</f>
        <v>33437</v>
      </c>
      <c r="E5215">
        <v>75.06</v>
      </c>
    </row>
    <row r="5216" spans="1:5" x14ac:dyDescent="0.2">
      <c r="A5216">
        <v>33438</v>
      </c>
      <c r="B5216" t="s">
        <v>15</v>
      </c>
      <c r="C5216">
        <v>33438</v>
      </c>
      <c r="D5216" t="str">
        <f>"33438"</f>
        <v>33438</v>
      </c>
      <c r="E5216">
        <v>57.78</v>
      </c>
    </row>
    <row r="5217" spans="1:5" x14ac:dyDescent="0.2">
      <c r="A5217">
        <v>33440</v>
      </c>
      <c r="B5217" t="s">
        <v>15</v>
      </c>
      <c r="C5217">
        <v>33440</v>
      </c>
      <c r="D5217" t="str">
        <f>"33440"</f>
        <v>33440</v>
      </c>
      <c r="E5217">
        <v>55.66</v>
      </c>
    </row>
    <row r="5218" spans="1:5" x14ac:dyDescent="0.2">
      <c r="A5218">
        <v>33441</v>
      </c>
      <c r="B5218" t="s">
        <v>15</v>
      </c>
      <c r="C5218">
        <v>33441</v>
      </c>
      <c r="D5218" t="str">
        <f>"33441"</f>
        <v>33441</v>
      </c>
      <c r="E5218">
        <v>65.180000000000007</v>
      </c>
    </row>
    <row r="5219" spans="1:5" x14ac:dyDescent="0.2">
      <c r="A5219">
        <v>33442</v>
      </c>
      <c r="B5219" t="s">
        <v>15</v>
      </c>
      <c r="C5219">
        <v>33442</v>
      </c>
      <c r="D5219" t="str">
        <f>"33442"</f>
        <v>33442</v>
      </c>
      <c r="E5219">
        <v>70.97</v>
      </c>
    </row>
    <row r="5220" spans="1:5" x14ac:dyDescent="0.2">
      <c r="A5220">
        <v>33444</v>
      </c>
      <c r="B5220" t="s">
        <v>15</v>
      </c>
      <c r="C5220">
        <v>33444</v>
      </c>
      <c r="D5220" t="str">
        <f>"33444"</f>
        <v>33444</v>
      </c>
      <c r="E5220">
        <v>61.2</v>
      </c>
    </row>
    <row r="5221" spans="1:5" x14ac:dyDescent="0.2">
      <c r="A5221">
        <v>33445</v>
      </c>
      <c r="B5221" t="s">
        <v>15</v>
      </c>
      <c r="C5221">
        <v>33445</v>
      </c>
      <c r="D5221" t="str">
        <f>"33445"</f>
        <v>33445</v>
      </c>
      <c r="E5221">
        <v>69.16</v>
      </c>
    </row>
    <row r="5222" spans="1:5" x14ac:dyDescent="0.2">
      <c r="A5222">
        <v>33446</v>
      </c>
      <c r="B5222" t="s">
        <v>15</v>
      </c>
      <c r="C5222">
        <v>33446</v>
      </c>
      <c r="D5222" t="str">
        <f>"33446"</f>
        <v>33446</v>
      </c>
      <c r="E5222">
        <v>76.06</v>
      </c>
    </row>
    <row r="5223" spans="1:5" x14ac:dyDescent="0.2">
      <c r="A5223">
        <v>33448</v>
      </c>
      <c r="B5223" t="s">
        <v>15</v>
      </c>
      <c r="C5223">
        <v>33448</v>
      </c>
      <c r="D5223" t="str">
        <f>"33448"</f>
        <v>33448</v>
      </c>
      <c r="E5223" t="s">
        <v>6</v>
      </c>
    </row>
    <row r="5224" spans="1:5" x14ac:dyDescent="0.2">
      <c r="A5224">
        <v>33449</v>
      </c>
      <c r="B5224" t="s">
        <v>15</v>
      </c>
      <c r="C5224">
        <v>33449</v>
      </c>
      <c r="D5224" t="str">
        <f>"33449"</f>
        <v>33449</v>
      </c>
      <c r="E5224">
        <v>78.66</v>
      </c>
    </row>
    <row r="5225" spans="1:5" x14ac:dyDescent="0.2">
      <c r="A5225">
        <v>33455</v>
      </c>
      <c r="B5225" t="s">
        <v>15</v>
      </c>
      <c r="C5225">
        <v>33455</v>
      </c>
      <c r="D5225" t="str">
        <f>"33455"</f>
        <v>33455</v>
      </c>
      <c r="E5225">
        <v>76.680000000000007</v>
      </c>
    </row>
    <row r="5226" spans="1:5" x14ac:dyDescent="0.2">
      <c r="A5226">
        <v>33458</v>
      </c>
      <c r="B5226" t="s">
        <v>15</v>
      </c>
      <c r="C5226">
        <v>33458</v>
      </c>
      <c r="D5226" t="str">
        <f>"33458"</f>
        <v>33458</v>
      </c>
      <c r="E5226">
        <v>77.2</v>
      </c>
    </row>
    <row r="5227" spans="1:5" x14ac:dyDescent="0.2">
      <c r="A5227">
        <v>33460</v>
      </c>
      <c r="B5227" t="s">
        <v>15</v>
      </c>
      <c r="C5227">
        <v>33460</v>
      </c>
      <c r="D5227" t="str">
        <f>"33460"</f>
        <v>33460</v>
      </c>
      <c r="E5227">
        <v>52.69</v>
      </c>
    </row>
    <row r="5228" spans="1:5" x14ac:dyDescent="0.2">
      <c r="A5228">
        <v>33461</v>
      </c>
      <c r="B5228" t="s">
        <v>15</v>
      </c>
      <c r="C5228">
        <v>33461</v>
      </c>
      <c r="D5228" t="str">
        <f>"33461"</f>
        <v>33461</v>
      </c>
      <c r="E5228">
        <v>53.29</v>
      </c>
    </row>
    <row r="5229" spans="1:5" x14ac:dyDescent="0.2">
      <c r="A5229">
        <v>33462</v>
      </c>
      <c r="B5229" t="s">
        <v>15</v>
      </c>
      <c r="C5229">
        <v>33462</v>
      </c>
      <c r="D5229" t="str">
        <f>"33462"</f>
        <v>33462</v>
      </c>
      <c r="E5229">
        <v>62.43</v>
      </c>
    </row>
    <row r="5230" spans="1:5" x14ac:dyDescent="0.2">
      <c r="A5230">
        <v>33463</v>
      </c>
      <c r="B5230" t="s">
        <v>15</v>
      </c>
      <c r="C5230">
        <v>33463</v>
      </c>
      <c r="D5230" t="str">
        <f>"33463"</f>
        <v>33463</v>
      </c>
      <c r="E5230">
        <v>58.28</v>
      </c>
    </row>
    <row r="5231" spans="1:5" x14ac:dyDescent="0.2">
      <c r="A5231">
        <v>33467</v>
      </c>
      <c r="B5231" t="s">
        <v>15</v>
      </c>
      <c r="C5231">
        <v>33467</v>
      </c>
      <c r="D5231" t="str">
        <f>"33467"</f>
        <v>33467</v>
      </c>
      <c r="E5231">
        <v>75.209999999999994</v>
      </c>
    </row>
    <row r="5232" spans="1:5" x14ac:dyDescent="0.2">
      <c r="A5232">
        <v>33469</v>
      </c>
      <c r="B5232" t="s">
        <v>15</v>
      </c>
      <c r="C5232">
        <v>33469</v>
      </c>
      <c r="D5232" t="str">
        <f>"33469"</f>
        <v>33469</v>
      </c>
      <c r="E5232">
        <v>79.95</v>
      </c>
    </row>
    <row r="5233" spans="1:5" x14ac:dyDescent="0.2">
      <c r="A5233">
        <v>33470</v>
      </c>
      <c r="B5233" t="s">
        <v>15</v>
      </c>
      <c r="C5233">
        <v>33470</v>
      </c>
      <c r="D5233" t="str">
        <f>"33470"</f>
        <v>33470</v>
      </c>
      <c r="E5233">
        <v>74.09</v>
      </c>
    </row>
    <row r="5234" spans="1:5" x14ac:dyDescent="0.2">
      <c r="A5234">
        <v>33471</v>
      </c>
      <c r="B5234" t="s">
        <v>15</v>
      </c>
      <c r="C5234">
        <v>33471</v>
      </c>
      <c r="D5234" t="str">
        <f>"33471"</f>
        <v>33471</v>
      </c>
      <c r="E5234">
        <v>61.73</v>
      </c>
    </row>
    <row r="5235" spans="1:5" x14ac:dyDescent="0.2">
      <c r="A5235">
        <v>33472</v>
      </c>
      <c r="B5235" t="s">
        <v>15</v>
      </c>
      <c r="C5235">
        <v>33472</v>
      </c>
      <c r="D5235" t="str">
        <f>"33472"</f>
        <v>33472</v>
      </c>
      <c r="E5235">
        <v>77.09</v>
      </c>
    </row>
    <row r="5236" spans="1:5" x14ac:dyDescent="0.2">
      <c r="A5236">
        <v>33473</v>
      </c>
      <c r="B5236" t="s">
        <v>15</v>
      </c>
      <c r="C5236">
        <v>33473</v>
      </c>
      <c r="D5236" t="str">
        <f>"33473"</f>
        <v>33473</v>
      </c>
      <c r="E5236">
        <v>83.94</v>
      </c>
    </row>
    <row r="5237" spans="1:5" x14ac:dyDescent="0.2">
      <c r="A5237">
        <v>33476</v>
      </c>
      <c r="B5237" t="s">
        <v>15</v>
      </c>
      <c r="C5237">
        <v>33476</v>
      </c>
      <c r="D5237" t="str">
        <f>"33476"</f>
        <v>33476</v>
      </c>
      <c r="E5237">
        <v>44.49</v>
      </c>
    </row>
    <row r="5238" spans="1:5" x14ac:dyDescent="0.2">
      <c r="A5238">
        <v>33477</v>
      </c>
      <c r="B5238" t="s">
        <v>15</v>
      </c>
      <c r="C5238">
        <v>33477</v>
      </c>
      <c r="D5238" t="str">
        <f>"33477"</f>
        <v>33477</v>
      </c>
      <c r="E5238">
        <v>83.04</v>
      </c>
    </row>
    <row r="5239" spans="1:5" x14ac:dyDescent="0.2">
      <c r="A5239">
        <v>33478</v>
      </c>
      <c r="B5239" t="s">
        <v>15</v>
      </c>
      <c r="C5239">
        <v>33478</v>
      </c>
      <c r="D5239" t="str">
        <f>"33478"</f>
        <v>33478</v>
      </c>
      <c r="E5239">
        <v>80.599999999999994</v>
      </c>
    </row>
    <row r="5240" spans="1:5" x14ac:dyDescent="0.2">
      <c r="A5240">
        <v>33480</v>
      </c>
      <c r="B5240" t="s">
        <v>15</v>
      </c>
      <c r="C5240">
        <v>33480</v>
      </c>
      <c r="D5240" t="str">
        <f>"33480"</f>
        <v>33480</v>
      </c>
      <c r="E5240">
        <v>81.63</v>
      </c>
    </row>
    <row r="5241" spans="1:5" x14ac:dyDescent="0.2">
      <c r="A5241">
        <v>33483</v>
      </c>
      <c r="B5241" t="s">
        <v>15</v>
      </c>
      <c r="C5241">
        <v>33483</v>
      </c>
      <c r="D5241" t="str">
        <f>"33483"</f>
        <v>33483</v>
      </c>
      <c r="E5241">
        <v>80.59</v>
      </c>
    </row>
    <row r="5242" spans="1:5" x14ac:dyDescent="0.2">
      <c r="A5242">
        <v>33484</v>
      </c>
      <c r="B5242" t="s">
        <v>15</v>
      </c>
      <c r="C5242">
        <v>33484</v>
      </c>
      <c r="D5242" t="str">
        <f>"33484"</f>
        <v>33484</v>
      </c>
      <c r="E5242">
        <v>70.91</v>
      </c>
    </row>
    <row r="5243" spans="1:5" x14ac:dyDescent="0.2">
      <c r="A5243">
        <v>33486</v>
      </c>
      <c r="B5243" t="s">
        <v>15</v>
      </c>
      <c r="C5243">
        <v>33486</v>
      </c>
      <c r="D5243" t="str">
        <f>"33486"</f>
        <v>33486</v>
      </c>
      <c r="E5243">
        <v>75.97</v>
      </c>
    </row>
    <row r="5244" spans="1:5" x14ac:dyDescent="0.2">
      <c r="A5244">
        <v>33487</v>
      </c>
      <c r="B5244" t="s">
        <v>15</v>
      </c>
      <c r="C5244">
        <v>33487</v>
      </c>
      <c r="D5244" t="str">
        <f>"33487"</f>
        <v>33487</v>
      </c>
      <c r="E5244">
        <v>78.319999999999993</v>
      </c>
    </row>
    <row r="5245" spans="1:5" x14ac:dyDescent="0.2">
      <c r="A5245">
        <v>33493</v>
      </c>
      <c r="B5245" t="s">
        <v>15</v>
      </c>
      <c r="C5245">
        <v>33493</v>
      </c>
      <c r="D5245" t="str">
        <f>"33493"</f>
        <v>33493</v>
      </c>
      <c r="E5245">
        <v>41.86</v>
      </c>
    </row>
    <row r="5246" spans="1:5" x14ac:dyDescent="0.2">
      <c r="A5246">
        <v>33496</v>
      </c>
      <c r="B5246" t="s">
        <v>15</v>
      </c>
      <c r="C5246">
        <v>33496</v>
      </c>
      <c r="D5246" t="str">
        <f>"33496"</f>
        <v>33496</v>
      </c>
      <c r="E5246">
        <v>77.44</v>
      </c>
    </row>
    <row r="5247" spans="1:5" x14ac:dyDescent="0.2">
      <c r="A5247">
        <v>33498</v>
      </c>
      <c r="B5247" t="s">
        <v>15</v>
      </c>
      <c r="C5247">
        <v>33498</v>
      </c>
      <c r="D5247" t="str">
        <f>"33498"</f>
        <v>33498</v>
      </c>
      <c r="E5247">
        <v>77.98</v>
      </c>
    </row>
    <row r="5248" spans="1:5" x14ac:dyDescent="0.2">
      <c r="A5248">
        <v>33510</v>
      </c>
      <c r="B5248" t="s">
        <v>15</v>
      </c>
      <c r="C5248">
        <v>33510</v>
      </c>
      <c r="D5248" t="str">
        <f>"33510"</f>
        <v>33510</v>
      </c>
      <c r="E5248">
        <v>68.67</v>
      </c>
    </row>
    <row r="5249" spans="1:5" x14ac:dyDescent="0.2">
      <c r="A5249">
        <v>33511</v>
      </c>
      <c r="B5249" t="s">
        <v>15</v>
      </c>
      <c r="C5249">
        <v>33511</v>
      </c>
      <c r="D5249" t="str">
        <f>"33511"</f>
        <v>33511</v>
      </c>
      <c r="E5249">
        <v>72.3</v>
      </c>
    </row>
    <row r="5250" spans="1:5" x14ac:dyDescent="0.2">
      <c r="A5250">
        <v>33513</v>
      </c>
      <c r="B5250" t="s">
        <v>15</v>
      </c>
      <c r="C5250">
        <v>33513</v>
      </c>
      <c r="D5250" t="str">
        <f>"33513"</f>
        <v>33513</v>
      </c>
      <c r="E5250">
        <v>65.010000000000005</v>
      </c>
    </row>
    <row r="5251" spans="1:5" x14ac:dyDescent="0.2">
      <c r="A5251">
        <v>33514</v>
      </c>
      <c r="B5251" t="s">
        <v>15</v>
      </c>
      <c r="C5251">
        <v>33514</v>
      </c>
      <c r="D5251" t="str">
        <f>"33514"</f>
        <v>33514</v>
      </c>
      <c r="E5251">
        <v>61.33</v>
      </c>
    </row>
    <row r="5252" spans="1:5" x14ac:dyDescent="0.2">
      <c r="A5252">
        <v>33521</v>
      </c>
      <c r="B5252" t="s">
        <v>15</v>
      </c>
      <c r="C5252">
        <v>33521</v>
      </c>
      <c r="D5252" t="str">
        <f>"33521"</f>
        <v>33521</v>
      </c>
      <c r="E5252" t="s">
        <v>6</v>
      </c>
    </row>
    <row r="5253" spans="1:5" x14ac:dyDescent="0.2">
      <c r="A5253">
        <v>33523</v>
      </c>
      <c r="B5253" t="s">
        <v>15</v>
      </c>
      <c r="C5253">
        <v>33523</v>
      </c>
      <c r="D5253" t="str">
        <f>"33523"</f>
        <v>33523</v>
      </c>
      <c r="E5253">
        <v>61.52</v>
      </c>
    </row>
    <row r="5254" spans="1:5" x14ac:dyDescent="0.2">
      <c r="A5254">
        <v>33525</v>
      </c>
      <c r="B5254" t="s">
        <v>15</v>
      </c>
      <c r="C5254">
        <v>33525</v>
      </c>
      <c r="D5254" t="str">
        <f>"33525"</f>
        <v>33525</v>
      </c>
      <c r="E5254">
        <v>69.02</v>
      </c>
    </row>
    <row r="5255" spans="1:5" x14ac:dyDescent="0.2">
      <c r="A5255">
        <v>33527</v>
      </c>
      <c r="B5255" t="s">
        <v>15</v>
      </c>
      <c r="C5255">
        <v>33527</v>
      </c>
      <c r="D5255" t="str">
        <f>"33527"</f>
        <v>33527</v>
      </c>
      <c r="E5255">
        <v>62.52</v>
      </c>
    </row>
    <row r="5256" spans="1:5" x14ac:dyDescent="0.2">
      <c r="A5256">
        <v>33534</v>
      </c>
      <c r="B5256" t="s">
        <v>15</v>
      </c>
      <c r="C5256">
        <v>33534</v>
      </c>
      <c r="D5256" t="str">
        <f>"33534"</f>
        <v>33534</v>
      </c>
      <c r="E5256">
        <v>60.43</v>
      </c>
    </row>
    <row r="5257" spans="1:5" x14ac:dyDescent="0.2">
      <c r="A5257">
        <v>33538</v>
      </c>
      <c r="B5257" t="s">
        <v>15</v>
      </c>
      <c r="C5257">
        <v>33538</v>
      </c>
      <c r="D5257" t="str">
        <f>"33538"</f>
        <v>33538</v>
      </c>
      <c r="E5257">
        <v>64.17</v>
      </c>
    </row>
    <row r="5258" spans="1:5" x14ac:dyDescent="0.2">
      <c r="A5258">
        <v>33540</v>
      </c>
      <c r="B5258" t="s">
        <v>15</v>
      </c>
      <c r="C5258">
        <v>33540</v>
      </c>
      <c r="D5258" t="str">
        <f>"33540"</f>
        <v>33540</v>
      </c>
      <c r="E5258">
        <v>65.849999999999994</v>
      </c>
    </row>
    <row r="5259" spans="1:5" x14ac:dyDescent="0.2">
      <c r="A5259">
        <v>33541</v>
      </c>
      <c r="B5259" t="s">
        <v>15</v>
      </c>
      <c r="C5259">
        <v>33541</v>
      </c>
      <c r="D5259" t="str">
        <f>"33541"</f>
        <v>33541</v>
      </c>
      <c r="E5259">
        <v>68.28</v>
      </c>
    </row>
    <row r="5260" spans="1:5" x14ac:dyDescent="0.2">
      <c r="A5260">
        <v>33542</v>
      </c>
      <c r="B5260" t="s">
        <v>15</v>
      </c>
      <c r="C5260">
        <v>33542</v>
      </c>
      <c r="D5260" t="str">
        <f>"33542"</f>
        <v>33542</v>
      </c>
      <c r="E5260">
        <v>63.11</v>
      </c>
    </row>
    <row r="5261" spans="1:5" x14ac:dyDescent="0.2">
      <c r="A5261">
        <v>33543</v>
      </c>
      <c r="B5261" t="s">
        <v>15</v>
      </c>
      <c r="C5261">
        <v>33543</v>
      </c>
      <c r="D5261" t="str">
        <f>"33543"</f>
        <v>33543</v>
      </c>
      <c r="E5261">
        <v>77.17</v>
      </c>
    </row>
    <row r="5262" spans="1:5" x14ac:dyDescent="0.2">
      <c r="A5262">
        <v>33544</v>
      </c>
      <c r="B5262" t="s">
        <v>15</v>
      </c>
      <c r="C5262">
        <v>33544</v>
      </c>
      <c r="D5262" t="str">
        <f>"33544"</f>
        <v>33544</v>
      </c>
      <c r="E5262">
        <v>75.92</v>
      </c>
    </row>
    <row r="5263" spans="1:5" x14ac:dyDescent="0.2">
      <c r="A5263">
        <v>33545</v>
      </c>
      <c r="B5263" t="s">
        <v>15</v>
      </c>
      <c r="C5263">
        <v>33545</v>
      </c>
      <c r="D5263" t="str">
        <f>"33545"</f>
        <v>33545</v>
      </c>
      <c r="E5263">
        <v>74.2</v>
      </c>
    </row>
    <row r="5264" spans="1:5" x14ac:dyDescent="0.2">
      <c r="A5264">
        <v>33547</v>
      </c>
      <c r="B5264" t="s">
        <v>15</v>
      </c>
      <c r="C5264">
        <v>33547</v>
      </c>
      <c r="D5264" t="str">
        <f>"33547"</f>
        <v>33547</v>
      </c>
      <c r="E5264">
        <v>79.38</v>
      </c>
    </row>
    <row r="5265" spans="1:5" x14ac:dyDescent="0.2">
      <c r="A5265">
        <v>33548</v>
      </c>
      <c r="B5265" t="s">
        <v>15</v>
      </c>
      <c r="C5265">
        <v>33548</v>
      </c>
      <c r="D5265" t="str">
        <f>"33548"</f>
        <v>33548</v>
      </c>
      <c r="E5265">
        <v>80.05</v>
      </c>
    </row>
    <row r="5266" spans="1:5" x14ac:dyDescent="0.2">
      <c r="A5266">
        <v>33549</v>
      </c>
      <c r="B5266" t="s">
        <v>15</v>
      </c>
      <c r="C5266">
        <v>33549</v>
      </c>
      <c r="D5266" t="str">
        <f>"33549"</f>
        <v>33549</v>
      </c>
      <c r="E5266">
        <v>77.180000000000007</v>
      </c>
    </row>
    <row r="5267" spans="1:5" x14ac:dyDescent="0.2">
      <c r="A5267">
        <v>33556</v>
      </c>
      <c r="B5267" t="s">
        <v>15</v>
      </c>
      <c r="C5267">
        <v>33556</v>
      </c>
      <c r="D5267" t="str">
        <f>"33556"</f>
        <v>33556</v>
      </c>
      <c r="E5267">
        <v>81.53</v>
      </c>
    </row>
    <row r="5268" spans="1:5" x14ac:dyDescent="0.2">
      <c r="A5268">
        <v>33558</v>
      </c>
      <c r="B5268" t="s">
        <v>15</v>
      </c>
      <c r="C5268">
        <v>33558</v>
      </c>
      <c r="D5268" t="str">
        <f>"33558"</f>
        <v>33558</v>
      </c>
      <c r="E5268">
        <v>79.849999999999994</v>
      </c>
    </row>
    <row r="5269" spans="1:5" x14ac:dyDescent="0.2">
      <c r="A5269">
        <v>33559</v>
      </c>
      <c r="B5269" t="s">
        <v>15</v>
      </c>
      <c r="C5269">
        <v>33559</v>
      </c>
      <c r="D5269" t="str">
        <f>"33559"</f>
        <v>33559</v>
      </c>
      <c r="E5269">
        <v>72.75</v>
      </c>
    </row>
    <row r="5270" spans="1:5" x14ac:dyDescent="0.2">
      <c r="A5270">
        <v>33563</v>
      </c>
      <c r="B5270" t="s">
        <v>15</v>
      </c>
      <c r="C5270">
        <v>33563</v>
      </c>
      <c r="D5270" t="str">
        <f>"33563"</f>
        <v>33563</v>
      </c>
      <c r="E5270">
        <v>55.29</v>
      </c>
    </row>
    <row r="5271" spans="1:5" x14ac:dyDescent="0.2">
      <c r="A5271">
        <v>33565</v>
      </c>
      <c r="B5271" t="s">
        <v>15</v>
      </c>
      <c r="C5271">
        <v>33565</v>
      </c>
      <c r="D5271" t="str">
        <f>"33565"</f>
        <v>33565</v>
      </c>
      <c r="E5271">
        <v>64.88</v>
      </c>
    </row>
    <row r="5272" spans="1:5" x14ac:dyDescent="0.2">
      <c r="A5272">
        <v>33566</v>
      </c>
      <c r="B5272" t="s">
        <v>15</v>
      </c>
      <c r="C5272">
        <v>33566</v>
      </c>
      <c r="D5272" t="str">
        <f>"33566"</f>
        <v>33566</v>
      </c>
      <c r="E5272">
        <v>62.48</v>
      </c>
    </row>
    <row r="5273" spans="1:5" x14ac:dyDescent="0.2">
      <c r="A5273">
        <v>33567</v>
      </c>
      <c r="B5273" t="s">
        <v>15</v>
      </c>
      <c r="C5273">
        <v>33567</v>
      </c>
      <c r="D5273" t="str">
        <f>"33567"</f>
        <v>33567</v>
      </c>
      <c r="E5273">
        <v>64.41</v>
      </c>
    </row>
    <row r="5274" spans="1:5" x14ac:dyDescent="0.2">
      <c r="A5274">
        <v>33569</v>
      </c>
      <c r="B5274" t="s">
        <v>15</v>
      </c>
      <c r="C5274">
        <v>33569</v>
      </c>
      <c r="D5274" t="str">
        <f>"33569"</f>
        <v>33569</v>
      </c>
      <c r="E5274">
        <v>73.25</v>
      </c>
    </row>
    <row r="5275" spans="1:5" x14ac:dyDescent="0.2">
      <c r="A5275">
        <v>33570</v>
      </c>
      <c r="B5275" t="s">
        <v>15</v>
      </c>
      <c r="C5275">
        <v>33570</v>
      </c>
      <c r="D5275" t="str">
        <f>"33570"</f>
        <v>33570</v>
      </c>
      <c r="E5275">
        <v>62.68</v>
      </c>
    </row>
    <row r="5276" spans="1:5" x14ac:dyDescent="0.2">
      <c r="A5276">
        <v>33572</v>
      </c>
      <c r="B5276" t="s">
        <v>15</v>
      </c>
      <c r="C5276">
        <v>33572</v>
      </c>
      <c r="D5276" t="str">
        <f>"33572"</f>
        <v>33572</v>
      </c>
      <c r="E5276">
        <v>80.150000000000006</v>
      </c>
    </row>
    <row r="5277" spans="1:5" x14ac:dyDescent="0.2">
      <c r="A5277">
        <v>33573</v>
      </c>
      <c r="B5277" t="s">
        <v>15</v>
      </c>
      <c r="C5277">
        <v>33573</v>
      </c>
      <c r="D5277" t="str">
        <f>"33573"</f>
        <v>33573</v>
      </c>
      <c r="E5277">
        <v>75</v>
      </c>
    </row>
    <row r="5278" spans="1:5" x14ac:dyDescent="0.2">
      <c r="A5278">
        <v>33574</v>
      </c>
      <c r="B5278" t="s">
        <v>15</v>
      </c>
      <c r="C5278">
        <v>33574</v>
      </c>
      <c r="D5278" t="str">
        <f>"33574"</f>
        <v>33574</v>
      </c>
      <c r="E5278" t="s">
        <v>6</v>
      </c>
    </row>
    <row r="5279" spans="1:5" x14ac:dyDescent="0.2">
      <c r="A5279">
        <v>33576</v>
      </c>
      <c r="B5279" t="s">
        <v>15</v>
      </c>
      <c r="C5279">
        <v>33576</v>
      </c>
      <c r="D5279" t="str">
        <f>"33576"</f>
        <v>33576</v>
      </c>
      <c r="E5279">
        <v>77.290000000000006</v>
      </c>
    </row>
    <row r="5280" spans="1:5" x14ac:dyDescent="0.2">
      <c r="A5280">
        <v>33578</v>
      </c>
      <c r="B5280" t="s">
        <v>15</v>
      </c>
      <c r="C5280">
        <v>33578</v>
      </c>
      <c r="D5280" t="str">
        <f>"33578"</f>
        <v>33578</v>
      </c>
      <c r="E5280">
        <v>73.17</v>
      </c>
    </row>
    <row r="5281" spans="1:5" x14ac:dyDescent="0.2">
      <c r="A5281">
        <v>33579</v>
      </c>
      <c r="B5281" t="s">
        <v>15</v>
      </c>
      <c r="C5281">
        <v>33579</v>
      </c>
      <c r="D5281" t="str">
        <f>"33579"</f>
        <v>33579</v>
      </c>
      <c r="E5281">
        <v>72.510000000000005</v>
      </c>
    </row>
    <row r="5282" spans="1:5" x14ac:dyDescent="0.2">
      <c r="A5282">
        <v>33584</v>
      </c>
      <c r="B5282" t="s">
        <v>15</v>
      </c>
      <c r="C5282">
        <v>33584</v>
      </c>
      <c r="D5282" t="str">
        <f>"33584"</f>
        <v>33584</v>
      </c>
      <c r="E5282">
        <v>68.239999999999995</v>
      </c>
    </row>
    <row r="5283" spans="1:5" x14ac:dyDescent="0.2">
      <c r="A5283">
        <v>33585</v>
      </c>
      <c r="B5283" t="s">
        <v>15</v>
      </c>
      <c r="C5283">
        <v>33585</v>
      </c>
      <c r="D5283" t="str">
        <f>"33585"</f>
        <v>33585</v>
      </c>
      <c r="E5283">
        <v>69.09</v>
      </c>
    </row>
    <row r="5284" spans="1:5" x14ac:dyDescent="0.2">
      <c r="A5284">
        <v>33586</v>
      </c>
      <c r="B5284" t="s">
        <v>15</v>
      </c>
      <c r="C5284">
        <v>33586</v>
      </c>
      <c r="D5284" t="str">
        <f>"33586"</f>
        <v>33586</v>
      </c>
      <c r="E5284" t="s">
        <v>6</v>
      </c>
    </row>
    <row r="5285" spans="1:5" x14ac:dyDescent="0.2">
      <c r="A5285">
        <v>33592</v>
      </c>
      <c r="B5285" t="s">
        <v>15</v>
      </c>
      <c r="C5285">
        <v>33592</v>
      </c>
      <c r="D5285" t="str">
        <f>"33592"</f>
        <v>33592</v>
      </c>
      <c r="E5285">
        <v>64.38</v>
      </c>
    </row>
    <row r="5286" spans="1:5" x14ac:dyDescent="0.2">
      <c r="A5286">
        <v>33594</v>
      </c>
      <c r="B5286" t="s">
        <v>15</v>
      </c>
      <c r="C5286">
        <v>33594</v>
      </c>
      <c r="D5286" t="str">
        <f>"33594"</f>
        <v>33594</v>
      </c>
      <c r="E5286">
        <v>73.09</v>
      </c>
    </row>
    <row r="5287" spans="1:5" x14ac:dyDescent="0.2">
      <c r="A5287">
        <v>33596</v>
      </c>
      <c r="B5287" t="s">
        <v>15</v>
      </c>
      <c r="C5287">
        <v>33596</v>
      </c>
      <c r="D5287" t="str">
        <f>"33596"</f>
        <v>33596</v>
      </c>
      <c r="E5287">
        <v>78.959999999999994</v>
      </c>
    </row>
    <row r="5288" spans="1:5" x14ac:dyDescent="0.2">
      <c r="A5288">
        <v>33597</v>
      </c>
      <c r="B5288" t="s">
        <v>15</v>
      </c>
      <c r="C5288">
        <v>33597</v>
      </c>
      <c r="D5288" t="str">
        <f>"33597"</f>
        <v>33597</v>
      </c>
      <c r="E5288">
        <v>61.98</v>
      </c>
    </row>
    <row r="5289" spans="1:5" x14ac:dyDescent="0.2">
      <c r="A5289">
        <v>33598</v>
      </c>
      <c r="B5289" t="s">
        <v>15</v>
      </c>
      <c r="C5289">
        <v>33598</v>
      </c>
      <c r="D5289" t="str">
        <f>"33598"</f>
        <v>33598</v>
      </c>
      <c r="E5289">
        <v>60.86</v>
      </c>
    </row>
    <row r="5290" spans="1:5" x14ac:dyDescent="0.2">
      <c r="A5290">
        <v>33602</v>
      </c>
      <c r="B5290" t="s">
        <v>15</v>
      </c>
      <c r="C5290">
        <v>33602</v>
      </c>
      <c r="D5290" t="str">
        <f>"33602"</f>
        <v>33602</v>
      </c>
      <c r="E5290">
        <v>81.760000000000005</v>
      </c>
    </row>
    <row r="5291" spans="1:5" x14ac:dyDescent="0.2">
      <c r="A5291">
        <v>33603</v>
      </c>
      <c r="B5291" t="s">
        <v>15</v>
      </c>
      <c r="C5291">
        <v>33603</v>
      </c>
      <c r="D5291" t="str">
        <f>"33603"</f>
        <v>33603</v>
      </c>
      <c r="E5291">
        <v>67.040000000000006</v>
      </c>
    </row>
    <row r="5292" spans="1:5" x14ac:dyDescent="0.2">
      <c r="A5292">
        <v>33604</v>
      </c>
      <c r="B5292" t="s">
        <v>15</v>
      </c>
      <c r="C5292">
        <v>33604</v>
      </c>
      <c r="D5292" t="str">
        <f>"33604"</f>
        <v>33604</v>
      </c>
      <c r="E5292">
        <v>58.35</v>
      </c>
    </row>
    <row r="5293" spans="1:5" x14ac:dyDescent="0.2">
      <c r="A5293">
        <v>33605</v>
      </c>
      <c r="B5293" t="s">
        <v>15</v>
      </c>
      <c r="C5293">
        <v>33605</v>
      </c>
      <c r="D5293" t="str">
        <f>"33605"</f>
        <v>33605</v>
      </c>
      <c r="E5293">
        <v>50.26</v>
      </c>
    </row>
    <row r="5294" spans="1:5" x14ac:dyDescent="0.2">
      <c r="A5294">
        <v>33606</v>
      </c>
      <c r="B5294" t="s">
        <v>15</v>
      </c>
      <c r="C5294">
        <v>33606</v>
      </c>
      <c r="D5294" t="str">
        <f>"33606"</f>
        <v>33606</v>
      </c>
      <c r="E5294">
        <v>83.75</v>
      </c>
    </row>
    <row r="5295" spans="1:5" x14ac:dyDescent="0.2">
      <c r="A5295">
        <v>33607</v>
      </c>
      <c r="B5295" t="s">
        <v>15</v>
      </c>
      <c r="C5295">
        <v>33607</v>
      </c>
      <c r="D5295" t="str">
        <f>"33607"</f>
        <v>33607</v>
      </c>
      <c r="E5295">
        <v>65.430000000000007</v>
      </c>
    </row>
    <row r="5296" spans="1:5" x14ac:dyDescent="0.2">
      <c r="A5296">
        <v>33609</v>
      </c>
      <c r="B5296" t="s">
        <v>15</v>
      </c>
      <c r="C5296">
        <v>33609</v>
      </c>
      <c r="D5296" t="str">
        <f>"33609"</f>
        <v>33609</v>
      </c>
      <c r="E5296">
        <v>81.64</v>
      </c>
    </row>
    <row r="5297" spans="1:5" x14ac:dyDescent="0.2">
      <c r="A5297">
        <v>33610</v>
      </c>
      <c r="B5297" t="s">
        <v>15</v>
      </c>
      <c r="C5297">
        <v>33610</v>
      </c>
      <c r="D5297" t="str">
        <f>"33610"</f>
        <v>33610</v>
      </c>
      <c r="E5297">
        <v>49.9</v>
      </c>
    </row>
    <row r="5298" spans="1:5" x14ac:dyDescent="0.2">
      <c r="A5298">
        <v>33611</v>
      </c>
      <c r="B5298" t="s">
        <v>15</v>
      </c>
      <c r="C5298">
        <v>33611</v>
      </c>
      <c r="D5298" t="str">
        <f>"33611"</f>
        <v>33611</v>
      </c>
      <c r="E5298">
        <v>80.75</v>
      </c>
    </row>
    <row r="5299" spans="1:5" x14ac:dyDescent="0.2">
      <c r="A5299">
        <v>33612</v>
      </c>
      <c r="B5299" t="s">
        <v>15</v>
      </c>
      <c r="C5299">
        <v>33612</v>
      </c>
      <c r="D5299" t="str">
        <f>"33612"</f>
        <v>33612</v>
      </c>
      <c r="E5299">
        <v>53.1</v>
      </c>
    </row>
    <row r="5300" spans="1:5" x14ac:dyDescent="0.2">
      <c r="A5300">
        <v>33613</v>
      </c>
      <c r="B5300" t="s">
        <v>15</v>
      </c>
      <c r="C5300">
        <v>33613</v>
      </c>
      <c r="D5300" t="str">
        <f>"33613"</f>
        <v>33613</v>
      </c>
      <c r="E5300">
        <v>59.72</v>
      </c>
    </row>
    <row r="5301" spans="1:5" x14ac:dyDescent="0.2">
      <c r="A5301">
        <v>33614</v>
      </c>
      <c r="B5301" t="s">
        <v>15</v>
      </c>
      <c r="C5301">
        <v>33614</v>
      </c>
      <c r="D5301" t="str">
        <f>"33614"</f>
        <v>33614</v>
      </c>
      <c r="E5301">
        <v>57.98</v>
      </c>
    </row>
    <row r="5302" spans="1:5" x14ac:dyDescent="0.2">
      <c r="A5302">
        <v>33615</v>
      </c>
      <c r="B5302" t="s">
        <v>15</v>
      </c>
      <c r="C5302">
        <v>33615</v>
      </c>
      <c r="D5302" t="str">
        <f>"33615"</f>
        <v>33615</v>
      </c>
      <c r="E5302">
        <v>63.39</v>
      </c>
    </row>
    <row r="5303" spans="1:5" x14ac:dyDescent="0.2">
      <c r="A5303">
        <v>33616</v>
      </c>
      <c r="B5303" t="s">
        <v>15</v>
      </c>
      <c r="C5303">
        <v>33616</v>
      </c>
      <c r="D5303" t="str">
        <f>"33616"</f>
        <v>33616</v>
      </c>
      <c r="E5303">
        <v>74.22</v>
      </c>
    </row>
    <row r="5304" spans="1:5" x14ac:dyDescent="0.2">
      <c r="A5304">
        <v>33617</v>
      </c>
      <c r="B5304" t="s">
        <v>15</v>
      </c>
      <c r="C5304">
        <v>33617</v>
      </c>
      <c r="D5304" t="str">
        <f>"33617"</f>
        <v>33617</v>
      </c>
      <c r="E5304">
        <v>62.09</v>
      </c>
    </row>
    <row r="5305" spans="1:5" x14ac:dyDescent="0.2">
      <c r="A5305">
        <v>33618</v>
      </c>
      <c r="B5305" t="s">
        <v>15</v>
      </c>
      <c r="C5305">
        <v>33618</v>
      </c>
      <c r="D5305" t="str">
        <f>"33618"</f>
        <v>33618</v>
      </c>
      <c r="E5305">
        <v>76.790000000000006</v>
      </c>
    </row>
    <row r="5306" spans="1:5" x14ac:dyDescent="0.2">
      <c r="A5306">
        <v>33619</v>
      </c>
      <c r="B5306" t="s">
        <v>15</v>
      </c>
      <c r="C5306">
        <v>33619</v>
      </c>
      <c r="D5306" t="str">
        <f>"33619"</f>
        <v>33619</v>
      </c>
      <c r="E5306">
        <v>56.63</v>
      </c>
    </row>
    <row r="5307" spans="1:5" x14ac:dyDescent="0.2">
      <c r="A5307">
        <v>33620</v>
      </c>
      <c r="B5307" t="s">
        <v>15</v>
      </c>
      <c r="C5307">
        <v>33620</v>
      </c>
      <c r="D5307" t="str">
        <f>"33620"</f>
        <v>33620</v>
      </c>
      <c r="E5307" t="s">
        <v>6</v>
      </c>
    </row>
    <row r="5308" spans="1:5" x14ac:dyDescent="0.2">
      <c r="A5308">
        <v>33621</v>
      </c>
      <c r="B5308" t="s">
        <v>15</v>
      </c>
      <c r="C5308">
        <v>33621</v>
      </c>
      <c r="D5308" t="str">
        <f>"33621"</f>
        <v>33621</v>
      </c>
      <c r="E5308">
        <v>65.17</v>
      </c>
    </row>
    <row r="5309" spans="1:5" x14ac:dyDescent="0.2">
      <c r="A5309">
        <v>33624</v>
      </c>
      <c r="B5309" t="s">
        <v>15</v>
      </c>
      <c r="C5309">
        <v>33624</v>
      </c>
      <c r="D5309" t="str">
        <f>"33624"</f>
        <v>33624</v>
      </c>
      <c r="E5309">
        <v>73.5</v>
      </c>
    </row>
    <row r="5310" spans="1:5" x14ac:dyDescent="0.2">
      <c r="A5310">
        <v>33625</v>
      </c>
      <c r="B5310" t="s">
        <v>15</v>
      </c>
      <c r="C5310">
        <v>33625</v>
      </c>
      <c r="D5310" t="str">
        <f>"33625"</f>
        <v>33625</v>
      </c>
      <c r="E5310">
        <v>71.45</v>
      </c>
    </row>
    <row r="5311" spans="1:5" x14ac:dyDescent="0.2">
      <c r="A5311">
        <v>33626</v>
      </c>
      <c r="B5311" t="s">
        <v>15</v>
      </c>
      <c r="C5311">
        <v>33626</v>
      </c>
      <c r="D5311" t="str">
        <f>"33626"</f>
        <v>33626</v>
      </c>
      <c r="E5311">
        <v>83.45</v>
      </c>
    </row>
    <row r="5312" spans="1:5" x14ac:dyDescent="0.2">
      <c r="A5312">
        <v>33629</v>
      </c>
      <c r="B5312" t="s">
        <v>15</v>
      </c>
      <c r="C5312">
        <v>33629</v>
      </c>
      <c r="D5312" t="str">
        <f>"33629"</f>
        <v>33629</v>
      </c>
      <c r="E5312">
        <v>84.27</v>
      </c>
    </row>
    <row r="5313" spans="1:5" x14ac:dyDescent="0.2">
      <c r="A5313">
        <v>33630</v>
      </c>
      <c r="B5313" t="s">
        <v>15</v>
      </c>
      <c r="C5313">
        <v>33630</v>
      </c>
      <c r="D5313" t="str">
        <f>"33630"</f>
        <v>33630</v>
      </c>
      <c r="E5313" t="s">
        <v>6</v>
      </c>
    </row>
    <row r="5314" spans="1:5" x14ac:dyDescent="0.2">
      <c r="A5314">
        <v>33634</v>
      </c>
      <c r="B5314" t="s">
        <v>15</v>
      </c>
      <c r="C5314">
        <v>33634</v>
      </c>
      <c r="D5314" t="str">
        <f>"33634"</f>
        <v>33634</v>
      </c>
      <c r="E5314">
        <v>64.2</v>
      </c>
    </row>
    <row r="5315" spans="1:5" x14ac:dyDescent="0.2">
      <c r="A5315">
        <v>33635</v>
      </c>
      <c r="B5315" t="s">
        <v>15</v>
      </c>
      <c r="C5315">
        <v>33635</v>
      </c>
      <c r="D5315" t="str">
        <f>"33635"</f>
        <v>33635</v>
      </c>
      <c r="E5315">
        <v>73.489999999999995</v>
      </c>
    </row>
    <row r="5316" spans="1:5" x14ac:dyDescent="0.2">
      <c r="A5316">
        <v>33637</v>
      </c>
      <c r="B5316" t="s">
        <v>15</v>
      </c>
      <c r="C5316">
        <v>33637</v>
      </c>
      <c r="D5316" t="str">
        <f>"33637"</f>
        <v>33637</v>
      </c>
      <c r="E5316">
        <v>65.39</v>
      </c>
    </row>
    <row r="5317" spans="1:5" x14ac:dyDescent="0.2">
      <c r="A5317">
        <v>33647</v>
      </c>
      <c r="B5317" t="s">
        <v>15</v>
      </c>
      <c r="C5317">
        <v>33647</v>
      </c>
      <c r="D5317" t="str">
        <f>"33647"</f>
        <v>33647</v>
      </c>
      <c r="E5317">
        <v>76.66</v>
      </c>
    </row>
    <row r="5318" spans="1:5" x14ac:dyDescent="0.2">
      <c r="A5318">
        <v>33701</v>
      </c>
      <c r="B5318" t="s">
        <v>15</v>
      </c>
      <c r="C5318">
        <v>33701</v>
      </c>
      <c r="D5318" t="str">
        <f>"33701"</f>
        <v>33701</v>
      </c>
      <c r="E5318">
        <v>79.3</v>
      </c>
    </row>
    <row r="5319" spans="1:5" x14ac:dyDescent="0.2">
      <c r="A5319">
        <v>33702</v>
      </c>
      <c r="B5319" t="s">
        <v>15</v>
      </c>
      <c r="C5319">
        <v>33702</v>
      </c>
      <c r="D5319" t="str">
        <f>"33702"</f>
        <v>33702</v>
      </c>
      <c r="E5319">
        <v>73.97</v>
      </c>
    </row>
    <row r="5320" spans="1:5" x14ac:dyDescent="0.2">
      <c r="A5320">
        <v>33703</v>
      </c>
      <c r="B5320" t="s">
        <v>15</v>
      </c>
      <c r="C5320">
        <v>33703</v>
      </c>
      <c r="D5320" t="str">
        <f>"33703"</f>
        <v>33703</v>
      </c>
      <c r="E5320">
        <v>79.87</v>
      </c>
    </row>
    <row r="5321" spans="1:5" x14ac:dyDescent="0.2">
      <c r="A5321">
        <v>33704</v>
      </c>
      <c r="B5321" t="s">
        <v>15</v>
      </c>
      <c r="C5321">
        <v>33704</v>
      </c>
      <c r="D5321" t="str">
        <f>"33704"</f>
        <v>33704</v>
      </c>
      <c r="E5321">
        <v>82.44</v>
      </c>
    </row>
    <row r="5322" spans="1:5" x14ac:dyDescent="0.2">
      <c r="A5322">
        <v>33705</v>
      </c>
      <c r="B5322" t="s">
        <v>15</v>
      </c>
      <c r="C5322">
        <v>33705</v>
      </c>
      <c r="D5322" t="str">
        <f>"33705"</f>
        <v>33705</v>
      </c>
      <c r="E5322">
        <v>64.44</v>
      </c>
    </row>
    <row r="5323" spans="1:5" x14ac:dyDescent="0.2">
      <c r="A5323">
        <v>33706</v>
      </c>
      <c r="B5323" t="s">
        <v>15</v>
      </c>
      <c r="C5323">
        <v>33706</v>
      </c>
      <c r="D5323" t="str">
        <f>"33706"</f>
        <v>33706</v>
      </c>
      <c r="E5323">
        <v>81.84</v>
      </c>
    </row>
    <row r="5324" spans="1:5" x14ac:dyDescent="0.2">
      <c r="A5324">
        <v>33707</v>
      </c>
      <c r="B5324" t="s">
        <v>15</v>
      </c>
      <c r="C5324">
        <v>33707</v>
      </c>
      <c r="D5324" t="str">
        <f>"33707"</f>
        <v>33707</v>
      </c>
      <c r="E5324">
        <v>74.489999999999995</v>
      </c>
    </row>
    <row r="5325" spans="1:5" x14ac:dyDescent="0.2">
      <c r="A5325">
        <v>33708</v>
      </c>
      <c r="B5325" t="s">
        <v>15</v>
      </c>
      <c r="C5325">
        <v>33708</v>
      </c>
      <c r="D5325" t="str">
        <f>"33708"</f>
        <v>33708</v>
      </c>
      <c r="E5325">
        <v>79.64</v>
      </c>
    </row>
    <row r="5326" spans="1:5" x14ac:dyDescent="0.2">
      <c r="A5326">
        <v>33709</v>
      </c>
      <c r="B5326" t="s">
        <v>15</v>
      </c>
      <c r="C5326">
        <v>33709</v>
      </c>
      <c r="D5326" t="str">
        <f>"33709"</f>
        <v>33709</v>
      </c>
      <c r="E5326">
        <v>67.36</v>
      </c>
    </row>
    <row r="5327" spans="1:5" x14ac:dyDescent="0.2">
      <c r="A5327">
        <v>33710</v>
      </c>
      <c r="B5327" t="s">
        <v>15</v>
      </c>
      <c r="C5327">
        <v>33710</v>
      </c>
      <c r="D5327" t="str">
        <f>"33710"</f>
        <v>33710</v>
      </c>
      <c r="E5327">
        <v>76.010000000000005</v>
      </c>
    </row>
    <row r="5328" spans="1:5" x14ac:dyDescent="0.2">
      <c r="A5328">
        <v>33711</v>
      </c>
      <c r="B5328" t="s">
        <v>15</v>
      </c>
      <c r="C5328">
        <v>33711</v>
      </c>
      <c r="D5328" t="str">
        <f>"33711"</f>
        <v>33711</v>
      </c>
      <c r="E5328">
        <v>59.66</v>
      </c>
    </row>
    <row r="5329" spans="1:5" x14ac:dyDescent="0.2">
      <c r="A5329">
        <v>33712</v>
      </c>
      <c r="B5329" t="s">
        <v>15</v>
      </c>
      <c r="C5329">
        <v>33712</v>
      </c>
      <c r="D5329" t="str">
        <f>"33712"</f>
        <v>33712</v>
      </c>
      <c r="E5329">
        <v>60.35</v>
      </c>
    </row>
    <row r="5330" spans="1:5" x14ac:dyDescent="0.2">
      <c r="A5330">
        <v>33713</v>
      </c>
      <c r="B5330" t="s">
        <v>15</v>
      </c>
      <c r="C5330">
        <v>33713</v>
      </c>
      <c r="D5330" t="str">
        <f>"33713"</f>
        <v>33713</v>
      </c>
      <c r="E5330">
        <v>72.67</v>
      </c>
    </row>
    <row r="5331" spans="1:5" x14ac:dyDescent="0.2">
      <c r="A5331">
        <v>33714</v>
      </c>
      <c r="B5331" t="s">
        <v>15</v>
      </c>
      <c r="C5331">
        <v>33714</v>
      </c>
      <c r="D5331" t="str">
        <f>"33714"</f>
        <v>33714</v>
      </c>
      <c r="E5331">
        <v>63.44</v>
      </c>
    </row>
    <row r="5332" spans="1:5" x14ac:dyDescent="0.2">
      <c r="A5332">
        <v>33715</v>
      </c>
      <c r="B5332" t="s">
        <v>15</v>
      </c>
      <c r="C5332">
        <v>33715</v>
      </c>
      <c r="D5332" t="str">
        <f>"33715"</f>
        <v>33715</v>
      </c>
      <c r="E5332">
        <v>85.27</v>
      </c>
    </row>
    <row r="5333" spans="1:5" x14ac:dyDescent="0.2">
      <c r="A5333">
        <v>33716</v>
      </c>
      <c r="B5333" t="s">
        <v>15</v>
      </c>
      <c r="C5333">
        <v>33716</v>
      </c>
      <c r="D5333" t="str">
        <f>"33716"</f>
        <v>33716</v>
      </c>
      <c r="E5333">
        <v>81.48</v>
      </c>
    </row>
    <row r="5334" spans="1:5" x14ac:dyDescent="0.2">
      <c r="A5334">
        <v>33730</v>
      </c>
      <c r="B5334" t="s">
        <v>15</v>
      </c>
      <c r="C5334">
        <v>33730</v>
      </c>
      <c r="D5334" t="str">
        <f>"33730"</f>
        <v>33730</v>
      </c>
      <c r="E5334" t="s">
        <v>6</v>
      </c>
    </row>
    <row r="5335" spans="1:5" x14ac:dyDescent="0.2">
      <c r="A5335">
        <v>33744</v>
      </c>
      <c r="B5335" t="s">
        <v>15</v>
      </c>
      <c r="C5335">
        <v>33744</v>
      </c>
      <c r="D5335" t="str">
        <f>"33744"</f>
        <v>33744</v>
      </c>
      <c r="E5335" t="s">
        <v>6</v>
      </c>
    </row>
    <row r="5336" spans="1:5" x14ac:dyDescent="0.2">
      <c r="A5336">
        <v>33755</v>
      </c>
      <c r="B5336" t="s">
        <v>15</v>
      </c>
      <c r="C5336">
        <v>33755</v>
      </c>
      <c r="D5336" t="str">
        <f>"33755"</f>
        <v>33755</v>
      </c>
      <c r="E5336">
        <v>63.35</v>
      </c>
    </row>
    <row r="5337" spans="1:5" x14ac:dyDescent="0.2">
      <c r="A5337">
        <v>33756</v>
      </c>
      <c r="B5337" t="s">
        <v>15</v>
      </c>
      <c r="C5337">
        <v>33756</v>
      </c>
      <c r="D5337" t="str">
        <f>"33756"</f>
        <v>33756</v>
      </c>
      <c r="E5337">
        <v>69.56</v>
      </c>
    </row>
    <row r="5338" spans="1:5" x14ac:dyDescent="0.2">
      <c r="A5338">
        <v>33759</v>
      </c>
      <c r="B5338" t="s">
        <v>15</v>
      </c>
      <c r="C5338">
        <v>33759</v>
      </c>
      <c r="D5338" t="str">
        <f>"33759"</f>
        <v>33759</v>
      </c>
      <c r="E5338">
        <v>74.2</v>
      </c>
    </row>
    <row r="5339" spans="1:5" x14ac:dyDescent="0.2">
      <c r="A5339">
        <v>33760</v>
      </c>
      <c r="B5339" t="s">
        <v>15</v>
      </c>
      <c r="C5339">
        <v>33760</v>
      </c>
      <c r="D5339" t="str">
        <f>"33760"</f>
        <v>33760</v>
      </c>
      <c r="E5339">
        <v>69.78</v>
      </c>
    </row>
    <row r="5340" spans="1:5" x14ac:dyDescent="0.2">
      <c r="A5340">
        <v>33761</v>
      </c>
      <c r="B5340" t="s">
        <v>15</v>
      </c>
      <c r="C5340">
        <v>33761</v>
      </c>
      <c r="D5340" t="str">
        <f>"33761"</f>
        <v>33761</v>
      </c>
      <c r="E5340">
        <v>77.849999999999994</v>
      </c>
    </row>
    <row r="5341" spans="1:5" x14ac:dyDescent="0.2">
      <c r="A5341">
        <v>33762</v>
      </c>
      <c r="B5341" t="s">
        <v>15</v>
      </c>
      <c r="C5341">
        <v>33762</v>
      </c>
      <c r="D5341" t="str">
        <f>"33762"</f>
        <v>33762</v>
      </c>
      <c r="E5341">
        <v>83.13</v>
      </c>
    </row>
    <row r="5342" spans="1:5" x14ac:dyDescent="0.2">
      <c r="A5342">
        <v>33763</v>
      </c>
      <c r="B5342" t="s">
        <v>15</v>
      </c>
      <c r="C5342">
        <v>33763</v>
      </c>
      <c r="D5342" t="str">
        <f>"33763"</f>
        <v>33763</v>
      </c>
      <c r="E5342">
        <v>72.77</v>
      </c>
    </row>
    <row r="5343" spans="1:5" x14ac:dyDescent="0.2">
      <c r="A5343">
        <v>33764</v>
      </c>
      <c r="B5343" t="s">
        <v>15</v>
      </c>
      <c r="C5343">
        <v>33764</v>
      </c>
      <c r="D5343" t="str">
        <f>"33764"</f>
        <v>33764</v>
      </c>
      <c r="E5343">
        <v>74.77</v>
      </c>
    </row>
    <row r="5344" spans="1:5" x14ac:dyDescent="0.2">
      <c r="A5344">
        <v>33765</v>
      </c>
      <c r="B5344" t="s">
        <v>15</v>
      </c>
      <c r="C5344">
        <v>33765</v>
      </c>
      <c r="D5344" t="str">
        <f>"33765"</f>
        <v>33765</v>
      </c>
      <c r="E5344">
        <v>69.86</v>
      </c>
    </row>
    <row r="5345" spans="1:5" x14ac:dyDescent="0.2">
      <c r="A5345">
        <v>33767</v>
      </c>
      <c r="B5345" t="s">
        <v>15</v>
      </c>
      <c r="C5345">
        <v>33767</v>
      </c>
      <c r="D5345" t="str">
        <f>"33767"</f>
        <v>33767</v>
      </c>
      <c r="E5345">
        <v>82.33</v>
      </c>
    </row>
    <row r="5346" spans="1:5" x14ac:dyDescent="0.2">
      <c r="A5346">
        <v>33770</v>
      </c>
      <c r="B5346" t="s">
        <v>15</v>
      </c>
      <c r="C5346">
        <v>33770</v>
      </c>
      <c r="D5346" t="str">
        <f>"33770"</f>
        <v>33770</v>
      </c>
      <c r="E5346">
        <v>72.400000000000006</v>
      </c>
    </row>
    <row r="5347" spans="1:5" x14ac:dyDescent="0.2">
      <c r="A5347">
        <v>33771</v>
      </c>
      <c r="B5347" t="s">
        <v>15</v>
      </c>
      <c r="C5347">
        <v>33771</v>
      </c>
      <c r="D5347" t="str">
        <f>"33771"</f>
        <v>33771</v>
      </c>
      <c r="E5347">
        <v>70.75</v>
      </c>
    </row>
    <row r="5348" spans="1:5" x14ac:dyDescent="0.2">
      <c r="A5348">
        <v>33772</v>
      </c>
      <c r="B5348" t="s">
        <v>15</v>
      </c>
      <c r="C5348">
        <v>33772</v>
      </c>
      <c r="D5348" t="str">
        <f>"33772"</f>
        <v>33772</v>
      </c>
      <c r="E5348">
        <v>75.59</v>
      </c>
    </row>
    <row r="5349" spans="1:5" x14ac:dyDescent="0.2">
      <c r="A5349">
        <v>33773</v>
      </c>
      <c r="B5349" t="s">
        <v>15</v>
      </c>
      <c r="C5349">
        <v>33773</v>
      </c>
      <c r="D5349" t="str">
        <f>"33773"</f>
        <v>33773</v>
      </c>
      <c r="E5349">
        <v>75.84</v>
      </c>
    </row>
    <row r="5350" spans="1:5" x14ac:dyDescent="0.2">
      <c r="A5350">
        <v>33774</v>
      </c>
      <c r="B5350" t="s">
        <v>15</v>
      </c>
      <c r="C5350">
        <v>33774</v>
      </c>
      <c r="D5350" t="str">
        <f>"33774"</f>
        <v>33774</v>
      </c>
      <c r="E5350">
        <v>74.05</v>
      </c>
    </row>
    <row r="5351" spans="1:5" x14ac:dyDescent="0.2">
      <c r="A5351">
        <v>33776</v>
      </c>
      <c r="B5351" t="s">
        <v>15</v>
      </c>
      <c r="C5351">
        <v>33776</v>
      </c>
      <c r="D5351" t="str">
        <f>"33776"</f>
        <v>33776</v>
      </c>
      <c r="E5351">
        <v>79.41</v>
      </c>
    </row>
    <row r="5352" spans="1:5" x14ac:dyDescent="0.2">
      <c r="A5352">
        <v>33777</v>
      </c>
      <c r="B5352" t="s">
        <v>15</v>
      </c>
      <c r="C5352">
        <v>33777</v>
      </c>
      <c r="D5352" t="str">
        <f>"33777"</f>
        <v>33777</v>
      </c>
      <c r="E5352">
        <v>75.430000000000007</v>
      </c>
    </row>
    <row r="5353" spans="1:5" x14ac:dyDescent="0.2">
      <c r="A5353">
        <v>33778</v>
      </c>
      <c r="B5353" t="s">
        <v>15</v>
      </c>
      <c r="C5353">
        <v>33778</v>
      </c>
      <c r="D5353" t="str">
        <f>"33778"</f>
        <v>33778</v>
      </c>
      <c r="E5353">
        <v>73.040000000000006</v>
      </c>
    </row>
    <row r="5354" spans="1:5" x14ac:dyDescent="0.2">
      <c r="A5354">
        <v>33781</v>
      </c>
      <c r="B5354" t="s">
        <v>15</v>
      </c>
      <c r="C5354">
        <v>33781</v>
      </c>
      <c r="D5354" t="str">
        <f>"33781"</f>
        <v>33781</v>
      </c>
      <c r="E5354">
        <v>66.69</v>
      </c>
    </row>
    <row r="5355" spans="1:5" x14ac:dyDescent="0.2">
      <c r="A5355">
        <v>33782</v>
      </c>
      <c r="B5355" t="s">
        <v>15</v>
      </c>
      <c r="C5355">
        <v>33782</v>
      </c>
      <c r="D5355" t="str">
        <f>"33782"</f>
        <v>33782</v>
      </c>
      <c r="E5355">
        <v>73.239999999999995</v>
      </c>
    </row>
    <row r="5356" spans="1:5" x14ac:dyDescent="0.2">
      <c r="A5356">
        <v>33785</v>
      </c>
      <c r="B5356" t="s">
        <v>15</v>
      </c>
      <c r="C5356">
        <v>33785</v>
      </c>
      <c r="D5356" t="str">
        <f>"33785"</f>
        <v>33785</v>
      </c>
      <c r="E5356">
        <v>79.87</v>
      </c>
    </row>
    <row r="5357" spans="1:5" x14ac:dyDescent="0.2">
      <c r="A5357">
        <v>33786</v>
      </c>
      <c r="B5357" t="s">
        <v>15</v>
      </c>
      <c r="C5357">
        <v>33786</v>
      </c>
      <c r="D5357" t="str">
        <f>"33786"</f>
        <v>33786</v>
      </c>
      <c r="E5357">
        <v>85.06</v>
      </c>
    </row>
    <row r="5358" spans="1:5" x14ac:dyDescent="0.2">
      <c r="A5358">
        <v>33801</v>
      </c>
      <c r="B5358" t="s">
        <v>15</v>
      </c>
      <c r="C5358">
        <v>33801</v>
      </c>
      <c r="D5358" t="str">
        <f>"33801"</f>
        <v>33801</v>
      </c>
      <c r="E5358">
        <v>55.26</v>
      </c>
    </row>
    <row r="5359" spans="1:5" x14ac:dyDescent="0.2">
      <c r="A5359">
        <v>33803</v>
      </c>
      <c r="B5359" t="s">
        <v>15</v>
      </c>
      <c r="C5359">
        <v>33803</v>
      </c>
      <c r="D5359" t="str">
        <f>"33803"</f>
        <v>33803</v>
      </c>
      <c r="E5359">
        <v>70.400000000000006</v>
      </c>
    </row>
    <row r="5360" spans="1:5" x14ac:dyDescent="0.2">
      <c r="A5360">
        <v>33805</v>
      </c>
      <c r="B5360" t="s">
        <v>15</v>
      </c>
      <c r="C5360">
        <v>33805</v>
      </c>
      <c r="D5360" t="str">
        <f>"33805"</f>
        <v>33805</v>
      </c>
      <c r="E5360">
        <v>53.6</v>
      </c>
    </row>
    <row r="5361" spans="1:5" x14ac:dyDescent="0.2">
      <c r="A5361">
        <v>33807</v>
      </c>
      <c r="B5361" t="s">
        <v>15</v>
      </c>
      <c r="C5361">
        <v>33807</v>
      </c>
      <c r="D5361" t="str">
        <f>"33807"</f>
        <v>33807</v>
      </c>
      <c r="E5361" t="s">
        <v>6</v>
      </c>
    </row>
    <row r="5362" spans="1:5" x14ac:dyDescent="0.2">
      <c r="A5362">
        <v>33809</v>
      </c>
      <c r="B5362" t="s">
        <v>15</v>
      </c>
      <c r="C5362">
        <v>33809</v>
      </c>
      <c r="D5362" t="str">
        <f>"33809"</f>
        <v>33809</v>
      </c>
      <c r="E5362">
        <v>68.73</v>
      </c>
    </row>
    <row r="5363" spans="1:5" x14ac:dyDescent="0.2">
      <c r="A5363">
        <v>33810</v>
      </c>
      <c r="B5363" t="s">
        <v>15</v>
      </c>
      <c r="C5363">
        <v>33810</v>
      </c>
      <c r="D5363" t="str">
        <f>"33810"</f>
        <v>33810</v>
      </c>
      <c r="E5363">
        <v>66.73</v>
      </c>
    </row>
    <row r="5364" spans="1:5" x14ac:dyDescent="0.2">
      <c r="A5364">
        <v>33811</v>
      </c>
      <c r="B5364" t="s">
        <v>15</v>
      </c>
      <c r="C5364">
        <v>33811</v>
      </c>
      <c r="D5364" t="str">
        <f>"33811"</f>
        <v>33811</v>
      </c>
      <c r="E5364">
        <v>74.05</v>
      </c>
    </row>
    <row r="5365" spans="1:5" x14ac:dyDescent="0.2">
      <c r="A5365">
        <v>33812</v>
      </c>
      <c r="B5365" t="s">
        <v>15</v>
      </c>
      <c r="C5365">
        <v>33812</v>
      </c>
      <c r="D5365" t="str">
        <f>"33812"</f>
        <v>33812</v>
      </c>
      <c r="E5365">
        <v>75.16</v>
      </c>
    </row>
    <row r="5366" spans="1:5" x14ac:dyDescent="0.2">
      <c r="A5366">
        <v>33813</v>
      </c>
      <c r="B5366" t="s">
        <v>15</v>
      </c>
      <c r="C5366">
        <v>33813</v>
      </c>
      <c r="D5366" t="str">
        <f>"33813"</f>
        <v>33813</v>
      </c>
      <c r="E5366">
        <v>76.78</v>
      </c>
    </row>
    <row r="5367" spans="1:5" x14ac:dyDescent="0.2">
      <c r="A5367">
        <v>33815</v>
      </c>
      <c r="B5367" t="s">
        <v>15</v>
      </c>
      <c r="C5367">
        <v>33815</v>
      </c>
      <c r="D5367" t="str">
        <f>"33815"</f>
        <v>33815</v>
      </c>
      <c r="E5367">
        <v>46.53</v>
      </c>
    </row>
    <row r="5368" spans="1:5" x14ac:dyDescent="0.2">
      <c r="A5368">
        <v>33823</v>
      </c>
      <c r="B5368" t="s">
        <v>15</v>
      </c>
      <c r="C5368">
        <v>33823</v>
      </c>
      <c r="D5368" t="str">
        <f>"33823"</f>
        <v>33823</v>
      </c>
      <c r="E5368">
        <v>64.48</v>
      </c>
    </row>
    <row r="5369" spans="1:5" x14ac:dyDescent="0.2">
      <c r="A5369">
        <v>33825</v>
      </c>
      <c r="B5369" t="s">
        <v>15</v>
      </c>
      <c r="C5369">
        <v>33825</v>
      </c>
      <c r="D5369" t="str">
        <f>"33825"</f>
        <v>33825</v>
      </c>
      <c r="E5369">
        <v>56.77</v>
      </c>
    </row>
    <row r="5370" spans="1:5" x14ac:dyDescent="0.2">
      <c r="A5370">
        <v>33827</v>
      </c>
      <c r="B5370" t="s">
        <v>15</v>
      </c>
      <c r="C5370">
        <v>33827</v>
      </c>
      <c r="D5370" t="str">
        <f>"33827"</f>
        <v>33827</v>
      </c>
      <c r="E5370">
        <v>69.11</v>
      </c>
    </row>
    <row r="5371" spans="1:5" x14ac:dyDescent="0.2">
      <c r="A5371">
        <v>33830</v>
      </c>
      <c r="B5371" t="s">
        <v>15</v>
      </c>
      <c r="C5371">
        <v>33830</v>
      </c>
      <c r="D5371" t="str">
        <f>"33830"</f>
        <v>33830</v>
      </c>
      <c r="E5371">
        <v>62.53</v>
      </c>
    </row>
    <row r="5372" spans="1:5" x14ac:dyDescent="0.2">
      <c r="A5372">
        <v>33834</v>
      </c>
      <c r="B5372" t="s">
        <v>15</v>
      </c>
      <c r="C5372">
        <v>33834</v>
      </c>
      <c r="D5372" t="str">
        <f>"33834"</f>
        <v>33834</v>
      </c>
      <c r="E5372">
        <v>51.5</v>
      </c>
    </row>
    <row r="5373" spans="1:5" x14ac:dyDescent="0.2">
      <c r="A5373">
        <v>33835</v>
      </c>
      <c r="B5373" t="s">
        <v>15</v>
      </c>
      <c r="C5373">
        <v>33835</v>
      </c>
      <c r="D5373" t="str">
        <f>"33835"</f>
        <v>33835</v>
      </c>
      <c r="E5373" t="s">
        <v>6</v>
      </c>
    </row>
    <row r="5374" spans="1:5" x14ac:dyDescent="0.2">
      <c r="A5374">
        <v>33837</v>
      </c>
      <c r="B5374" t="s">
        <v>15</v>
      </c>
      <c r="C5374">
        <v>33837</v>
      </c>
      <c r="D5374" t="str">
        <f>"33837"</f>
        <v>33837</v>
      </c>
      <c r="E5374">
        <v>67.86</v>
      </c>
    </row>
    <row r="5375" spans="1:5" x14ac:dyDescent="0.2">
      <c r="A5375">
        <v>33838</v>
      </c>
      <c r="B5375" t="s">
        <v>15</v>
      </c>
      <c r="C5375">
        <v>33838</v>
      </c>
      <c r="D5375" t="str">
        <f>"33838"</f>
        <v>33838</v>
      </c>
      <c r="E5375">
        <v>56.82</v>
      </c>
    </row>
    <row r="5376" spans="1:5" x14ac:dyDescent="0.2">
      <c r="A5376">
        <v>33839</v>
      </c>
      <c r="B5376" t="s">
        <v>15</v>
      </c>
      <c r="C5376">
        <v>33839</v>
      </c>
      <c r="D5376" t="str">
        <f>"33839"</f>
        <v>33839</v>
      </c>
      <c r="E5376">
        <v>62.63</v>
      </c>
    </row>
    <row r="5377" spans="1:5" x14ac:dyDescent="0.2">
      <c r="A5377">
        <v>33841</v>
      </c>
      <c r="B5377" t="s">
        <v>15</v>
      </c>
      <c r="C5377">
        <v>33841</v>
      </c>
      <c r="D5377" t="str">
        <f>"33841"</f>
        <v>33841</v>
      </c>
      <c r="E5377">
        <v>58.51</v>
      </c>
    </row>
    <row r="5378" spans="1:5" x14ac:dyDescent="0.2">
      <c r="A5378">
        <v>33843</v>
      </c>
      <c r="B5378" t="s">
        <v>15</v>
      </c>
      <c r="C5378">
        <v>33843</v>
      </c>
      <c r="D5378" t="str">
        <f>"33843"</f>
        <v>33843</v>
      </c>
      <c r="E5378">
        <v>59.24</v>
      </c>
    </row>
    <row r="5379" spans="1:5" x14ac:dyDescent="0.2">
      <c r="A5379">
        <v>33844</v>
      </c>
      <c r="B5379" t="s">
        <v>15</v>
      </c>
      <c r="C5379">
        <v>33844</v>
      </c>
      <c r="D5379" t="str">
        <f>"33844"</f>
        <v>33844</v>
      </c>
      <c r="E5379">
        <v>56.69</v>
      </c>
    </row>
    <row r="5380" spans="1:5" x14ac:dyDescent="0.2">
      <c r="A5380">
        <v>33846</v>
      </c>
      <c r="B5380" t="s">
        <v>15</v>
      </c>
      <c r="C5380">
        <v>33846</v>
      </c>
      <c r="D5380" t="str">
        <f>"33846"</f>
        <v>33846</v>
      </c>
      <c r="E5380" t="s">
        <v>6</v>
      </c>
    </row>
    <row r="5381" spans="1:5" x14ac:dyDescent="0.2">
      <c r="A5381">
        <v>33847</v>
      </c>
      <c r="B5381" t="s">
        <v>15</v>
      </c>
      <c r="C5381">
        <v>33847</v>
      </c>
      <c r="D5381" t="str">
        <f>"33847"</f>
        <v>33847</v>
      </c>
      <c r="E5381" t="s">
        <v>6</v>
      </c>
    </row>
    <row r="5382" spans="1:5" x14ac:dyDescent="0.2">
      <c r="A5382">
        <v>33848</v>
      </c>
      <c r="B5382" t="s">
        <v>15</v>
      </c>
      <c r="C5382">
        <v>33848</v>
      </c>
      <c r="D5382" t="str">
        <f>"33848"</f>
        <v>33848</v>
      </c>
      <c r="E5382" t="s">
        <v>6</v>
      </c>
    </row>
    <row r="5383" spans="1:5" x14ac:dyDescent="0.2">
      <c r="A5383">
        <v>33849</v>
      </c>
      <c r="B5383" t="s">
        <v>15</v>
      </c>
      <c r="C5383">
        <v>33849</v>
      </c>
      <c r="D5383" t="str">
        <f>"33849"</f>
        <v>33849</v>
      </c>
      <c r="E5383">
        <v>66.67</v>
      </c>
    </row>
    <row r="5384" spans="1:5" x14ac:dyDescent="0.2">
      <c r="A5384">
        <v>33850</v>
      </c>
      <c r="B5384" t="s">
        <v>15</v>
      </c>
      <c r="C5384">
        <v>33850</v>
      </c>
      <c r="D5384" t="str">
        <f>"33850"</f>
        <v>33850</v>
      </c>
      <c r="E5384">
        <v>62.6</v>
      </c>
    </row>
    <row r="5385" spans="1:5" x14ac:dyDescent="0.2">
      <c r="A5385">
        <v>33851</v>
      </c>
      <c r="B5385" t="s">
        <v>15</v>
      </c>
      <c r="C5385">
        <v>33851</v>
      </c>
      <c r="D5385" t="str">
        <f>"33851"</f>
        <v>33851</v>
      </c>
      <c r="E5385" t="s">
        <v>6</v>
      </c>
    </row>
    <row r="5386" spans="1:5" x14ac:dyDescent="0.2">
      <c r="A5386">
        <v>33852</v>
      </c>
      <c r="B5386" t="s">
        <v>15</v>
      </c>
      <c r="C5386">
        <v>33852</v>
      </c>
      <c r="D5386" t="str">
        <f>"33852"</f>
        <v>33852</v>
      </c>
      <c r="E5386">
        <v>60.7</v>
      </c>
    </row>
    <row r="5387" spans="1:5" x14ac:dyDescent="0.2">
      <c r="A5387">
        <v>33853</v>
      </c>
      <c r="B5387" t="s">
        <v>15</v>
      </c>
      <c r="C5387">
        <v>33853</v>
      </c>
      <c r="D5387" t="str">
        <f>"33853"</f>
        <v>33853</v>
      </c>
      <c r="E5387">
        <v>54.15</v>
      </c>
    </row>
    <row r="5388" spans="1:5" x14ac:dyDescent="0.2">
      <c r="A5388">
        <v>33854</v>
      </c>
      <c r="B5388" t="s">
        <v>15</v>
      </c>
      <c r="C5388">
        <v>33854</v>
      </c>
      <c r="D5388" t="str">
        <f>"33854"</f>
        <v>33854</v>
      </c>
      <c r="E5388" t="s">
        <v>6</v>
      </c>
    </row>
    <row r="5389" spans="1:5" x14ac:dyDescent="0.2">
      <c r="A5389">
        <v>33855</v>
      </c>
      <c r="B5389" t="s">
        <v>15</v>
      </c>
      <c r="C5389">
        <v>33855</v>
      </c>
      <c r="D5389" t="str">
        <f>"33855"</f>
        <v>33855</v>
      </c>
      <c r="E5389" t="s">
        <v>6</v>
      </c>
    </row>
    <row r="5390" spans="1:5" x14ac:dyDescent="0.2">
      <c r="A5390">
        <v>33856</v>
      </c>
      <c r="B5390" t="s">
        <v>15</v>
      </c>
      <c r="C5390">
        <v>33856</v>
      </c>
      <c r="D5390" t="str">
        <f>"33856"</f>
        <v>33856</v>
      </c>
      <c r="E5390" t="s">
        <v>6</v>
      </c>
    </row>
    <row r="5391" spans="1:5" x14ac:dyDescent="0.2">
      <c r="A5391">
        <v>33857</v>
      </c>
      <c r="B5391" t="s">
        <v>15</v>
      </c>
      <c r="C5391">
        <v>33857</v>
      </c>
      <c r="D5391" t="str">
        <f>"33857"</f>
        <v>33857</v>
      </c>
      <c r="E5391">
        <v>66.67</v>
      </c>
    </row>
    <row r="5392" spans="1:5" x14ac:dyDescent="0.2">
      <c r="A5392">
        <v>33859</v>
      </c>
      <c r="B5392" t="s">
        <v>15</v>
      </c>
      <c r="C5392">
        <v>33859</v>
      </c>
      <c r="D5392" t="str">
        <f>"33859"</f>
        <v>33859</v>
      </c>
      <c r="E5392">
        <v>64.180000000000007</v>
      </c>
    </row>
    <row r="5393" spans="1:5" x14ac:dyDescent="0.2">
      <c r="A5393">
        <v>33860</v>
      </c>
      <c r="B5393" t="s">
        <v>15</v>
      </c>
      <c r="C5393">
        <v>33860</v>
      </c>
      <c r="D5393" t="str">
        <f>"33860"</f>
        <v>33860</v>
      </c>
      <c r="E5393">
        <v>63.09</v>
      </c>
    </row>
    <row r="5394" spans="1:5" x14ac:dyDescent="0.2">
      <c r="A5394">
        <v>33863</v>
      </c>
      <c r="B5394" t="s">
        <v>15</v>
      </c>
      <c r="C5394">
        <v>33863</v>
      </c>
      <c r="D5394" t="str">
        <f>"33863"</f>
        <v>33863</v>
      </c>
      <c r="E5394" t="s">
        <v>6</v>
      </c>
    </row>
    <row r="5395" spans="1:5" x14ac:dyDescent="0.2">
      <c r="A5395">
        <v>33865</v>
      </c>
      <c r="B5395" t="s">
        <v>15</v>
      </c>
      <c r="C5395">
        <v>33865</v>
      </c>
      <c r="D5395" t="str">
        <f>"33865"</f>
        <v>33865</v>
      </c>
      <c r="E5395">
        <v>64.86</v>
      </c>
    </row>
    <row r="5396" spans="1:5" x14ac:dyDescent="0.2">
      <c r="A5396">
        <v>33867</v>
      </c>
      <c r="B5396" t="s">
        <v>15</v>
      </c>
      <c r="C5396">
        <v>33867</v>
      </c>
      <c r="D5396" t="str">
        <f>"33867"</f>
        <v>33867</v>
      </c>
      <c r="E5396" t="s">
        <v>6</v>
      </c>
    </row>
    <row r="5397" spans="1:5" x14ac:dyDescent="0.2">
      <c r="A5397">
        <v>33868</v>
      </c>
      <c r="B5397" t="s">
        <v>15</v>
      </c>
      <c r="C5397">
        <v>33868</v>
      </c>
      <c r="D5397" t="str">
        <f>"33868"</f>
        <v>33868</v>
      </c>
      <c r="E5397">
        <v>67.22</v>
      </c>
    </row>
    <row r="5398" spans="1:5" x14ac:dyDescent="0.2">
      <c r="A5398">
        <v>33870</v>
      </c>
      <c r="B5398" t="s">
        <v>15</v>
      </c>
      <c r="C5398">
        <v>33870</v>
      </c>
      <c r="D5398" t="str">
        <f>"33870"</f>
        <v>33870</v>
      </c>
      <c r="E5398">
        <v>56.25</v>
      </c>
    </row>
    <row r="5399" spans="1:5" x14ac:dyDescent="0.2">
      <c r="A5399">
        <v>33872</v>
      </c>
      <c r="B5399" t="s">
        <v>15</v>
      </c>
      <c r="C5399">
        <v>33872</v>
      </c>
      <c r="D5399" t="str">
        <f>"33872"</f>
        <v>33872</v>
      </c>
      <c r="E5399">
        <v>68.209999999999994</v>
      </c>
    </row>
    <row r="5400" spans="1:5" x14ac:dyDescent="0.2">
      <c r="A5400">
        <v>33873</v>
      </c>
      <c r="B5400" t="s">
        <v>15</v>
      </c>
      <c r="C5400">
        <v>33873</v>
      </c>
      <c r="D5400" t="str">
        <f>"33873"</f>
        <v>33873</v>
      </c>
      <c r="E5400">
        <v>57.19</v>
      </c>
    </row>
    <row r="5401" spans="1:5" x14ac:dyDescent="0.2">
      <c r="A5401">
        <v>33875</v>
      </c>
      <c r="B5401" t="s">
        <v>15</v>
      </c>
      <c r="C5401">
        <v>33875</v>
      </c>
      <c r="D5401" t="str">
        <f>"33875"</f>
        <v>33875</v>
      </c>
      <c r="E5401">
        <v>69.790000000000006</v>
      </c>
    </row>
    <row r="5402" spans="1:5" x14ac:dyDescent="0.2">
      <c r="A5402">
        <v>33876</v>
      </c>
      <c r="B5402" t="s">
        <v>15</v>
      </c>
      <c r="C5402">
        <v>33876</v>
      </c>
      <c r="D5402" t="str">
        <f>"33876"</f>
        <v>33876</v>
      </c>
      <c r="E5402">
        <v>65.709999999999994</v>
      </c>
    </row>
    <row r="5403" spans="1:5" x14ac:dyDescent="0.2">
      <c r="A5403">
        <v>33877</v>
      </c>
      <c r="B5403" t="s">
        <v>15</v>
      </c>
      <c r="C5403">
        <v>33877</v>
      </c>
      <c r="D5403" t="str">
        <f>"33877"</f>
        <v>33877</v>
      </c>
      <c r="E5403" t="s">
        <v>6</v>
      </c>
    </row>
    <row r="5404" spans="1:5" x14ac:dyDescent="0.2">
      <c r="A5404">
        <v>33880</v>
      </c>
      <c r="B5404" t="s">
        <v>15</v>
      </c>
      <c r="C5404">
        <v>33880</v>
      </c>
      <c r="D5404" t="str">
        <f>"33880"</f>
        <v>33880</v>
      </c>
      <c r="E5404">
        <v>58.73</v>
      </c>
    </row>
    <row r="5405" spans="1:5" x14ac:dyDescent="0.2">
      <c r="A5405">
        <v>33881</v>
      </c>
      <c r="B5405" t="s">
        <v>15</v>
      </c>
      <c r="C5405">
        <v>33881</v>
      </c>
      <c r="D5405" t="str">
        <f>"33881"</f>
        <v>33881</v>
      </c>
      <c r="E5405">
        <v>57.64</v>
      </c>
    </row>
    <row r="5406" spans="1:5" x14ac:dyDescent="0.2">
      <c r="A5406">
        <v>33884</v>
      </c>
      <c r="B5406" t="s">
        <v>15</v>
      </c>
      <c r="C5406">
        <v>33884</v>
      </c>
      <c r="D5406" t="str">
        <f>"33884"</f>
        <v>33884</v>
      </c>
      <c r="E5406">
        <v>72.739999999999995</v>
      </c>
    </row>
    <row r="5407" spans="1:5" x14ac:dyDescent="0.2">
      <c r="A5407">
        <v>33888</v>
      </c>
      <c r="B5407" t="s">
        <v>15</v>
      </c>
      <c r="C5407">
        <v>33888</v>
      </c>
      <c r="D5407" t="str">
        <f>"33888"</f>
        <v>33888</v>
      </c>
      <c r="E5407" t="s">
        <v>6</v>
      </c>
    </row>
    <row r="5408" spans="1:5" x14ac:dyDescent="0.2">
      <c r="A5408">
        <v>33890</v>
      </c>
      <c r="B5408" t="s">
        <v>15</v>
      </c>
      <c r="C5408">
        <v>33890</v>
      </c>
      <c r="D5408" t="str">
        <f>"33890"</f>
        <v>33890</v>
      </c>
      <c r="E5408">
        <v>55.4</v>
      </c>
    </row>
    <row r="5409" spans="1:5" x14ac:dyDescent="0.2">
      <c r="A5409">
        <v>33896</v>
      </c>
      <c r="B5409" t="s">
        <v>15</v>
      </c>
      <c r="C5409">
        <v>33896</v>
      </c>
      <c r="D5409" t="str">
        <f>"33896"</f>
        <v>33896</v>
      </c>
      <c r="E5409">
        <v>73.5</v>
      </c>
    </row>
    <row r="5410" spans="1:5" x14ac:dyDescent="0.2">
      <c r="A5410">
        <v>33897</v>
      </c>
      <c r="B5410" t="s">
        <v>15</v>
      </c>
      <c r="C5410">
        <v>33897</v>
      </c>
      <c r="D5410" t="str">
        <f>"33897"</f>
        <v>33897</v>
      </c>
      <c r="E5410">
        <v>65.69</v>
      </c>
    </row>
    <row r="5411" spans="1:5" x14ac:dyDescent="0.2">
      <c r="A5411">
        <v>33898</v>
      </c>
      <c r="B5411" t="s">
        <v>15</v>
      </c>
      <c r="C5411">
        <v>33898</v>
      </c>
      <c r="D5411" t="str">
        <f>"33898"</f>
        <v>33898</v>
      </c>
      <c r="E5411">
        <v>63.51</v>
      </c>
    </row>
    <row r="5412" spans="1:5" x14ac:dyDescent="0.2">
      <c r="A5412">
        <v>33901</v>
      </c>
      <c r="B5412" t="s">
        <v>15</v>
      </c>
      <c r="C5412">
        <v>33901</v>
      </c>
      <c r="D5412" t="str">
        <f>"33901"</f>
        <v>33901</v>
      </c>
      <c r="E5412">
        <v>64.08</v>
      </c>
    </row>
    <row r="5413" spans="1:5" x14ac:dyDescent="0.2">
      <c r="A5413">
        <v>33902</v>
      </c>
      <c r="B5413" t="s">
        <v>15</v>
      </c>
      <c r="C5413">
        <v>33902</v>
      </c>
      <c r="D5413" t="str">
        <f>"33902"</f>
        <v>33902</v>
      </c>
      <c r="E5413" t="s">
        <v>6</v>
      </c>
    </row>
    <row r="5414" spans="1:5" x14ac:dyDescent="0.2">
      <c r="A5414">
        <v>33903</v>
      </c>
      <c r="B5414" t="s">
        <v>15</v>
      </c>
      <c r="C5414">
        <v>33903</v>
      </c>
      <c r="D5414" t="str">
        <f>"33903"</f>
        <v>33903</v>
      </c>
      <c r="E5414">
        <v>70.48</v>
      </c>
    </row>
    <row r="5415" spans="1:5" x14ac:dyDescent="0.2">
      <c r="A5415">
        <v>33904</v>
      </c>
      <c r="B5415" t="s">
        <v>15</v>
      </c>
      <c r="C5415">
        <v>33904</v>
      </c>
      <c r="D5415" t="str">
        <f>"33904"</f>
        <v>33904</v>
      </c>
      <c r="E5415">
        <v>74.38</v>
      </c>
    </row>
    <row r="5416" spans="1:5" x14ac:dyDescent="0.2">
      <c r="A5416">
        <v>33905</v>
      </c>
      <c r="B5416" t="s">
        <v>15</v>
      </c>
      <c r="C5416">
        <v>33905</v>
      </c>
      <c r="D5416" t="str">
        <f>"33905"</f>
        <v>33905</v>
      </c>
      <c r="E5416">
        <v>64.66</v>
      </c>
    </row>
    <row r="5417" spans="1:5" x14ac:dyDescent="0.2">
      <c r="A5417">
        <v>33906</v>
      </c>
      <c r="B5417" t="s">
        <v>15</v>
      </c>
      <c r="C5417">
        <v>33906</v>
      </c>
      <c r="D5417" t="str">
        <f>"33906"</f>
        <v>33906</v>
      </c>
      <c r="E5417" t="s">
        <v>6</v>
      </c>
    </row>
    <row r="5418" spans="1:5" x14ac:dyDescent="0.2">
      <c r="A5418">
        <v>33907</v>
      </c>
      <c r="B5418" t="s">
        <v>15</v>
      </c>
      <c r="C5418">
        <v>33907</v>
      </c>
      <c r="D5418" t="str">
        <f>"33907"</f>
        <v>33907</v>
      </c>
      <c r="E5418">
        <v>68.31</v>
      </c>
    </row>
    <row r="5419" spans="1:5" x14ac:dyDescent="0.2">
      <c r="A5419">
        <v>33908</v>
      </c>
      <c r="B5419" t="s">
        <v>15</v>
      </c>
      <c r="C5419">
        <v>33908</v>
      </c>
      <c r="D5419" t="str">
        <f>"33908"</f>
        <v>33908</v>
      </c>
      <c r="E5419">
        <v>78.92</v>
      </c>
    </row>
    <row r="5420" spans="1:5" x14ac:dyDescent="0.2">
      <c r="A5420">
        <v>33909</v>
      </c>
      <c r="B5420" t="s">
        <v>15</v>
      </c>
      <c r="C5420">
        <v>33909</v>
      </c>
      <c r="D5420" t="str">
        <f>"33909"</f>
        <v>33909</v>
      </c>
      <c r="E5420">
        <v>67.69</v>
      </c>
    </row>
    <row r="5421" spans="1:5" x14ac:dyDescent="0.2">
      <c r="A5421">
        <v>33912</v>
      </c>
      <c r="B5421" t="s">
        <v>15</v>
      </c>
      <c r="C5421">
        <v>33912</v>
      </c>
      <c r="D5421" t="str">
        <f>"33912"</f>
        <v>33912</v>
      </c>
      <c r="E5421">
        <v>81.56</v>
      </c>
    </row>
    <row r="5422" spans="1:5" x14ac:dyDescent="0.2">
      <c r="A5422">
        <v>33913</v>
      </c>
      <c r="B5422" t="s">
        <v>15</v>
      </c>
      <c r="C5422">
        <v>33913</v>
      </c>
      <c r="D5422" t="str">
        <f>"33913"</f>
        <v>33913</v>
      </c>
      <c r="E5422">
        <v>81.84</v>
      </c>
    </row>
    <row r="5423" spans="1:5" x14ac:dyDescent="0.2">
      <c r="A5423">
        <v>33914</v>
      </c>
      <c r="B5423" t="s">
        <v>15</v>
      </c>
      <c r="C5423">
        <v>33914</v>
      </c>
      <c r="D5423" t="str">
        <f>"33914"</f>
        <v>33914</v>
      </c>
      <c r="E5423">
        <v>75.260000000000005</v>
      </c>
    </row>
    <row r="5424" spans="1:5" x14ac:dyDescent="0.2">
      <c r="A5424">
        <v>33916</v>
      </c>
      <c r="B5424" t="s">
        <v>15</v>
      </c>
      <c r="C5424">
        <v>33916</v>
      </c>
      <c r="D5424" t="str">
        <f>"33916"</f>
        <v>33916</v>
      </c>
      <c r="E5424">
        <v>53.78</v>
      </c>
    </row>
    <row r="5425" spans="1:5" x14ac:dyDescent="0.2">
      <c r="A5425">
        <v>33917</v>
      </c>
      <c r="B5425" t="s">
        <v>15</v>
      </c>
      <c r="C5425">
        <v>33917</v>
      </c>
      <c r="D5425" t="str">
        <f>"33917"</f>
        <v>33917</v>
      </c>
      <c r="E5425">
        <v>69.55</v>
      </c>
    </row>
    <row r="5426" spans="1:5" x14ac:dyDescent="0.2">
      <c r="A5426">
        <v>33919</v>
      </c>
      <c r="B5426" t="s">
        <v>15</v>
      </c>
      <c r="C5426">
        <v>33919</v>
      </c>
      <c r="D5426" t="str">
        <f>"33919"</f>
        <v>33919</v>
      </c>
      <c r="E5426">
        <v>78.5</v>
      </c>
    </row>
    <row r="5427" spans="1:5" x14ac:dyDescent="0.2">
      <c r="A5427">
        <v>33920</v>
      </c>
      <c r="B5427" t="s">
        <v>15</v>
      </c>
      <c r="C5427">
        <v>33920</v>
      </c>
      <c r="D5427" t="str">
        <f>"33920"</f>
        <v>33920</v>
      </c>
      <c r="E5427">
        <v>75.760000000000005</v>
      </c>
    </row>
    <row r="5428" spans="1:5" x14ac:dyDescent="0.2">
      <c r="A5428">
        <v>33921</v>
      </c>
      <c r="B5428" t="s">
        <v>15</v>
      </c>
      <c r="C5428">
        <v>33921</v>
      </c>
      <c r="D5428" t="str">
        <f>"33921"</f>
        <v>33921</v>
      </c>
      <c r="E5428" t="s">
        <v>6</v>
      </c>
    </row>
    <row r="5429" spans="1:5" x14ac:dyDescent="0.2">
      <c r="A5429">
        <v>33922</v>
      </c>
      <c r="B5429" t="s">
        <v>15</v>
      </c>
      <c r="C5429">
        <v>33922</v>
      </c>
      <c r="D5429" t="str">
        <f>"33922"</f>
        <v>33922</v>
      </c>
      <c r="E5429">
        <v>73.3</v>
      </c>
    </row>
    <row r="5430" spans="1:5" x14ac:dyDescent="0.2">
      <c r="A5430">
        <v>33924</v>
      </c>
      <c r="B5430" t="s">
        <v>15</v>
      </c>
      <c r="C5430">
        <v>33924</v>
      </c>
      <c r="D5430" t="str">
        <f>"33924"</f>
        <v>33924</v>
      </c>
      <c r="E5430" t="s">
        <v>6</v>
      </c>
    </row>
    <row r="5431" spans="1:5" x14ac:dyDescent="0.2">
      <c r="A5431">
        <v>33928</v>
      </c>
      <c r="B5431" t="s">
        <v>15</v>
      </c>
      <c r="C5431">
        <v>33928</v>
      </c>
      <c r="D5431" t="str">
        <f>"33928"</f>
        <v>33928</v>
      </c>
      <c r="E5431">
        <v>81.97</v>
      </c>
    </row>
    <row r="5432" spans="1:5" x14ac:dyDescent="0.2">
      <c r="A5432">
        <v>33930</v>
      </c>
      <c r="B5432" t="s">
        <v>15</v>
      </c>
      <c r="C5432">
        <v>33930</v>
      </c>
      <c r="D5432" t="str">
        <f>"33930"</f>
        <v>33930</v>
      </c>
      <c r="E5432" t="s">
        <v>6</v>
      </c>
    </row>
    <row r="5433" spans="1:5" x14ac:dyDescent="0.2">
      <c r="A5433">
        <v>33931</v>
      </c>
      <c r="B5433" t="s">
        <v>15</v>
      </c>
      <c r="C5433">
        <v>33931</v>
      </c>
      <c r="D5433" t="str">
        <f>"33931"</f>
        <v>33931</v>
      </c>
      <c r="E5433">
        <v>79.63</v>
      </c>
    </row>
    <row r="5434" spans="1:5" x14ac:dyDescent="0.2">
      <c r="A5434">
        <v>33935</v>
      </c>
      <c r="B5434" t="s">
        <v>15</v>
      </c>
      <c r="C5434">
        <v>33935</v>
      </c>
      <c r="D5434" t="str">
        <f>"33935"</f>
        <v>33935</v>
      </c>
      <c r="E5434">
        <v>56.15</v>
      </c>
    </row>
    <row r="5435" spans="1:5" x14ac:dyDescent="0.2">
      <c r="A5435">
        <v>33936</v>
      </c>
      <c r="B5435" t="s">
        <v>15</v>
      </c>
      <c r="C5435">
        <v>33936</v>
      </c>
      <c r="D5435" t="str">
        <f>"33936"</f>
        <v>33936</v>
      </c>
      <c r="E5435">
        <v>60.33</v>
      </c>
    </row>
    <row r="5436" spans="1:5" x14ac:dyDescent="0.2">
      <c r="A5436">
        <v>33944</v>
      </c>
      <c r="B5436" t="s">
        <v>15</v>
      </c>
      <c r="C5436">
        <v>33944</v>
      </c>
      <c r="D5436" t="str">
        <f>"33944"</f>
        <v>33944</v>
      </c>
      <c r="E5436" t="s">
        <v>6</v>
      </c>
    </row>
    <row r="5437" spans="1:5" x14ac:dyDescent="0.2">
      <c r="A5437">
        <v>33946</v>
      </c>
      <c r="B5437" t="s">
        <v>15</v>
      </c>
      <c r="C5437">
        <v>33946</v>
      </c>
      <c r="D5437" t="str">
        <f>"33946"</f>
        <v>33946</v>
      </c>
      <c r="E5437">
        <v>81.95</v>
      </c>
    </row>
    <row r="5438" spans="1:5" x14ac:dyDescent="0.2">
      <c r="A5438">
        <v>33947</v>
      </c>
      <c r="B5438" t="s">
        <v>15</v>
      </c>
      <c r="C5438">
        <v>33947</v>
      </c>
      <c r="D5438" t="str">
        <f>"33947"</f>
        <v>33947</v>
      </c>
      <c r="E5438">
        <v>76.67</v>
      </c>
    </row>
    <row r="5439" spans="1:5" x14ac:dyDescent="0.2">
      <c r="A5439">
        <v>33948</v>
      </c>
      <c r="B5439" t="s">
        <v>15</v>
      </c>
      <c r="C5439">
        <v>33948</v>
      </c>
      <c r="D5439" t="str">
        <f>"33948"</f>
        <v>33948</v>
      </c>
      <c r="E5439">
        <v>70.64</v>
      </c>
    </row>
    <row r="5440" spans="1:5" x14ac:dyDescent="0.2">
      <c r="A5440">
        <v>33950</v>
      </c>
      <c r="B5440" t="s">
        <v>15</v>
      </c>
      <c r="C5440">
        <v>33950</v>
      </c>
      <c r="D5440" t="str">
        <f>"33950"</f>
        <v>33950</v>
      </c>
      <c r="E5440">
        <v>78.36</v>
      </c>
    </row>
    <row r="5441" spans="1:5" x14ac:dyDescent="0.2">
      <c r="A5441">
        <v>33952</v>
      </c>
      <c r="B5441" t="s">
        <v>15</v>
      </c>
      <c r="C5441">
        <v>33952</v>
      </c>
      <c r="D5441" t="str">
        <f>"33952"</f>
        <v>33952</v>
      </c>
      <c r="E5441">
        <v>66.900000000000006</v>
      </c>
    </row>
    <row r="5442" spans="1:5" x14ac:dyDescent="0.2">
      <c r="A5442">
        <v>33953</v>
      </c>
      <c r="B5442" t="s">
        <v>15</v>
      </c>
      <c r="C5442">
        <v>33953</v>
      </c>
      <c r="D5442" t="str">
        <f>"33953"</f>
        <v>33953</v>
      </c>
      <c r="E5442">
        <v>77.23</v>
      </c>
    </row>
    <row r="5443" spans="1:5" x14ac:dyDescent="0.2">
      <c r="A5443">
        <v>33954</v>
      </c>
      <c r="B5443" t="s">
        <v>15</v>
      </c>
      <c r="C5443">
        <v>33954</v>
      </c>
      <c r="D5443" t="str">
        <f>"33954"</f>
        <v>33954</v>
      </c>
      <c r="E5443">
        <v>73.12</v>
      </c>
    </row>
    <row r="5444" spans="1:5" x14ac:dyDescent="0.2">
      <c r="A5444">
        <v>33955</v>
      </c>
      <c r="B5444" t="s">
        <v>15</v>
      </c>
      <c r="C5444">
        <v>33955</v>
      </c>
      <c r="D5444" t="str">
        <f>"33955"</f>
        <v>33955</v>
      </c>
      <c r="E5444">
        <v>77.63</v>
      </c>
    </row>
    <row r="5445" spans="1:5" x14ac:dyDescent="0.2">
      <c r="A5445">
        <v>33956</v>
      </c>
      <c r="B5445" t="s">
        <v>15</v>
      </c>
      <c r="C5445">
        <v>33956</v>
      </c>
      <c r="D5445" t="str">
        <f>"33956"</f>
        <v>33956</v>
      </c>
      <c r="E5445">
        <v>76.63</v>
      </c>
    </row>
    <row r="5446" spans="1:5" x14ac:dyDescent="0.2">
      <c r="A5446">
        <v>33957</v>
      </c>
      <c r="B5446" t="s">
        <v>15</v>
      </c>
      <c r="C5446">
        <v>33957</v>
      </c>
      <c r="D5446" t="str">
        <f>"33957"</f>
        <v>33957</v>
      </c>
      <c r="E5446">
        <v>82.11</v>
      </c>
    </row>
    <row r="5447" spans="1:5" x14ac:dyDescent="0.2">
      <c r="A5447">
        <v>33960</v>
      </c>
      <c r="B5447" t="s">
        <v>15</v>
      </c>
      <c r="C5447">
        <v>33960</v>
      </c>
      <c r="D5447" t="str">
        <f>"33960"</f>
        <v>33960</v>
      </c>
      <c r="E5447">
        <v>59.46</v>
      </c>
    </row>
    <row r="5448" spans="1:5" x14ac:dyDescent="0.2">
      <c r="A5448">
        <v>33965</v>
      </c>
      <c r="B5448" t="s">
        <v>15</v>
      </c>
      <c r="C5448">
        <v>33965</v>
      </c>
      <c r="D5448" t="str">
        <f>"33965"</f>
        <v>33965</v>
      </c>
      <c r="E5448" t="s">
        <v>6</v>
      </c>
    </row>
    <row r="5449" spans="1:5" x14ac:dyDescent="0.2">
      <c r="A5449">
        <v>33966</v>
      </c>
      <c r="B5449" t="s">
        <v>15</v>
      </c>
      <c r="C5449">
        <v>33966</v>
      </c>
      <c r="D5449" t="str">
        <f>"33966"</f>
        <v>33966</v>
      </c>
      <c r="E5449">
        <v>81.510000000000005</v>
      </c>
    </row>
    <row r="5450" spans="1:5" x14ac:dyDescent="0.2">
      <c r="A5450">
        <v>33967</v>
      </c>
      <c r="B5450" t="s">
        <v>15</v>
      </c>
      <c r="C5450">
        <v>33967</v>
      </c>
      <c r="D5450" t="str">
        <f>"33967"</f>
        <v>33967</v>
      </c>
      <c r="E5450">
        <v>73.31</v>
      </c>
    </row>
    <row r="5451" spans="1:5" x14ac:dyDescent="0.2">
      <c r="A5451">
        <v>33971</v>
      </c>
      <c r="B5451" t="s">
        <v>15</v>
      </c>
      <c r="C5451">
        <v>33971</v>
      </c>
      <c r="D5451" t="str">
        <f>"33971"</f>
        <v>33971</v>
      </c>
      <c r="E5451">
        <v>59.44</v>
      </c>
    </row>
    <row r="5452" spans="1:5" x14ac:dyDescent="0.2">
      <c r="A5452">
        <v>33972</v>
      </c>
      <c r="B5452" t="s">
        <v>15</v>
      </c>
      <c r="C5452">
        <v>33972</v>
      </c>
      <c r="D5452" t="str">
        <f>"33972"</f>
        <v>33972</v>
      </c>
      <c r="E5452">
        <v>62.76</v>
      </c>
    </row>
    <row r="5453" spans="1:5" x14ac:dyDescent="0.2">
      <c r="A5453">
        <v>33973</v>
      </c>
      <c r="B5453" t="s">
        <v>15</v>
      </c>
      <c r="C5453">
        <v>33973</v>
      </c>
      <c r="D5453" t="str">
        <f>"33973"</f>
        <v>33973</v>
      </c>
      <c r="E5453">
        <v>44.24</v>
      </c>
    </row>
    <row r="5454" spans="1:5" x14ac:dyDescent="0.2">
      <c r="A5454">
        <v>33974</v>
      </c>
      <c r="B5454" t="s">
        <v>15</v>
      </c>
      <c r="C5454">
        <v>33974</v>
      </c>
      <c r="D5454" t="str">
        <f>"33974"</f>
        <v>33974</v>
      </c>
      <c r="E5454">
        <v>57.65</v>
      </c>
    </row>
    <row r="5455" spans="1:5" x14ac:dyDescent="0.2">
      <c r="A5455">
        <v>33976</v>
      </c>
      <c r="B5455" t="s">
        <v>15</v>
      </c>
      <c r="C5455">
        <v>33976</v>
      </c>
      <c r="D5455" t="str">
        <f>"33976"</f>
        <v>33976</v>
      </c>
      <c r="E5455">
        <v>55.43</v>
      </c>
    </row>
    <row r="5456" spans="1:5" x14ac:dyDescent="0.2">
      <c r="A5456">
        <v>33980</v>
      </c>
      <c r="B5456" t="s">
        <v>15</v>
      </c>
      <c r="C5456">
        <v>33980</v>
      </c>
      <c r="D5456" t="str">
        <f>"33980"</f>
        <v>33980</v>
      </c>
      <c r="E5456">
        <v>71.069999999999993</v>
      </c>
    </row>
    <row r="5457" spans="1:5" x14ac:dyDescent="0.2">
      <c r="A5457">
        <v>33981</v>
      </c>
      <c r="B5457" t="s">
        <v>15</v>
      </c>
      <c r="C5457">
        <v>33981</v>
      </c>
      <c r="D5457" t="str">
        <f>"33981"</f>
        <v>33981</v>
      </c>
      <c r="E5457">
        <v>76.010000000000005</v>
      </c>
    </row>
    <row r="5458" spans="1:5" x14ac:dyDescent="0.2">
      <c r="A5458">
        <v>33982</v>
      </c>
      <c r="B5458" t="s">
        <v>15</v>
      </c>
      <c r="C5458">
        <v>33982</v>
      </c>
      <c r="D5458" t="str">
        <f>"33982"</f>
        <v>33982</v>
      </c>
      <c r="E5458">
        <v>72.489999999999995</v>
      </c>
    </row>
    <row r="5459" spans="1:5" x14ac:dyDescent="0.2">
      <c r="A5459">
        <v>33983</v>
      </c>
      <c r="B5459" t="s">
        <v>15</v>
      </c>
      <c r="C5459">
        <v>33983</v>
      </c>
      <c r="D5459" t="str">
        <f>"33983"</f>
        <v>33983</v>
      </c>
      <c r="E5459">
        <v>73.209999999999994</v>
      </c>
    </row>
    <row r="5460" spans="1:5" x14ac:dyDescent="0.2">
      <c r="A5460">
        <v>33990</v>
      </c>
      <c r="B5460" t="s">
        <v>15</v>
      </c>
      <c r="C5460">
        <v>33990</v>
      </c>
      <c r="D5460" t="str">
        <f>"33990"</f>
        <v>33990</v>
      </c>
      <c r="E5460">
        <v>70.22</v>
      </c>
    </row>
    <row r="5461" spans="1:5" x14ac:dyDescent="0.2">
      <c r="A5461">
        <v>33991</v>
      </c>
      <c r="B5461" t="s">
        <v>15</v>
      </c>
      <c r="C5461">
        <v>33991</v>
      </c>
      <c r="D5461" t="str">
        <f>"33991"</f>
        <v>33991</v>
      </c>
      <c r="E5461">
        <v>73.58</v>
      </c>
    </row>
    <row r="5462" spans="1:5" x14ac:dyDescent="0.2">
      <c r="A5462">
        <v>33993</v>
      </c>
      <c r="B5462" t="s">
        <v>15</v>
      </c>
      <c r="C5462">
        <v>33993</v>
      </c>
      <c r="D5462" t="str">
        <f>"33993"</f>
        <v>33993</v>
      </c>
      <c r="E5462">
        <v>70.3</v>
      </c>
    </row>
    <row r="5463" spans="1:5" x14ac:dyDescent="0.2">
      <c r="A5463">
        <v>34101</v>
      </c>
      <c r="B5463" t="s">
        <v>15</v>
      </c>
      <c r="C5463">
        <v>34101</v>
      </c>
      <c r="D5463" t="str">
        <f>"34101"</f>
        <v>34101</v>
      </c>
      <c r="E5463" t="s">
        <v>6</v>
      </c>
    </row>
    <row r="5464" spans="1:5" x14ac:dyDescent="0.2">
      <c r="A5464">
        <v>34102</v>
      </c>
      <c r="B5464" t="s">
        <v>15</v>
      </c>
      <c r="C5464">
        <v>34102</v>
      </c>
      <c r="D5464" t="str">
        <f>"34102"</f>
        <v>34102</v>
      </c>
      <c r="E5464">
        <v>79.319999999999993</v>
      </c>
    </row>
    <row r="5465" spans="1:5" x14ac:dyDescent="0.2">
      <c r="A5465">
        <v>34103</v>
      </c>
      <c r="B5465" t="s">
        <v>15</v>
      </c>
      <c r="C5465">
        <v>34103</v>
      </c>
      <c r="D5465" t="str">
        <f>"34103"</f>
        <v>34103</v>
      </c>
      <c r="E5465">
        <v>79.72</v>
      </c>
    </row>
    <row r="5466" spans="1:5" x14ac:dyDescent="0.2">
      <c r="A5466">
        <v>34104</v>
      </c>
      <c r="B5466" t="s">
        <v>15</v>
      </c>
      <c r="C5466">
        <v>34104</v>
      </c>
      <c r="D5466" t="str">
        <f>"34104"</f>
        <v>34104</v>
      </c>
      <c r="E5466">
        <v>71.41</v>
      </c>
    </row>
    <row r="5467" spans="1:5" x14ac:dyDescent="0.2">
      <c r="A5467">
        <v>34105</v>
      </c>
      <c r="B5467" t="s">
        <v>15</v>
      </c>
      <c r="C5467">
        <v>34105</v>
      </c>
      <c r="D5467" t="str">
        <f>"34105"</f>
        <v>34105</v>
      </c>
      <c r="E5467">
        <v>79.81</v>
      </c>
    </row>
    <row r="5468" spans="1:5" x14ac:dyDescent="0.2">
      <c r="A5468">
        <v>34108</v>
      </c>
      <c r="B5468" t="s">
        <v>15</v>
      </c>
      <c r="C5468">
        <v>34108</v>
      </c>
      <c r="D5468" t="str">
        <f>"34108"</f>
        <v>34108</v>
      </c>
      <c r="E5468">
        <v>80.680000000000007</v>
      </c>
    </row>
    <row r="5469" spans="1:5" x14ac:dyDescent="0.2">
      <c r="A5469">
        <v>34109</v>
      </c>
      <c r="B5469" t="s">
        <v>15</v>
      </c>
      <c r="C5469">
        <v>34109</v>
      </c>
      <c r="D5469" t="str">
        <f>"34109"</f>
        <v>34109</v>
      </c>
      <c r="E5469">
        <v>77.400000000000006</v>
      </c>
    </row>
    <row r="5470" spans="1:5" x14ac:dyDescent="0.2">
      <c r="A5470">
        <v>34110</v>
      </c>
      <c r="B5470" t="s">
        <v>15</v>
      </c>
      <c r="C5470">
        <v>34110</v>
      </c>
      <c r="D5470" t="str">
        <f>"34110"</f>
        <v>34110</v>
      </c>
      <c r="E5470">
        <v>81.39</v>
      </c>
    </row>
    <row r="5471" spans="1:5" x14ac:dyDescent="0.2">
      <c r="A5471">
        <v>34112</v>
      </c>
      <c r="B5471" t="s">
        <v>15</v>
      </c>
      <c r="C5471">
        <v>34112</v>
      </c>
      <c r="D5471" t="str">
        <f>"34112"</f>
        <v>34112</v>
      </c>
      <c r="E5471">
        <v>72.37</v>
      </c>
    </row>
    <row r="5472" spans="1:5" x14ac:dyDescent="0.2">
      <c r="A5472">
        <v>34113</v>
      </c>
      <c r="B5472" t="s">
        <v>15</v>
      </c>
      <c r="C5472">
        <v>34113</v>
      </c>
      <c r="D5472" t="str">
        <f>"34113"</f>
        <v>34113</v>
      </c>
      <c r="E5472">
        <v>70.03</v>
      </c>
    </row>
    <row r="5473" spans="1:5" x14ac:dyDescent="0.2">
      <c r="A5473">
        <v>34114</v>
      </c>
      <c r="B5473" t="s">
        <v>15</v>
      </c>
      <c r="C5473">
        <v>34114</v>
      </c>
      <c r="D5473" t="str">
        <f>"34114"</f>
        <v>34114</v>
      </c>
      <c r="E5473">
        <v>74.42</v>
      </c>
    </row>
    <row r="5474" spans="1:5" x14ac:dyDescent="0.2">
      <c r="A5474">
        <v>34116</v>
      </c>
      <c r="B5474" t="s">
        <v>15</v>
      </c>
      <c r="C5474">
        <v>34116</v>
      </c>
      <c r="D5474" t="str">
        <f>"34116"</f>
        <v>34116</v>
      </c>
      <c r="E5474">
        <v>59.42</v>
      </c>
    </row>
    <row r="5475" spans="1:5" x14ac:dyDescent="0.2">
      <c r="A5475">
        <v>34117</v>
      </c>
      <c r="B5475" t="s">
        <v>15</v>
      </c>
      <c r="C5475">
        <v>34117</v>
      </c>
      <c r="D5475" t="str">
        <f>"34117"</f>
        <v>34117</v>
      </c>
      <c r="E5475">
        <v>71.37</v>
      </c>
    </row>
    <row r="5476" spans="1:5" x14ac:dyDescent="0.2">
      <c r="A5476">
        <v>34119</v>
      </c>
      <c r="B5476" t="s">
        <v>15</v>
      </c>
      <c r="C5476">
        <v>34119</v>
      </c>
      <c r="D5476" t="str">
        <f>"34119"</f>
        <v>34119</v>
      </c>
      <c r="E5476">
        <v>79.42</v>
      </c>
    </row>
    <row r="5477" spans="1:5" x14ac:dyDescent="0.2">
      <c r="A5477">
        <v>34120</v>
      </c>
      <c r="B5477" t="s">
        <v>15</v>
      </c>
      <c r="C5477">
        <v>34120</v>
      </c>
      <c r="D5477" t="str">
        <f>"34120"</f>
        <v>34120</v>
      </c>
      <c r="E5477">
        <v>73.2</v>
      </c>
    </row>
    <row r="5478" spans="1:5" x14ac:dyDescent="0.2">
      <c r="A5478">
        <v>34134</v>
      </c>
      <c r="B5478" t="s">
        <v>15</v>
      </c>
      <c r="C5478">
        <v>34134</v>
      </c>
      <c r="D5478" t="str">
        <f>"34134"</f>
        <v>34134</v>
      </c>
      <c r="E5478">
        <v>84.61</v>
      </c>
    </row>
    <row r="5479" spans="1:5" x14ac:dyDescent="0.2">
      <c r="A5479">
        <v>34135</v>
      </c>
      <c r="B5479" t="s">
        <v>15</v>
      </c>
      <c r="C5479">
        <v>34135</v>
      </c>
      <c r="D5479" t="str">
        <f>"34135"</f>
        <v>34135</v>
      </c>
      <c r="E5479">
        <v>76.38</v>
      </c>
    </row>
    <row r="5480" spans="1:5" x14ac:dyDescent="0.2">
      <c r="A5480">
        <v>34138</v>
      </c>
      <c r="B5480" t="s">
        <v>15</v>
      </c>
      <c r="C5480">
        <v>34138</v>
      </c>
      <c r="D5480" t="str">
        <f>"34138"</f>
        <v>34138</v>
      </c>
      <c r="E5480" t="s">
        <v>6</v>
      </c>
    </row>
    <row r="5481" spans="1:5" x14ac:dyDescent="0.2">
      <c r="A5481">
        <v>34139</v>
      </c>
      <c r="B5481" t="s">
        <v>15</v>
      </c>
      <c r="C5481">
        <v>34139</v>
      </c>
      <c r="D5481" t="str">
        <f>"34139"</f>
        <v>34139</v>
      </c>
      <c r="E5481" t="s">
        <v>6</v>
      </c>
    </row>
    <row r="5482" spans="1:5" x14ac:dyDescent="0.2">
      <c r="A5482">
        <v>34140</v>
      </c>
      <c r="B5482" t="s">
        <v>15</v>
      </c>
      <c r="C5482">
        <v>34140</v>
      </c>
      <c r="D5482" t="str">
        <f>"34140"</f>
        <v>34140</v>
      </c>
      <c r="E5482" t="s">
        <v>6</v>
      </c>
    </row>
    <row r="5483" spans="1:5" x14ac:dyDescent="0.2">
      <c r="A5483">
        <v>34141</v>
      </c>
      <c r="B5483" t="s">
        <v>15</v>
      </c>
      <c r="C5483">
        <v>34141</v>
      </c>
      <c r="D5483" t="str">
        <f>"34141"</f>
        <v>34141</v>
      </c>
      <c r="E5483">
        <v>94.12</v>
      </c>
    </row>
    <row r="5484" spans="1:5" x14ac:dyDescent="0.2">
      <c r="A5484">
        <v>34142</v>
      </c>
      <c r="B5484" t="s">
        <v>15</v>
      </c>
      <c r="C5484">
        <v>34142</v>
      </c>
      <c r="D5484" t="str">
        <f>"34142"</f>
        <v>34142</v>
      </c>
      <c r="E5484">
        <v>46.07</v>
      </c>
    </row>
    <row r="5485" spans="1:5" x14ac:dyDescent="0.2">
      <c r="A5485">
        <v>34145</v>
      </c>
      <c r="B5485" t="s">
        <v>15</v>
      </c>
      <c r="C5485">
        <v>34145</v>
      </c>
      <c r="D5485" t="str">
        <f>"34145"</f>
        <v>34145</v>
      </c>
      <c r="E5485">
        <v>80.5</v>
      </c>
    </row>
    <row r="5486" spans="1:5" x14ac:dyDescent="0.2">
      <c r="A5486">
        <v>34201</v>
      </c>
      <c r="B5486" t="s">
        <v>15</v>
      </c>
      <c r="C5486">
        <v>34201</v>
      </c>
      <c r="D5486" t="str">
        <f>"34201"</f>
        <v>34201</v>
      </c>
      <c r="E5486">
        <v>83.57</v>
      </c>
    </row>
    <row r="5487" spans="1:5" x14ac:dyDescent="0.2">
      <c r="A5487">
        <v>34202</v>
      </c>
      <c r="B5487" t="s">
        <v>15</v>
      </c>
      <c r="C5487">
        <v>34202</v>
      </c>
      <c r="D5487" t="str">
        <f>"34202"</f>
        <v>34202</v>
      </c>
      <c r="E5487">
        <v>83.12</v>
      </c>
    </row>
    <row r="5488" spans="1:5" x14ac:dyDescent="0.2">
      <c r="A5488">
        <v>34203</v>
      </c>
      <c r="B5488" t="s">
        <v>15</v>
      </c>
      <c r="C5488">
        <v>34203</v>
      </c>
      <c r="D5488" t="str">
        <f>"34203"</f>
        <v>34203</v>
      </c>
      <c r="E5488">
        <v>67.900000000000006</v>
      </c>
    </row>
    <row r="5489" spans="1:5" x14ac:dyDescent="0.2">
      <c r="A5489">
        <v>34205</v>
      </c>
      <c r="B5489" t="s">
        <v>15</v>
      </c>
      <c r="C5489">
        <v>34205</v>
      </c>
      <c r="D5489" t="str">
        <f>"34205"</f>
        <v>34205</v>
      </c>
      <c r="E5489">
        <v>63.76</v>
      </c>
    </row>
    <row r="5490" spans="1:5" x14ac:dyDescent="0.2">
      <c r="A5490">
        <v>34207</v>
      </c>
      <c r="B5490" t="s">
        <v>15</v>
      </c>
      <c r="C5490">
        <v>34207</v>
      </c>
      <c r="D5490" t="str">
        <f>"34207"</f>
        <v>34207</v>
      </c>
      <c r="E5490">
        <v>61.77</v>
      </c>
    </row>
    <row r="5491" spans="1:5" x14ac:dyDescent="0.2">
      <c r="A5491">
        <v>34208</v>
      </c>
      <c r="B5491" t="s">
        <v>15</v>
      </c>
      <c r="C5491">
        <v>34208</v>
      </c>
      <c r="D5491" t="str">
        <f>"34208"</f>
        <v>34208</v>
      </c>
      <c r="E5491">
        <v>61.36</v>
      </c>
    </row>
    <row r="5492" spans="1:5" x14ac:dyDescent="0.2">
      <c r="A5492">
        <v>34209</v>
      </c>
      <c r="B5492" t="s">
        <v>15</v>
      </c>
      <c r="C5492">
        <v>34209</v>
      </c>
      <c r="D5492" t="str">
        <f>"34209"</f>
        <v>34209</v>
      </c>
      <c r="E5492">
        <v>77.180000000000007</v>
      </c>
    </row>
    <row r="5493" spans="1:5" x14ac:dyDescent="0.2">
      <c r="A5493">
        <v>34210</v>
      </c>
      <c r="B5493" t="s">
        <v>15</v>
      </c>
      <c r="C5493">
        <v>34210</v>
      </c>
      <c r="D5493" t="str">
        <f>"34210"</f>
        <v>34210</v>
      </c>
      <c r="E5493">
        <v>74.42</v>
      </c>
    </row>
    <row r="5494" spans="1:5" x14ac:dyDescent="0.2">
      <c r="A5494">
        <v>34211</v>
      </c>
      <c r="B5494" t="s">
        <v>15</v>
      </c>
      <c r="C5494">
        <v>34211</v>
      </c>
      <c r="D5494" t="str">
        <f>"34211"</f>
        <v>34211</v>
      </c>
      <c r="E5494">
        <v>82.95</v>
      </c>
    </row>
    <row r="5495" spans="1:5" x14ac:dyDescent="0.2">
      <c r="A5495">
        <v>34212</v>
      </c>
      <c r="B5495" t="s">
        <v>15</v>
      </c>
      <c r="C5495">
        <v>34212</v>
      </c>
      <c r="D5495" t="str">
        <f>"34212"</f>
        <v>34212</v>
      </c>
      <c r="E5495">
        <v>80.569999999999993</v>
      </c>
    </row>
    <row r="5496" spans="1:5" x14ac:dyDescent="0.2">
      <c r="A5496">
        <v>34215</v>
      </c>
      <c r="B5496" t="s">
        <v>15</v>
      </c>
      <c r="C5496">
        <v>34215</v>
      </c>
      <c r="D5496" t="str">
        <f>"34215"</f>
        <v>34215</v>
      </c>
      <c r="E5496">
        <v>78.260000000000005</v>
      </c>
    </row>
    <row r="5497" spans="1:5" x14ac:dyDescent="0.2">
      <c r="A5497">
        <v>34216</v>
      </c>
      <c r="B5497" t="s">
        <v>15</v>
      </c>
      <c r="C5497">
        <v>34216</v>
      </c>
      <c r="D5497" t="str">
        <f>"34216"</f>
        <v>34216</v>
      </c>
      <c r="E5497" t="s">
        <v>6</v>
      </c>
    </row>
    <row r="5498" spans="1:5" x14ac:dyDescent="0.2">
      <c r="A5498">
        <v>34217</v>
      </c>
      <c r="B5498" t="s">
        <v>15</v>
      </c>
      <c r="C5498">
        <v>34217</v>
      </c>
      <c r="D5498" t="str">
        <f>"34217"</f>
        <v>34217</v>
      </c>
      <c r="E5498">
        <v>79.34</v>
      </c>
    </row>
    <row r="5499" spans="1:5" x14ac:dyDescent="0.2">
      <c r="A5499">
        <v>34219</v>
      </c>
      <c r="B5499" t="s">
        <v>15</v>
      </c>
      <c r="C5499">
        <v>34219</v>
      </c>
      <c r="D5499" t="str">
        <f>"34219"</f>
        <v>34219</v>
      </c>
      <c r="E5499">
        <v>80.16</v>
      </c>
    </row>
    <row r="5500" spans="1:5" x14ac:dyDescent="0.2">
      <c r="A5500">
        <v>34221</v>
      </c>
      <c r="B5500" t="s">
        <v>15</v>
      </c>
      <c r="C5500">
        <v>34221</v>
      </c>
      <c r="D5500" t="str">
        <f>"34221"</f>
        <v>34221</v>
      </c>
      <c r="E5500">
        <v>69.650000000000006</v>
      </c>
    </row>
    <row r="5501" spans="1:5" x14ac:dyDescent="0.2">
      <c r="A5501">
        <v>34222</v>
      </c>
      <c r="B5501" t="s">
        <v>15</v>
      </c>
      <c r="C5501">
        <v>34222</v>
      </c>
      <c r="D5501" t="str">
        <f>"34222"</f>
        <v>34222</v>
      </c>
      <c r="E5501">
        <v>70.52</v>
      </c>
    </row>
    <row r="5502" spans="1:5" x14ac:dyDescent="0.2">
      <c r="A5502">
        <v>34223</v>
      </c>
      <c r="B5502" t="s">
        <v>15</v>
      </c>
      <c r="C5502">
        <v>34223</v>
      </c>
      <c r="D5502" t="str">
        <f>"34223"</f>
        <v>34223</v>
      </c>
      <c r="E5502">
        <v>76.150000000000006</v>
      </c>
    </row>
    <row r="5503" spans="1:5" x14ac:dyDescent="0.2">
      <c r="A5503">
        <v>34224</v>
      </c>
      <c r="B5503" t="s">
        <v>15</v>
      </c>
      <c r="C5503">
        <v>34224</v>
      </c>
      <c r="D5503" t="str">
        <f>"34224"</f>
        <v>34224</v>
      </c>
      <c r="E5503">
        <v>72.78</v>
      </c>
    </row>
    <row r="5504" spans="1:5" x14ac:dyDescent="0.2">
      <c r="A5504">
        <v>34228</v>
      </c>
      <c r="B5504" t="s">
        <v>15</v>
      </c>
      <c r="C5504">
        <v>34228</v>
      </c>
      <c r="D5504" t="str">
        <f>"34228"</f>
        <v>34228</v>
      </c>
      <c r="E5504">
        <v>87.08</v>
      </c>
    </row>
    <row r="5505" spans="1:5" x14ac:dyDescent="0.2">
      <c r="A5505">
        <v>34229</v>
      </c>
      <c r="B5505" t="s">
        <v>15</v>
      </c>
      <c r="C5505">
        <v>34229</v>
      </c>
      <c r="D5505" t="str">
        <f>"34229"</f>
        <v>34229</v>
      </c>
      <c r="E5505">
        <v>80.2</v>
      </c>
    </row>
    <row r="5506" spans="1:5" x14ac:dyDescent="0.2">
      <c r="A5506">
        <v>34231</v>
      </c>
      <c r="B5506" t="s">
        <v>15</v>
      </c>
      <c r="C5506">
        <v>34231</v>
      </c>
      <c r="D5506" t="str">
        <f>"34231"</f>
        <v>34231</v>
      </c>
      <c r="E5506">
        <v>74.400000000000006</v>
      </c>
    </row>
    <row r="5507" spans="1:5" x14ac:dyDescent="0.2">
      <c r="A5507">
        <v>34232</v>
      </c>
      <c r="B5507" t="s">
        <v>15</v>
      </c>
      <c r="C5507">
        <v>34232</v>
      </c>
      <c r="D5507" t="str">
        <f>"34232"</f>
        <v>34232</v>
      </c>
      <c r="E5507">
        <v>73.81</v>
      </c>
    </row>
    <row r="5508" spans="1:5" x14ac:dyDescent="0.2">
      <c r="A5508">
        <v>34233</v>
      </c>
      <c r="B5508" t="s">
        <v>15</v>
      </c>
      <c r="C5508">
        <v>34233</v>
      </c>
      <c r="D5508" t="str">
        <f>"34233"</f>
        <v>34233</v>
      </c>
      <c r="E5508">
        <v>75.180000000000007</v>
      </c>
    </row>
    <row r="5509" spans="1:5" x14ac:dyDescent="0.2">
      <c r="A5509">
        <v>34234</v>
      </c>
      <c r="B5509" t="s">
        <v>15</v>
      </c>
      <c r="C5509">
        <v>34234</v>
      </c>
      <c r="D5509" t="str">
        <f>"34234"</f>
        <v>34234</v>
      </c>
      <c r="E5509">
        <v>58</v>
      </c>
    </row>
    <row r="5510" spans="1:5" x14ac:dyDescent="0.2">
      <c r="A5510">
        <v>34235</v>
      </c>
      <c r="B5510" t="s">
        <v>15</v>
      </c>
      <c r="C5510">
        <v>34235</v>
      </c>
      <c r="D5510" t="str">
        <f>"34235"</f>
        <v>34235</v>
      </c>
      <c r="E5510">
        <v>74.430000000000007</v>
      </c>
    </row>
    <row r="5511" spans="1:5" x14ac:dyDescent="0.2">
      <c r="A5511">
        <v>34236</v>
      </c>
      <c r="B5511" t="s">
        <v>15</v>
      </c>
      <c r="C5511">
        <v>34236</v>
      </c>
      <c r="D5511" t="str">
        <f>"34236"</f>
        <v>34236</v>
      </c>
      <c r="E5511">
        <v>79.66</v>
      </c>
    </row>
    <row r="5512" spans="1:5" x14ac:dyDescent="0.2">
      <c r="A5512">
        <v>34237</v>
      </c>
      <c r="B5512" t="s">
        <v>15</v>
      </c>
      <c r="C5512">
        <v>34237</v>
      </c>
      <c r="D5512" t="str">
        <f>"34237"</f>
        <v>34237</v>
      </c>
      <c r="E5512">
        <v>67.709999999999994</v>
      </c>
    </row>
    <row r="5513" spans="1:5" x14ac:dyDescent="0.2">
      <c r="A5513">
        <v>34238</v>
      </c>
      <c r="B5513" t="s">
        <v>15</v>
      </c>
      <c r="C5513">
        <v>34238</v>
      </c>
      <c r="D5513" t="str">
        <f>"34238"</f>
        <v>34238</v>
      </c>
      <c r="E5513">
        <v>81.290000000000006</v>
      </c>
    </row>
    <row r="5514" spans="1:5" x14ac:dyDescent="0.2">
      <c r="A5514">
        <v>34239</v>
      </c>
      <c r="B5514" t="s">
        <v>15</v>
      </c>
      <c r="C5514">
        <v>34239</v>
      </c>
      <c r="D5514" t="str">
        <f>"34239"</f>
        <v>34239</v>
      </c>
      <c r="E5514">
        <v>75.39</v>
      </c>
    </row>
    <row r="5515" spans="1:5" x14ac:dyDescent="0.2">
      <c r="A5515">
        <v>34240</v>
      </c>
      <c r="B5515" t="s">
        <v>15</v>
      </c>
      <c r="C5515">
        <v>34240</v>
      </c>
      <c r="D5515" t="str">
        <f>"34240"</f>
        <v>34240</v>
      </c>
      <c r="E5515">
        <v>81.010000000000005</v>
      </c>
    </row>
    <row r="5516" spans="1:5" x14ac:dyDescent="0.2">
      <c r="A5516">
        <v>34241</v>
      </c>
      <c r="B5516" t="s">
        <v>15</v>
      </c>
      <c r="C5516">
        <v>34241</v>
      </c>
      <c r="D5516" t="str">
        <f>"34241"</f>
        <v>34241</v>
      </c>
      <c r="E5516">
        <v>78.900000000000006</v>
      </c>
    </row>
    <row r="5517" spans="1:5" x14ac:dyDescent="0.2">
      <c r="A5517">
        <v>34242</v>
      </c>
      <c r="B5517" t="s">
        <v>15</v>
      </c>
      <c r="C5517">
        <v>34242</v>
      </c>
      <c r="D5517" t="str">
        <f>"34242"</f>
        <v>34242</v>
      </c>
      <c r="E5517">
        <v>81.489999999999995</v>
      </c>
    </row>
    <row r="5518" spans="1:5" x14ac:dyDescent="0.2">
      <c r="A5518">
        <v>34243</v>
      </c>
      <c r="B5518" t="s">
        <v>15</v>
      </c>
      <c r="C5518">
        <v>34243</v>
      </c>
      <c r="D5518" t="str">
        <f>"34243"</f>
        <v>34243</v>
      </c>
      <c r="E5518">
        <v>78.16</v>
      </c>
    </row>
    <row r="5519" spans="1:5" x14ac:dyDescent="0.2">
      <c r="A5519">
        <v>34250</v>
      </c>
      <c r="B5519" t="s">
        <v>15</v>
      </c>
      <c r="C5519">
        <v>34250</v>
      </c>
      <c r="D5519" t="str">
        <f>"34250"</f>
        <v>34250</v>
      </c>
      <c r="E5519" t="s">
        <v>6</v>
      </c>
    </row>
    <row r="5520" spans="1:5" x14ac:dyDescent="0.2">
      <c r="A5520">
        <v>34251</v>
      </c>
      <c r="B5520" t="s">
        <v>15</v>
      </c>
      <c r="C5520">
        <v>34251</v>
      </c>
      <c r="D5520" t="str">
        <f>"34251"</f>
        <v>34251</v>
      </c>
      <c r="E5520">
        <v>70.3</v>
      </c>
    </row>
    <row r="5521" spans="1:5" x14ac:dyDescent="0.2">
      <c r="A5521">
        <v>34266</v>
      </c>
      <c r="B5521" t="s">
        <v>15</v>
      </c>
      <c r="C5521">
        <v>34266</v>
      </c>
      <c r="D5521" t="str">
        <f>"34266"</f>
        <v>34266</v>
      </c>
      <c r="E5521">
        <v>57.31</v>
      </c>
    </row>
    <row r="5522" spans="1:5" x14ac:dyDescent="0.2">
      <c r="A5522">
        <v>34267</v>
      </c>
      <c r="B5522" t="s">
        <v>15</v>
      </c>
      <c r="C5522">
        <v>34267</v>
      </c>
      <c r="D5522" t="str">
        <f>"34267"</f>
        <v>34267</v>
      </c>
      <c r="E5522" t="s">
        <v>6</v>
      </c>
    </row>
    <row r="5523" spans="1:5" x14ac:dyDescent="0.2">
      <c r="A5523">
        <v>34269</v>
      </c>
      <c r="B5523" t="s">
        <v>15</v>
      </c>
      <c r="C5523">
        <v>34269</v>
      </c>
      <c r="D5523" t="str">
        <f>"34269"</f>
        <v>34269</v>
      </c>
      <c r="E5523">
        <v>73.41</v>
      </c>
    </row>
    <row r="5524" spans="1:5" x14ac:dyDescent="0.2">
      <c r="A5524">
        <v>34275</v>
      </c>
      <c r="B5524" t="s">
        <v>15</v>
      </c>
      <c r="C5524">
        <v>34275</v>
      </c>
      <c r="D5524" t="str">
        <f>"34275"</f>
        <v>34275</v>
      </c>
      <c r="E5524">
        <v>78.17</v>
      </c>
    </row>
    <row r="5525" spans="1:5" x14ac:dyDescent="0.2">
      <c r="A5525">
        <v>34285</v>
      </c>
      <c r="B5525" t="s">
        <v>15</v>
      </c>
      <c r="C5525">
        <v>34285</v>
      </c>
      <c r="D5525" t="str">
        <f>"34285"</f>
        <v>34285</v>
      </c>
      <c r="E5525">
        <v>76.930000000000007</v>
      </c>
    </row>
    <row r="5526" spans="1:5" x14ac:dyDescent="0.2">
      <c r="A5526">
        <v>34286</v>
      </c>
      <c r="B5526" t="s">
        <v>15</v>
      </c>
      <c r="C5526">
        <v>34286</v>
      </c>
      <c r="D5526" t="str">
        <f>"34286"</f>
        <v>34286</v>
      </c>
      <c r="E5526">
        <v>70.87</v>
      </c>
    </row>
    <row r="5527" spans="1:5" x14ac:dyDescent="0.2">
      <c r="A5527">
        <v>34287</v>
      </c>
      <c r="B5527" t="s">
        <v>15</v>
      </c>
      <c r="C5527">
        <v>34287</v>
      </c>
      <c r="D5527" t="str">
        <f>"34287"</f>
        <v>34287</v>
      </c>
      <c r="E5527">
        <v>68.25</v>
      </c>
    </row>
    <row r="5528" spans="1:5" x14ac:dyDescent="0.2">
      <c r="A5528">
        <v>34288</v>
      </c>
      <c r="B5528" t="s">
        <v>15</v>
      </c>
      <c r="C5528">
        <v>34288</v>
      </c>
      <c r="D5528" t="str">
        <f>"34288"</f>
        <v>34288</v>
      </c>
      <c r="E5528">
        <v>71.709999999999994</v>
      </c>
    </row>
    <row r="5529" spans="1:5" x14ac:dyDescent="0.2">
      <c r="A5529">
        <v>34289</v>
      </c>
      <c r="B5529" t="s">
        <v>15</v>
      </c>
      <c r="C5529">
        <v>34289</v>
      </c>
      <c r="D5529" t="str">
        <f>"34289"</f>
        <v>34289</v>
      </c>
      <c r="E5529">
        <v>75.52</v>
      </c>
    </row>
    <row r="5530" spans="1:5" x14ac:dyDescent="0.2">
      <c r="A5530">
        <v>34291</v>
      </c>
      <c r="B5530" t="s">
        <v>15</v>
      </c>
      <c r="C5530">
        <v>34291</v>
      </c>
      <c r="D5530" t="str">
        <f>"34291"</f>
        <v>34291</v>
      </c>
      <c r="E5530">
        <v>71.31</v>
      </c>
    </row>
    <row r="5531" spans="1:5" x14ac:dyDescent="0.2">
      <c r="A5531">
        <v>34292</v>
      </c>
      <c r="B5531" t="s">
        <v>15</v>
      </c>
      <c r="C5531">
        <v>34292</v>
      </c>
      <c r="D5531" t="str">
        <f>"34292"</f>
        <v>34292</v>
      </c>
      <c r="E5531">
        <v>81.3</v>
      </c>
    </row>
    <row r="5532" spans="1:5" x14ac:dyDescent="0.2">
      <c r="A5532">
        <v>34293</v>
      </c>
      <c r="B5532" t="s">
        <v>15</v>
      </c>
      <c r="C5532">
        <v>34293</v>
      </c>
      <c r="D5532" t="str">
        <f>"34293"</f>
        <v>34293</v>
      </c>
      <c r="E5532">
        <v>77.66</v>
      </c>
    </row>
    <row r="5533" spans="1:5" x14ac:dyDescent="0.2">
      <c r="A5533">
        <v>34420</v>
      </c>
      <c r="B5533" t="s">
        <v>15</v>
      </c>
      <c r="C5533">
        <v>34420</v>
      </c>
      <c r="D5533" t="str">
        <f>"34420"</f>
        <v>34420</v>
      </c>
      <c r="E5533">
        <v>62.79</v>
      </c>
    </row>
    <row r="5534" spans="1:5" x14ac:dyDescent="0.2">
      <c r="A5534">
        <v>34428</v>
      </c>
      <c r="B5534" t="s">
        <v>15</v>
      </c>
      <c r="C5534">
        <v>34428</v>
      </c>
      <c r="D5534" t="str">
        <f>"34428"</f>
        <v>34428</v>
      </c>
      <c r="E5534">
        <v>66.06</v>
      </c>
    </row>
    <row r="5535" spans="1:5" x14ac:dyDescent="0.2">
      <c r="A5535">
        <v>34429</v>
      </c>
      <c r="B5535" t="s">
        <v>15</v>
      </c>
      <c r="C5535">
        <v>34429</v>
      </c>
      <c r="D5535" t="str">
        <f>"34429"</f>
        <v>34429</v>
      </c>
      <c r="E5535">
        <v>68.38</v>
      </c>
    </row>
    <row r="5536" spans="1:5" x14ac:dyDescent="0.2">
      <c r="A5536">
        <v>34431</v>
      </c>
      <c r="B5536" t="s">
        <v>15</v>
      </c>
      <c r="C5536">
        <v>34431</v>
      </c>
      <c r="D5536" t="str">
        <f>"34431"</f>
        <v>34431</v>
      </c>
      <c r="E5536">
        <v>66.099999999999994</v>
      </c>
    </row>
    <row r="5537" spans="1:5" x14ac:dyDescent="0.2">
      <c r="A5537">
        <v>34432</v>
      </c>
      <c r="B5537" t="s">
        <v>15</v>
      </c>
      <c r="C5537">
        <v>34432</v>
      </c>
      <c r="D5537" t="str">
        <f>"34432"</f>
        <v>34432</v>
      </c>
      <c r="E5537">
        <v>67.989999999999995</v>
      </c>
    </row>
    <row r="5538" spans="1:5" x14ac:dyDescent="0.2">
      <c r="A5538">
        <v>34433</v>
      </c>
      <c r="B5538" t="s">
        <v>15</v>
      </c>
      <c r="C5538">
        <v>34433</v>
      </c>
      <c r="D5538" t="str">
        <f>"34433"</f>
        <v>34433</v>
      </c>
      <c r="E5538">
        <v>65.27</v>
      </c>
    </row>
    <row r="5539" spans="1:5" x14ac:dyDescent="0.2">
      <c r="A5539">
        <v>34434</v>
      </c>
      <c r="B5539" t="s">
        <v>15</v>
      </c>
      <c r="C5539">
        <v>34434</v>
      </c>
      <c r="D5539" t="str">
        <f>"34434"</f>
        <v>34434</v>
      </c>
      <c r="E5539">
        <v>64.72</v>
      </c>
    </row>
    <row r="5540" spans="1:5" x14ac:dyDescent="0.2">
      <c r="A5540">
        <v>34436</v>
      </c>
      <c r="B5540" t="s">
        <v>15</v>
      </c>
      <c r="C5540">
        <v>34436</v>
      </c>
      <c r="D5540" t="str">
        <f>"34436"</f>
        <v>34436</v>
      </c>
      <c r="E5540">
        <v>66.25</v>
      </c>
    </row>
    <row r="5541" spans="1:5" x14ac:dyDescent="0.2">
      <c r="A5541">
        <v>34442</v>
      </c>
      <c r="B5541" t="s">
        <v>15</v>
      </c>
      <c r="C5541">
        <v>34442</v>
      </c>
      <c r="D5541" t="str">
        <f>"34442"</f>
        <v>34442</v>
      </c>
      <c r="E5541">
        <v>72.78</v>
      </c>
    </row>
    <row r="5542" spans="1:5" x14ac:dyDescent="0.2">
      <c r="A5542">
        <v>34445</v>
      </c>
      <c r="B5542" t="s">
        <v>15</v>
      </c>
      <c r="C5542">
        <v>34445</v>
      </c>
      <c r="D5542" t="str">
        <f>"34445"</f>
        <v>34445</v>
      </c>
      <c r="E5542" t="s">
        <v>6</v>
      </c>
    </row>
    <row r="5543" spans="1:5" x14ac:dyDescent="0.2">
      <c r="A5543">
        <v>34446</v>
      </c>
      <c r="B5543" t="s">
        <v>15</v>
      </c>
      <c r="C5543">
        <v>34446</v>
      </c>
      <c r="D5543" t="str">
        <f>"34446"</f>
        <v>34446</v>
      </c>
      <c r="E5543">
        <v>68.77</v>
      </c>
    </row>
    <row r="5544" spans="1:5" x14ac:dyDescent="0.2">
      <c r="A5544">
        <v>34448</v>
      </c>
      <c r="B5544" t="s">
        <v>15</v>
      </c>
      <c r="C5544">
        <v>34448</v>
      </c>
      <c r="D5544" t="str">
        <f>"34448"</f>
        <v>34448</v>
      </c>
      <c r="E5544">
        <v>63.7</v>
      </c>
    </row>
    <row r="5545" spans="1:5" x14ac:dyDescent="0.2">
      <c r="A5545">
        <v>34449</v>
      </c>
      <c r="B5545" t="s">
        <v>15</v>
      </c>
      <c r="C5545">
        <v>34449</v>
      </c>
      <c r="D5545" t="str">
        <f>"34449"</f>
        <v>34449</v>
      </c>
      <c r="E5545">
        <v>63.41</v>
      </c>
    </row>
    <row r="5546" spans="1:5" x14ac:dyDescent="0.2">
      <c r="A5546">
        <v>34450</v>
      </c>
      <c r="B5546" t="s">
        <v>15</v>
      </c>
      <c r="C5546">
        <v>34450</v>
      </c>
      <c r="D5546" t="str">
        <f>"34450"</f>
        <v>34450</v>
      </c>
      <c r="E5546">
        <v>69.41</v>
      </c>
    </row>
    <row r="5547" spans="1:5" x14ac:dyDescent="0.2">
      <c r="A5547">
        <v>34452</v>
      </c>
      <c r="B5547" t="s">
        <v>15</v>
      </c>
      <c r="C5547">
        <v>34452</v>
      </c>
      <c r="D5547" t="str">
        <f>"34452"</f>
        <v>34452</v>
      </c>
      <c r="E5547">
        <v>65.98</v>
      </c>
    </row>
    <row r="5548" spans="1:5" x14ac:dyDescent="0.2">
      <c r="A5548">
        <v>34453</v>
      </c>
      <c r="B5548" t="s">
        <v>15</v>
      </c>
      <c r="C5548">
        <v>34453</v>
      </c>
      <c r="D5548" t="str">
        <f>"34453"</f>
        <v>34453</v>
      </c>
      <c r="E5548">
        <v>66.37</v>
      </c>
    </row>
    <row r="5549" spans="1:5" x14ac:dyDescent="0.2">
      <c r="A5549">
        <v>34461</v>
      </c>
      <c r="B5549" t="s">
        <v>15</v>
      </c>
      <c r="C5549">
        <v>34461</v>
      </c>
      <c r="D5549" t="str">
        <f>"34461"</f>
        <v>34461</v>
      </c>
      <c r="E5549">
        <v>70.069999999999993</v>
      </c>
    </row>
    <row r="5550" spans="1:5" x14ac:dyDescent="0.2">
      <c r="A5550">
        <v>34465</v>
      </c>
      <c r="B5550" t="s">
        <v>15</v>
      </c>
      <c r="C5550">
        <v>34465</v>
      </c>
      <c r="D5550" t="str">
        <f>"34465"</f>
        <v>34465</v>
      </c>
      <c r="E5550">
        <v>66.45</v>
      </c>
    </row>
    <row r="5551" spans="1:5" x14ac:dyDescent="0.2">
      <c r="A5551">
        <v>34470</v>
      </c>
      <c r="B5551" t="s">
        <v>15</v>
      </c>
      <c r="C5551">
        <v>34470</v>
      </c>
      <c r="D5551" t="str">
        <f>"34470"</f>
        <v>34470</v>
      </c>
      <c r="E5551">
        <v>62.9</v>
      </c>
    </row>
    <row r="5552" spans="1:5" x14ac:dyDescent="0.2">
      <c r="A5552">
        <v>34471</v>
      </c>
      <c r="B5552" t="s">
        <v>15</v>
      </c>
      <c r="C5552">
        <v>34471</v>
      </c>
      <c r="D5552" t="str">
        <f>"34471"</f>
        <v>34471</v>
      </c>
      <c r="E5552">
        <v>69.66</v>
      </c>
    </row>
    <row r="5553" spans="1:5" x14ac:dyDescent="0.2">
      <c r="A5553">
        <v>34472</v>
      </c>
      <c r="B5553" t="s">
        <v>15</v>
      </c>
      <c r="C5553">
        <v>34472</v>
      </c>
      <c r="D5553" t="str">
        <f>"34472"</f>
        <v>34472</v>
      </c>
      <c r="E5553">
        <v>60.76</v>
      </c>
    </row>
    <row r="5554" spans="1:5" x14ac:dyDescent="0.2">
      <c r="A5554">
        <v>34473</v>
      </c>
      <c r="B5554" t="s">
        <v>15</v>
      </c>
      <c r="C5554">
        <v>34473</v>
      </c>
      <c r="D5554" t="str">
        <f>"34473"</f>
        <v>34473</v>
      </c>
      <c r="E5554">
        <v>59.52</v>
      </c>
    </row>
    <row r="5555" spans="1:5" x14ac:dyDescent="0.2">
      <c r="A5555">
        <v>34474</v>
      </c>
      <c r="B5555" t="s">
        <v>15</v>
      </c>
      <c r="C5555">
        <v>34474</v>
      </c>
      <c r="D5555" t="str">
        <f>"34474"</f>
        <v>34474</v>
      </c>
      <c r="E5555">
        <v>67.069999999999993</v>
      </c>
    </row>
    <row r="5556" spans="1:5" x14ac:dyDescent="0.2">
      <c r="A5556">
        <v>34475</v>
      </c>
      <c r="B5556" t="s">
        <v>15</v>
      </c>
      <c r="C5556">
        <v>34475</v>
      </c>
      <c r="D5556" t="str">
        <f>"34475"</f>
        <v>34475</v>
      </c>
      <c r="E5556">
        <v>48.76</v>
      </c>
    </row>
    <row r="5557" spans="1:5" x14ac:dyDescent="0.2">
      <c r="A5557">
        <v>34476</v>
      </c>
      <c r="B5557" t="s">
        <v>15</v>
      </c>
      <c r="C5557">
        <v>34476</v>
      </c>
      <c r="D5557" t="str">
        <f>"34476"</f>
        <v>34476</v>
      </c>
      <c r="E5557">
        <v>69.400000000000006</v>
      </c>
    </row>
    <row r="5558" spans="1:5" x14ac:dyDescent="0.2">
      <c r="A5558">
        <v>34478</v>
      </c>
      <c r="B5558" t="s">
        <v>15</v>
      </c>
      <c r="C5558">
        <v>34478</v>
      </c>
      <c r="D5558" t="str">
        <f>"34478"</f>
        <v>34478</v>
      </c>
      <c r="E5558" t="s">
        <v>6</v>
      </c>
    </row>
    <row r="5559" spans="1:5" x14ac:dyDescent="0.2">
      <c r="A5559">
        <v>34479</v>
      </c>
      <c r="B5559" t="s">
        <v>15</v>
      </c>
      <c r="C5559">
        <v>34479</v>
      </c>
      <c r="D5559" t="str">
        <f>"34479"</f>
        <v>34479</v>
      </c>
      <c r="E5559">
        <v>64.58</v>
      </c>
    </row>
    <row r="5560" spans="1:5" x14ac:dyDescent="0.2">
      <c r="A5560">
        <v>34480</v>
      </c>
      <c r="B5560" t="s">
        <v>15</v>
      </c>
      <c r="C5560">
        <v>34480</v>
      </c>
      <c r="D5560" t="str">
        <f>"34480"</f>
        <v>34480</v>
      </c>
      <c r="E5560">
        <v>67.95</v>
      </c>
    </row>
    <row r="5561" spans="1:5" x14ac:dyDescent="0.2">
      <c r="A5561">
        <v>34481</v>
      </c>
      <c r="B5561" t="s">
        <v>15</v>
      </c>
      <c r="C5561">
        <v>34481</v>
      </c>
      <c r="D5561" t="str">
        <f>"34481"</f>
        <v>34481</v>
      </c>
      <c r="E5561">
        <v>72.13</v>
      </c>
    </row>
    <row r="5562" spans="1:5" x14ac:dyDescent="0.2">
      <c r="A5562">
        <v>34482</v>
      </c>
      <c r="B5562" t="s">
        <v>15</v>
      </c>
      <c r="C5562">
        <v>34482</v>
      </c>
      <c r="D5562" t="str">
        <f>"34482"</f>
        <v>34482</v>
      </c>
      <c r="E5562">
        <v>62.88</v>
      </c>
    </row>
    <row r="5563" spans="1:5" x14ac:dyDescent="0.2">
      <c r="A5563">
        <v>34484</v>
      </c>
      <c r="B5563" t="s">
        <v>15</v>
      </c>
      <c r="C5563">
        <v>34484</v>
      </c>
      <c r="D5563" t="str">
        <f>"34484"</f>
        <v>34484</v>
      </c>
      <c r="E5563">
        <v>74.62</v>
      </c>
    </row>
    <row r="5564" spans="1:5" x14ac:dyDescent="0.2">
      <c r="A5564">
        <v>34488</v>
      </c>
      <c r="B5564" t="s">
        <v>15</v>
      </c>
      <c r="C5564">
        <v>34488</v>
      </c>
      <c r="D5564" t="str">
        <f>"34488"</f>
        <v>34488</v>
      </c>
      <c r="E5564">
        <v>59.08</v>
      </c>
    </row>
    <row r="5565" spans="1:5" x14ac:dyDescent="0.2">
      <c r="A5565">
        <v>34491</v>
      </c>
      <c r="B5565" t="s">
        <v>15</v>
      </c>
      <c r="C5565">
        <v>34491</v>
      </c>
      <c r="D5565" t="str">
        <f>"34491"</f>
        <v>34491</v>
      </c>
      <c r="E5565">
        <v>69.88</v>
      </c>
    </row>
    <row r="5566" spans="1:5" x14ac:dyDescent="0.2">
      <c r="A5566">
        <v>34498</v>
      </c>
      <c r="B5566" t="s">
        <v>15</v>
      </c>
      <c r="C5566">
        <v>34498</v>
      </c>
      <c r="D5566" t="str">
        <f>"34498"</f>
        <v>34498</v>
      </c>
      <c r="E5566">
        <v>72.73</v>
      </c>
    </row>
    <row r="5567" spans="1:5" x14ac:dyDescent="0.2">
      <c r="A5567">
        <v>34601</v>
      </c>
      <c r="B5567" t="s">
        <v>15</v>
      </c>
      <c r="C5567">
        <v>34601</v>
      </c>
      <c r="D5567" t="str">
        <f>"34601"</f>
        <v>34601</v>
      </c>
      <c r="E5567">
        <v>65.12</v>
      </c>
    </row>
    <row r="5568" spans="1:5" x14ac:dyDescent="0.2">
      <c r="A5568">
        <v>34602</v>
      </c>
      <c r="B5568" t="s">
        <v>15</v>
      </c>
      <c r="C5568">
        <v>34602</v>
      </c>
      <c r="D5568" t="str">
        <f>"34602"</f>
        <v>34602</v>
      </c>
      <c r="E5568">
        <v>68.48</v>
      </c>
    </row>
    <row r="5569" spans="1:5" x14ac:dyDescent="0.2">
      <c r="A5569">
        <v>34604</v>
      </c>
      <c r="B5569" t="s">
        <v>15</v>
      </c>
      <c r="C5569">
        <v>34604</v>
      </c>
      <c r="D5569" t="str">
        <f>"34604"</f>
        <v>34604</v>
      </c>
      <c r="E5569">
        <v>69.09</v>
      </c>
    </row>
    <row r="5570" spans="1:5" x14ac:dyDescent="0.2">
      <c r="A5570">
        <v>34606</v>
      </c>
      <c r="B5570" t="s">
        <v>15</v>
      </c>
      <c r="C5570">
        <v>34606</v>
      </c>
      <c r="D5570" t="str">
        <f>"34606"</f>
        <v>34606</v>
      </c>
      <c r="E5570">
        <v>66.239999999999995</v>
      </c>
    </row>
    <row r="5571" spans="1:5" x14ac:dyDescent="0.2">
      <c r="A5571">
        <v>34607</v>
      </c>
      <c r="B5571" t="s">
        <v>15</v>
      </c>
      <c r="C5571">
        <v>34607</v>
      </c>
      <c r="D5571" t="str">
        <f>"34607"</f>
        <v>34607</v>
      </c>
      <c r="E5571">
        <v>69.790000000000006</v>
      </c>
    </row>
    <row r="5572" spans="1:5" x14ac:dyDescent="0.2">
      <c r="A5572">
        <v>34608</v>
      </c>
      <c r="B5572" t="s">
        <v>15</v>
      </c>
      <c r="C5572">
        <v>34608</v>
      </c>
      <c r="D5572" t="str">
        <f>"34608"</f>
        <v>34608</v>
      </c>
      <c r="E5572">
        <v>64.92</v>
      </c>
    </row>
    <row r="5573" spans="1:5" x14ac:dyDescent="0.2">
      <c r="A5573">
        <v>34609</v>
      </c>
      <c r="B5573" t="s">
        <v>15</v>
      </c>
      <c r="C5573">
        <v>34609</v>
      </c>
      <c r="D5573" t="str">
        <f>"34609"</f>
        <v>34609</v>
      </c>
      <c r="E5573">
        <v>69.63</v>
      </c>
    </row>
    <row r="5574" spans="1:5" x14ac:dyDescent="0.2">
      <c r="A5574">
        <v>34610</v>
      </c>
      <c r="B5574" t="s">
        <v>15</v>
      </c>
      <c r="C5574">
        <v>34610</v>
      </c>
      <c r="D5574" t="str">
        <f>"34610"</f>
        <v>34610</v>
      </c>
      <c r="E5574">
        <v>67.400000000000006</v>
      </c>
    </row>
    <row r="5575" spans="1:5" x14ac:dyDescent="0.2">
      <c r="A5575">
        <v>34613</v>
      </c>
      <c r="B5575" t="s">
        <v>15</v>
      </c>
      <c r="C5575">
        <v>34613</v>
      </c>
      <c r="D5575" t="str">
        <f>"34613"</f>
        <v>34613</v>
      </c>
      <c r="E5575">
        <v>68.77</v>
      </c>
    </row>
    <row r="5576" spans="1:5" x14ac:dyDescent="0.2">
      <c r="A5576">
        <v>34614</v>
      </c>
      <c r="B5576" t="s">
        <v>15</v>
      </c>
      <c r="C5576">
        <v>34614</v>
      </c>
      <c r="D5576" t="str">
        <f>"34614"</f>
        <v>34614</v>
      </c>
      <c r="E5576">
        <v>66.569999999999993</v>
      </c>
    </row>
    <row r="5577" spans="1:5" x14ac:dyDescent="0.2">
      <c r="A5577">
        <v>34637</v>
      </c>
      <c r="B5577" t="s">
        <v>15</v>
      </c>
      <c r="C5577">
        <v>34637</v>
      </c>
      <c r="D5577" t="str">
        <f>"34637"</f>
        <v>34637</v>
      </c>
      <c r="E5577">
        <v>80.48</v>
      </c>
    </row>
    <row r="5578" spans="1:5" x14ac:dyDescent="0.2">
      <c r="A5578">
        <v>34638</v>
      </c>
      <c r="B5578" t="s">
        <v>15</v>
      </c>
      <c r="C5578">
        <v>34638</v>
      </c>
      <c r="D5578" t="str">
        <f>"34638"</f>
        <v>34638</v>
      </c>
      <c r="E5578">
        <v>77.5</v>
      </c>
    </row>
    <row r="5579" spans="1:5" x14ac:dyDescent="0.2">
      <c r="A5579">
        <v>34639</v>
      </c>
      <c r="B5579" t="s">
        <v>15</v>
      </c>
      <c r="C5579">
        <v>34639</v>
      </c>
      <c r="D5579" t="str">
        <f>"34639"</f>
        <v>34639</v>
      </c>
      <c r="E5579">
        <v>78.290000000000006</v>
      </c>
    </row>
    <row r="5580" spans="1:5" x14ac:dyDescent="0.2">
      <c r="A5580">
        <v>34652</v>
      </c>
      <c r="B5580" t="s">
        <v>15</v>
      </c>
      <c r="C5580">
        <v>34652</v>
      </c>
      <c r="D5580" t="str">
        <f>"34652"</f>
        <v>34652</v>
      </c>
      <c r="E5580">
        <v>65.650000000000006</v>
      </c>
    </row>
    <row r="5581" spans="1:5" x14ac:dyDescent="0.2">
      <c r="A5581">
        <v>34653</v>
      </c>
      <c r="B5581" t="s">
        <v>15</v>
      </c>
      <c r="C5581">
        <v>34653</v>
      </c>
      <c r="D5581" t="str">
        <f>"34653"</f>
        <v>34653</v>
      </c>
      <c r="E5581">
        <v>66.78</v>
      </c>
    </row>
    <row r="5582" spans="1:5" x14ac:dyDescent="0.2">
      <c r="A5582">
        <v>34654</v>
      </c>
      <c r="B5582" t="s">
        <v>15</v>
      </c>
      <c r="C5582">
        <v>34654</v>
      </c>
      <c r="D5582" t="str">
        <f>"34654"</f>
        <v>34654</v>
      </c>
      <c r="E5582">
        <v>69.849999999999994</v>
      </c>
    </row>
    <row r="5583" spans="1:5" x14ac:dyDescent="0.2">
      <c r="A5583">
        <v>34655</v>
      </c>
      <c r="B5583" t="s">
        <v>15</v>
      </c>
      <c r="C5583">
        <v>34655</v>
      </c>
      <c r="D5583" t="str">
        <f>"34655"</f>
        <v>34655</v>
      </c>
      <c r="E5583">
        <v>77.62</v>
      </c>
    </row>
    <row r="5584" spans="1:5" x14ac:dyDescent="0.2">
      <c r="A5584">
        <v>34661</v>
      </c>
      <c r="B5584" t="s">
        <v>15</v>
      </c>
      <c r="C5584">
        <v>34661</v>
      </c>
      <c r="D5584" t="str">
        <f>"34661"</f>
        <v>34661</v>
      </c>
      <c r="E5584" t="s">
        <v>6</v>
      </c>
    </row>
    <row r="5585" spans="1:5" x14ac:dyDescent="0.2">
      <c r="A5585">
        <v>34667</v>
      </c>
      <c r="B5585" t="s">
        <v>15</v>
      </c>
      <c r="C5585">
        <v>34667</v>
      </c>
      <c r="D5585" t="str">
        <f>"34667"</f>
        <v>34667</v>
      </c>
      <c r="E5585">
        <v>67.45</v>
      </c>
    </row>
    <row r="5586" spans="1:5" x14ac:dyDescent="0.2">
      <c r="A5586">
        <v>34668</v>
      </c>
      <c r="B5586" t="s">
        <v>15</v>
      </c>
      <c r="C5586">
        <v>34668</v>
      </c>
      <c r="D5586" t="str">
        <f>"34668"</f>
        <v>34668</v>
      </c>
      <c r="E5586">
        <v>60.96</v>
      </c>
    </row>
    <row r="5587" spans="1:5" x14ac:dyDescent="0.2">
      <c r="A5587">
        <v>34669</v>
      </c>
      <c r="B5587" t="s">
        <v>15</v>
      </c>
      <c r="C5587">
        <v>34669</v>
      </c>
      <c r="D5587" t="str">
        <f>"34669"</f>
        <v>34669</v>
      </c>
      <c r="E5587">
        <v>67.59</v>
      </c>
    </row>
    <row r="5588" spans="1:5" x14ac:dyDescent="0.2">
      <c r="A5588">
        <v>34677</v>
      </c>
      <c r="B5588" t="s">
        <v>15</v>
      </c>
      <c r="C5588">
        <v>34677</v>
      </c>
      <c r="D5588" t="str">
        <f>"34677"</f>
        <v>34677</v>
      </c>
      <c r="E5588">
        <v>76.900000000000006</v>
      </c>
    </row>
    <row r="5589" spans="1:5" x14ac:dyDescent="0.2">
      <c r="A5589">
        <v>34679</v>
      </c>
      <c r="B5589" t="s">
        <v>15</v>
      </c>
      <c r="C5589">
        <v>34679</v>
      </c>
      <c r="D5589" t="str">
        <f>"34679"</f>
        <v>34679</v>
      </c>
      <c r="E5589" t="s">
        <v>6</v>
      </c>
    </row>
    <row r="5590" spans="1:5" x14ac:dyDescent="0.2">
      <c r="A5590">
        <v>34681</v>
      </c>
      <c r="B5590" t="s">
        <v>15</v>
      </c>
      <c r="C5590">
        <v>34681</v>
      </c>
      <c r="D5590" t="str">
        <f>"34681"</f>
        <v>34681</v>
      </c>
      <c r="E5590" t="s">
        <v>6</v>
      </c>
    </row>
    <row r="5591" spans="1:5" x14ac:dyDescent="0.2">
      <c r="A5591">
        <v>34683</v>
      </c>
      <c r="B5591" t="s">
        <v>15</v>
      </c>
      <c r="C5591">
        <v>34683</v>
      </c>
      <c r="D5591" t="str">
        <f>"34683"</f>
        <v>34683</v>
      </c>
      <c r="E5591">
        <v>78.62</v>
      </c>
    </row>
    <row r="5592" spans="1:5" x14ac:dyDescent="0.2">
      <c r="A5592">
        <v>34684</v>
      </c>
      <c r="B5592" t="s">
        <v>15</v>
      </c>
      <c r="C5592">
        <v>34684</v>
      </c>
      <c r="D5592" t="str">
        <f>"34684"</f>
        <v>34684</v>
      </c>
      <c r="E5592">
        <v>76.8</v>
      </c>
    </row>
    <row r="5593" spans="1:5" x14ac:dyDescent="0.2">
      <c r="A5593">
        <v>34685</v>
      </c>
      <c r="B5593" t="s">
        <v>15</v>
      </c>
      <c r="C5593">
        <v>34685</v>
      </c>
      <c r="D5593" t="str">
        <f>"34685"</f>
        <v>34685</v>
      </c>
      <c r="E5593">
        <v>80.650000000000006</v>
      </c>
    </row>
    <row r="5594" spans="1:5" x14ac:dyDescent="0.2">
      <c r="A5594">
        <v>34688</v>
      </c>
      <c r="B5594" t="s">
        <v>15</v>
      </c>
      <c r="C5594">
        <v>34688</v>
      </c>
      <c r="D5594" t="str">
        <f>"34688"</f>
        <v>34688</v>
      </c>
      <c r="E5594">
        <v>79.3</v>
      </c>
    </row>
    <row r="5595" spans="1:5" x14ac:dyDescent="0.2">
      <c r="A5595">
        <v>34689</v>
      </c>
      <c r="B5595" t="s">
        <v>15</v>
      </c>
      <c r="C5595">
        <v>34689</v>
      </c>
      <c r="D5595" t="str">
        <f>"34689"</f>
        <v>34689</v>
      </c>
      <c r="E5595">
        <v>71.42</v>
      </c>
    </row>
    <row r="5596" spans="1:5" x14ac:dyDescent="0.2">
      <c r="A5596">
        <v>34690</v>
      </c>
      <c r="B5596" t="s">
        <v>15</v>
      </c>
      <c r="C5596">
        <v>34690</v>
      </c>
      <c r="D5596" t="str">
        <f>"34690"</f>
        <v>34690</v>
      </c>
      <c r="E5596">
        <v>63.55</v>
      </c>
    </row>
    <row r="5597" spans="1:5" x14ac:dyDescent="0.2">
      <c r="A5597">
        <v>34691</v>
      </c>
      <c r="B5597" t="s">
        <v>15</v>
      </c>
      <c r="C5597">
        <v>34691</v>
      </c>
      <c r="D5597" t="str">
        <f>"34691"</f>
        <v>34691</v>
      </c>
      <c r="E5597">
        <v>62.88</v>
      </c>
    </row>
    <row r="5598" spans="1:5" x14ac:dyDescent="0.2">
      <c r="A5598">
        <v>34695</v>
      </c>
      <c r="B5598" t="s">
        <v>15</v>
      </c>
      <c r="C5598">
        <v>34695</v>
      </c>
      <c r="D5598" t="str">
        <f>"34695"</f>
        <v>34695</v>
      </c>
      <c r="E5598">
        <v>80.02</v>
      </c>
    </row>
    <row r="5599" spans="1:5" x14ac:dyDescent="0.2">
      <c r="A5599">
        <v>34698</v>
      </c>
      <c r="B5599" t="s">
        <v>15</v>
      </c>
      <c r="C5599">
        <v>34698</v>
      </c>
      <c r="D5599" t="str">
        <f>"34698"</f>
        <v>34698</v>
      </c>
      <c r="E5599">
        <v>77.47</v>
      </c>
    </row>
    <row r="5600" spans="1:5" x14ac:dyDescent="0.2">
      <c r="A5600">
        <v>34705</v>
      </c>
      <c r="B5600" t="s">
        <v>15</v>
      </c>
      <c r="C5600">
        <v>34705</v>
      </c>
      <c r="D5600" t="str">
        <f>"34705"</f>
        <v>34705</v>
      </c>
      <c r="E5600">
        <v>64.569999999999993</v>
      </c>
    </row>
    <row r="5601" spans="1:5" x14ac:dyDescent="0.2">
      <c r="A5601">
        <v>34711</v>
      </c>
      <c r="B5601" t="s">
        <v>15</v>
      </c>
      <c r="C5601">
        <v>34711</v>
      </c>
      <c r="D5601" t="str">
        <f>"34711"</f>
        <v>34711</v>
      </c>
      <c r="E5601">
        <v>74.84</v>
      </c>
    </row>
    <row r="5602" spans="1:5" x14ac:dyDescent="0.2">
      <c r="A5602">
        <v>34714</v>
      </c>
      <c r="B5602" t="s">
        <v>15</v>
      </c>
      <c r="C5602">
        <v>34714</v>
      </c>
      <c r="D5602" t="str">
        <f>"34714"</f>
        <v>34714</v>
      </c>
      <c r="E5602">
        <v>68.34</v>
      </c>
    </row>
    <row r="5603" spans="1:5" x14ac:dyDescent="0.2">
      <c r="A5603">
        <v>34715</v>
      </c>
      <c r="B5603" t="s">
        <v>15</v>
      </c>
      <c r="C5603">
        <v>34715</v>
      </c>
      <c r="D5603" t="str">
        <f>"34715"</f>
        <v>34715</v>
      </c>
      <c r="E5603">
        <v>74.150000000000006</v>
      </c>
    </row>
    <row r="5604" spans="1:5" x14ac:dyDescent="0.2">
      <c r="A5604">
        <v>34729</v>
      </c>
      <c r="B5604" t="s">
        <v>15</v>
      </c>
      <c r="C5604">
        <v>34729</v>
      </c>
      <c r="D5604" t="str">
        <f>"34729"</f>
        <v>34729</v>
      </c>
      <c r="E5604" t="s">
        <v>6</v>
      </c>
    </row>
    <row r="5605" spans="1:5" x14ac:dyDescent="0.2">
      <c r="A5605">
        <v>34731</v>
      </c>
      <c r="B5605" t="s">
        <v>15</v>
      </c>
      <c r="C5605">
        <v>34731</v>
      </c>
      <c r="D5605" t="str">
        <f>"34731"</f>
        <v>34731</v>
      </c>
      <c r="E5605">
        <v>67.39</v>
      </c>
    </row>
    <row r="5606" spans="1:5" x14ac:dyDescent="0.2">
      <c r="A5606">
        <v>34734</v>
      </c>
      <c r="B5606" t="s">
        <v>15</v>
      </c>
      <c r="C5606">
        <v>34734</v>
      </c>
      <c r="D5606" t="str">
        <f>"34734"</f>
        <v>34734</v>
      </c>
      <c r="E5606">
        <v>72.349999999999994</v>
      </c>
    </row>
    <row r="5607" spans="1:5" x14ac:dyDescent="0.2">
      <c r="A5607">
        <v>34736</v>
      </c>
      <c r="B5607" t="s">
        <v>15</v>
      </c>
      <c r="C5607">
        <v>34736</v>
      </c>
      <c r="D5607" t="str">
        <f>"34736"</f>
        <v>34736</v>
      </c>
      <c r="E5607">
        <v>69.739999999999995</v>
      </c>
    </row>
    <row r="5608" spans="1:5" x14ac:dyDescent="0.2">
      <c r="A5608">
        <v>34737</v>
      </c>
      <c r="B5608" t="s">
        <v>15</v>
      </c>
      <c r="C5608">
        <v>34737</v>
      </c>
      <c r="D5608" t="str">
        <f>"34737"</f>
        <v>34737</v>
      </c>
      <c r="E5608">
        <v>79.349999999999994</v>
      </c>
    </row>
    <row r="5609" spans="1:5" x14ac:dyDescent="0.2">
      <c r="A5609">
        <v>34739</v>
      </c>
      <c r="B5609" t="s">
        <v>15</v>
      </c>
      <c r="C5609">
        <v>34739</v>
      </c>
      <c r="D5609" t="str">
        <f>"34739"</f>
        <v>34739</v>
      </c>
      <c r="E5609">
        <v>70.59</v>
      </c>
    </row>
    <row r="5610" spans="1:5" x14ac:dyDescent="0.2">
      <c r="A5610">
        <v>34741</v>
      </c>
      <c r="B5610" t="s">
        <v>15</v>
      </c>
      <c r="C5610">
        <v>34741</v>
      </c>
      <c r="D5610" t="str">
        <f>"34741"</f>
        <v>34741</v>
      </c>
      <c r="E5610">
        <v>52.64</v>
      </c>
    </row>
    <row r="5611" spans="1:5" x14ac:dyDescent="0.2">
      <c r="A5611">
        <v>34743</v>
      </c>
      <c r="B5611" t="s">
        <v>15</v>
      </c>
      <c r="C5611">
        <v>34743</v>
      </c>
      <c r="D5611" t="str">
        <f>"34743"</f>
        <v>34743</v>
      </c>
      <c r="E5611">
        <v>56.86</v>
      </c>
    </row>
    <row r="5612" spans="1:5" x14ac:dyDescent="0.2">
      <c r="A5612">
        <v>34744</v>
      </c>
      <c r="B5612" t="s">
        <v>15</v>
      </c>
      <c r="C5612">
        <v>34744</v>
      </c>
      <c r="D5612" t="str">
        <f>"34744"</f>
        <v>34744</v>
      </c>
      <c r="E5612">
        <v>61.04</v>
      </c>
    </row>
    <row r="5613" spans="1:5" x14ac:dyDescent="0.2">
      <c r="A5613">
        <v>34746</v>
      </c>
      <c r="B5613" t="s">
        <v>15</v>
      </c>
      <c r="C5613">
        <v>34746</v>
      </c>
      <c r="D5613" t="str">
        <f>"34746"</f>
        <v>34746</v>
      </c>
      <c r="E5613">
        <v>59.61</v>
      </c>
    </row>
    <row r="5614" spans="1:5" x14ac:dyDescent="0.2">
      <c r="A5614">
        <v>34747</v>
      </c>
      <c r="B5614" t="s">
        <v>15</v>
      </c>
      <c r="C5614">
        <v>34747</v>
      </c>
      <c r="D5614" t="str">
        <f>"34747"</f>
        <v>34747</v>
      </c>
      <c r="E5614">
        <v>74.06</v>
      </c>
    </row>
    <row r="5615" spans="1:5" x14ac:dyDescent="0.2">
      <c r="A5615">
        <v>34748</v>
      </c>
      <c r="B5615" t="s">
        <v>15</v>
      </c>
      <c r="C5615">
        <v>34748</v>
      </c>
      <c r="D5615" t="str">
        <f>"34748"</f>
        <v>34748</v>
      </c>
      <c r="E5615">
        <v>66.739999999999995</v>
      </c>
    </row>
    <row r="5616" spans="1:5" x14ac:dyDescent="0.2">
      <c r="A5616">
        <v>34753</v>
      </c>
      <c r="B5616" t="s">
        <v>15</v>
      </c>
      <c r="C5616">
        <v>34753</v>
      </c>
      <c r="D5616" t="str">
        <f>"34753"</f>
        <v>34753</v>
      </c>
      <c r="E5616">
        <v>56.39</v>
      </c>
    </row>
    <row r="5617" spans="1:5" x14ac:dyDescent="0.2">
      <c r="A5617">
        <v>34756</v>
      </c>
      <c r="B5617" t="s">
        <v>15</v>
      </c>
      <c r="C5617">
        <v>34756</v>
      </c>
      <c r="D5617" t="str">
        <f>"34756"</f>
        <v>34756</v>
      </c>
      <c r="E5617">
        <v>75</v>
      </c>
    </row>
    <row r="5618" spans="1:5" x14ac:dyDescent="0.2">
      <c r="A5618">
        <v>34758</v>
      </c>
      <c r="B5618" t="s">
        <v>15</v>
      </c>
      <c r="C5618">
        <v>34758</v>
      </c>
      <c r="D5618" t="str">
        <f>"34758"</f>
        <v>34758</v>
      </c>
      <c r="E5618">
        <v>53.14</v>
      </c>
    </row>
    <row r="5619" spans="1:5" x14ac:dyDescent="0.2">
      <c r="A5619">
        <v>34759</v>
      </c>
      <c r="B5619" t="s">
        <v>15</v>
      </c>
      <c r="C5619">
        <v>34759</v>
      </c>
      <c r="D5619" t="str">
        <f>"34759"</f>
        <v>34759</v>
      </c>
      <c r="E5619">
        <v>54.68</v>
      </c>
    </row>
    <row r="5620" spans="1:5" x14ac:dyDescent="0.2">
      <c r="A5620">
        <v>34760</v>
      </c>
      <c r="B5620" t="s">
        <v>15</v>
      </c>
      <c r="C5620">
        <v>34760</v>
      </c>
      <c r="D5620" t="str">
        <f>"34760"</f>
        <v>34760</v>
      </c>
      <c r="E5620" t="s">
        <v>6</v>
      </c>
    </row>
    <row r="5621" spans="1:5" x14ac:dyDescent="0.2">
      <c r="A5621">
        <v>34761</v>
      </c>
      <c r="B5621" t="s">
        <v>15</v>
      </c>
      <c r="C5621">
        <v>34761</v>
      </c>
      <c r="D5621" t="str">
        <f>"34761"</f>
        <v>34761</v>
      </c>
      <c r="E5621">
        <v>68.349999999999994</v>
      </c>
    </row>
    <row r="5622" spans="1:5" x14ac:dyDescent="0.2">
      <c r="A5622">
        <v>34762</v>
      </c>
      <c r="B5622" t="s">
        <v>15</v>
      </c>
      <c r="C5622">
        <v>34762</v>
      </c>
      <c r="D5622" t="str">
        <f>"34762"</f>
        <v>34762</v>
      </c>
      <c r="E5622">
        <v>66.67</v>
      </c>
    </row>
    <row r="5623" spans="1:5" x14ac:dyDescent="0.2">
      <c r="A5623">
        <v>34769</v>
      </c>
      <c r="B5623" t="s">
        <v>15</v>
      </c>
      <c r="C5623">
        <v>34769</v>
      </c>
      <c r="D5623" t="str">
        <f>"34769"</f>
        <v>34769</v>
      </c>
      <c r="E5623">
        <v>64.790000000000006</v>
      </c>
    </row>
    <row r="5624" spans="1:5" x14ac:dyDescent="0.2">
      <c r="A5624">
        <v>34771</v>
      </c>
      <c r="B5624" t="s">
        <v>15</v>
      </c>
      <c r="C5624">
        <v>34771</v>
      </c>
      <c r="D5624" t="str">
        <f>"34771"</f>
        <v>34771</v>
      </c>
      <c r="E5624">
        <v>73.48</v>
      </c>
    </row>
    <row r="5625" spans="1:5" x14ac:dyDescent="0.2">
      <c r="A5625">
        <v>34772</v>
      </c>
      <c r="B5625" t="s">
        <v>15</v>
      </c>
      <c r="C5625">
        <v>34772</v>
      </c>
      <c r="D5625" t="str">
        <f>"34772"</f>
        <v>34772</v>
      </c>
      <c r="E5625">
        <v>69.33</v>
      </c>
    </row>
    <row r="5626" spans="1:5" x14ac:dyDescent="0.2">
      <c r="A5626">
        <v>34773</v>
      </c>
      <c r="B5626" t="s">
        <v>15</v>
      </c>
      <c r="C5626">
        <v>34773</v>
      </c>
      <c r="D5626" t="str">
        <f>"34773"</f>
        <v>34773</v>
      </c>
      <c r="E5626">
        <v>70.739999999999995</v>
      </c>
    </row>
    <row r="5627" spans="1:5" x14ac:dyDescent="0.2">
      <c r="A5627">
        <v>34785</v>
      </c>
      <c r="B5627" t="s">
        <v>15</v>
      </c>
      <c r="C5627">
        <v>34785</v>
      </c>
      <c r="D5627" t="str">
        <f>"34785"</f>
        <v>34785</v>
      </c>
      <c r="E5627">
        <v>62.38</v>
      </c>
    </row>
    <row r="5628" spans="1:5" x14ac:dyDescent="0.2">
      <c r="A5628">
        <v>34786</v>
      </c>
      <c r="B5628" t="s">
        <v>15</v>
      </c>
      <c r="C5628">
        <v>34786</v>
      </c>
      <c r="D5628" t="str">
        <f>"34786"</f>
        <v>34786</v>
      </c>
      <c r="E5628">
        <v>78.61</v>
      </c>
    </row>
    <row r="5629" spans="1:5" x14ac:dyDescent="0.2">
      <c r="A5629">
        <v>34787</v>
      </c>
      <c r="B5629" t="s">
        <v>15</v>
      </c>
      <c r="C5629">
        <v>34787</v>
      </c>
      <c r="D5629" t="str">
        <f>"34787"</f>
        <v>34787</v>
      </c>
      <c r="E5629">
        <v>75.58</v>
      </c>
    </row>
    <row r="5630" spans="1:5" x14ac:dyDescent="0.2">
      <c r="A5630">
        <v>34788</v>
      </c>
      <c r="B5630" t="s">
        <v>15</v>
      </c>
      <c r="C5630">
        <v>34788</v>
      </c>
      <c r="D5630" t="str">
        <f>"34788"</f>
        <v>34788</v>
      </c>
      <c r="E5630">
        <v>68.760000000000005</v>
      </c>
    </row>
    <row r="5631" spans="1:5" x14ac:dyDescent="0.2">
      <c r="A5631">
        <v>34797</v>
      </c>
      <c r="B5631" t="s">
        <v>15</v>
      </c>
      <c r="C5631">
        <v>34797</v>
      </c>
      <c r="D5631" t="str">
        <f>"34797"</f>
        <v>34797</v>
      </c>
      <c r="E5631">
        <v>74.650000000000006</v>
      </c>
    </row>
    <row r="5632" spans="1:5" x14ac:dyDescent="0.2">
      <c r="A5632">
        <v>34945</v>
      </c>
      <c r="B5632" t="s">
        <v>15</v>
      </c>
      <c r="C5632">
        <v>34945</v>
      </c>
      <c r="D5632" t="str">
        <f>"34945"</f>
        <v>34945</v>
      </c>
      <c r="E5632">
        <v>70.150000000000006</v>
      </c>
    </row>
    <row r="5633" spans="1:5" x14ac:dyDescent="0.2">
      <c r="A5633">
        <v>34946</v>
      </c>
      <c r="B5633" t="s">
        <v>15</v>
      </c>
      <c r="C5633">
        <v>34946</v>
      </c>
      <c r="D5633" t="str">
        <f>"34946"</f>
        <v>34946</v>
      </c>
      <c r="E5633">
        <v>53.9</v>
      </c>
    </row>
    <row r="5634" spans="1:5" x14ac:dyDescent="0.2">
      <c r="A5634">
        <v>34947</v>
      </c>
      <c r="B5634" t="s">
        <v>15</v>
      </c>
      <c r="C5634">
        <v>34947</v>
      </c>
      <c r="D5634" t="str">
        <f>"34947"</f>
        <v>34947</v>
      </c>
      <c r="E5634">
        <v>46.36</v>
      </c>
    </row>
    <row r="5635" spans="1:5" x14ac:dyDescent="0.2">
      <c r="A5635">
        <v>34949</v>
      </c>
      <c r="B5635" t="s">
        <v>15</v>
      </c>
      <c r="C5635">
        <v>34949</v>
      </c>
      <c r="D5635" t="str">
        <f>"34949"</f>
        <v>34949</v>
      </c>
      <c r="E5635">
        <v>81.38</v>
      </c>
    </row>
    <row r="5636" spans="1:5" x14ac:dyDescent="0.2">
      <c r="A5636">
        <v>34950</v>
      </c>
      <c r="B5636" t="s">
        <v>15</v>
      </c>
      <c r="C5636">
        <v>34950</v>
      </c>
      <c r="D5636" t="str">
        <f>"34950"</f>
        <v>34950</v>
      </c>
      <c r="E5636">
        <v>43.01</v>
      </c>
    </row>
    <row r="5637" spans="1:5" x14ac:dyDescent="0.2">
      <c r="A5637">
        <v>34951</v>
      </c>
      <c r="B5637" t="s">
        <v>15</v>
      </c>
      <c r="C5637">
        <v>34951</v>
      </c>
      <c r="D5637" t="str">
        <f>"34951"</f>
        <v>34951</v>
      </c>
      <c r="E5637">
        <v>69.510000000000005</v>
      </c>
    </row>
    <row r="5638" spans="1:5" x14ac:dyDescent="0.2">
      <c r="A5638">
        <v>34952</v>
      </c>
      <c r="B5638" t="s">
        <v>15</v>
      </c>
      <c r="C5638">
        <v>34952</v>
      </c>
      <c r="D5638" t="str">
        <f>"34952"</f>
        <v>34952</v>
      </c>
      <c r="E5638">
        <v>69.16</v>
      </c>
    </row>
    <row r="5639" spans="1:5" x14ac:dyDescent="0.2">
      <c r="A5639">
        <v>34953</v>
      </c>
      <c r="B5639" t="s">
        <v>15</v>
      </c>
      <c r="C5639">
        <v>34953</v>
      </c>
      <c r="D5639" t="str">
        <f>"34953"</f>
        <v>34953</v>
      </c>
      <c r="E5639">
        <v>67.349999999999994</v>
      </c>
    </row>
    <row r="5640" spans="1:5" x14ac:dyDescent="0.2">
      <c r="A5640">
        <v>34956</v>
      </c>
      <c r="B5640" t="s">
        <v>15</v>
      </c>
      <c r="C5640">
        <v>34956</v>
      </c>
      <c r="D5640" t="str">
        <f>"34956"</f>
        <v>34956</v>
      </c>
      <c r="E5640">
        <v>51.02</v>
      </c>
    </row>
    <row r="5641" spans="1:5" x14ac:dyDescent="0.2">
      <c r="A5641">
        <v>34957</v>
      </c>
      <c r="B5641" t="s">
        <v>15</v>
      </c>
      <c r="C5641">
        <v>34957</v>
      </c>
      <c r="D5641" t="str">
        <f>"34957"</f>
        <v>34957</v>
      </c>
      <c r="E5641">
        <v>75.94</v>
      </c>
    </row>
    <row r="5642" spans="1:5" x14ac:dyDescent="0.2">
      <c r="A5642">
        <v>34972</v>
      </c>
      <c r="B5642" t="s">
        <v>15</v>
      </c>
      <c r="C5642">
        <v>34972</v>
      </c>
      <c r="D5642" t="str">
        <f>"34972"</f>
        <v>34972</v>
      </c>
      <c r="E5642">
        <v>57.53</v>
      </c>
    </row>
    <row r="5643" spans="1:5" x14ac:dyDescent="0.2">
      <c r="A5643">
        <v>34974</v>
      </c>
      <c r="B5643" t="s">
        <v>15</v>
      </c>
      <c r="C5643">
        <v>34974</v>
      </c>
      <c r="D5643" t="str">
        <f>"34974"</f>
        <v>34974</v>
      </c>
      <c r="E5643">
        <v>67.760000000000005</v>
      </c>
    </row>
    <row r="5644" spans="1:5" x14ac:dyDescent="0.2">
      <c r="A5644">
        <v>34979</v>
      </c>
      <c r="B5644" t="s">
        <v>15</v>
      </c>
      <c r="C5644">
        <v>34979</v>
      </c>
      <c r="D5644" t="str">
        <f>"34979"</f>
        <v>34979</v>
      </c>
      <c r="E5644" t="s">
        <v>6</v>
      </c>
    </row>
    <row r="5645" spans="1:5" x14ac:dyDescent="0.2">
      <c r="A5645">
        <v>34981</v>
      </c>
      <c r="B5645" t="s">
        <v>15</v>
      </c>
      <c r="C5645">
        <v>34981</v>
      </c>
      <c r="D5645" t="str">
        <f>"34981"</f>
        <v>34981</v>
      </c>
      <c r="E5645">
        <v>67.69</v>
      </c>
    </row>
    <row r="5646" spans="1:5" x14ac:dyDescent="0.2">
      <c r="A5646">
        <v>34982</v>
      </c>
      <c r="B5646" t="s">
        <v>15</v>
      </c>
      <c r="C5646">
        <v>34982</v>
      </c>
      <c r="D5646" t="str">
        <f>"34982"</f>
        <v>34982</v>
      </c>
      <c r="E5646">
        <v>62.06</v>
      </c>
    </row>
    <row r="5647" spans="1:5" x14ac:dyDescent="0.2">
      <c r="A5647">
        <v>34983</v>
      </c>
      <c r="B5647" t="s">
        <v>15</v>
      </c>
      <c r="C5647">
        <v>34983</v>
      </c>
      <c r="D5647" t="str">
        <f>"34983"</f>
        <v>34983</v>
      </c>
      <c r="E5647">
        <v>66.48</v>
      </c>
    </row>
    <row r="5648" spans="1:5" x14ac:dyDescent="0.2">
      <c r="A5648">
        <v>34984</v>
      </c>
      <c r="B5648" t="s">
        <v>15</v>
      </c>
      <c r="C5648">
        <v>34984</v>
      </c>
      <c r="D5648" t="str">
        <f>"34984"</f>
        <v>34984</v>
      </c>
      <c r="E5648">
        <v>69.260000000000005</v>
      </c>
    </row>
    <row r="5649" spans="1:5" x14ac:dyDescent="0.2">
      <c r="A5649">
        <v>34985</v>
      </c>
      <c r="B5649" t="s">
        <v>15</v>
      </c>
      <c r="C5649">
        <v>34985</v>
      </c>
      <c r="D5649" t="str">
        <f>"34985"</f>
        <v>34985</v>
      </c>
      <c r="E5649" t="s">
        <v>6</v>
      </c>
    </row>
    <row r="5650" spans="1:5" x14ac:dyDescent="0.2">
      <c r="A5650">
        <v>34986</v>
      </c>
      <c r="B5650" t="s">
        <v>15</v>
      </c>
      <c r="C5650">
        <v>34986</v>
      </c>
      <c r="D5650" t="str">
        <f>"34986"</f>
        <v>34986</v>
      </c>
      <c r="E5650">
        <v>74.45</v>
      </c>
    </row>
    <row r="5651" spans="1:5" x14ac:dyDescent="0.2">
      <c r="A5651">
        <v>34987</v>
      </c>
      <c r="B5651" t="s">
        <v>15</v>
      </c>
      <c r="C5651">
        <v>34987</v>
      </c>
      <c r="D5651" t="str">
        <f>"34987"</f>
        <v>34987</v>
      </c>
      <c r="E5651">
        <v>76.38</v>
      </c>
    </row>
    <row r="5652" spans="1:5" x14ac:dyDescent="0.2">
      <c r="A5652">
        <v>34988</v>
      </c>
      <c r="B5652" t="s">
        <v>15</v>
      </c>
      <c r="C5652">
        <v>34988</v>
      </c>
      <c r="D5652" t="str">
        <f>"34988"</f>
        <v>34988</v>
      </c>
      <c r="E5652" t="s">
        <v>6</v>
      </c>
    </row>
    <row r="5653" spans="1:5" x14ac:dyDescent="0.2">
      <c r="A5653">
        <v>34990</v>
      </c>
      <c r="B5653" t="s">
        <v>15</v>
      </c>
      <c r="C5653">
        <v>34990</v>
      </c>
      <c r="D5653" t="str">
        <f>"34990"</f>
        <v>34990</v>
      </c>
      <c r="E5653">
        <v>79.86</v>
      </c>
    </row>
    <row r="5654" spans="1:5" x14ac:dyDescent="0.2">
      <c r="A5654">
        <v>34994</v>
      </c>
      <c r="B5654" t="s">
        <v>15</v>
      </c>
      <c r="C5654">
        <v>34994</v>
      </c>
      <c r="D5654" t="str">
        <f>"34994"</f>
        <v>34994</v>
      </c>
      <c r="E5654">
        <v>68.7</v>
      </c>
    </row>
    <row r="5655" spans="1:5" x14ac:dyDescent="0.2">
      <c r="A5655">
        <v>34996</v>
      </c>
      <c r="B5655" t="s">
        <v>15</v>
      </c>
      <c r="C5655">
        <v>34996</v>
      </c>
      <c r="D5655" t="str">
        <f>"34996"</f>
        <v>34996</v>
      </c>
      <c r="E5655">
        <v>77.819999999999993</v>
      </c>
    </row>
    <row r="5656" spans="1:5" x14ac:dyDescent="0.2">
      <c r="A5656">
        <v>34997</v>
      </c>
      <c r="B5656" t="s">
        <v>15</v>
      </c>
      <c r="C5656">
        <v>34997</v>
      </c>
      <c r="D5656" t="str">
        <f>"34997"</f>
        <v>34997</v>
      </c>
      <c r="E5656">
        <v>72.64</v>
      </c>
    </row>
    <row r="5657" spans="1:5" x14ac:dyDescent="0.2">
      <c r="A5657">
        <v>30002</v>
      </c>
      <c r="B5657" t="s">
        <v>16</v>
      </c>
      <c r="C5657">
        <v>30002</v>
      </c>
      <c r="D5657" t="str">
        <f>"30002"</f>
        <v>30002</v>
      </c>
      <c r="E5657">
        <v>78.53</v>
      </c>
    </row>
    <row r="5658" spans="1:5" x14ac:dyDescent="0.2">
      <c r="A5658">
        <v>30004</v>
      </c>
      <c r="B5658" t="s">
        <v>16</v>
      </c>
      <c r="C5658">
        <v>30004</v>
      </c>
      <c r="D5658" t="str">
        <f>"30004"</f>
        <v>30004</v>
      </c>
      <c r="E5658">
        <v>80.03</v>
      </c>
    </row>
    <row r="5659" spans="1:5" x14ac:dyDescent="0.2">
      <c r="A5659">
        <v>30005</v>
      </c>
      <c r="B5659" t="s">
        <v>16</v>
      </c>
      <c r="C5659">
        <v>30005</v>
      </c>
      <c r="D5659" t="str">
        <f>"30005"</f>
        <v>30005</v>
      </c>
      <c r="E5659">
        <v>80.239999999999995</v>
      </c>
    </row>
    <row r="5660" spans="1:5" x14ac:dyDescent="0.2">
      <c r="A5660">
        <v>30008</v>
      </c>
      <c r="B5660" t="s">
        <v>16</v>
      </c>
      <c r="C5660">
        <v>30008</v>
      </c>
      <c r="D5660" t="str">
        <f>"30008"</f>
        <v>30008</v>
      </c>
      <c r="E5660">
        <v>56.62</v>
      </c>
    </row>
    <row r="5661" spans="1:5" x14ac:dyDescent="0.2">
      <c r="A5661">
        <v>30009</v>
      </c>
      <c r="B5661" t="s">
        <v>16</v>
      </c>
      <c r="C5661">
        <v>30009</v>
      </c>
      <c r="D5661" t="str">
        <f>"30009"</f>
        <v>30009</v>
      </c>
      <c r="E5661">
        <v>79.78</v>
      </c>
    </row>
    <row r="5662" spans="1:5" x14ac:dyDescent="0.2">
      <c r="A5662">
        <v>30011</v>
      </c>
      <c r="B5662" t="s">
        <v>16</v>
      </c>
      <c r="C5662">
        <v>30011</v>
      </c>
      <c r="D5662" t="str">
        <f>"30011"</f>
        <v>30011</v>
      </c>
      <c r="E5662">
        <v>68.5</v>
      </c>
    </row>
    <row r="5663" spans="1:5" x14ac:dyDescent="0.2">
      <c r="A5663">
        <v>30012</v>
      </c>
      <c r="B5663" t="s">
        <v>16</v>
      </c>
      <c r="C5663">
        <v>30012</v>
      </c>
      <c r="D5663" t="str">
        <f>"30012"</f>
        <v>30012</v>
      </c>
      <c r="E5663">
        <v>55.15</v>
      </c>
    </row>
    <row r="5664" spans="1:5" x14ac:dyDescent="0.2">
      <c r="A5664">
        <v>30013</v>
      </c>
      <c r="B5664" t="s">
        <v>16</v>
      </c>
      <c r="C5664">
        <v>30013</v>
      </c>
      <c r="D5664" t="str">
        <f>"30013"</f>
        <v>30013</v>
      </c>
      <c r="E5664">
        <v>60.28</v>
      </c>
    </row>
    <row r="5665" spans="1:5" x14ac:dyDescent="0.2">
      <c r="A5665">
        <v>30014</v>
      </c>
      <c r="B5665" t="s">
        <v>16</v>
      </c>
      <c r="C5665">
        <v>30014</v>
      </c>
      <c r="D5665" t="str">
        <f>"30014"</f>
        <v>30014</v>
      </c>
      <c r="E5665">
        <v>61.78</v>
      </c>
    </row>
    <row r="5666" spans="1:5" x14ac:dyDescent="0.2">
      <c r="A5666">
        <v>30016</v>
      </c>
      <c r="B5666" t="s">
        <v>16</v>
      </c>
      <c r="C5666">
        <v>30016</v>
      </c>
      <c r="D5666" t="str">
        <f>"30016"</f>
        <v>30016</v>
      </c>
      <c r="E5666">
        <v>58.4</v>
      </c>
    </row>
    <row r="5667" spans="1:5" x14ac:dyDescent="0.2">
      <c r="A5667">
        <v>30017</v>
      </c>
      <c r="B5667" t="s">
        <v>16</v>
      </c>
      <c r="C5667">
        <v>30017</v>
      </c>
      <c r="D5667" t="str">
        <f>"30017"</f>
        <v>30017</v>
      </c>
      <c r="E5667">
        <v>71.260000000000005</v>
      </c>
    </row>
    <row r="5668" spans="1:5" x14ac:dyDescent="0.2">
      <c r="A5668">
        <v>30019</v>
      </c>
      <c r="B5668" t="s">
        <v>16</v>
      </c>
      <c r="C5668">
        <v>30019</v>
      </c>
      <c r="D5668" t="str">
        <f>"30019"</f>
        <v>30019</v>
      </c>
      <c r="E5668">
        <v>72.61</v>
      </c>
    </row>
    <row r="5669" spans="1:5" x14ac:dyDescent="0.2">
      <c r="A5669">
        <v>30021</v>
      </c>
      <c r="B5669" t="s">
        <v>16</v>
      </c>
      <c r="C5669">
        <v>30021</v>
      </c>
      <c r="D5669" t="str">
        <f>"30021"</f>
        <v>30021</v>
      </c>
      <c r="E5669">
        <v>46.17</v>
      </c>
    </row>
    <row r="5670" spans="1:5" x14ac:dyDescent="0.2">
      <c r="A5670">
        <v>30022</v>
      </c>
      <c r="B5670" t="s">
        <v>16</v>
      </c>
      <c r="C5670">
        <v>30022</v>
      </c>
      <c r="D5670" t="str">
        <f>"30022"</f>
        <v>30022</v>
      </c>
      <c r="E5670">
        <v>78.599999999999994</v>
      </c>
    </row>
    <row r="5671" spans="1:5" x14ac:dyDescent="0.2">
      <c r="A5671">
        <v>30024</v>
      </c>
      <c r="B5671" t="s">
        <v>16</v>
      </c>
      <c r="C5671">
        <v>30024</v>
      </c>
      <c r="D5671" t="str">
        <f>"30024"</f>
        <v>30024</v>
      </c>
      <c r="E5671">
        <v>76.36</v>
      </c>
    </row>
    <row r="5672" spans="1:5" x14ac:dyDescent="0.2">
      <c r="A5672">
        <v>30025</v>
      </c>
      <c r="B5672" t="s">
        <v>16</v>
      </c>
      <c r="C5672">
        <v>30025</v>
      </c>
      <c r="D5672" t="str">
        <f>"30025"</f>
        <v>30025</v>
      </c>
      <c r="E5672">
        <v>67.599999999999994</v>
      </c>
    </row>
    <row r="5673" spans="1:5" x14ac:dyDescent="0.2">
      <c r="A5673">
        <v>30028</v>
      </c>
      <c r="B5673" t="s">
        <v>16</v>
      </c>
      <c r="C5673">
        <v>30028</v>
      </c>
      <c r="D5673" t="str">
        <f>"30028"</f>
        <v>30028</v>
      </c>
      <c r="E5673">
        <v>77.430000000000007</v>
      </c>
    </row>
    <row r="5674" spans="1:5" x14ac:dyDescent="0.2">
      <c r="A5674">
        <v>30030</v>
      </c>
      <c r="B5674" t="s">
        <v>16</v>
      </c>
      <c r="C5674">
        <v>30030</v>
      </c>
      <c r="D5674" t="str">
        <f>"30030"</f>
        <v>30030</v>
      </c>
      <c r="E5674">
        <v>81.77</v>
      </c>
    </row>
    <row r="5675" spans="1:5" x14ac:dyDescent="0.2">
      <c r="A5675">
        <v>30032</v>
      </c>
      <c r="B5675" t="s">
        <v>16</v>
      </c>
      <c r="C5675">
        <v>30032</v>
      </c>
      <c r="D5675" t="str">
        <f>"30032"</f>
        <v>30032</v>
      </c>
      <c r="E5675">
        <v>55.89</v>
      </c>
    </row>
    <row r="5676" spans="1:5" x14ac:dyDescent="0.2">
      <c r="A5676">
        <v>30033</v>
      </c>
      <c r="B5676" t="s">
        <v>16</v>
      </c>
      <c r="C5676">
        <v>30033</v>
      </c>
      <c r="D5676" t="str">
        <f>"30033"</f>
        <v>30033</v>
      </c>
      <c r="E5676">
        <v>81.62</v>
      </c>
    </row>
    <row r="5677" spans="1:5" x14ac:dyDescent="0.2">
      <c r="A5677">
        <v>30034</v>
      </c>
      <c r="B5677" t="s">
        <v>16</v>
      </c>
      <c r="C5677">
        <v>30034</v>
      </c>
      <c r="D5677" t="str">
        <f>"30034"</f>
        <v>30034</v>
      </c>
      <c r="E5677">
        <v>57.57</v>
      </c>
    </row>
    <row r="5678" spans="1:5" x14ac:dyDescent="0.2">
      <c r="A5678">
        <v>30035</v>
      </c>
      <c r="B5678" t="s">
        <v>16</v>
      </c>
      <c r="C5678">
        <v>30035</v>
      </c>
      <c r="D5678" t="str">
        <f>"30035"</f>
        <v>30035</v>
      </c>
      <c r="E5678">
        <v>52.97</v>
      </c>
    </row>
    <row r="5679" spans="1:5" x14ac:dyDescent="0.2">
      <c r="A5679">
        <v>30038</v>
      </c>
      <c r="B5679" t="s">
        <v>16</v>
      </c>
      <c r="C5679">
        <v>30038</v>
      </c>
      <c r="D5679" t="str">
        <f>"30038"</f>
        <v>30038</v>
      </c>
      <c r="E5679">
        <v>57.6</v>
      </c>
    </row>
    <row r="5680" spans="1:5" x14ac:dyDescent="0.2">
      <c r="A5680">
        <v>30039</v>
      </c>
      <c r="B5680" t="s">
        <v>16</v>
      </c>
      <c r="C5680">
        <v>30039</v>
      </c>
      <c r="D5680" t="str">
        <f>"30039"</f>
        <v>30039</v>
      </c>
      <c r="E5680">
        <v>62.57</v>
      </c>
    </row>
    <row r="5681" spans="1:5" x14ac:dyDescent="0.2">
      <c r="A5681">
        <v>30040</v>
      </c>
      <c r="B5681" t="s">
        <v>16</v>
      </c>
      <c r="C5681">
        <v>30040</v>
      </c>
      <c r="D5681" t="str">
        <f>"30040"</f>
        <v>30040</v>
      </c>
      <c r="E5681">
        <v>77.599999999999994</v>
      </c>
    </row>
    <row r="5682" spans="1:5" x14ac:dyDescent="0.2">
      <c r="A5682">
        <v>30041</v>
      </c>
      <c r="B5682" t="s">
        <v>16</v>
      </c>
      <c r="C5682">
        <v>30041</v>
      </c>
      <c r="D5682" t="str">
        <f>"30041"</f>
        <v>30041</v>
      </c>
      <c r="E5682">
        <v>79.569999999999993</v>
      </c>
    </row>
    <row r="5683" spans="1:5" x14ac:dyDescent="0.2">
      <c r="A5683">
        <v>30043</v>
      </c>
      <c r="B5683" t="s">
        <v>16</v>
      </c>
      <c r="C5683">
        <v>30043</v>
      </c>
      <c r="D5683" t="str">
        <f>"30043"</f>
        <v>30043</v>
      </c>
      <c r="E5683">
        <v>68.180000000000007</v>
      </c>
    </row>
    <row r="5684" spans="1:5" x14ac:dyDescent="0.2">
      <c r="A5684">
        <v>30044</v>
      </c>
      <c r="B5684" t="s">
        <v>16</v>
      </c>
      <c r="C5684">
        <v>30044</v>
      </c>
      <c r="D5684" t="str">
        <f>"30044"</f>
        <v>30044</v>
      </c>
      <c r="E5684">
        <v>59.03</v>
      </c>
    </row>
    <row r="5685" spans="1:5" x14ac:dyDescent="0.2">
      <c r="A5685">
        <v>30045</v>
      </c>
      <c r="B5685" t="s">
        <v>16</v>
      </c>
      <c r="C5685">
        <v>30045</v>
      </c>
      <c r="D5685" t="str">
        <f>"30045"</f>
        <v>30045</v>
      </c>
      <c r="E5685">
        <v>64.56</v>
      </c>
    </row>
    <row r="5686" spans="1:5" x14ac:dyDescent="0.2">
      <c r="A5686">
        <v>30046</v>
      </c>
      <c r="B5686" t="s">
        <v>16</v>
      </c>
      <c r="C5686">
        <v>30046</v>
      </c>
      <c r="D5686" t="str">
        <f>"30046"</f>
        <v>30046</v>
      </c>
      <c r="E5686">
        <v>55.44</v>
      </c>
    </row>
    <row r="5687" spans="1:5" x14ac:dyDescent="0.2">
      <c r="A5687">
        <v>30047</v>
      </c>
      <c r="B5687" t="s">
        <v>16</v>
      </c>
      <c r="C5687">
        <v>30047</v>
      </c>
      <c r="D5687" t="str">
        <f>"30047"</f>
        <v>30047</v>
      </c>
      <c r="E5687">
        <v>65.680000000000007</v>
      </c>
    </row>
    <row r="5688" spans="1:5" x14ac:dyDescent="0.2">
      <c r="A5688">
        <v>30052</v>
      </c>
      <c r="B5688" t="s">
        <v>16</v>
      </c>
      <c r="C5688">
        <v>30052</v>
      </c>
      <c r="D5688" t="str">
        <f>"30052"</f>
        <v>30052</v>
      </c>
      <c r="E5688">
        <v>68.48</v>
      </c>
    </row>
    <row r="5689" spans="1:5" x14ac:dyDescent="0.2">
      <c r="A5689">
        <v>30054</v>
      </c>
      <c r="B5689" t="s">
        <v>16</v>
      </c>
      <c r="C5689">
        <v>30054</v>
      </c>
      <c r="D5689" t="str">
        <f>"30054"</f>
        <v>30054</v>
      </c>
      <c r="E5689">
        <v>68.069999999999993</v>
      </c>
    </row>
    <row r="5690" spans="1:5" x14ac:dyDescent="0.2">
      <c r="A5690">
        <v>30055</v>
      </c>
      <c r="B5690" t="s">
        <v>16</v>
      </c>
      <c r="C5690">
        <v>30055</v>
      </c>
      <c r="D5690" t="str">
        <f>"30055"</f>
        <v>30055</v>
      </c>
      <c r="E5690">
        <v>70.42</v>
      </c>
    </row>
    <row r="5691" spans="1:5" x14ac:dyDescent="0.2">
      <c r="A5691">
        <v>30056</v>
      </c>
      <c r="B5691" t="s">
        <v>16</v>
      </c>
      <c r="C5691">
        <v>30056</v>
      </c>
      <c r="D5691" t="str">
        <f>"30056"</f>
        <v>30056</v>
      </c>
      <c r="E5691">
        <v>63.06</v>
      </c>
    </row>
    <row r="5692" spans="1:5" x14ac:dyDescent="0.2">
      <c r="A5692">
        <v>30058</v>
      </c>
      <c r="B5692" t="s">
        <v>16</v>
      </c>
      <c r="C5692">
        <v>30058</v>
      </c>
      <c r="D5692" t="str">
        <f>"30058"</f>
        <v>30058</v>
      </c>
      <c r="E5692">
        <v>54.22</v>
      </c>
    </row>
    <row r="5693" spans="1:5" x14ac:dyDescent="0.2">
      <c r="A5693">
        <v>30060</v>
      </c>
      <c r="B5693" t="s">
        <v>16</v>
      </c>
      <c r="C5693">
        <v>30060</v>
      </c>
      <c r="D5693" t="str">
        <f>"30060"</f>
        <v>30060</v>
      </c>
      <c r="E5693">
        <v>54.66</v>
      </c>
    </row>
    <row r="5694" spans="1:5" x14ac:dyDescent="0.2">
      <c r="A5694">
        <v>30062</v>
      </c>
      <c r="B5694" t="s">
        <v>16</v>
      </c>
      <c r="C5694">
        <v>30062</v>
      </c>
      <c r="D5694" t="str">
        <f>"30062"</f>
        <v>30062</v>
      </c>
      <c r="E5694">
        <v>77.430000000000007</v>
      </c>
    </row>
    <row r="5695" spans="1:5" x14ac:dyDescent="0.2">
      <c r="A5695">
        <v>30064</v>
      </c>
      <c r="B5695" t="s">
        <v>16</v>
      </c>
      <c r="C5695">
        <v>30064</v>
      </c>
      <c r="D5695" t="str">
        <f>"30064"</f>
        <v>30064</v>
      </c>
      <c r="E5695">
        <v>76.739999999999995</v>
      </c>
    </row>
    <row r="5696" spans="1:5" x14ac:dyDescent="0.2">
      <c r="A5696">
        <v>30066</v>
      </c>
      <c r="B5696" t="s">
        <v>16</v>
      </c>
      <c r="C5696">
        <v>30066</v>
      </c>
      <c r="D5696" t="str">
        <f>"30066"</f>
        <v>30066</v>
      </c>
      <c r="E5696">
        <v>75.59</v>
      </c>
    </row>
    <row r="5697" spans="1:5" x14ac:dyDescent="0.2">
      <c r="A5697">
        <v>30067</v>
      </c>
      <c r="B5697" t="s">
        <v>16</v>
      </c>
      <c r="C5697">
        <v>30067</v>
      </c>
      <c r="D5697" t="str">
        <f>"30067"</f>
        <v>30067</v>
      </c>
      <c r="E5697">
        <v>68.73</v>
      </c>
    </row>
    <row r="5698" spans="1:5" x14ac:dyDescent="0.2">
      <c r="A5698">
        <v>30068</v>
      </c>
      <c r="B5698" t="s">
        <v>16</v>
      </c>
      <c r="C5698">
        <v>30068</v>
      </c>
      <c r="D5698" t="str">
        <f>"30068"</f>
        <v>30068</v>
      </c>
      <c r="E5698">
        <v>81.13</v>
      </c>
    </row>
    <row r="5699" spans="1:5" x14ac:dyDescent="0.2">
      <c r="A5699">
        <v>30069</v>
      </c>
      <c r="B5699" t="s">
        <v>16</v>
      </c>
      <c r="C5699">
        <v>30069</v>
      </c>
      <c r="D5699" t="str">
        <f>"30069"</f>
        <v>30069</v>
      </c>
      <c r="E5699" t="s">
        <v>6</v>
      </c>
    </row>
    <row r="5700" spans="1:5" x14ac:dyDescent="0.2">
      <c r="A5700">
        <v>30071</v>
      </c>
      <c r="B5700" t="s">
        <v>16</v>
      </c>
      <c r="C5700">
        <v>30071</v>
      </c>
      <c r="D5700" t="str">
        <f>"30071"</f>
        <v>30071</v>
      </c>
      <c r="E5700">
        <v>54.1</v>
      </c>
    </row>
    <row r="5701" spans="1:5" x14ac:dyDescent="0.2">
      <c r="A5701">
        <v>30072</v>
      </c>
      <c r="B5701" t="s">
        <v>16</v>
      </c>
      <c r="C5701">
        <v>30072</v>
      </c>
      <c r="D5701" t="str">
        <f>"30072"</f>
        <v>30072</v>
      </c>
      <c r="E5701" t="s">
        <v>6</v>
      </c>
    </row>
    <row r="5702" spans="1:5" x14ac:dyDescent="0.2">
      <c r="A5702">
        <v>30075</v>
      </c>
      <c r="B5702" t="s">
        <v>16</v>
      </c>
      <c r="C5702">
        <v>30075</v>
      </c>
      <c r="D5702" t="str">
        <f>"30075"</f>
        <v>30075</v>
      </c>
      <c r="E5702">
        <v>80.66</v>
      </c>
    </row>
    <row r="5703" spans="1:5" x14ac:dyDescent="0.2">
      <c r="A5703">
        <v>30076</v>
      </c>
      <c r="B5703" t="s">
        <v>16</v>
      </c>
      <c r="C5703">
        <v>30076</v>
      </c>
      <c r="D5703" t="str">
        <f>"30076"</f>
        <v>30076</v>
      </c>
      <c r="E5703">
        <v>74.430000000000007</v>
      </c>
    </row>
    <row r="5704" spans="1:5" x14ac:dyDescent="0.2">
      <c r="A5704">
        <v>30078</v>
      </c>
      <c r="B5704" t="s">
        <v>16</v>
      </c>
      <c r="C5704">
        <v>30078</v>
      </c>
      <c r="D5704" t="str">
        <f>"30078"</f>
        <v>30078</v>
      </c>
      <c r="E5704">
        <v>66.73</v>
      </c>
    </row>
    <row r="5705" spans="1:5" x14ac:dyDescent="0.2">
      <c r="A5705">
        <v>30079</v>
      </c>
      <c r="B5705" t="s">
        <v>16</v>
      </c>
      <c r="C5705">
        <v>30079</v>
      </c>
      <c r="D5705" t="str">
        <f>"30079"</f>
        <v>30079</v>
      </c>
      <c r="E5705">
        <v>57.24</v>
      </c>
    </row>
    <row r="5706" spans="1:5" x14ac:dyDescent="0.2">
      <c r="A5706">
        <v>30080</v>
      </c>
      <c r="B5706" t="s">
        <v>16</v>
      </c>
      <c r="C5706">
        <v>30080</v>
      </c>
      <c r="D5706" t="str">
        <f>"30080"</f>
        <v>30080</v>
      </c>
      <c r="E5706">
        <v>76.08</v>
      </c>
    </row>
    <row r="5707" spans="1:5" x14ac:dyDescent="0.2">
      <c r="A5707">
        <v>30082</v>
      </c>
      <c r="B5707" t="s">
        <v>16</v>
      </c>
      <c r="C5707">
        <v>30082</v>
      </c>
      <c r="D5707" t="str">
        <f>"30082"</f>
        <v>30082</v>
      </c>
      <c r="E5707">
        <v>77.39</v>
      </c>
    </row>
    <row r="5708" spans="1:5" x14ac:dyDescent="0.2">
      <c r="A5708">
        <v>30083</v>
      </c>
      <c r="B5708" t="s">
        <v>16</v>
      </c>
      <c r="C5708">
        <v>30083</v>
      </c>
      <c r="D5708" t="str">
        <f>"30083"</f>
        <v>30083</v>
      </c>
      <c r="E5708">
        <v>52.09</v>
      </c>
    </row>
    <row r="5709" spans="1:5" x14ac:dyDescent="0.2">
      <c r="A5709">
        <v>30084</v>
      </c>
      <c r="B5709" t="s">
        <v>16</v>
      </c>
      <c r="C5709">
        <v>30084</v>
      </c>
      <c r="D5709" t="str">
        <f>"30084"</f>
        <v>30084</v>
      </c>
      <c r="E5709">
        <v>66.63</v>
      </c>
    </row>
    <row r="5710" spans="1:5" x14ac:dyDescent="0.2">
      <c r="A5710">
        <v>30087</v>
      </c>
      <c r="B5710" t="s">
        <v>16</v>
      </c>
      <c r="C5710">
        <v>30087</v>
      </c>
      <c r="D5710" t="str">
        <f>"30087"</f>
        <v>30087</v>
      </c>
      <c r="E5710">
        <v>68.319999999999993</v>
      </c>
    </row>
    <row r="5711" spans="1:5" x14ac:dyDescent="0.2">
      <c r="A5711">
        <v>30088</v>
      </c>
      <c r="B5711" t="s">
        <v>16</v>
      </c>
      <c r="C5711">
        <v>30088</v>
      </c>
      <c r="D5711" t="str">
        <f>"30088"</f>
        <v>30088</v>
      </c>
      <c r="E5711">
        <v>54.97</v>
      </c>
    </row>
    <row r="5712" spans="1:5" x14ac:dyDescent="0.2">
      <c r="A5712">
        <v>30090</v>
      </c>
      <c r="B5712" t="s">
        <v>16</v>
      </c>
      <c r="C5712">
        <v>30090</v>
      </c>
      <c r="D5712" t="str">
        <f>"30090"</f>
        <v>30090</v>
      </c>
      <c r="E5712" t="s">
        <v>6</v>
      </c>
    </row>
    <row r="5713" spans="1:5" x14ac:dyDescent="0.2">
      <c r="A5713">
        <v>30092</v>
      </c>
      <c r="B5713" t="s">
        <v>16</v>
      </c>
      <c r="C5713">
        <v>30092</v>
      </c>
      <c r="D5713" t="str">
        <f>"30092"</f>
        <v>30092</v>
      </c>
      <c r="E5713">
        <v>71.239999999999995</v>
      </c>
    </row>
    <row r="5714" spans="1:5" x14ac:dyDescent="0.2">
      <c r="A5714">
        <v>30093</v>
      </c>
      <c r="B5714" t="s">
        <v>16</v>
      </c>
      <c r="C5714">
        <v>30093</v>
      </c>
      <c r="D5714" t="str">
        <f>"30093"</f>
        <v>30093</v>
      </c>
      <c r="E5714">
        <v>47.85</v>
      </c>
    </row>
    <row r="5715" spans="1:5" x14ac:dyDescent="0.2">
      <c r="A5715">
        <v>30094</v>
      </c>
      <c r="B5715" t="s">
        <v>16</v>
      </c>
      <c r="C5715">
        <v>30094</v>
      </c>
      <c r="D5715" t="str">
        <f>"30094"</f>
        <v>30094</v>
      </c>
      <c r="E5715">
        <v>66.39</v>
      </c>
    </row>
    <row r="5716" spans="1:5" x14ac:dyDescent="0.2">
      <c r="A5716">
        <v>30096</v>
      </c>
      <c r="B5716" t="s">
        <v>16</v>
      </c>
      <c r="C5716">
        <v>30096</v>
      </c>
      <c r="D5716" t="str">
        <f>"30096"</f>
        <v>30096</v>
      </c>
      <c r="E5716">
        <v>64.53</v>
      </c>
    </row>
    <row r="5717" spans="1:5" x14ac:dyDescent="0.2">
      <c r="A5717">
        <v>30097</v>
      </c>
      <c r="B5717" t="s">
        <v>16</v>
      </c>
      <c r="C5717">
        <v>30097</v>
      </c>
      <c r="D5717" t="str">
        <f>"30097"</f>
        <v>30097</v>
      </c>
      <c r="E5717">
        <v>76.44</v>
      </c>
    </row>
    <row r="5718" spans="1:5" x14ac:dyDescent="0.2">
      <c r="A5718">
        <v>30101</v>
      </c>
      <c r="B5718" t="s">
        <v>16</v>
      </c>
      <c r="C5718">
        <v>30101</v>
      </c>
      <c r="D5718" t="str">
        <f>"30101"</f>
        <v>30101</v>
      </c>
      <c r="E5718">
        <v>74.53</v>
      </c>
    </row>
    <row r="5719" spans="1:5" x14ac:dyDescent="0.2">
      <c r="A5719">
        <v>30102</v>
      </c>
      <c r="B5719" t="s">
        <v>16</v>
      </c>
      <c r="C5719">
        <v>30102</v>
      </c>
      <c r="D5719" t="str">
        <f>"30102"</f>
        <v>30102</v>
      </c>
      <c r="E5719">
        <v>70.510000000000005</v>
      </c>
    </row>
    <row r="5720" spans="1:5" x14ac:dyDescent="0.2">
      <c r="A5720">
        <v>30103</v>
      </c>
      <c r="B5720" t="s">
        <v>16</v>
      </c>
      <c r="C5720">
        <v>30103</v>
      </c>
      <c r="D5720" t="str">
        <f>"30103"</f>
        <v>30103</v>
      </c>
      <c r="E5720">
        <v>68.2</v>
      </c>
    </row>
    <row r="5721" spans="1:5" x14ac:dyDescent="0.2">
      <c r="A5721">
        <v>30104</v>
      </c>
      <c r="B5721" t="s">
        <v>16</v>
      </c>
      <c r="C5721">
        <v>30104</v>
      </c>
      <c r="D5721" t="str">
        <f>"30104"</f>
        <v>30104</v>
      </c>
      <c r="E5721">
        <v>63.21</v>
      </c>
    </row>
    <row r="5722" spans="1:5" x14ac:dyDescent="0.2">
      <c r="A5722">
        <v>30105</v>
      </c>
      <c r="B5722" t="s">
        <v>16</v>
      </c>
      <c r="C5722">
        <v>30105</v>
      </c>
      <c r="D5722" t="str">
        <f>"30105"</f>
        <v>30105</v>
      </c>
      <c r="E5722">
        <v>70.8</v>
      </c>
    </row>
    <row r="5723" spans="1:5" x14ac:dyDescent="0.2">
      <c r="A5723">
        <v>30106</v>
      </c>
      <c r="B5723" t="s">
        <v>16</v>
      </c>
      <c r="C5723">
        <v>30106</v>
      </c>
      <c r="D5723" t="str">
        <f>"30106"</f>
        <v>30106</v>
      </c>
      <c r="E5723">
        <v>60.14</v>
      </c>
    </row>
    <row r="5724" spans="1:5" x14ac:dyDescent="0.2">
      <c r="A5724">
        <v>30107</v>
      </c>
      <c r="B5724" t="s">
        <v>16</v>
      </c>
      <c r="C5724">
        <v>30107</v>
      </c>
      <c r="D5724" t="str">
        <f>"30107"</f>
        <v>30107</v>
      </c>
      <c r="E5724">
        <v>74.89</v>
      </c>
    </row>
    <row r="5725" spans="1:5" x14ac:dyDescent="0.2">
      <c r="A5725">
        <v>30108</v>
      </c>
      <c r="B5725" t="s">
        <v>16</v>
      </c>
      <c r="C5725">
        <v>30108</v>
      </c>
      <c r="D5725" t="str">
        <f>"30108"</f>
        <v>30108</v>
      </c>
      <c r="E5725">
        <v>65.290000000000006</v>
      </c>
    </row>
    <row r="5726" spans="1:5" x14ac:dyDescent="0.2">
      <c r="A5726">
        <v>30110</v>
      </c>
      <c r="B5726" t="s">
        <v>16</v>
      </c>
      <c r="C5726">
        <v>30110</v>
      </c>
      <c r="D5726" t="str">
        <f>"30110"</f>
        <v>30110</v>
      </c>
      <c r="E5726">
        <v>68.5</v>
      </c>
    </row>
    <row r="5727" spans="1:5" x14ac:dyDescent="0.2">
      <c r="A5727">
        <v>30113</v>
      </c>
      <c r="B5727" t="s">
        <v>16</v>
      </c>
      <c r="C5727">
        <v>30113</v>
      </c>
      <c r="D5727" t="str">
        <f>"30113"</f>
        <v>30113</v>
      </c>
      <c r="E5727">
        <v>62.55</v>
      </c>
    </row>
    <row r="5728" spans="1:5" x14ac:dyDescent="0.2">
      <c r="A5728">
        <v>30114</v>
      </c>
      <c r="B5728" t="s">
        <v>16</v>
      </c>
      <c r="C5728">
        <v>30114</v>
      </c>
      <c r="D5728" t="str">
        <f>"30114"</f>
        <v>30114</v>
      </c>
      <c r="E5728">
        <v>72.78</v>
      </c>
    </row>
    <row r="5729" spans="1:5" x14ac:dyDescent="0.2">
      <c r="A5729">
        <v>30115</v>
      </c>
      <c r="B5729" t="s">
        <v>16</v>
      </c>
      <c r="C5729">
        <v>30115</v>
      </c>
      <c r="D5729" t="str">
        <f>"30115"</f>
        <v>30115</v>
      </c>
      <c r="E5729">
        <v>76.67</v>
      </c>
    </row>
    <row r="5730" spans="1:5" x14ac:dyDescent="0.2">
      <c r="A5730">
        <v>30116</v>
      </c>
      <c r="B5730" t="s">
        <v>16</v>
      </c>
      <c r="C5730">
        <v>30116</v>
      </c>
      <c r="D5730" t="str">
        <f>"30116"</f>
        <v>30116</v>
      </c>
      <c r="E5730">
        <v>66.22</v>
      </c>
    </row>
    <row r="5731" spans="1:5" x14ac:dyDescent="0.2">
      <c r="A5731">
        <v>30117</v>
      </c>
      <c r="B5731" t="s">
        <v>16</v>
      </c>
      <c r="C5731">
        <v>30117</v>
      </c>
      <c r="D5731" t="str">
        <f>"30117"</f>
        <v>30117</v>
      </c>
      <c r="E5731">
        <v>61.48</v>
      </c>
    </row>
    <row r="5732" spans="1:5" x14ac:dyDescent="0.2">
      <c r="A5732">
        <v>30118</v>
      </c>
      <c r="B5732" t="s">
        <v>16</v>
      </c>
      <c r="C5732">
        <v>30118</v>
      </c>
      <c r="D5732" t="str">
        <f>"30118"</f>
        <v>30118</v>
      </c>
      <c r="E5732" t="s">
        <v>6</v>
      </c>
    </row>
    <row r="5733" spans="1:5" x14ac:dyDescent="0.2">
      <c r="A5733">
        <v>30119</v>
      </c>
      <c r="B5733" t="s">
        <v>16</v>
      </c>
      <c r="C5733">
        <v>30119</v>
      </c>
      <c r="D5733" t="str">
        <f>"30119"</f>
        <v>30119</v>
      </c>
      <c r="E5733" t="s">
        <v>6</v>
      </c>
    </row>
    <row r="5734" spans="1:5" x14ac:dyDescent="0.2">
      <c r="A5734">
        <v>30120</v>
      </c>
      <c r="B5734" t="s">
        <v>16</v>
      </c>
      <c r="C5734">
        <v>30120</v>
      </c>
      <c r="D5734" t="str">
        <f>"30120"</f>
        <v>30120</v>
      </c>
      <c r="E5734">
        <v>65.400000000000006</v>
      </c>
    </row>
    <row r="5735" spans="1:5" x14ac:dyDescent="0.2">
      <c r="A5735">
        <v>30121</v>
      </c>
      <c r="B5735" t="s">
        <v>16</v>
      </c>
      <c r="C5735">
        <v>30121</v>
      </c>
      <c r="D5735" t="str">
        <f>"30121"</f>
        <v>30121</v>
      </c>
      <c r="E5735">
        <v>65.3</v>
      </c>
    </row>
    <row r="5736" spans="1:5" x14ac:dyDescent="0.2">
      <c r="A5736">
        <v>30122</v>
      </c>
      <c r="B5736" t="s">
        <v>16</v>
      </c>
      <c r="C5736">
        <v>30122</v>
      </c>
      <c r="D5736" t="str">
        <f>"30122"</f>
        <v>30122</v>
      </c>
      <c r="E5736">
        <v>62.69</v>
      </c>
    </row>
    <row r="5737" spans="1:5" x14ac:dyDescent="0.2">
      <c r="A5737">
        <v>30124</v>
      </c>
      <c r="B5737" t="s">
        <v>16</v>
      </c>
      <c r="C5737">
        <v>30124</v>
      </c>
      <c r="D5737" t="str">
        <f>"30124"</f>
        <v>30124</v>
      </c>
      <c r="E5737">
        <v>69.11</v>
      </c>
    </row>
    <row r="5738" spans="1:5" x14ac:dyDescent="0.2">
      <c r="A5738">
        <v>30125</v>
      </c>
      <c r="B5738" t="s">
        <v>16</v>
      </c>
      <c r="C5738">
        <v>30125</v>
      </c>
      <c r="D5738" t="str">
        <f>"30125"</f>
        <v>30125</v>
      </c>
      <c r="E5738">
        <v>58.87</v>
      </c>
    </row>
    <row r="5739" spans="1:5" x14ac:dyDescent="0.2">
      <c r="A5739">
        <v>30126</v>
      </c>
      <c r="B5739" t="s">
        <v>16</v>
      </c>
      <c r="C5739">
        <v>30126</v>
      </c>
      <c r="D5739" t="str">
        <f>"30126"</f>
        <v>30126</v>
      </c>
      <c r="E5739">
        <v>68.400000000000006</v>
      </c>
    </row>
    <row r="5740" spans="1:5" x14ac:dyDescent="0.2">
      <c r="A5740">
        <v>30127</v>
      </c>
      <c r="B5740" t="s">
        <v>16</v>
      </c>
      <c r="C5740">
        <v>30127</v>
      </c>
      <c r="D5740" t="str">
        <f>"30127"</f>
        <v>30127</v>
      </c>
      <c r="E5740">
        <v>69.31</v>
      </c>
    </row>
    <row r="5741" spans="1:5" x14ac:dyDescent="0.2">
      <c r="A5741">
        <v>30132</v>
      </c>
      <c r="B5741" t="s">
        <v>16</v>
      </c>
      <c r="C5741">
        <v>30132</v>
      </c>
      <c r="D5741" t="str">
        <f>"30132"</f>
        <v>30132</v>
      </c>
      <c r="E5741">
        <v>71.52</v>
      </c>
    </row>
    <row r="5742" spans="1:5" x14ac:dyDescent="0.2">
      <c r="A5742">
        <v>30134</v>
      </c>
      <c r="B5742" t="s">
        <v>16</v>
      </c>
      <c r="C5742">
        <v>30134</v>
      </c>
      <c r="D5742" t="str">
        <f>"30134"</f>
        <v>30134</v>
      </c>
      <c r="E5742">
        <v>60.82</v>
      </c>
    </row>
    <row r="5743" spans="1:5" x14ac:dyDescent="0.2">
      <c r="A5743">
        <v>30135</v>
      </c>
      <c r="B5743" t="s">
        <v>16</v>
      </c>
      <c r="C5743">
        <v>30135</v>
      </c>
      <c r="D5743" t="str">
        <f>"30135"</f>
        <v>30135</v>
      </c>
      <c r="E5743">
        <v>65.94</v>
      </c>
    </row>
    <row r="5744" spans="1:5" x14ac:dyDescent="0.2">
      <c r="A5744">
        <v>30137</v>
      </c>
      <c r="B5744" t="s">
        <v>16</v>
      </c>
      <c r="C5744">
        <v>30137</v>
      </c>
      <c r="D5744" t="str">
        <f>"30137"</f>
        <v>30137</v>
      </c>
      <c r="E5744">
        <v>65.75</v>
      </c>
    </row>
    <row r="5745" spans="1:5" x14ac:dyDescent="0.2">
      <c r="A5745">
        <v>30139</v>
      </c>
      <c r="B5745" t="s">
        <v>16</v>
      </c>
      <c r="C5745">
        <v>30139</v>
      </c>
      <c r="D5745" t="str">
        <f>"30139"</f>
        <v>30139</v>
      </c>
      <c r="E5745">
        <v>67.040000000000006</v>
      </c>
    </row>
    <row r="5746" spans="1:5" x14ac:dyDescent="0.2">
      <c r="A5746">
        <v>30141</v>
      </c>
      <c r="B5746" t="s">
        <v>16</v>
      </c>
      <c r="C5746">
        <v>30141</v>
      </c>
      <c r="D5746" t="str">
        <f>"30141"</f>
        <v>30141</v>
      </c>
      <c r="E5746">
        <v>69.599999999999994</v>
      </c>
    </row>
    <row r="5747" spans="1:5" x14ac:dyDescent="0.2">
      <c r="A5747">
        <v>30143</v>
      </c>
      <c r="B5747" t="s">
        <v>16</v>
      </c>
      <c r="C5747">
        <v>30143</v>
      </c>
      <c r="D5747" t="str">
        <f>"30143"</f>
        <v>30143</v>
      </c>
      <c r="E5747">
        <v>72.989999999999995</v>
      </c>
    </row>
    <row r="5748" spans="1:5" x14ac:dyDescent="0.2">
      <c r="A5748">
        <v>30144</v>
      </c>
      <c r="B5748" t="s">
        <v>16</v>
      </c>
      <c r="C5748">
        <v>30144</v>
      </c>
      <c r="D5748" t="str">
        <f>"30144"</f>
        <v>30144</v>
      </c>
      <c r="E5748">
        <v>72.27</v>
      </c>
    </row>
    <row r="5749" spans="1:5" x14ac:dyDescent="0.2">
      <c r="A5749">
        <v>30145</v>
      </c>
      <c r="B5749" t="s">
        <v>16</v>
      </c>
      <c r="C5749">
        <v>30145</v>
      </c>
      <c r="D5749" t="str">
        <f>"30145"</f>
        <v>30145</v>
      </c>
      <c r="E5749">
        <v>70.92</v>
      </c>
    </row>
    <row r="5750" spans="1:5" x14ac:dyDescent="0.2">
      <c r="A5750">
        <v>30147</v>
      </c>
      <c r="B5750" t="s">
        <v>16</v>
      </c>
      <c r="C5750">
        <v>30147</v>
      </c>
      <c r="D5750" t="str">
        <f>"30147"</f>
        <v>30147</v>
      </c>
      <c r="E5750">
        <v>62.78</v>
      </c>
    </row>
    <row r="5751" spans="1:5" x14ac:dyDescent="0.2">
      <c r="A5751">
        <v>30148</v>
      </c>
      <c r="B5751" t="s">
        <v>16</v>
      </c>
      <c r="C5751">
        <v>30148</v>
      </c>
      <c r="D5751" t="str">
        <f>"30148"</f>
        <v>30148</v>
      </c>
      <c r="E5751">
        <v>61.76</v>
      </c>
    </row>
    <row r="5752" spans="1:5" x14ac:dyDescent="0.2">
      <c r="A5752">
        <v>30152</v>
      </c>
      <c r="B5752" t="s">
        <v>16</v>
      </c>
      <c r="C5752">
        <v>30152</v>
      </c>
      <c r="D5752" t="str">
        <f>"30152"</f>
        <v>30152</v>
      </c>
      <c r="E5752">
        <v>75.88</v>
      </c>
    </row>
    <row r="5753" spans="1:5" x14ac:dyDescent="0.2">
      <c r="A5753">
        <v>30153</v>
      </c>
      <c r="B5753" t="s">
        <v>16</v>
      </c>
      <c r="C5753">
        <v>30153</v>
      </c>
      <c r="D5753" t="str">
        <f>"30153"</f>
        <v>30153</v>
      </c>
      <c r="E5753">
        <v>63.8</v>
      </c>
    </row>
    <row r="5754" spans="1:5" x14ac:dyDescent="0.2">
      <c r="A5754">
        <v>30157</v>
      </c>
      <c r="B5754" t="s">
        <v>16</v>
      </c>
      <c r="C5754">
        <v>30157</v>
      </c>
      <c r="D5754" t="str">
        <f>"30157"</f>
        <v>30157</v>
      </c>
      <c r="E5754">
        <v>70.69</v>
      </c>
    </row>
    <row r="5755" spans="1:5" x14ac:dyDescent="0.2">
      <c r="A5755">
        <v>30161</v>
      </c>
      <c r="B5755" t="s">
        <v>16</v>
      </c>
      <c r="C5755">
        <v>30161</v>
      </c>
      <c r="D5755" t="str">
        <f>"30161"</f>
        <v>30161</v>
      </c>
      <c r="E5755">
        <v>63.15</v>
      </c>
    </row>
    <row r="5756" spans="1:5" x14ac:dyDescent="0.2">
      <c r="A5756">
        <v>30165</v>
      </c>
      <c r="B5756" t="s">
        <v>16</v>
      </c>
      <c r="C5756">
        <v>30165</v>
      </c>
      <c r="D5756" t="str">
        <f>"30165"</f>
        <v>30165</v>
      </c>
      <c r="E5756">
        <v>61.46</v>
      </c>
    </row>
    <row r="5757" spans="1:5" x14ac:dyDescent="0.2">
      <c r="A5757">
        <v>30168</v>
      </c>
      <c r="B5757" t="s">
        <v>16</v>
      </c>
      <c r="C5757">
        <v>30168</v>
      </c>
      <c r="D5757" t="str">
        <f>"30168"</f>
        <v>30168</v>
      </c>
      <c r="E5757">
        <v>50.97</v>
      </c>
    </row>
    <row r="5758" spans="1:5" x14ac:dyDescent="0.2">
      <c r="A5758">
        <v>30170</v>
      </c>
      <c r="B5758" t="s">
        <v>16</v>
      </c>
      <c r="C5758">
        <v>30170</v>
      </c>
      <c r="D5758" t="str">
        <f>"30170"</f>
        <v>30170</v>
      </c>
      <c r="E5758">
        <v>68.8</v>
      </c>
    </row>
    <row r="5759" spans="1:5" x14ac:dyDescent="0.2">
      <c r="A5759">
        <v>30171</v>
      </c>
      <c r="B5759" t="s">
        <v>16</v>
      </c>
      <c r="C5759">
        <v>30171</v>
      </c>
      <c r="D5759" t="str">
        <f>"30171"</f>
        <v>30171</v>
      </c>
      <c r="E5759">
        <v>70.39</v>
      </c>
    </row>
    <row r="5760" spans="1:5" x14ac:dyDescent="0.2">
      <c r="A5760">
        <v>30173</v>
      </c>
      <c r="B5760" t="s">
        <v>16</v>
      </c>
      <c r="C5760">
        <v>30173</v>
      </c>
      <c r="D5760" t="str">
        <f>"30173"</f>
        <v>30173</v>
      </c>
      <c r="E5760">
        <v>67.41</v>
      </c>
    </row>
    <row r="5761" spans="1:5" x14ac:dyDescent="0.2">
      <c r="A5761">
        <v>30175</v>
      </c>
      <c r="B5761" t="s">
        <v>16</v>
      </c>
      <c r="C5761">
        <v>30175</v>
      </c>
      <c r="D5761" t="str">
        <f>"30175"</f>
        <v>30175</v>
      </c>
      <c r="E5761">
        <v>67.94</v>
      </c>
    </row>
    <row r="5762" spans="1:5" x14ac:dyDescent="0.2">
      <c r="A5762">
        <v>30176</v>
      </c>
      <c r="B5762" t="s">
        <v>16</v>
      </c>
      <c r="C5762">
        <v>30176</v>
      </c>
      <c r="D5762" t="str">
        <f>"30176"</f>
        <v>30176</v>
      </c>
      <c r="E5762">
        <v>62.5</v>
      </c>
    </row>
    <row r="5763" spans="1:5" x14ac:dyDescent="0.2">
      <c r="A5763">
        <v>30177</v>
      </c>
      <c r="B5763" t="s">
        <v>16</v>
      </c>
      <c r="C5763">
        <v>30177</v>
      </c>
      <c r="D5763" t="str">
        <f>"30177"</f>
        <v>30177</v>
      </c>
      <c r="E5763">
        <v>70.37</v>
      </c>
    </row>
    <row r="5764" spans="1:5" x14ac:dyDescent="0.2">
      <c r="A5764">
        <v>30178</v>
      </c>
      <c r="B5764" t="s">
        <v>16</v>
      </c>
      <c r="C5764">
        <v>30178</v>
      </c>
      <c r="D5764" t="str">
        <f>"30178"</f>
        <v>30178</v>
      </c>
      <c r="E5764">
        <v>70</v>
      </c>
    </row>
    <row r="5765" spans="1:5" x14ac:dyDescent="0.2">
      <c r="A5765">
        <v>30179</v>
      </c>
      <c r="B5765" t="s">
        <v>16</v>
      </c>
      <c r="C5765">
        <v>30179</v>
      </c>
      <c r="D5765" t="str">
        <f>"30179"</f>
        <v>30179</v>
      </c>
      <c r="E5765">
        <v>67.349999999999994</v>
      </c>
    </row>
    <row r="5766" spans="1:5" x14ac:dyDescent="0.2">
      <c r="A5766">
        <v>30180</v>
      </c>
      <c r="B5766" t="s">
        <v>16</v>
      </c>
      <c r="C5766">
        <v>30180</v>
      </c>
      <c r="D5766" t="str">
        <f>"30180"</f>
        <v>30180</v>
      </c>
      <c r="E5766">
        <v>68.790000000000006</v>
      </c>
    </row>
    <row r="5767" spans="1:5" x14ac:dyDescent="0.2">
      <c r="A5767">
        <v>30182</v>
      </c>
      <c r="B5767" t="s">
        <v>16</v>
      </c>
      <c r="C5767">
        <v>30182</v>
      </c>
      <c r="D5767" t="str">
        <f>"30182"</f>
        <v>30182</v>
      </c>
      <c r="E5767">
        <v>67.62</v>
      </c>
    </row>
    <row r="5768" spans="1:5" x14ac:dyDescent="0.2">
      <c r="A5768">
        <v>30183</v>
      </c>
      <c r="B5768" t="s">
        <v>16</v>
      </c>
      <c r="C5768">
        <v>30183</v>
      </c>
      <c r="D5768" t="str">
        <f>"30183"</f>
        <v>30183</v>
      </c>
      <c r="E5768">
        <v>75.56</v>
      </c>
    </row>
    <row r="5769" spans="1:5" x14ac:dyDescent="0.2">
      <c r="A5769">
        <v>30184</v>
      </c>
      <c r="B5769" t="s">
        <v>16</v>
      </c>
      <c r="C5769">
        <v>30184</v>
      </c>
      <c r="D5769" t="str">
        <f>"30184"</f>
        <v>30184</v>
      </c>
      <c r="E5769">
        <v>72.900000000000006</v>
      </c>
    </row>
    <row r="5770" spans="1:5" x14ac:dyDescent="0.2">
      <c r="A5770">
        <v>30185</v>
      </c>
      <c r="B5770" t="s">
        <v>16</v>
      </c>
      <c r="C5770">
        <v>30185</v>
      </c>
      <c r="D5770" t="str">
        <f>"30185"</f>
        <v>30185</v>
      </c>
      <c r="E5770">
        <v>70.73</v>
      </c>
    </row>
    <row r="5771" spans="1:5" x14ac:dyDescent="0.2">
      <c r="A5771">
        <v>30187</v>
      </c>
      <c r="B5771" t="s">
        <v>16</v>
      </c>
      <c r="C5771">
        <v>30187</v>
      </c>
      <c r="D5771" t="str">
        <f>"30187"</f>
        <v>30187</v>
      </c>
      <c r="E5771">
        <v>72.41</v>
      </c>
    </row>
    <row r="5772" spans="1:5" x14ac:dyDescent="0.2">
      <c r="A5772">
        <v>30188</v>
      </c>
      <c r="B5772" t="s">
        <v>16</v>
      </c>
      <c r="C5772">
        <v>30188</v>
      </c>
      <c r="D5772" t="str">
        <f>"30188"</f>
        <v>30188</v>
      </c>
      <c r="E5772">
        <v>77.25</v>
      </c>
    </row>
    <row r="5773" spans="1:5" x14ac:dyDescent="0.2">
      <c r="A5773">
        <v>30189</v>
      </c>
      <c r="B5773" t="s">
        <v>16</v>
      </c>
      <c r="C5773">
        <v>30189</v>
      </c>
      <c r="D5773" t="str">
        <f>"30189"</f>
        <v>30189</v>
      </c>
      <c r="E5773">
        <v>76.17</v>
      </c>
    </row>
    <row r="5774" spans="1:5" x14ac:dyDescent="0.2">
      <c r="A5774">
        <v>30204</v>
      </c>
      <c r="B5774" t="s">
        <v>16</v>
      </c>
      <c r="C5774">
        <v>30204</v>
      </c>
      <c r="D5774" t="str">
        <f>"30204"</f>
        <v>30204</v>
      </c>
      <c r="E5774">
        <v>60.59</v>
      </c>
    </row>
    <row r="5775" spans="1:5" x14ac:dyDescent="0.2">
      <c r="A5775">
        <v>30205</v>
      </c>
      <c r="B5775" t="s">
        <v>16</v>
      </c>
      <c r="C5775">
        <v>30205</v>
      </c>
      <c r="D5775" t="str">
        <f>"30205"</f>
        <v>30205</v>
      </c>
      <c r="E5775">
        <v>76.92</v>
      </c>
    </row>
    <row r="5776" spans="1:5" x14ac:dyDescent="0.2">
      <c r="A5776">
        <v>30206</v>
      </c>
      <c r="B5776" t="s">
        <v>16</v>
      </c>
      <c r="C5776">
        <v>30206</v>
      </c>
      <c r="D5776" t="str">
        <f>"30206"</f>
        <v>30206</v>
      </c>
      <c r="E5776">
        <v>71.97</v>
      </c>
    </row>
    <row r="5777" spans="1:5" x14ac:dyDescent="0.2">
      <c r="A5777">
        <v>30213</v>
      </c>
      <c r="B5777" t="s">
        <v>16</v>
      </c>
      <c r="C5777">
        <v>30213</v>
      </c>
      <c r="D5777" t="str">
        <f>"30213"</f>
        <v>30213</v>
      </c>
      <c r="E5777">
        <v>61.97</v>
      </c>
    </row>
    <row r="5778" spans="1:5" x14ac:dyDescent="0.2">
      <c r="A5778">
        <v>30214</v>
      </c>
      <c r="B5778" t="s">
        <v>16</v>
      </c>
      <c r="C5778">
        <v>30214</v>
      </c>
      <c r="D5778" t="str">
        <f>"30214"</f>
        <v>30214</v>
      </c>
      <c r="E5778">
        <v>70.66</v>
      </c>
    </row>
    <row r="5779" spans="1:5" x14ac:dyDescent="0.2">
      <c r="A5779">
        <v>30215</v>
      </c>
      <c r="B5779" t="s">
        <v>16</v>
      </c>
      <c r="C5779">
        <v>30215</v>
      </c>
      <c r="D5779" t="str">
        <f>"30215"</f>
        <v>30215</v>
      </c>
      <c r="E5779">
        <v>75.27</v>
      </c>
    </row>
    <row r="5780" spans="1:5" x14ac:dyDescent="0.2">
      <c r="A5780">
        <v>30216</v>
      </c>
      <c r="B5780" t="s">
        <v>16</v>
      </c>
      <c r="C5780">
        <v>30216</v>
      </c>
      <c r="D5780" t="str">
        <f>"30216"</f>
        <v>30216</v>
      </c>
      <c r="E5780">
        <v>55.7</v>
      </c>
    </row>
    <row r="5781" spans="1:5" x14ac:dyDescent="0.2">
      <c r="A5781">
        <v>30217</v>
      </c>
      <c r="B5781" t="s">
        <v>16</v>
      </c>
      <c r="C5781">
        <v>30217</v>
      </c>
      <c r="D5781" t="str">
        <f>"30217"</f>
        <v>30217</v>
      </c>
      <c r="E5781">
        <v>62.57</v>
      </c>
    </row>
    <row r="5782" spans="1:5" x14ac:dyDescent="0.2">
      <c r="A5782">
        <v>30218</v>
      </c>
      <c r="B5782" t="s">
        <v>16</v>
      </c>
      <c r="C5782">
        <v>30218</v>
      </c>
      <c r="D5782" t="str">
        <f>"30218"</f>
        <v>30218</v>
      </c>
      <c r="E5782">
        <v>63.22</v>
      </c>
    </row>
    <row r="5783" spans="1:5" x14ac:dyDescent="0.2">
      <c r="A5783">
        <v>30220</v>
      </c>
      <c r="B5783" t="s">
        <v>16</v>
      </c>
      <c r="C5783">
        <v>30220</v>
      </c>
      <c r="D5783" t="str">
        <f>"30220"</f>
        <v>30220</v>
      </c>
      <c r="E5783">
        <v>61.4</v>
      </c>
    </row>
    <row r="5784" spans="1:5" x14ac:dyDescent="0.2">
      <c r="A5784">
        <v>30222</v>
      </c>
      <c r="B5784" t="s">
        <v>16</v>
      </c>
      <c r="C5784">
        <v>30222</v>
      </c>
      <c r="D5784" t="str">
        <f>"30222"</f>
        <v>30222</v>
      </c>
      <c r="E5784">
        <v>56.14</v>
      </c>
    </row>
    <row r="5785" spans="1:5" x14ac:dyDescent="0.2">
      <c r="A5785">
        <v>30223</v>
      </c>
      <c r="B5785" t="s">
        <v>16</v>
      </c>
      <c r="C5785">
        <v>30223</v>
      </c>
      <c r="D5785" t="str">
        <f>"30223"</f>
        <v>30223</v>
      </c>
      <c r="E5785">
        <v>54.88</v>
      </c>
    </row>
    <row r="5786" spans="1:5" x14ac:dyDescent="0.2">
      <c r="A5786">
        <v>30224</v>
      </c>
      <c r="B5786" t="s">
        <v>16</v>
      </c>
      <c r="C5786">
        <v>30224</v>
      </c>
      <c r="D5786" t="str">
        <f>"30224"</f>
        <v>30224</v>
      </c>
      <c r="E5786">
        <v>64.42</v>
      </c>
    </row>
    <row r="5787" spans="1:5" x14ac:dyDescent="0.2">
      <c r="A5787">
        <v>30228</v>
      </c>
      <c r="B5787" t="s">
        <v>16</v>
      </c>
      <c r="C5787">
        <v>30228</v>
      </c>
      <c r="D5787" t="str">
        <f>"30228"</f>
        <v>30228</v>
      </c>
      <c r="E5787">
        <v>60.85</v>
      </c>
    </row>
    <row r="5788" spans="1:5" x14ac:dyDescent="0.2">
      <c r="A5788">
        <v>30230</v>
      </c>
      <c r="B5788" t="s">
        <v>16</v>
      </c>
      <c r="C5788">
        <v>30230</v>
      </c>
      <c r="D5788" t="str">
        <f>"30230"</f>
        <v>30230</v>
      </c>
      <c r="E5788">
        <v>59.83</v>
      </c>
    </row>
    <row r="5789" spans="1:5" x14ac:dyDescent="0.2">
      <c r="A5789">
        <v>30233</v>
      </c>
      <c r="B5789" t="s">
        <v>16</v>
      </c>
      <c r="C5789">
        <v>30233</v>
      </c>
      <c r="D5789" t="str">
        <f>"30233"</f>
        <v>30233</v>
      </c>
      <c r="E5789">
        <v>65.510000000000005</v>
      </c>
    </row>
    <row r="5790" spans="1:5" x14ac:dyDescent="0.2">
      <c r="A5790">
        <v>30234</v>
      </c>
      <c r="B5790" t="s">
        <v>16</v>
      </c>
      <c r="C5790">
        <v>30234</v>
      </c>
      <c r="D5790" t="str">
        <f>"30234"</f>
        <v>30234</v>
      </c>
      <c r="E5790">
        <v>61.36</v>
      </c>
    </row>
    <row r="5791" spans="1:5" x14ac:dyDescent="0.2">
      <c r="A5791">
        <v>30236</v>
      </c>
      <c r="B5791" t="s">
        <v>16</v>
      </c>
      <c r="C5791">
        <v>30236</v>
      </c>
      <c r="D5791" t="str">
        <f>"30236"</f>
        <v>30236</v>
      </c>
      <c r="E5791">
        <v>55.76</v>
      </c>
    </row>
    <row r="5792" spans="1:5" x14ac:dyDescent="0.2">
      <c r="A5792">
        <v>30238</v>
      </c>
      <c r="B5792" t="s">
        <v>16</v>
      </c>
      <c r="C5792">
        <v>30238</v>
      </c>
      <c r="D5792" t="str">
        <f>"30238"</f>
        <v>30238</v>
      </c>
      <c r="E5792">
        <v>50.92</v>
      </c>
    </row>
    <row r="5793" spans="1:5" x14ac:dyDescent="0.2">
      <c r="A5793">
        <v>30240</v>
      </c>
      <c r="B5793" t="s">
        <v>16</v>
      </c>
      <c r="C5793">
        <v>30240</v>
      </c>
      <c r="D5793" t="str">
        <f>"30240"</f>
        <v>30240</v>
      </c>
      <c r="E5793">
        <v>60.3</v>
      </c>
    </row>
    <row r="5794" spans="1:5" x14ac:dyDescent="0.2">
      <c r="A5794">
        <v>30241</v>
      </c>
      <c r="B5794" t="s">
        <v>16</v>
      </c>
      <c r="C5794">
        <v>30241</v>
      </c>
      <c r="D5794" t="str">
        <f>"30241"</f>
        <v>30241</v>
      </c>
      <c r="E5794">
        <v>55.81</v>
      </c>
    </row>
    <row r="5795" spans="1:5" x14ac:dyDescent="0.2">
      <c r="A5795">
        <v>30248</v>
      </c>
      <c r="B5795" t="s">
        <v>16</v>
      </c>
      <c r="C5795">
        <v>30248</v>
      </c>
      <c r="D5795" t="str">
        <f>"30248"</f>
        <v>30248</v>
      </c>
      <c r="E5795">
        <v>69.27</v>
      </c>
    </row>
    <row r="5796" spans="1:5" x14ac:dyDescent="0.2">
      <c r="A5796">
        <v>30251</v>
      </c>
      <c r="B5796" t="s">
        <v>16</v>
      </c>
      <c r="C5796">
        <v>30251</v>
      </c>
      <c r="D5796" t="str">
        <f>"30251"</f>
        <v>30251</v>
      </c>
      <c r="E5796">
        <v>62.11</v>
      </c>
    </row>
    <row r="5797" spans="1:5" x14ac:dyDescent="0.2">
      <c r="A5797">
        <v>30252</v>
      </c>
      <c r="B5797" t="s">
        <v>16</v>
      </c>
      <c r="C5797">
        <v>30252</v>
      </c>
      <c r="D5797" t="str">
        <f>"30252"</f>
        <v>30252</v>
      </c>
      <c r="E5797">
        <v>72.3</v>
      </c>
    </row>
    <row r="5798" spans="1:5" x14ac:dyDescent="0.2">
      <c r="A5798">
        <v>30253</v>
      </c>
      <c r="B5798" t="s">
        <v>16</v>
      </c>
      <c r="C5798">
        <v>30253</v>
      </c>
      <c r="D5798" t="str">
        <f>"30253"</f>
        <v>30253</v>
      </c>
      <c r="E5798">
        <v>64.040000000000006</v>
      </c>
    </row>
    <row r="5799" spans="1:5" x14ac:dyDescent="0.2">
      <c r="A5799">
        <v>30256</v>
      </c>
      <c r="B5799" t="s">
        <v>16</v>
      </c>
      <c r="C5799">
        <v>30256</v>
      </c>
      <c r="D5799" t="str">
        <f>"30256"</f>
        <v>30256</v>
      </c>
      <c r="E5799">
        <v>69.64</v>
      </c>
    </row>
    <row r="5800" spans="1:5" x14ac:dyDescent="0.2">
      <c r="A5800">
        <v>30257</v>
      </c>
      <c r="B5800" t="s">
        <v>16</v>
      </c>
      <c r="C5800">
        <v>30257</v>
      </c>
      <c r="D5800" t="str">
        <f>"30257"</f>
        <v>30257</v>
      </c>
      <c r="E5800">
        <v>66.84</v>
      </c>
    </row>
    <row r="5801" spans="1:5" x14ac:dyDescent="0.2">
      <c r="A5801">
        <v>30258</v>
      </c>
      <c r="B5801" t="s">
        <v>16</v>
      </c>
      <c r="C5801">
        <v>30258</v>
      </c>
      <c r="D5801" t="str">
        <f>"30258"</f>
        <v>30258</v>
      </c>
      <c r="E5801">
        <v>64.709999999999994</v>
      </c>
    </row>
    <row r="5802" spans="1:5" x14ac:dyDescent="0.2">
      <c r="A5802">
        <v>30259</v>
      </c>
      <c r="B5802" t="s">
        <v>16</v>
      </c>
      <c r="C5802">
        <v>30259</v>
      </c>
      <c r="D5802" t="str">
        <f>"30259"</f>
        <v>30259</v>
      </c>
      <c r="E5802">
        <v>73.489999999999995</v>
      </c>
    </row>
    <row r="5803" spans="1:5" x14ac:dyDescent="0.2">
      <c r="A5803">
        <v>30260</v>
      </c>
      <c r="B5803" t="s">
        <v>16</v>
      </c>
      <c r="C5803">
        <v>30260</v>
      </c>
      <c r="D5803" t="str">
        <f>"30260"</f>
        <v>30260</v>
      </c>
      <c r="E5803">
        <v>51</v>
      </c>
    </row>
    <row r="5804" spans="1:5" x14ac:dyDescent="0.2">
      <c r="A5804">
        <v>30263</v>
      </c>
      <c r="B5804" t="s">
        <v>16</v>
      </c>
      <c r="C5804">
        <v>30263</v>
      </c>
      <c r="D5804" t="str">
        <f>"30263"</f>
        <v>30263</v>
      </c>
      <c r="E5804">
        <v>66.510000000000005</v>
      </c>
    </row>
    <row r="5805" spans="1:5" x14ac:dyDescent="0.2">
      <c r="A5805">
        <v>30265</v>
      </c>
      <c r="B5805" t="s">
        <v>16</v>
      </c>
      <c r="C5805">
        <v>30265</v>
      </c>
      <c r="D5805" t="str">
        <f>"30265"</f>
        <v>30265</v>
      </c>
      <c r="E5805">
        <v>75.72</v>
      </c>
    </row>
    <row r="5806" spans="1:5" x14ac:dyDescent="0.2">
      <c r="A5806">
        <v>30268</v>
      </c>
      <c r="B5806" t="s">
        <v>16</v>
      </c>
      <c r="C5806">
        <v>30268</v>
      </c>
      <c r="D5806" t="str">
        <f>"30268"</f>
        <v>30268</v>
      </c>
      <c r="E5806">
        <v>62.85</v>
      </c>
    </row>
    <row r="5807" spans="1:5" x14ac:dyDescent="0.2">
      <c r="A5807">
        <v>30269</v>
      </c>
      <c r="B5807" t="s">
        <v>16</v>
      </c>
      <c r="C5807">
        <v>30269</v>
      </c>
      <c r="D5807" t="str">
        <f>"30269"</f>
        <v>30269</v>
      </c>
      <c r="E5807">
        <v>78.47</v>
      </c>
    </row>
    <row r="5808" spans="1:5" x14ac:dyDescent="0.2">
      <c r="A5808">
        <v>30272</v>
      </c>
      <c r="B5808" t="s">
        <v>16</v>
      </c>
      <c r="C5808">
        <v>30272</v>
      </c>
      <c r="D5808" t="str">
        <f>"30272"</f>
        <v>30272</v>
      </c>
      <c r="E5808" t="s">
        <v>6</v>
      </c>
    </row>
    <row r="5809" spans="1:5" x14ac:dyDescent="0.2">
      <c r="A5809">
        <v>30273</v>
      </c>
      <c r="B5809" t="s">
        <v>16</v>
      </c>
      <c r="C5809">
        <v>30273</v>
      </c>
      <c r="D5809" t="str">
        <f>"30273"</f>
        <v>30273</v>
      </c>
      <c r="E5809">
        <v>56.92</v>
      </c>
    </row>
    <row r="5810" spans="1:5" x14ac:dyDescent="0.2">
      <c r="A5810">
        <v>30274</v>
      </c>
      <c r="B5810" t="s">
        <v>16</v>
      </c>
      <c r="C5810">
        <v>30274</v>
      </c>
      <c r="D5810" t="str">
        <f>"30274"</f>
        <v>30274</v>
      </c>
      <c r="E5810">
        <v>47.79</v>
      </c>
    </row>
    <row r="5811" spans="1:5" x14ac:dyDescent="0.2">
      <c r="A5811">
        <v>30276</v>
      </c>
      <c r="B5811" t="s">
        <v>16</v>
      </c>
      <c r="C5811">
        <v>30276</v>
      </c>
      <c r="D5811" t="str">
        <f>"30276"</f>
        <v>30276</v>
      </c>
      <c r="E5811">
        <v>75.98</v>
      </c>
    </row>
    <row r="5812" spans="1:5" x14ac:dyDescent="0.2">
      <c r="A5812">
        <v>30277</v>
      </c>
      <c r="B5812" t="s">
        <v>16</v>
      </c>
      <c r="C5812">
        <v>30277</v>
      </c>
      <c r="D5812" t="str">
        <f>"30277"</f>
        <v>30277</v>
      </c>
      <c r="E5812">
        <v>78.87</v>
      </c>
    </row>
    <row r="5813" spans="1:5" x14ac:dyDescent="0.2">
      <c r="A5813">
        <v>30281</v>
      </c>
      <c r="B5813" t="s">
        <v>16</v>
      </c>
      <c r="C5813">
        <v>30281</v>
      </c>
      <c r="D5813" t="str">
        <f>"30281"</f>
        <v>30281</v>
      </c>
      <c r="E5813">
        <v>64.19</v>
      </c>
    </row>
    <row r="5814" spans="1:5" x14ac:dyDescent="0.2">
      <c r="A5814">
        <v>30285</v>
      </c>
      <c r="B5814" t="s">
        <v>16</v>
      </c>
      <c r="C5814">
        <v>30285</v>
      </c>
      <c r="D5814" t="str">
        <f>"30285"</f>
        <v>30285</v>
      </c>
      <c r="E5814">
        <v>67.86</v>
      </c>
    </row>
    <row r="5815" spans="1:5" x14ac:dyDescent="0.2">
      <c r="A5815">
        <v>30286</v>
      </c>
      <c r="B5815" t="s">
        <v>16</v>
      </c>
      <c r="C5815">
        <v>30286</v>
      </c>
      <c r="D5815" t="str">
        <f>"30286"</f>
        <v>30286</v>
      </c>
      <c r="E5815">
        <v>60.57</v>
      </c>
    </row>
    <row r="5816" spans="1:5" x14ac:dyDescent="0.2">
      <c r="A5816">
        <v>30288</v>
      </c>
      <c r="B5816" t="s">
        <v>16</v>
      </c>
      <c r="C5816">
        <v>30288</v>
      </c>
      <c r="D5816" t="str">
        <f>"30288"</f>
        <v>30288</v>
      </c>
      <c r="E5816">
        <v>52.25</v>
      </c>
    </row>
    <row r="5817" spans="1:5" x14ac:dyDescent="0.2">
      <c r="A5817">
        <v>30290</v>
      </c>
      <c r="B5817" t="s">
        <v>16</v>
      </c>
      <c r="C5817">
        <v>30290</v>
      </c>
      <c r="D5817" t="str">
        <f>"30290"</f>
        <v>30290</v>
      </c>
      <c r="E5817">
        <v>78.45</v>
      </c>
    </row>
    <row r="5818" spans="1:5" x14ac:dyDescent="0.2">
      <c r="A5818">
        <v>30291</v>
      </c>
      <c r="B5818" t="s">
        <v>16</v>
      </c>
      <c r="C5818">
        <v>30291</v>
      </c>
      <c r="D5818" t="str">
        <f>"30291"</f>
        <v>30291</v>
      </c>
      <c r="E5818">
        <v>51.27</v>
      </c>
    </row>
    <row r="5819" spans="1:5" x14ac:dyDescent="0.2">
      <c r="A5819">
        <v>30292</v>
      </c>
      <c r="B5819" t="s">
        <v>16</v>
      </c>
      <c r="C5819">
        <v>30292</v>
      </c>
      <c r="D5819" t="str">
        <f>"30292"</f>
        <v>30292</v>
      </c>
      <c r="E5819">
        <v>71.92</v>
      </c>
    </row>
    <row r="5820" spans="1:5" x14ac:dyDescent="0.2">
      <c r="A5820">
        <v>30293</v>
      </c>
      <c r="B5820" t="s">
        <v>16</v>
      </c>
      <c r="C5820">
        <v>30293</v>
      </c>
      <c r="D5820" t="str">
        <f>"30293"</f>
        <v>30293</v>
      </c>
      <c r="E5820">
        <v>59.46</v>
      </c>
    </row>
    <row r="5821" spans="1:5" x14ac:dyDescent="0.2">
      <c r="A5821">
        <v>30294</v>
      </c>
      <c r="B5821" t="s">
        <v>16</v>
      </c>
      <c r="C5821">
        <v>30294</v>
      </c>
      <c r="D5821" t="str">
        <f>"30294"</f>
        <v>30294</v>
      </c>
      <c r="E5821">
        <v>60.08</v>
      </c>
    </row>
    <row r="5822" spans="1:5" x14ac:dyDescent="0.2">
      <c r="A5822">
        <v>30295</v>
      </c>
      <c r="B5822" t="s">
        <v>16</v>
      </c>
      <c r="C5822">
        <v>30295</v>
      </c>
      <c r="D5822" t="str">
        <f>"30295"</f>
        <v>30295</v>
      </c>
      <c r="E5822">
        <v>70</v>
      </c>
    </row>
    <row r="5823" spans="1:5" x14ac:dyDescent="0.2">
      <c r="A5823">
        <v>30296</v>
      </c>
      <c r="B5823" t="s">
        <v>16</v>
      </c>
      <c r="C5823">
        <v>30296</v>
      </c>
      <c r="D5823" t="str">
        <f>"30296"</f>
        <v>30296</v>
      </c>
      <c r="E5823">
        <v>53.46</v>
      </c>
    </row>
    <row r="5824" spans="1:5" x14ac:dyDescent="0.2">
      <c r="A5824">
        <v>30297</v>
      </c>
      <c r="B5824" t="s">
        <v>16</v>
      </c>
      <c r="C5824">
        <v>30297</v>
      </c>
      <c r="D5824" t="str">
        <f>"30297"</f>
        <v>30297</v>
      </c>
      <c r="E5824">
        <v>40.83</v>
      </c>
    </row>
    <row r="5825" spans="1:5" x14ac:dyDescent="0.2">
      <c r="A5825">
        <v>30303</v>
      </c>
      <c r="B5825" t="s">
        <v>16</v>
      </c>
      <c r="C5825">
        <v>30303</v>
      </c>
      <c r="D5825" t="str">
        <f>"30303"</f>
        <v>30303</v>
      </c>
      <c r="E5825">
        <v>56.55</v>
      </c>
    </row>
    <row r="5826" spans="1:5" x14ac:dyDescent="0.2">
      <c r="A5826">
        <v>30304</v>
      </c>
      <c r="B5826" t="s">
        <v>16</v>
      </c>
      <c r="C5826">
        <v>30304</v>
      </c>
      <c r="D5826" t="str">
        <f>"30304"</f>
        <v>30304</v>
      </c>
      <c r="E5826" t="s">
        <v>6</v>
      </c>
    </row>
    <row r="5827" spans="1:5" x14ac:dyDescent="0.2">
      <c r="A5827">
        <v>30305</v>
      </c>
      <c r="B5827" t="s">
        <v>16</v>
      </c>
      <c r="C5827">
        <v>30305</v>
      </c>
      <c r="D5827" t="str">
        <f>"30305"</f>
        <v>30305</v>
      </c>
      <c r="E5827">
        <v>86.25</v>
      </c>
    </row>
    <row r="5828" spans="1:5" x14ac:dyDescent="0.2">
      <c r="A5828">
        <v>30306</v>
      </c>
      <c r="B5828" t="s">
        <v>16</v>
      </c>
      <c r="C5828">
        <v>30306</v>
      </c>
      <c r="D5828" t="str">
        <f>"30306"</f>
        <v>30306</v>
      </c>
      <c r="E5828">
        <v>88.56</v>
      </c>
    </row>
    <row r="5829" spans="1:5" x14ac:dyDescent="0.2">
      <c r="A5829">
        <v>30307</v>
      </c>
      <c r="B5829" t="s">
        <v>16</v>
      </c>
      <c r="C5829">
        <v>30307</v>
      </c>
      <c r="D5829" t="str">
        <f>"30307"</f>
        <v>30307</v>
      </c>
      <c r="E5829">
        <v>85.1</v>
      </c>
    </row>
    <row r="5830" spans="1:5" x14ac:dyDescent="0.2">
      <c r="A5830">
        <v>30308</v>
      </c>
      <c r="B5830" t="s">
        <v>16</v>
      </c>
      <c r="C5830">
        <v>30308</v>
      </c>
      <c r="D5830" t="str">
        <f>"30308"</f>
        <v>30308</v>
      </c>
      <c r="E5830">
        <v>84.26</v>
      </c>
    </row>
    <row r="5831" spans="1:5" x14ac:dyDescent="0.2">
      <c r="A5831">
        <v>30309</v>
      </c>
      <c r="B5831" t="s">
        <v>16</v>
      </c>
      <c r="C5831">
        <v>30309</v>
      </c>
      <c r="D5831" t="str">
        <f>"30309"</f>
        <v>30309</v>
      </c>
      <c r="E5831">
        <v>88.64</v>
      </c>
    </row>
    <row r="5832" spans="1:5" x14ac:dyDescent="0.2">
      <c r="A5832">
        <v>30310</v>
      </c>
      <c r="B5832" t="s">
        <v>16</v>
      </c>
      <c r="C5832">
        <v>30310</v>
      </c>
      <c r="D5832" t="str">
        <f>"30310"</f>
        <v>30310</v>
      </c>
      <c r="E5832">
        <v>51.24</v>
      </c>
    </row>
    <row r="5833" spans="1:5" x14ac:dyDescent="0.2">
      <c r="A5833">
        <v>30311</v>
      </c>
      <c r="B5833" t="s">
        <v>16</v>
      </c>
      <c r="C5833">
        <v>30311</v>
      </c>
      <c r="D5833" t="str">
        <f>"30311"</f>
        <v>30311</v>
      </c>
      <c r="E5833">
        <v>49.85</v>
      </c>
    </row>
    <row r="5834" spans="1:5" x14ac:dyDescent="0.2">
      <c r="A5834">
        <v>30312</v>
      </c>
      <c r="B5834" t="s">
        <v>16</v>
      </c>
      <c r="C5834">
        <v>30312</v>
      </c>
      <c r="D5834" t="str">
        <f>"30312"</f>
        <v>30312</v>
      </c>
      <c r="E5834">
        <v>75.040000000000006</v>
      </c>
    </row>
    <row r="5835" spans="1:5" x14ac:dyDescent="0.2">
      <c r="A5835">
        <v>30313</v>
      </c>
      <c r="B5835" t="s">
        <v>16</v>
      </c>
      <c r="C5835">
        <v>30313</v>
      </c>
      <c r="D5835" t="str">
        <f>"30313"</f>
        <v>30313</v>
      </c>
      <c r="E5835">
        <v>67.69</v>
      </c>
    </row>
    <row r="5836" spans="1:5" x14ac:dyDescent="0.2">
      <c r="A5836">
        <v>30314</v>
      </c>
      <c r="B5836" t="s">
        <v>16</v>
      </c>
      <c r="C5836">
        <v>30314</v>
      </c>
      <c r="D5836" t="str">
        <f>"30314"</f>
        <v>30314</v>
      </c>
      <c r="E5836">
        <v>43.05</v>
      </c>
    </row>
    <row r="5837" spans="1:5" x14ac:dyDescent="0.2">
      <c r="A5837">
        <v>30315</v>
      </c>
      <c r="B5837" t="s">
        <v>16</v>
      </c>
      <c r="C5837">
        <v>30315</v>
      </c>
      <c r="D5837" t="str">
        <f>"30315"</f>
        <v>30315</v>
      </c>
      <c r="E5837">
        <v>45.1</v>
      </c>
    </row>
    <row r="5838" spans="1:5" x14ac:dyDescent="0.2">
      <c r="A5838">
        <v>30316</v>
      </c>
      <c r="B5838" t="s">
        <v>16</v>
      </c>
      <c r="C5838">
        <v>30316</v>
      </c>
      <c r="D5838" t="str">
        <f>"30316"</f>
        <v>30316</v>
      </c>
      <c r="E5838">
        <v>74.48</v>
      </c>
    </row>
    <row r="5839" spans="1:5" x14ac:dyDescent="0.2">
      <c r="A5839">
        <v>30317</v>
      </c>
      <c r="B5839" t="s">
        <v>16</v>
      </c>
      <c r="C5839">
        <v>30317</v>
      </c>
      <c r="D5839" t="str">
        <f>"30317"</f>
        <v>30317</v>
      </c>
      <c r="E5839">
        <v>78.22</v>
      </c>
    </row>
    <row r="5840" spans="1:5" x14ac:dyDescent="0.2">
      <c r="A5840">
        <v>30318</v>
      </c>
      <c r="B5840" t="s">
        <v>16</v>
      </c>
      <c r="C5840">
        <v>30318</v>
      </c>
      <c r="D5840" t="str">
        <f>"30318"</f>
        <v>30318</v>
      </c>
      <c r="E5840">
        <v>67.900000000000006</v>
      </c>
    </row>
    <row r="5841" spans="1:5" x14ac:dyDescent="0.2">
      <c r="A5841">
        <v>30319</v>
      </c>
      <c r="B5841" t="s">
        <v>16</v>
      </c>
      <c r="C5841">
        <v>30319</v>
      </c>
      <c r="D5841" t="str">
        <f>"30319"</f>
        <v>30319</v>
      </c>
      <c r="E5841">
        <v>84.95</v>
      </c>
    </row>
    <row r="5842" spans="1:5" x14ac:dyDescent="0.2">
      <c r="A5842">
        <v>30320</v>
      </c>
      <c r="B5842" t="s">
        <v>16</v>
      </c>
      <c r="C5842">
        <v>30320</v>
      </c>
      <c r="D5842" t="str">
        <f>"30320"</f>
        <v>30320</v>
      </c>
      <c r="E5842" t="s">
        <v>6</v>
      </c>
    </row>
    <row r="5843" spans="1:5" x14ac:dyDescent="0.2">
      <c r="A5843">
        <v>30322</v>
      </c>
      <c r="B5843" t="s">
        <v>16</v>
      </c>
      <c r="C5843">
        <v>30322</v>
      </c>
      <c r="D5843" t="str">
        <f>"30322"</f>
        <v>30322</v>
      </c>
      <c r="E5843" t="s">
        <v>6</v>
      </c>
    </row>
    <row r="5844" spans="1:5" x14ac:dyDescent="0.2">
      <c r="A5844">
        <v>30324</v>
      </c>
      <c r="B5844" t="s">
        <v>16</v>
      </c>
      <c r="C5844">
        <v>30324</v>
      </c>
      <c r="D5844" t="str">
        <f>"30324"</f>
        <v>30324</v>
      </c>
      <c r="E5844">
        <v>82.95</v>
      </c>
    </row>
    <row r="5845" spans="1:5" x14ac:dyDescent="0.2">
      <c r="A5845">
        <v>30326</v>
      </c>
      <c r="B5845" t="s">
        <v>16</v>
      </c>
      <c r="C5845">
        <v>30326</v>
      </c>
      <c r="D5845" t="str">
        <f>"30326"</f>
        <v>30326</v>
      </c>
      <c r="E5845">
        <v>88.25</v>
      </c>
    </row>
    <row r="5846" spans="1:5" x14ac:dyDescent="0.2">
      <c r="A5846">
        <v>30327</v>
      </c>
      <c r="B5846" t="s">
        <v>16</v>
      </c>
      <c r="C5846">
        <v>30327</v>
      </c>
      <c r="D5846" t="str">
        <f>"30327"</f>
        <v>30327</v>
      </c>
      <c r="E5846">
        <v>83.51</v>
      </c>
    </row>
    <row r="5847" spans="1:5" x14ac:dyDescent="0.2">
      <c r="A5847">
        <v>30328</v>
      </c>
      <c r="B5847" t="s">
        <v>16</v>
      </c>
      <c r="C5847">
        <v>30328</v>
      </c>
      <c r="D5847" t="str">
        <f>"30328"</f>
        <v>30328</v>
      </c>
      <c r="E5847">
        <v>83.11</v>
      </c>
    </row>
    <row r="5848" spans="1:5" x14ac:dyDescent="0.2">
      <c r="A5848">
        <v>30329</v>
      </c>
      <c r="B5848" t="s">
        <v>16</v>
      </c>
      <c r="C5848">
        <v>30329</v>
      </c>
      <c r="D5848" t="str">
        <f>"30329"</f>
        <v>30329</v>
      </c>
      <c r="E5848">
        <v>68.27</v>
      </c>
    </row>
    <row r="5849" spans="1:5" x14ac:dyDescent="0.2">
      <c r="A5849">
        <v>30331</v>
      </c>
      <c r="B5849" t="s">
        <v>16</v>
      </c>
      <c r="C5849">
        <v>30331</v>
      </c>
      <c r="D5849" t="str">
        <f>"30331"</f>
        <v>30331</v>
      </c>
      <c r="E5849">
        <v>58.04</v>
      </c>
    </row>
    <row r="5850" spans="1:5" x14ac:dyDescent="0.2">
      <c r="A5850">
        <v>30332</v>
      </c>
      <c r="B5850" t="s">
        <v>16</v>
      </c>
      <c r="C5850">
        <v>30332</v>
      </c>
      <c r="D5850" t="str">
        <f>"30332"</f>
        <v>30332</v>
      </c>
      <c r="E5850" t="s">
        <v>6</v>
      </c>
    </row>
    <row r="5851" spans="1:5" x14ac:dyDescent="0.2">
      <c r="A5851">
        <v>30334</v>
      </c>
      <c r="B5851" t="s">
        <v>16</v>
      </c>
      <c r="C5851">
        <v>30334</v>
      </c>
      <c r="D5851" t="str">
        <f>"30334"</f>
        <v>30334</v>
      </c>
      <c r="E5851" t="s">
        <v>6</v>
      </c>
    </row>
    <row r="5852" spans="1:5" x14ac:dyDescent="0.2">
      <c r="A5852">
        <v>30336</v>
      </c>
      <c r="B5852" t="s">
        <v>16</v>
      </c>
      <c r="C5852">
        <v>30336</v>
      </c>
      <c r="D5852" t="str">
        <f>"30336"</f>
        <v>30336</v>
      </c>
      <c r="E5852">
        <v>64.099999999999994</v>
      </c>
    </row>
    <row r="5853" spans="1:5" x14ac:dyDescent="0.2">
      <c r="A5853">
        <v>30337</v>
      </c>
      <c r="B5853" t="s">
        <v>16</v>
      </c>
      <c r="C5853">
        <v>30337</v>
      </c>
      <c r="D5853" t="str">
        <f>"30337"</f>
        <v>30337</v>
      </c>
      <c r="E5853">
        <v>53.51</v>
      </c>
    </row>
    <row r="5854" spans="1:5" x14ac:dyDescent="0.2">
      <c r="A5854">
        <v>30338</v>
      </c>
      <c r="B5854" t="s">
        <v>16</v>
      </c>
      <c r="C5854">
        <v>30338</v>
      </c>
      <c r="D5854" t="str">
        <f>"30338"</f>
        <v>30338</v>
      </c>
      <c r="E5854">
        <v>83.73</v>
      </c>
    </row>
    <row r="5855" spans="1:5" x14ac:dyDescent="0.2">
      <c r="A5855">
        <v>30339</v>
      </c>
      <c r="B5855" t="s">
        <v>16</v>
      </c>
      <c r="C5855">
        <v>30339</v>
      </c>
      <c r="D5855" t="str">
        <f>"30339"</f>
        <v>30339</v>
      </c>
      <c r="E5855">
        <v>83.93</v>
      </c>
    </row>
    <row r="5856" spans="1:5" x14ac:dyDescent="0.2">
      <c r="A5856">
        <v>30340</v>
      </c>
      <c r="B5856" t="s">
        <v>16</v>
      </c>
      <c r="C5856">
        <v>30340</v>
      </c>
      <c r="D5856" t="str">
        <f>"30340"</f>
        <v>30340</v>
      </c>
      <c r="E5856">
        <v>56.48</v>
      </c>
    </row>
    <row r="5857" spans="1:5" x14ac:dyDescent="0.2">
      <c r="A5857">
        <v>30341</v>
      </c>
      <c r="B5857" t="s">
        <v>16</v>
      </c>
      <c r="C5857">
        <v>30341</v>
      </c>
      <c r="D5857" t="str">
        <f>"30341"</f>
        <v>30341</v>
      </c>
      <c r="E5857">
        <v>69.430000000000007</v>
      </c>
    </row>
    <row r="5858" spans="1:5" x14ac:dyDescent="0.2">
      <c r="A5858">
        <v>30342</v>
      </c>
      <c r="B5858" t="s">
        <v>16</v>
      </c>
      <c r="C5858">
        <v>30342</v>
      </c>
      <c r="D5858" t="str">
        <f>"30342"</f>
        <v>30342</v>
      </c>
      <c r="E5858">
        <v>77.959999999999994</v>
      </c>
    </row>
    <row r="5859" spans="1:5" x14ac:dyDescent="0.2">
      <c r="A5859">
        <v>30344</v>
      </c>
      <c r="B5859" t="s">
        <v>16</v>
      </c>
      <c r="C5859">
        <v>30344</v>
      </c>
      <c r="D5859" t="str">
        <f>"30344"</f>
        <v>30344</v>
      </c>
      <c r="E5859">
        <v>55.09</v>
      </c>
    </row>
    <row r="5860" spans="1:5" x14ac:dyDescent="0.2">
      <c r="A5860">
        <v>30345</v>
      </c>
      <c r="B5860" t="s">
        <v>16</v>
      </c>
      <c r="C5860">
        <v>30345</v>
      </c>
      <c r="D5860" t="str">
        <f>"30345"</f>
        <v>30345</v>
      </c>
      <c r="E5860">
        <v>75.5</v>
      </c>
    </row>
    <row r="5861" spans="1:5" x14ac:dyDescent="0.2">
      <c r="A5861">
        <v>30346</v>
      </c>
      <c r="B5861" t="s">
        <v>16</v>
      </c>
      <c r="C5861">
        <v>30346</v>
      </c>
      <c r="D5861" t="str">
        <f>"30346"</f>
        <v>30346</v>
      </c>
      <c r="E5861">
        <v>86.03</v>
      </c>
    </row>
    <row r="5862" spans="1:5" x14ac:dyDescent="0.2">
      <c r="A5862">
        <v>30349</v>
      </c>
      <c r="B5862" t="s">
        <v>16</v>
      </c>
      <c r="C5862">
        <v>30349</v>
      </c>
      <c r="D5862" t="str">
        <f>"30349"</f>
        <v>30349</v>
      </c>
      <c r="E5862">
        <v>54.73</v>
      </c>
    </row>
    <row r="5863" spans="1:5" x14ac:dyDescent="0.2">
      <c r="A5863">
        <v>30350</v>
      </c>
      <c r="B5863" t="s">
        <v>16</v>
      </c>
      <c r="C5863">
        <v>30350</v>
      </c>
      <c r="D5863" t="str">
        <f>"30350"</f>
        <v>30350</v>
      </c>
      <c r="E5863">
        <v>75.03</v>
      </c>
    </row>
    <row r="5864" spans="1:5" x14ac:dyDescent="0.2">
      <c r="A5864">
        <v>30354</v>
      </c>
      <c r="B5864" t="s">
        <v>16</v>
      </c>
      <c r="C5864">
        <v>30354</v>
      </c>
      <c r="D5864" t="str">
        <f>"30354"</f>
        <v>30354</v>
      </c>
      <c r="E5864">
        <v>49.22</v>
      </c>
    </row>
    <row r="5865" spans="1:5" x14ac:dyDescent="0.2">
      <c r="A5865">
        <v>30360</v>
      </c>
      <c r="B5865" t="s">
        <v>16</v>
      </c>
      <c r="C5865">
        <v>30360</v>
      </c>
      <c r="D5865" t="str">
        <f>"30360"</f>
        <v>30360</v>
      </c>
      <c r="E5865">
        <v>62.11</v>
      </c>
    </row>
    <row r="5866" spans="1:5" x14ac:dyDescent="0.2">
      <c r="A5866">
        <v>30363</v>
      </c>
      <c r="B5866" t="s">
        <v>16</v>
      </c>
      <c r="C5866">
        <v>30363</v>
      </c>
      <c r="D5866" t="str">
        <f>"30363"</f>
        <v>30363</v>
      </c>
      <c r="E5866">
        <v>85.38</v>
      </c>
    </row>
    <row r="5867" spans="1:5" x14ac:dyDescent="0.2">
      <c r="A5867">
        <v>30401</v>
      </c>
      <c r="B5867" t="s">
        <v>16</v>
      </c>
      <c r="C5867">
        <v>30401</v>
      </c>
      <c r="D5867" t="str">
        <f>"30401"</f>
        <v>30401</v>
      </c>
      <c r="E5867">
        <v>52.46</v>
      </c>
    </row>
    <row r="5868" spans="1:5" x14ac:dyDescent="0.2">
      <c r="A5868">
        <v>30410</v>
      </c>
      <c r="B5868" t="s">
        <v>16</v>
      </c>
      <c r="C5868">
        <v>30410</v>
      </c>
      <c r="D5868" t="str">
        <f>"30410"</f>
        <v>30410</v>
      </c>
      <c r="E5868">
        <v>60.66</v>
      </c>
    </row>
    <row r="5869" spans="1:5" x14ac:dyDescent="0.2">
      <c r="A5869">
        <v>30411</v>
      </c>
      <c r="B5869" t="s">
        <v>16</v>
      </c>
      <c r="C5869">
        <v>30411</v>
      </c>
      <c r="D5869" t="str">
        <f>"30411"</f>
        <v>30411</v>
      </c>
      <c r="E5869">
        <v>53.85</v>
      </c>
    </row>
    <row r="5870" spans="1:5" x14ac:dyDescent="0.2">
      <c r="A5870">
        <v>30412</v>
      </c>
      <c r="B5870" t="s">
        <v>16</v>
      </c>
      <c r="C5870">
        <v>30412</v>
      </c>
      <c r="D5870" t="str">
        <f>"30412"</f>
        <v>30412</v>
      </c>
      <c r="E5870" t="s">
        <v>6</v>
      </c>
    </row>
    <row r="5871" spans="1:5" x14ac:dyDescent="0.2">
      <c r="A5871">
        <v>30413</v>
      </c>
      <c r="B5871" t="s">
        <v>16</v>
      </c>
      <c r="C5871">
        <v>30413</v>
      </c>
      <c r="D5871" t="str">
        <f>"30413"</f>
        <v>30413</v>
      </c>
      <c r="E5871">
        <v>53.13</v>
      </c>
    </row>
    <row r="5872" spans="1:5" x14ac:dyDescent="0.2">
      <c r="A5872">
        <v>30415</v>
      </c>
      <c r="B5872" t="s">
        <v>16</v>
      </c>
      <c r="C5872">
        <v>30415</v>
      </c>
      <c r="D5872" t="str">
        <f>"30415"</f>
        <v>30415</v>
      </c>
      <c r="E5872">
        <v>67.849999999999994</v>
      </c>
    </row>
    <row r="5873" spans="1:5" x14ac:dyDescent="0.2">
      <c r="A5873">
        <v>30417</v>
      </c>
      <c r="B5873" t="s">
        <v>16</v>
      </c>
      <c r="C5873">
        <v>30417</v>
      </c>
      <c r="D5873" t="str">
        <f>"30417"</f>
        <v>30417</v>
      </c>
      <c r="E5873">
        <v>55.44</v>
      </c>
    </row>
    <row r="5874" spans="1:5" x14ac:dyDescent="0.2">
      <c r="A5874">
        <v>30420</v>
      </c>
      <c r="B5874" t="s">
        <v>16</v>
      </c>
      <c r="C5874">
        <v>30420</v>
      </c>
      <c r="D5874" t="str">
        <f>"30420"</f>
        <v>30420</v>
      </c>
      <c r="E5874">
        <v>60.27</v>
      </c>
    </row>
    <row r="5875" spans="1:5" x14ac:dyDescent="0.2">
      <c r="A5875">
        <v>30421</v>
      </c>
      <c r="B5875" t="s">
        <v>16</v>
      </c>
      <c r="C5875">
        <v>30421</v>
      </c>
      <c r="D5875" t="str">
        <f>"30421"</f>
        <v>30421</v>
      </c>
      <c r="E5875">
        <v>62.61</v>
      </c>
    </row>
    <row r="5876" spans="1:5" x14ac:dyDescent="0.2">
      <c r="A5876">
        <v>30425</v>
      </c>
      <c r="B5876" t="s">
        <v>16</v>
      </c>
      <c r="C5876">
        <v>30425</v>
      </c>
      <c r="D5876" t="str">
        <f>"30425"</f>
        <v>30425</v>
      </c>
      <c r="E5876">
        <v>58.49</v>
      </c>
    </row>
    <row r="5877" spans="1:5" x14ac:dyDescent="0.2">
      <c r="A5877">
        <v>30426</v>
      </c>
      <c r="B5877" t="s">
        <v>16</v>
      </c>
      <c r="C5877">
        <v>30426</v>
      </c>
      <c r="D5877" t="str">
        <f>"30426"</f>
        <v>30426</v>
      </c>
      <c r="E5877">
        <v>64.099999999999994</v>
      </c>
    </row>
    <row r="5878" spans="1:5" x14ac:dyDescent="0.2">
      <c r="A5878">
        <v>30427</v>
      </c>
      <c r="B5878" t="s">
        <v>16</v>
      </c>
      <c r="C5878">
        <v>30427</v>
      </c>
      <c r="D5878" t="str">
        <f>"30427"</f>
        <v>30427</v>
      </c>
      <c r="E5878">
        <v>57.52</v>
      </c>
    </row>
    <row r="5879" spans="1:5" x14ac:dyDescent="0.2">
      <c r="A5879">
        <v>30428</v>
      </c>
      <c r="B5879" t="s">
        <v>16</v>
      </c>
      <c r="C5879">
        <v>30428</v>
      </c>
      <c r="D5879" t="str">
        <f>"30428"</f>
        <v>30428</v>
      </c>
      <c r="E5879">
        <v>55.7</v>
      </c>
    </row>
    <row r="5880" spans="1:5" x14ac:dyDescent="0.2">
      <c r="A5880">
        <v>30429</v>
      </c>
      <c r="B5880" t="s">
        <v>16</v>
      </c>
      <c r="C5880">
        <v>30429</v>
      </c>
      <c r="D5880" t="str">
        <f>"30429"</f>
        <v>30429</v>
      </c>
      <c r="E5880" t="s">
        <v>6</v>
      </c>
    </row>
    <row r="5881" spans="1:5" x14ac:dyDescent="0.2">
      <c r="A5881">
        <v>30434</v>
      </c>
      <c r="B5881" t="s">
        <v>16</v>
      </c>
      <c r="C5881">
        <v>30434</v>
      </c>
      <c r="D5881" t="str">
        <f>"30434"</f>
        <v>30434</v>
      </c>
      <c r="E5881">
        <v>50</v>
      </c>
    </row>
    <row r="5882" spans="1:5" x14ac:dyDescent="0.2">
      <c r="A5882">
        <v>30436</v>
      </c>
      <c r="B5882" t="s">
        <v>16</v>
      </c>
      <c r="C5882">
        <v>30436</v>
      </c>
      <c r="D5882" t="str">
        <f>"30436"</f>
        <v>30436</v>
      </c>
      <c r="E5882">
        <v>55.28</v>
      </c>
    </row>
    <row r="5883" spans="1:5" x14ac:dyDescent="0.2">
      <c r="A5883">
        <v>30439</v>
      </c>
      <c r="B5883" t="s">
        <v>16</v>
      </c>
      <c r="C5883">
        <v>30439</v>
      </c>
      <c r="D5883" t="str">
        <f>"30439"</f>
        <v>30439</v>
      </c>
      <c r="E5883">
        <v>57.03</v>
      </c>
    </row>
    <row r="5884" spans="1:5" x14ac:dyDescent="0.2">
      <c r="A5884">
        <v>30441</v>
      </c>
      <c r="B5884" t="s">
        <v>16</v>
      </c>
      <c r="C5884">
        <v>30441</v>
      </c>
      <c r="D5884" t="str">
        <f>"30441"</f>
        <v>30441</v>
      </c>
      <c r="E5884">
        <v>61.04</v>
      </c>
    </row>
    <row r="5885" spans="1:5" x14ac:dyDescent="0.2">
      <c r="A5885">
        <v>30442</v>
      </c>
      <c r="B5885" t="s">
        <v>16</v>
      </c>
      <c r="C5885">
        <v>30442</v>
      </c>
      <c r="D5885" t="str">
        <f>"30442"</f>
        <v>30442</v>
      </c>
      <c r="E5885">
        <v>54.9</v>
      </c>
    </row>
    <row r="5886" spans="1:5" x14ac:dyDescent="0.2">
      <c r="A5886">
        <v>30445</v>
      </c>
      <c r="B5886" t="s">
        <v>16</v>
      </c>
      <c r="C5886">
        <v>30445</v>
      </c>
      <c r="D5886" t="str">
        <f>"30445"</f>
        <v>30445</v>
      </c>
      <c r="E5886">
        <v>50.48</v>
      </c>
    </row>
    <row r="5887" spans="1:5" x14ac:dyDescent="0.2">
      <c r="A5887">
        <v>30446</v>
      </c>
      <c r="B5887" t="s">
        <v>16</v>
      </c>
      <c r="C5887">
        <v>30446</v>
      </c>
      <c r="D5887" t="str">
        <f>"30446"</f>
        <v>30446</v>
      </c>
      <c r="E5887">
        <v>61.82</v>
      </c>
    </row>
    <row r="5888" spans="1:5" x14ac:dyDescent="0.2">
      <c r="A5888">
        <v>30450</v>
      </c>
      <c r="B5888" t="s">
        <v>16</v>
      </c>
      <c r="C5888">
        <v>30450</v>
      </c>
      <c r="D5888" t="str">
        <f>"30450"</f>
        <v>30450</v>
      </c>
      <c r="E5888">
        <v>51.92</v>
      </c>
    </row>
    <row r="5889" spans="1:5" x14ac:dyDescent="0.2">
      <c r="A5889">
        <v>30451</v>
      </c>
      <c r="B5889" t="s">
        <v>16</v>
      </c>
      <c r="C5889">
        <v>30451</v>
      </c>
      <c r="D5889" t="str">
        <f>"30451"</f>
        <v>30451</v>
      </c>
      <c r="E5889" t="s">
        <v>6</v>
      </c>
    </row>
    <row r="5890" spans="1:5" x14ac:dyDescent="0.2">
      <c r="A5890">
        <v>30452</v>
      </c>
      <c r="B5890" t="s">
        <v>16</v>
      </c>
      <c r="C5890">
        <v>30452</v>
      </c>
      <c r="D5890" t="str">
        <f>"30452"</f>
        <v>30452</v>
      </c>
      <c r="E5890">
        <v>62.9</v>
      </c>
    </row>
    <row r="5891" spans="1:5" x14ac:dyDescent="0.2">
      <c r="A5891">
        <v>30453</v>
      </c>
      <c r="B5891" t="s">
        <v>16</v>
      </c>
      <c r="C5891">
        <v>30453</v>
      </c>
      <c r="D5891" t="str">
        <f>"30453"</f>
        <v>30453</v>
      </c>
      <c r="E5891">
        <v>55.13</v>
      </c>
    </row>
    <row r="5892" spans="1:5" x14ac:dyDescent="0.2">
      <c r="A5892">
        <v>30454</v>
      </c>
      <c r="B5892" t="s">
        <v>16</v>
      </c>
      <c r="C5892">
        <v>30454</v>
      </c>
      <c r="D5892" t="str">
        <f>"30454"</f>
        <v>30454</v>
      </c>
      <c r="E5892">
        <v>62.5</v>
      </c>
    </row>
    <row r="5893" spans="1:5" x14ac:dyDescent="0.2">
      <c r="A5893">
        <v>30455</v>
      </c>
      <c r="B5893" t="s">
        <v>16</v>
      </c>
      <c r="C5893">
        <v>30455</v>
      </c>
      <c r="D5893" t="str">
        <f>"30455"</f>
        <v>30455</v>
      </c>
      <c r="E5893">
        <v>62.5</v>
      </c>
    </row>
    <row r="5894" spans="1:5" x14ac:dyDescent="0.2">
      <c r="A5894">
        <v>30456</v>
      </c>
      <c r="B5894" t="s">
        <v>16</v>
      </c>
      <c r="C5894">
        <v>30456</v>
      </c>
      <c r="D5894" t="str">
        <f>"30456"</f>
        <v>30456</v>
      </c>
      <c r="E5894">
        <v>55.84</v>
      </c>
    </row>
    <row r="5895" spans="1:5" x14ac:dyDescent="0.2">
      <c r="A5895">
        <v>30457</v>
      </c>
      <c r="B5895" t="s">
        <v>16</v>
      </c>
      <c r="C5895">
        <v>30457</v>
      </c>
      <c r="D5895" t="str">
        <f>"30457"</f>
        <v>30457</v>
      </c>
      <c r="E5895">
        <v>56.67</v>
      </c>
    </row>
    <row r="5896" spans="1:5" x14ac:dyDescent="0.2">
      <c r="A5896">
        <v>30458</v>
      </c>
      <c r="B5896" t="s">
        <v>16</v>
      </c>
      <c r="C5896">
        <v>30458</v>
      </c>
      <c r="D5896" t="str">
        <f>"30458"</f>
        <v>30458</v>
      </c>
      <c r="E5896">
        <v>56.88</v>
      </c>
    </row>
    <row r="5897" spans="1:5" x14ac:dyDescent="0.2">
      <c r="A5897">
        <v>30460</v>
      </c>
      <c r="B5897" t="s">
        <v>16</v>
      </c>
      <c r="C5897">
        <v>30460</v>
      </c>
      <c r="D5897" t="str">
        <f>"30460"</f>
        <v>30460</v>
      </c>
      <c r="E5897" t="s">
        <v>6</v>
      </c>
    </row>
    <row r="5898" spans="1:5" x14ac:dyDescent="0.2">
      <c r="A5898">
        <v>30461</v>
      </c>
      <c r="B5898" t="s">
        <v>16</v>
      </c>
      <c r="C5898">
        <v>30461</v>
      </c>
      <c r="D5898" t="str">
        <f>"30461"</f>
        <v>30461</v>
      </c>
      <c r="E5898">
        <v>67.19</v>
      </c>
    </row>
    <row r="5899" spans="1:5" x14ac:dyDescent="0.2">
      <c r="A5899">
        <v>30467</v>
      </c>
      <c r="B5899" t="s">
        <v>16</v>
      </c>
      <c r="C5899">
        <v>30467</v>
      </c>
      <c r="D5899" t="str">
        <f>"30467"</f>
        <v>30467</v>
      </c>
      <c r="E5899">
        <v>58.32</v>
      </c>
    </row>
    <row r="5900" spans="1:5" x14ac:dyDescent="0.2">
      <c r="A5900">
        <v>30470</v>
      </c>
      <c r="B5900" t="s">
        <v>16</v>
      </c>
      <c r="C5900">
        <v>30470</v>
      </c>
      <c r="D5900" t="str">
        <f>"30470"</f>
        <v>30470</v>
      </c>
      <c r="E5900">
        <v>64.709999999999994</v>
      </c>
    </row>
    <row r="5901" spans="1:5" x14ac:dyDescent="0.2">
      <c r="A5901">
        <v>30471</v>
      </c>
      <c r="B5901" t="s">
        <v>16</v>
      </c>
      <c r="C5901">
        <v>30471</v>
      </c>
      <c r="D5901" t="str">
        <f>"30471"</f>
        <v>30471</v>
      </c>
      <c r="E5901">
        <v>55.13</v>
      </c>
    </row>
    <row r="5902" spans="1:5" x14ac:dyDescent="0.2">
      <c r="A5902">
        <v>30473</v>
      </c>
      <c r="B5902" t="s">
        <v>16</v>
      </c>
      <c r="C5902">
        <v>30473</v>
      </c>
      <c r="D5902" t="str">
        <f>"30473"</f>
        <v>30473</v>
      </c>
      <c r="E5902">
        <v>61</v>
      </c>
    </row>
    <row r="5903" spans="1:5" x14ac:dyDescent="0.2">
      <c r="A5903">
        <v>30474</v>
      </c>
      <c r="B5903" t="s">
        <v>16</v>
      </c>
      <c r="C5903">
        <v>30474</v>
      </c>
      <c r="D5903" t="str">
        <f>"30474"</f>
        <v>30474</v>
      </c>
      <c r="E5903">
        <v>58.04</v>
      </c>
    </row>
    <row r="5904" spans="1:5" x14ac:dyDescent="0.2">
      <c r="A5904">
        <v>30477</v>
      </c>
      <c r="B5904" t="s">
        <v>16</v>
      </c>
      <c r="C5904">
        <v>30477</v>
      </c>
      <c r="D5904" t="str">
        <f>"30477"</f>
        <v>30477</v>
      </c>
      <c r="E5904">
        <v>51.24</v>
      </c>
    </row>
    <row r="5905" spans="1:5" x14ac:dyDescent="0.2">
      <c r="A5905">
        <v>30501</v>
      </c>
      <c r="B5905" t="s">
        <v>16</v>
      </c>
      <c r="C5905">
        <v>30501</v>
      </c>
      <c r="D5905" t="str">
        <f>"30501"</f>
        <v>30501</v>
      </c>
      <c r="E5905">
        <v>56.42</v>
      </c>
    </row>
    <row r="5906" spans="1:5" x14ac:dyDescent="0.2">
      <c r="A5906">
        <v>30504</v>
      </c>
      <c r="B5906" t="s">
        <v>16</v>
      </c>
      <c r="C5906">
        <v>30504</v>
      </c>
      <c r="D5906" t="str">
        <f>"30504"</f>
        <v>30504</v>
      </c>
      <c r="E5906">
        <v>59.7</v>
      </c>
    </row>
    <row r="5907" spans="1:5" x14ac:dyDescent="0.2">
      <c r="A5907">
        <v>30506</v>
      </c>
      <c r="B5907" t="s">
        <v>16</v>
      </c>
      <c r="C5907">
        <v>30506</v>
      </c>
      <c r="D5907" t="str">
        <f>"30506"</f>
        <v>30506</v>
      </c>
      <c r="E5907">
        <v>73.52</v>
      </c>
    </row>
    <row r="5908" spans="1:5" x14ac:dyDescent="0.2">
      <c r="A5908">
        <v>30507</v>
      </c>
      <c r="B5908" t="s">
        <v>16</v>
      </c>
      <c r="C5908">
        <v>30507</v>
      </c>
      <c r="D5908" t="str">
        <f>"30507"</f>
        <v>30507</v>
      </c>
      <c r="E5908">
        <v>57.73</v>
      </c>
    </row>
    <row r="5909" spans="1:5" x14ac:dyDescent="0.2">
      <c r="A5909">
        <v>30510</v>
      </c>
      <c r="B5909" t="s">
        <v>16</v>
      </c>
      <c r="C5909">
        <v>30510</v>
      </c>
      <c r="D5909" t="str">
        <f>"30510"</f>
        <v>30510</v>
      </c>
      <c r="E5909">
        <v>63.94</v>
      </c>
    </row>
    <row r="5910" spans="1:5" x14ac:dyDescent="0.2">
      <c r="A5910">
        <v>30511</v>
      </c>
      <c r="B5910" t="s">
        <v>16</v>
      </c>
      <c r="C5910">
        <v>30511</v>
      </c>
      <c r="D5910" t="str">
        <f>"30511"</f>
        <v>30511</v>
      </c>
      <c r="E5910">
        <v>66.67</v>
      </c>
    </row>
    <row r="5911" spans="1:5" x14ac:dyDescent="0.2">
      <c r="A5911">
        <v>30512</v>
      </c>
      <c r="B5911" t="s">
        <v>16</v>
      </c>
      <c r="C5911">
        <v>30512</v>
      </c>
      <c r="D5911" t="str">
        <f>"30512"</f>
        <v>30512</v>
      </c>
      <c r="E5911">
        <v>67.5</v>
      </c>
    </row>
    <row r="5912" spans="1:5" x14ac:dyDescent="0.2">
      <c r="A5912">
        <v>30513</v>
      </c>
      <c r="B5912" t="s">
        <v>16</v>
      </c>
      <c r="C5912">
        <v>30513</v>
      </c>
      <c r="D5912" t="str">
        <f>"30513"</f>
        <v>30513</v>
      </c>
      <c r="E5912">
        <v>66</v>
      </c>
    </row>
    <row r="5913" spans="1:5" x14ac:dyDescent="0.2">
      <c r="A5913">
        <v>30516</v>
      </c>
      <c r="B5913" t="s">
        <v>16</v>
      </c>
      <c r="C5913">
        <v>30516</v>
      </c>
      <c r="D5913" t="str">
        <f>"30516"</f>
        <v>30516</v>
      </c>
      <c r="E5913">
        <v>59.21</v>
      </c>
    </row>
    <row r="5914" spans="1:5" x14ac:dyDescent="0.2">
      <c r="A5914">
        <v>30517</v>
      </c>
      <c r="B5914" t="s">
        <v>16</v>
      </c>
      <c r="C5914">
        <v>30517</v>
      </c>
      <c r="D5914" t="str">
        <f>"30517"</f>
        <v>30517</v>
      </c>
      <c r="E5914">
        <v>74.069999999999993</v>
      </c>
    </row>
    <row r="5915" spans="1:5" x14ac:dyDescent="0.2">
      <c r="A5915">
        <v>30518</v>
      </c>
      <c r="B5915" t="s">
        <v>16</v>
      </c>
      <c r="C5915">
        <v>30518</v>
      </c>
      <c r="D5915" t="str">
        <f>"30518"</f>
        <v>30518</v>
      </c>
      <c r="E5915">
        <v>69.459999999999994</v>
      </c>
    </row>
    <row r="5916" spans="1:5" x14ac:dyDescent="0.2">
      <c r="A5916">
        <v>30519</v>
      </c>
      <c r="B5916" t="s">
        <v>16</v>
      </c>
      <c r="C5916">
        <v>30519</v>
      </c>
      <c r="D5916" t="str">
        <f>"30519"</f>
        <v>30519</v>
      </c>
      <c r="E5916">
        <v>71.06</v>
      </c>
    </row>
    <row r="5917" spans="1:5" x14ac:dyDescent="0.2">
      <c r="A5917">
        <v>30520</v>
      </c>
      <c r="B5917" t="s">
        <v>16</v>
      </c>
      <c r="C5917">
        <v>30520</v>
      </c>
      <c r="D5917" t="str">
        <f>"30520"</f>
        <v>30520</v>
      </c>
      <c r="E5917">
        <v>61.08</v>
      </c>
    </row>
    <row r="5918" spans="1:5" x14ac:dyDescent="0.2">
      <c r="A5918">
        <v>30521</v>
      </c>
      <c r="B5918" t="s">
        <v>16</v>
      </c>
      <c r="C5918">
        <v>30521</v>
      </c>
      <c r="D5918" t="str">
        <f>"30521"</f>
        <v>30521</v>
      </c>
      <c r="E5918">
        <v>63.29</v>
      </c>
    </row>
    <row r="5919" spans="1:5" x14ac:dyDescent="0.2">
      <c r="A5919">
        <v>30522</v>
      </c>
      <c r="B5919" t="s">
        <v>16</v>
      </c>
      <c r="C5919">
        <v>30522</v>
      </c>
      <c r="D5919" t="str">
        <f>"30522"</f>
        <v>30522</v>
      </c>
      <c r="E5919">
        <v>69.81</v>
      </c>
    </row>
    <row r="5920" spans="1:5" x14ac:dyDescent="0.2">
      <c r="A5920">
        <v>30523</v>
      </c>
      <c r="B5920" t="s">
        <v>16</v>
      </c>
      <c r="C5920">
        <v>30523</v>
      </c>
      <c r="D5920" t="str">
        <f>"30523"</f>
        <v>30523</v>
      </c>
      <c r="E5920">
        <v>70.52</v>
      </c>
    </row>
    <row r="5921" spans="1:5" x14ac:dyDescent="0.2">
      <c r="A5921">
        <v>30525</v>
      </c>
      <c r="B5921" t="s">
        <v>16</v>
      </c>
      <c r="C5921">
        <v>30525</v>
      </c>
      <c r="D5921" t="str">
        <f>"30525"</f>
        <v>30525</v>
      </c>
      <c r="E5921">
        <v>63.14</v>
      </c>
    </row>
    <row r="5922" spans="1:5" x14ac:dyDescent="0.2">
      <c r="A5922">
        <v>30527</v>
      </c>
      <c r="B5922" t="s">
        <v>16</v>
      </c>
      <c r="C5922">
        <v>30527</v>
      </c>
      <c r="D5922" t="str">
        <f>"30527"</f>
        <v>30527</v>
      </c>
      <c r="E5922">
        <v>73.33</v>
      </c>
    </row>
    <row r="5923" spans="1:5" x14ac:dyDescent="0.2">
      <c r="A5923">
        <v>30528</v>
      </c>
      <c r="B5923" t="s">
        <v>16</v>
      </c>
      <c r="C5923">
        <v>30528</v>
      </c>
      <c r="D5923" t="str">
        <f>"30528"</f>
        <v>30528</v>
      </c>
      <c r="E5923">
        <v>66.150000000000006</v>
      </c>
    </row>
    <row r="5924" spans="1:5" x14ac:dyDescent="0.2">
      <c r="A5924">
        <v>30529</v>
      </c>
      <c r="B5924" t="s">
        <v>16</v>
      </c>
      <c r="C5924">
        <v>30529</v>
      </c>
      <c r="D5924" t="str">
        <f>"30529"</f>
        <v>30529</v>
      </c>
      <c r="E5924">
        <v>62.98</v>
      </c>
    </row>
    <row r="5925" spans="1:5" x14ac:dyDescent="0.2">
      <c r="A5925">
        <v>30530</v>
      </c>
      <c r="B5925" t="s">
        <v>16</v>
      </c>
      <c r="C5925">
        <v>30530</v>
      </c>
      <c r="D5925" t="str">
        <f>"30530"</f>
        <v>30530</v>
      </c>
      <c r="E5925">
        <v>66.67</v>
      </c>
    </row>
    <row r="5926" spans="1:5" x14ac:dyDescent="0.2">
      <c r="A5926">
        <v>30531</v>
      </c>
      <c r="B5926" t="s">
        <v>16</v>
      </c>
      <c r="C5926">
        <v>30531</v>
      </c>
      <c r="D5926" t="str">
        <f>"30531"</f>
        <v>30531</v>
      </c>
      <c r="E5926">
        <v>62</v>
      </c>
    </row>
    <row r="5927" spans="1:5" x14ac:dyDescent="0.2">
      <c r="A5927">
        <v>30533</v>
      </c>
      <c r="B5927" t="s">
        <v>16</v>
      </c>
      <c r="C5927">
        <v>30533</v>
      </c>
      <c r="D5927" t="str">
        <f>"30533"</f>
        <v>30533</v>
      </c>
      <c r="E5927">
        <v>68.89</v>
      </c>
    </row>
    <row r="5928" spans="1:5" x14ac:dyDescent="0.2">
      <c r="A5928">
        <v>30534</v>
      </c>
      <c r="B5928" t="s">
        <v>16</v>
      </c>
      <c r="C5928">
        <v>30534</v>
      </c>
      <c r="D5928" t="str">
        <f>"30534"</f>
        <v>30534</v>
      </c>
      <c r="E5928">
        <v>73.17</v>
      </c>
    </row>
    <row r="5929" spans="1:5" x14ac:dyDescent="0.2">
      <c r="A5929">
        <v>30535</v>
      </c>
      <c r="B5929" t="s">
        <v>16</v>
      </c>
      <c r="C5929">
        <v>30535</v>
      </c>
      <c r="D5929" t="str">
        <f>"30535"</f>
        <v>30535</v>
      </c>
      <c r="E5929">
        <v>70.13</v>
      </c>
    </row>
    <row r="5930" spans="1:5" x14ac:dyDescent="0.2">
      <c r="A5930">
        <v>30536</v>
      </c>
      <c r="B5930" t="s">
        <v>16</v>
      </c>
      <c r="C5930">
        <v>30536</v>
      </c>
      <c r="D5930" t="str">
        <f>"30536"</f>
        <v>30536</v>
      </c>
      <c r="E5930">
        <v>67.91</v>
      </c>
    </row>
    <row r="5931" spans="1:5" x14ac:dyDescent="0.2">
      <c r="A5931">
        <v>30537</v>
      </c>
      <c r="B5931" t="s">
        <v>16</v>
      </c>
      <c r="C5931">
        <v>30537</v>
      </c>
      <c r="D5931" t="str">
        <f>"30537"</f>
        <v>30537</v>
      </c>
      <c r="E5931">
        <v>71.67</v>
      </c>
    </row>
    <row r="5932" spans="1:5" x14ac:dyDescent="0.2">
      <c r="A5932">
        <v>30538</v>
      </c>
      <c r="B5932" t="s">
        <v>16</v>
      </c>
      <c r="C5932">
        <v>30538</v>
      </c>
      <c r="D5932" t="str">
        <f>"30538"</f>
        <v>30538</v>
      </c>
      <c r="E5932">
        <v>63.71</v>
      </c>
    </row>
    <row r="5933" spans="1:5" x14ac:dyDescent="0.2">
      <c r="A5933">
        <v>30540</v>
      </c>
      <c r="B5933" t="s">
        <v>16</v>
      </c>
      <c r="C5933">
        <v>30540</v>
      </c>
      <c r="D5933" t="str">
        <f>"30540"</f>
        <v>30540</v>
      </c>
      <c r="E5933">
        <v>62.9</v>
      </c>
    </row>
    <row r="5934" spans="1:5" x14ac:dyDescent="0.2">
      <c r="A5934">
        <v>30541</v>
      </c>
      <c r="B5934" t="s">
        <v>16</v>
      </c>
      <c r="C5934">
        <v>30541</v>
      </c>
      <c r="D5934" t="str">
        <f>"30541"</f>
        <v>30541</v>
      </c>
      <c r="E5934">
        <v>64.099999999999994</v>
      </c>
    </row>
    <row r="5935" spans="1:5" x14ac:dyDescent="0.2">
      <c r="A5935">
        <v>30542</v>
      </c>
      <c r="B5935" t="s">
        <v>16</v>
      </c>
      <c r="C5935">
        <v>30542</v>
      </c>
      <c r="D5935" t="str">
        <f>"30542"</f>
        <v>30542</v>
      </c>
      <c r="E5935">
        <v>73.5</v>
      </c>
    </row>
    <row r="5936" spans="1:5" x14ac:dyDescent="0.2">
      <c r="A5936">
        <v>30543</v>
      </c>
      <c r="B5936" t="s">
        <v>16</v>
      </c>
      <c r="C5936">
        <v>30543</v>
      </c>
      <c r="D5936" t="str">
        <f>"30543"</f>
        <v>30543</v>
      </c>
      <c r="E5936">
        <v>63.4</v>
      </c>
    </row>
    <row r="5937" spans="1:5" x14ac:dyDescent="0.2">
      <c r="A5937">
        <v>30545</v>
      </c>
      <c r="B5937" t="s">
        <v>16</v>
      </c>
      <c r="C5937">
        <v>30545</v>
      </c>
      <c r="D5937" t="str">
        <f>"30545"</f>
        <v>30545</v>
      </c>
      <c r="E5937">
        <v>69.64</v>
      </c>
    </row>
    <row r="5938" spans="1:5" x14ac:dyDescent="0.2">
      <c r="A5938">
        <v>30546</v>
      </c>
      <c r="B5938" t="s">
        <v>16</v>
      </c>
      <c r="C5938">
        <v>30546</v>
      </c>
      <c r="D5938" t="str">
        <f>"30546"</f>
        <v>30546</v>
      </c>
      <c r="E5938">
        <v>68.19</v>
      </c>
    </row>
    <row r="5939" spans="1:5" x14ac:dyDescent="0.2">
      <c r="A5939">
        <v>30547</v>
      </c>
      <c r="B5939" t="s">
        <v>16</v>
      </c>
      <c r="C5939">
        <v>30547</v>
      </c>
      <c r="D5939" t="str">
        <f>"30547"</f>
        <v>30547</v>
      </c>
      <c r="E5939">
        <v>67.569999999999993</v>
      </c>
    </row>
    <row r="5940" spans="1:5" x14ac:dyDescent="0.2">
      <c r="A5940">
        <v>30548</v>
      </c>
      <c r="B5940" t="s">
        <v>16</v>
      </c>
      <c r="C5940">
        <v>30548</v>
      </c>
      <c r="D5940" t="str">
        <f>"30548"</f>
        <v>30548</v>
      </c>
      <c r="E5940">
        <v>77.790000000000006</v>
      </c>
    </row>
    <row r="5941" spans="1:5" x14ac:dyDescent="0.2">
      <c r="A5941">
        <v>30549</v>
      </c>
      <c r="B5941" t="s">
        <v>16</v>
      </c>
      <c r="C5941">
        <v>30549</v>
      </c>
      <c r="D5941" t="str">
        <f>"30549"</f>
        <v>30549</v>
      </c>
      <c r="E5941">
        <v>71.61</v>
      </c>
    </row>
    <row r="5942" spans="1:5" x14ac:dyDescent="0.2">
      <c r="A5942">
        <v>30552</v>
      </c>
      <c r="B5942" t="s">
        <v>16</v>
      </c>
      <c r="C5942">
        <v>30552</v>
      </c>
      <c r="D5942" t="str">
        <f>"30552"</f>
        <v>30552</v>
      </c>
      <c r="E5942">
        <v>64.790000000000006</v>
      </c>
    </row>
    <row r="5943" spans="1:5" x14ac:dyDescent="0.2">
      <c r="A5943">
        <v>30553</v>
      </c>
      <c r="B5943" t="s">
        <v>16</v>
      </c>
      <c r="C5943">
        <v>30553</v>
      </c>
      <c r="D5943" t="str">
        <f>"30553"</f>
        <v>30553</v>
      </c>
      <c r="E5943">
        <v>63.72</v>
      </c>
    </row>
    <row r="5944" spans="1:5" x14ac:dyDescent="0.2">
      <c r="A5944">
        <v>30554</v>
      </c>
      <c r="B5944" t="s">
        <v>16</v>
      </c>
      <c r="C5944">
        <v>30554</v>
      </c>
      <c r="D5944" t="str">
        <f>"30554"</f>
        <v>30554</v>
      </c>
      <c r="E5944">
        <v>68.31</v>
      </c>
    </row>
    <row r="5945" spans="1:5" x14ac:dyDescent="0.2">
      <c r="A5945">
        <v>30555</v>
      </c>
      <c r="B5945" t="s">
        <v>16</v>
      </c>
      <c r="C5945">
        <v>30555</v>
      </c>
      <c r="D5945" t="str">
        <f>"30555"</f>
        <v>30555</v>
      </c>
      <c r="E5945">
        <v>63.04</v>
      </c>
    </row>
    <row r="5946" spans="1:5" x14ac:dyDescent="0.2">
      <c r="A5946">
        <v>30557</v>
      </c>
      <c r="B5946" t="s">
        <v>16</v>
      </c>
      <c r="C5946">
        <v>30557</v>
      </c>
      <c r="D5946" t="str">
        <f>"30557"</f>
        <v>30557</v>
      </c>
      <c r="E5946">
        <v>65.67</v>
      </c>
    </row>
    <row r="5947" spans="1:5" x14ac:dyDescent="0.2">
      <c r="A5947">
        <v>30558</v>
      </c>
      <c r="B5947" t="s">
        <v>16</v>
      </c>
      <c r="C5947">
        <v>30558</v>
      </c>
      <c r="D5947" t="str">
        <f>"30558"</f>
        <v>30558</v>
      </c>
      <c r="E5947">
        <v>64.349999999999994</v>
      </c>
    </row>
    <row r="5948" spans="1:5" x14ac:dyDescent="0.2">
      <c r="A5948">
        <v>30559</v>
      </c>
      <c r="B5948" t="s">
        <v>16</v>
      </c>
      <c r="C5948">
        <v>30559</v>
      </c>
      <c r="D5948" t="str">
        <f>"30559"</f>
        <v>30559</v>
      </c>
      <c r="E5948">
        <v>64.13</v>
      </c>
    </row>
    <row r="5949" spans="1:5" x14ac:dyDescent="0.2">
      <c r="A5949">
        <v>30560</v>
      </c>
      <c r="B5949" t="s">
        <v>16</v>
      </c>
      <c r="C5949">
        <v>30560</v>
      </c>
      <c r="D5949" t="str">
        <f>"30560"</f>
        <v>30560</v>
      </c>
      <c r="E5949">
        <v>64.709999999999994</v>
      </c>
    </row>
    <row r="5950" spans="1:5" x14ac:dyDescent="0.2">
      <c r="A5950">
        <v>30563</v>
      </c>
      <c r="B5950" t="s">
        <v>16</v>
      </c>
      <c r="C5950">
        <v>30563</v>
      </c>
      <c r="D5950" t="str">
        <f>"30563"</f>
        <v>30563</v>
      </c>
      <c r="E5950">
        <v>66.95</v>
      </c>
    </row>
    <row r="5951" spans="1:5" x14ac:dyDescent="0.2">
      <c r="A5951">
        <v>30564</v>
      </c>
      <c r="B5951" t="s">
        <v>16</v>
      </c>
      <c r="C5951">
        <v>30564</v>
      </c>
      <c r="D5951" t="str">
        <f>"30564"</f>
        <v>30564</v>
      </c>
      <c r="E5951">
        <v>71.77</v>
      </c>
    </row>
    <row r="5952" spans="1:5" x14ac:dyDescent="0.2">
      <c r="A5952">
        <v>30565</v>
      </c>
      <c r="B5952" t="s">
        <v>16</v>
      </c>
      <c r="C5952">
        <v>30565</v>
      </c>
      <c r="D5952" t="str">
        <f>"30565"</f>
        <v>30565</v>
      </c>
      <c r="E5952">
        <v>65.239999999999995</v>
      </c>
    </row>
    <row r="5953" spans="1:5" x14ac:dyDescent="0.2">
      <c r="A5953">
        <v>30566</v>
      </c>
      <c r="B5953" t="s">
        <v>16</v>
      </c>
      <c r="C5953">
        <v>30566</v>
      </c>
      <c r="D5953" t="str">
        <f>"30566"</f>
        <v>30566</v>
      </c>
      <c r="E5953">
        <v>66.510000000000005</v>
      </c>
    </row>
    <row r="5954" spans="1:5" x14ac:dyDescent="0.2">
      <c r="A5954">
        <v>30567</v>
      </c>
      <c r="B5954" t="s">
        <v>16</v>
      </c>
      <c r="C5954">
        <v>30567</v>
      </c>
      <c r="D5954" t="str">
        <f>"30567"</f>
        <v>30567</v>
      </c>
      <c r="E5954">
        <v>70.91</v>
      </c>
    </row>
    <row r="5955" spans="1:5" x14ac:dyDescent="0.2">
      <c r="A5955">
        <v>30568</v>
      </c>
      <c r="B5955" t="s">
        <v>16</v>
      </c>
      <c r="C5955">
        <v>30568</v>
      </c>
      <c r="D5955" t="str">
        <f>"30568"</f>
        <v>30568</v>
      </c>
      <c r="E5955">
        <v>66.67</v>
      </c>
    </row>
    <row r="5956" spans="1:5" x14ac:dyDescent="0.2">
      <c r="A5956">
        <v>30571</v>
      </c>
      <c r="B5956" t="s">
        <v>16</v>
      </c>
      <c r="C5956">
        <v>30571</v>
      </c>
      <c r="D5956" t="str">
        <f>"30571"</f>
        <v>30571</v>
      </c>
      <c r="E5956">
        <v>74.13</v>
      </c>
    </row>
    <row r="5957" spans="1:5" x14ac:dyDescent="0.2">
      <c r="A5957">
        <v>30572</v>
      </c>
      <c r="B5957" t="s">
        <v>16</v>
      </c>
      <c r="C5957">
        <v>30572</v>
      </c>
      <c r="D5957" t="str">
        <f>"30572"</f>
        <v>30572</v>
      </c>
      <c r="E5957">
        <v>68.89</v>
      </c>
    </row>
    <row r="5958" spans="1:5" x14ac:dyDescent="0.2">
      <c r="A5958">
        <v>30573</v>
      </c>
      <c r="B5958" t="s">
        <v>16</v>
      </c>
      <c r="C5958">
        <v>30573</v>
      </c>
      <c r="D5958" t="str">
        <f>"30573"</f>
        <v>30573</v>
      </c>
      <c r="E5958" t="s">
        <v>6</v>
      </c>
    </row>
    <row r="5959" spans="1:5" x14ac:dyDescent="0.2">
      <c r="A5959">
        <v>30575</v>
      </c>
      <c r="B5959" t="s">
        <v>16</v>
      </c>
      <c r="C5959">
        <v>30575</v>
      </c>
      <c r="D5959" t="str">
        <f>"30575"</f>
        <v>30575</v>
      </c>
      <c r="E5959">
        <v>63.64</v>
      </c>
    </row>
    <row r="5960" spans="1:5" x14ac:dyDescent="0.2">
      <c r="A5960">
        <v>30576</v>
      </c>
      <c r="B5960" t="s">
        <v>16</v>
      </c>
      <c r="C5960">
        <v>30576</v>
      </c>
      <c r="D5960" t="str">
        <f>"30576"</f>
        <v>30576</v>
      </c>
      <c r="E5960">
        <v>65.709999999999994</v>
      </c>
    </row>
    <row r="5961" spans="1:5" x14ac:dyDescent="0.2">
      <c r="A5961">
        <v>30577</v>
      </c>
      <c r="B5961" t="s">
        <v>16</v>
      </c>
      <c r="C5961">
        <v>30577</v>
      </c>
      <c r="D5961" t="str">
        <f>"30577"</f>
        <v>30577</v>
      </c>
      <c r="E5961">
        <v>63.64</v>
      </c>
    </row>
    <row r="5962" spans="1:5" x14ac:dyDescent="0.2">
      <c r="A5962">
        <v>30582</v>
      </c>
      <c r="B5962" t="s">
        <v>16</v>
      </c>
      <c r="C5962">
        <v>30582</v>
      </c>
      <c r="D5962" t="str">
        <f>"30582"</f>
        <v>30582</v>
      </c>
      <c r="E5962">
        <v>68.42</v>
      </c>
    </row>
    <row r="5963" spans="1:5" x14ac:dyDescent="0.2">
      <c r="A5963">
        <v>30601</v>
      </c>
      <c r="B5963" t="s">
        <v>16</v>
      </c>
      <c r="C5963">
        <v>30601</v>
      </c>
      <c r="D5963" t="str">
        <f>"30601"</f>
        <v>30601</v>
      </c>
      <c r="E5963">
        <v>53.16</v>
      </c>
    </row>
    <row r="5964" spans="1:5" x14ac:dyDescent="0.2">
      <c r="A5964">
        <v>30602</v>
      </c>
      <c r="B5964" t="s">
        <v>16</v>
      </c>
      <c r="C5964">
        <v>30602</v>
      </c>
      <c r="D5964" t="str">
        <f>"30602"</f>
        <v>30602</v>
      </c>
      <c r="E5964" t="s">
        <v>6</v>
      </c>
    </row>
    <row r="5965" spans="1:5" x14ac:dyDescent="0.2">
      <c r="A5965">
        <v>30605</v>
      </c>
      <c r="B5965" t="s">
        <v>16</v>
      </c>
      <c r="C5965">
        <v>30605</v>
      </c>
      <c r="D5965" t="str">
        <f>"30605"</f>
        <v>30605</v>
      </c>
      <c r="E5965">
        <v>66.55</v>
      </c>
    </row>
    <row r="5966" spans="1:5" x14ac:dyDescent="0.2">
      <c r="A5966">
        <v>30606</v>
      </c>
      <c r="B5966" t="s">
        <v>16</v>
      </c>
      <c r="C5966">
        <v>30606</v>
      </c>
      <c r="D5966" t="str">
        <f>"30606"</f>
        <v>30606</v>
      </c>
      <c r="E5966">
        <v>69.58</v>
      </c>
    </row>
    <row r="5967" spans="1:5" x14ac:dyDescent="0.2">
      <c r="A5967">
        <v>30607</v>
      </c>
      <c r="B5967" t="s">
        <v>16</v>
      </c>
      <c r="C5967">
        <v>30607</v>
      </c>
      <c r="D5967" t="str">
        <f>"30607"</f>
        <v>30607</v>
      </c>
      <c r="E5967">
        <v>59.65</v>
      </c>
    </row>
    <row r="5968" spans="1:5" x14ac:dyDescent="0.2">
      <c r="A5968">
        <v>30619</v>
      </c>
      <c r="B5968" t="s">
        <v>16</v>
      </c>
      <c r="C5968">
        <v>30619</v>
      </c>
      <c r="D5968" t="str">
        <f>"30619"</f>
        <v>30619</v>
      </c>
      <c r="E5968">
        <v>74.63</v>
      </c>
    </row>
    <row r="5969" spans="1:5" x14ac:dyDescent="0.2">
      <c r="A5969">
        <v>30620</v>
      </c>
      <c r="B5969" t="s">
        <v>16</v>
      </c>
      <c r="C5969">
        <v>30620</v>
      </c>
      <c r="D5969" t="str">
        <f>"30620"</f>
        <v>30620</v>
      </c>
      <c r="E5969">
        <v>69.42</v>
      </c>
    </row>
    <row r="5970" spans="1:5" x14ac:dyDescent="0.2">
      <c r="A5970">
        <v>30621</v>
      </c>
      <c r="B5970" t="s">
        <v>16</v>
      </c>
      <c r="C5970">
        <v>30621</v>
      </c>
      <c r="D5970" t="str">
        <f>"30621"</f>
        <v>30621</v>
      </c>
      <c r="E5970">
        <v>77.349999999999994</v>
      </c>
    </row>
    <row r="5971" spans="1:5" x14ac:dyDescent="0.2">
      <c r="A5971">
        <v>30622</v>
      </c>
      <c r="B5971" t="s">
        <v>16</v>
      </c>
      <c r="C5971">
        <v>30622</v>
      </c>
      <c r="D5971" t="str">
        <f>"30622"</f>
        <v>30622</v>
      </c>
      <c r="E5971">
        <v>74.94</v>
      </c>
    </row>
    <row r="5972" spans="1:5" x14ac:dyDescent="0.2">
      <c r="A5972">
        <v>30623</v>
      </c>
      <c r="B5972" t="s">
        <v>16</v>
      </c>
      <c r="C5972">
        <v>30623</v>
      </c>
      <c r="D5972" t="str">
        <f>"30623"</f>
        <v>30623</v>
      </c>
      <c r="E5972" t="s">
        <v>6</v>
      </c>
    </row>
    <row r="5973" spans="1:5" x14ac:dyDescent="0.2">
      <c r="A5973">
        <v>30624</v>
      </c>
      <c r="B5973" t="s">
        <v>16</v>
      </c>
      <c r="C5973">
        <v>30624</v>
      </c>
      <c r="D5973" t="str">
        <f>"30624"</f>
        <v>30624</v>
      </c>
      <c r="E5973">
        <v>59.05</v>
      </c>
    </row>
    <row r="5974" spans="1:5" x14ac:dyDescent="0.2">
      <c r="A5974">
        <v>30625</v>
      </c>
      <c r="B5974" t="s">
        <v>16</v>
      </c>
      <c r="C5974">
        <v>30625</v>
      </c>
      <c r="D5974" t="str">
        <f>"30625"</f>
        <v>30625</v>
      </c>
      <c r="E5974">
        <v>71.56</v>
      </c>
    </row>
    <row r="5975" spans="1:5" x14ac:dyDescent="0.2">
      <c r="A5975">
        <v>30627</v>
      </c>
      <c r="B5975" t="s">
        <v>16</v>
      </c>
      <c r="C5975">
        <v>30627</v>
      </c>
      <c r="D5975" t="str">
        <f>"30627"</f>
        <v>30627</v>
      </c>
      <c r="E5975">
        <v>60.92</v>
      </c>
    </row>
    <row r="5976" spans="1:5" x14ac:dyDescent="0.2">
      <c r="A5976">
        <v>30628</v>
      </c>
      <c r="B5976" t="s">
        <v>16</v>
      </c>
      <c r="C5976">
        <v>30628</v>
      </c>
      <c r="D5976" t="str">
        <f>"30628"</f>
        <v>30628</v>
      </c>
      <c r="E5976">
        <v>67.349999999999994</v>
      </c>
    </row>
    <row r="5977" spans="1:5" x14ac:dyDescent="0.2">
      <c r="A5977">
        <v>30629</v>
      </c>
      <c r="B5977" t="s">
        <v>16</v>
      </c>
      <c r="C5977">
        <v>30629</v>
      </c>
      <c r="D5977" t="str">
        <f>"30629"</f>
        <v>30629</v>
      </c>
      <c r="E5977">
        <v>65.28</v>
      </c>
    </row>
    <row r="5978" spans="1:5" x14ac:dyDescent="0.2">
      <c r="A5978">
        <v>30630</v>
      </c>
      <c r="B5978" t="s">
        <v>16</v>
      </c>
      <c r="C5978">
        <v>30630</v>
      </c>
      <c r="D5978" t="str">
        <f>"30630"</f>
        <v>30630</v>
      </c>
      <c r="E5978">
        <v>62.14</v>
      </c>
    </row>
    <row r="5979" spans="1:5" x14ac:dyDescent="0.2">
      <c r="A5979">
        <v>30631</v>
      </c>
      <c r="B5979" t="s">
        <v>16</v>
      </c>
      <c r="C5979">
        <v>30631</v>
      </c>
      <c r="D5979" t="str">
        <f>"30631"</f>
        <v>30631</v>
      </c>
      <c r="E5979">
        <v>57.38</v>
      </c>
    </row>
    <row r="5980" spans="1:5" x14ac:dyDescent="0.2">
      <c r="A5980">
        <v>30633</v>
      </c>
      <c r="B5980" t="s">
        <v>16</v>
      </c>
      <c r="C5980">
        <v>30633</v>
      </c>
      <c r="D5980" t="str">
        <f>"30633"</f>
        <v>30633</v>
      </c>
      <c r="E5980">
        <v>68.34</v>
      </c>
    </row>
    <row r="5981" spans="1:5" x14ac:dyDescent="0.2">
      <c r="A5981">
        <v>30634</v>
      </c>
      <c r="B5981" t="s">
        <v>16</v>
      </c>
      <c r="C5981">
        <v>30634</v>
      </c>
      <c r="D5981" t="str">
        <f>"30634"</f>
        <v>30634</v>
      </c>
      <c r="E5981">
        <v>60.64</v>
      </c>
    </row>
    <row r="5982" spans="1:5" x14ac:dyDescent="0.2">
      <c r="A5982">
        <v>30635</v>
      </c>
      <c r="B5982" t="s">
        <v>16</v>
      </c>
      <c r="C5982">
        <v>30635</v>
      </c>
      <c r="D5982" t="str">
        <f>"30635"</f>
        <v>30635</v>
      </c>
      <c r="E5982">
        <v>58.36</v>
      </c>
    </row>
    <row r="5983" spans="1:5" x14ac:dyDescent="0.2">
      <c r="A5983">
        <v>30641</v>
      </c>
      <c r="B5983" t="s">
        <v>16</v>
      </c>
      <c r="C5983">
        <v>30641</v>
      </c>
      <c r="D5983" t="str">
        <f>"30641"</f>
        <v>30641</v>
      </c>
      <c r="E5983">
        <v>74.39</v>
      </c>
    </row>
    <row r="5984" spans="1:5" x14ac:dyDescent="0.2">
      <c r="A5984">
        <v>30642</v>
      </c>
      <c r="B5984" t="s">
        <v>16</v>
      </c>
      <c r="C5984">
        <v>30642</v>
      </c>
      <c r="D5984" t="str">
        <f>"30642"</f>
        <v>30642</v>
      </c>
      <c r="E5984">
        <v>69.83</v>
      </c>
    </row>
    <row r="5985" spans="1:5" x14ac:dyDescent="0.2">
      <c r="A5985">
        <v>30643</v>
      </c>
      <c r="B5985" t="s">
        <v>16</v>
      </c>
      <c r="C5985">
        <v>30643</v>
      </c>
      <c r="D5985" t="str">
        <f>"30643"</f>
        <v>30643</v>
      </c>
      <c r="E5985">
        <v>64.569999999999993</v>
      </c>
    </row>
    <row r="5986" spans="1:5" x14ac:dyDescent="0.2">
      <c r="A5986">
        <v>30646</v>
      </c>
      <c r="B5986" t="s">
        <v>16</v>
      </c>
      <c r="C5986">
        <v>30646</v>
      </c>
      <c r="D5986" t="str">
        <f>"30646"</f>
        <v>30646</v>
      </c>
      <c r="E5986">
        <v>62.93</v>
      </c>
    </row>
    <row r="5987" spans="1:5" x14ac:dyDescent="0.2">
      <c r="A5987">
        <v>30648</v>
      </c>
      <c r="B5987" t="s">
        <v>16</v>
      </c>
      <c r="C5987">
        <v>30648</v>
      </c>
      <c r="D5987" t="str">
        <f>"30648"</f>
        <v>30648</v>
      </c>
      <c r="E5987">
        <v>63.64</v>
      </c>
    </row>
    <row r="5988" spans="1:5" x14ac:dyDescent="0.2">
      <c r="A5988">
        <v>30650</v>
      </c>
      <c r="B5988" t="s">
        <v>16</v>
      </c>
      <c r="C5988">
        <v>30650</v>
      </c>
      <c r="D5988" t="str">
        <f>"30650"</f>
        <v>30650</v>
      </c>
      <c r="E5988">
        <v>63.35</v>
      </c>
    </row>
    <row r="5989" spans="1:5" x14ac:dyDescent="0.2">
      <c r="A5989">
        <v>30655</v>
      </c>
      <c r="B5989" t="s">
        <v>16</v>
      </c>
      <c r="C5989">
        <v>30655</v>
      </c>
      <c r="D5989" t="str">
        <f>"30655"</f>
        <v>30655</v>
      </c>
      <c r="E5989">
        <v>63.29</v>
      </c>
    </row>
    <row r="5990" spans="1:5" x14ac:dyDescent="0.2">
      <c r="A5990">
        <v>30656</v>
      </c>
      <c r="B5990" t="s">
        <v>16</v>
      </c>
      <c r="C5990">
        <v>30656</v>
      </c>
      <c r="D5990" t="str">
        <f>"30656"</f>
        <v>30656</v>
      </c>
      <c r="E5990">
        <v>69.44</v>
      </c>
    </row>
    <row r="5991" spans="1:5" x14ac:dyDescent="0.2">
      <c r="A5991">
        <v>30660</v>
      </c>
      <c r="B5991" t="s">
        <v>16</v>
      </c>
      <c r="C5991">
        <v>30660</v>
      </c>
      <c r="D5991" t="str">
        <f>"30660"</f>
        <v>30660</v>
      </c>
      <c r="E5991">
        <v>61.9</v>
      </c>
    </row>
    <row r="5992" spans="1:5" x14ac:dyDescent="0.2">
      <c r="A5992">
        <v>30662</v>
      </c>
      <c r="B5992" t="s">
        <v>16</v>
      </c>
      <c r="C5992">
        <v>30662</v>
      </c>
      <c r="D5992" t="str">
        <f>"30662"</f>
        <v>30662</v>
      </c>
      <c r="E5992">
        <v>61.8</v>
      </c>
    </row>
    <row r="5993" spans="1:5" x14ac:dyDescent="0.2">
      <c r="A5993">
        <v>30663</v>
      </c>
      <c r="B5993" t="s">
        <v>16</v>
      </c>
      <c r="C5993">
        <v>30663</v>
      </c>
      <c r="D5993" t="str">
        <f>"30663"</f>
        <v>30663</v>
      </c>
      <c r="E5993">
        <v>69.06</v>
      </c>
    </row>
    <row r="5994" spans="1:5" x14ac:dyDescent="0.2">
      <c r="A5994">
        <v>30666</v>
      </c>
      <c r="B5994" t="s">
        <v>16</v>
      </c>
      <c r="C5994">
        <v>30666</v>
      </c>
      <c r="D5994" t="str">
        <f>"30666"</f>
        <v>30666</v>
      </c>
      <c r="E5994">
        <v>72.69</v>
      </c>
    </row>
    <row r="5995" spans="1:5" x14ac:dyDescent="0.2">
      <c r="A5995">
        <v>30667</v>
      </c>
      <c r="B5995" t="s">
        <v>16</v>
      </c>
      <c r="C5995">
        <v>30667</v>
      </c>
      <c r="D5995" t="str">
        <f>"30667"</f>
        <v>30667</v>
      </c>
      <c r="E5995">
        <v>69.44</v>
      </c>
    </row>
    <row r="5996" spans="1:5" x14ac:dyDescent="0.2">
      <c r="A5996">
        <v>30668</v>
      </c>
      <c r="B5996" t="s">
        <v>16</v>
      </c>
      <c r="C5996">
        <v>30668</v>
      </c>
      <c r="D5996" t="str">
        <f>"30668"</f>
        <v>30668</v>
      </c>
      <c r="E5996">
        <v>64.790000000000006</v>
      </c>
    </row>
    <row r="5997" spans="1:5" x14ac:dyDescent="0.2">
      <c r="A5997">
        <v>30669</v>
      </c>
      <c r="B5997" t="s">
        <v>16</v>
      </c>
      <c r="C5997">
        <v>30669</v>
      </c>
      <c r="D5997" t="str">
        <f>"30669"</f>
        <v>30669</v>
      </c>
      <c r="E5997">
        <v>52.1</v>
      </c>
    </row>
    <row r="5998" spans="1:5" x14ac:dyDescent="0.2">
      <c r="A5998">
        <v>30673</v>
      </c>
      <c r="B5998" t="s">
        <v>16</v>
      </c>
      <c r="C5998">
        <v>30673</v>
      </c>
      <c r="D5998" t="str">
        <f>"30673"</f>
        <v>30673</v>
      </c>
      <c r="E5998">
        <v>57.38</v>
      </c>
    </row>
    <row r="5999" spans="1:5" x14ac:dyDescent="0.2">
      <c r="A5999">
        <v>30677</v>
      </c>
      <c r="B5999" t="s">
        <v>16</v>
      </c>
      <c r="C5999">
        <v>30677</v>
      </c>
      <c r="D5999" t="str">
        <f>"30677"</f>
        <v>30677</v>
      </c>
      <c r="E5999">
        <v>77.47</v>
      </c>
    </row>
    <row r="6000" spans="1:5" x14ac:dyDescent="0.2">
      <c r="A6000">
        <v>30678</v>
      </c>
      <c r="B6000" t="s">
        <v>16</v>
      </c>
      <c r="C6000">
        <v>30678</v>
      </c>
      <c r="D6000" t="str">
        <f>"30678"</f>
        <v>30678</v>
      </c>
      <c r="E6000">
        <v>63.27</v>
      </c>
    </row>
    <row r="6001" spans="1:5" x14ac:dyDescent="0.2">
      <c r="A6001">
        <v>30680</v>
      </c>
      <c r="B6001" t="s">
        <v>16</v>
      </c>
      <c r="C6001">
        <v>30680</v>
      </c>
      <c r="D6001" t="str">
        <f>"30680"</f>
        <v>30680</v>
      </c>
      <c r="E6001">
        <v>66.61</v>
      </c>
    </row>
    <row r="6002" spans="1:5" x14ac:dyDescent="0.2">
      <c r="A6002">
        <v>30683</v>
      </c>
      <c r="B6002" t="s">
        <v>16</v>
      </c>
      <c r="C6002">
        <v>30683</v>
      </c>
      <c r="D6002" t="str">
        <f>"30683"</f>
        <v>30683</v>
      </c>
      <c r="E6002">
        <v>68.400000000000006</v>
      </c>
    </row>
    <row r="6003" spans="1:5" x14ac:dyDescent="0.2">
      <c r="A6003">
        <v>30701</v>
      </c>
      <c r="B6003" t="s">
        <v>16</v>
      </c>
      <c r="C6003">
        <v>30701</v>
      </c>
      <c r="D6003" t="str">
        <f>"30701"</f>
        <v>30701</v>
      </c>
      <c r="E6003">
        <v>63.5</v>
      </c>
    </row>
    <row r="6004" spans="1:5" x14ac:dyDescent="0.2">
      <c r="A6004">
        <v>30705</v>
      </c>
      <c r="B6004" t="s">
        <v>16</v>
      </c>
      <c r="C6004">
        <v>30705</v>
      </c>
      <c r="D6004" t="str">
        <f>"30705"</f>
        <v>30705</v>
      </c>
      <c r="E6004">
        <v>62.73</v>
      </c>
    </row>
    <row r="6005" spans="1:5" x14ac:dyDescent="0.2">
      <c r="A6005">
        <v>30707</v>
      </c>
      <c r="B6005" t="s">
        <v>16</v>
      </c>
      <c r="C6005">
        <v>30707</v>
      </c>
      <c r="D6005" t="str">
        <f>"30707"</f>
        <v>30707</v>
      </c>
      <c r="E6005">
        <v>68.040000000000006</v>
      </c>
    </row>
    <row r="6006" spans="1:5" x14ac:dyDescent="0.2">
      <c r="A6006">
        <v>30708</v>
      </c>
      <c r="B6006" t="s">
        <v>16</v>
      </c>
      <c r="C6006">
        <v>30708</v>
      </c>
      <c r="D6006" t="str">
        <f>"30708"</f>
        <v>30708</v>
      </c>
      <c r="E6006">
        <v>66.67</v>
      </c>
    </row>
    <row r="6007" spans="1:5" x14ac:dyDescent="0.2">
      <c r="A6007">
        <v>30710</v>
      </c>
      <c r="B6007" t="s">
        <v>16</v>
      </c>
      <c r="C6007">
        <v>30710</v>
      </c>
      <c r="D6007" t="str">
        <f>"30710"</f>
        <v>30710</v>
      </c>
      <c r="E6007">
        <v>70.08</v>
      </c>
    </row>
    <row r="6008" spans="1:5" x14ac:dyDescent="0.2">
      <c r="A6008">
        <v>30711</v>
      </c>
      <c r="B6008" t="s">
        <v>16</v>
      </c>
      <c r="C6008">
        <v>30711</v>
      </c>
      <c r="D6008" t="str">
        <f>"30711"</f>
        <v>30711</v>
      </c>
      <c r="E6008">
        <v>65.25</v>
      </c>
    </row>
    <row r="6009" spans="1:5" x14ac:dyDescent="0.2">
      <c r="A6009">
        <v>30720</v>
      </c>
      <c r="B6009" t="s">
        <v>16</v>
      </c>
      <c r="C6009">
        <v>30720</v>
      </c>
      <c r="D6009" t="str">
        <f>"30720"</f>
        <v>30720</v>
      </c>
      <c r="E6009">
        <v>64.83</v>
      </c>
    </row>
    <row r="6010" spans="1:5" x14ac:dyDescent="0.2">
      <c r="A6010">
        <v>30721</v>
      </c>
      <c r="B6010" t="s">
        <v>16</v>
      </c>
      <c r="C6010">
        <v>30721</v>
      </c>
      <c r="D6010" t="str">
        <f>"30721"</f>
        <v>30721</v>
      </c>
      <c r="E6010">
        <v>56.4</v>
      </c>
    </row>
    <row r="6011" spans="1:5" x14ac:dyDescent="0.2">
      <c r="A6011">
        <v>30725</v>
      </c>
      <c r="B6011" t="s">
        <v>16</v>
      </c>
      <c r="C6011">
        <v>30725</v>
      </c>
      <c r="D6011" t="str">
        <f>"30725"</f>
        <v>30725</v>
      </c>
      <c r="E6011">
        <v>68.75</v>
      </c>
    </row>
    <row r="6012" spans="1:5" x14ac:dyDescent="0.2">
      <c r="A6012">
        <v>30726</v>
      </c>
      <c r="B6012" t="s">
        <v>16</v>
      </c>
      <c r="C6012">
        <v>30726</v>
      </c>
      <c r="D6012" t="str">
        <f>"30726"</f>
        <v>30726</v>
      </c>
      <c r="E6012" t="s">
        <v>6</v>
      </c>
    </row>
    <row r="6013" spans="1:5" x14ac:dyDescent="0.2">
      <c r="A6013">
        <v>30728</v>
      </c>
      <c r="B6013" t="s">
        <v>16</v>
      </c>
      <c r="C6013">
        <v>30728</v>
      </c>
      <c r="D6013" t="str">
        <f>"30728"</f>
        <v>30728</v>
      </c>
      <c r="E6013">
        <v>63.51</v>
      </c>
    </row>
    <row r="6014" spans="1:5" x14ac:dyDescent="0.2">
      <c r="A6014">
        <v>30730</v>
      </c>
      <c r="B6014" t="s">
        <v>16</v>
      </c>
      <c r="C6014">
        <v>30730</v>
      </c>
      <c r="D6014" t="str">
        <f>"30730"</f>
        <v>30730</v>
      </c>
      <c r="E6014">
        <v>63.89</v>
      </c>
    </row>
    <row r="6015" spans="1:5" x14ac:dyDescent="0.2">
      <c r="A6015">
        <v>30731</v>
      </c>
      <c r="B6015" t="s">
        <v>16</v>
      </c>
      <c r="C6015">
        <v>30731</v>
      </c>
      <c r="D6015" t="str">
        <f>"30731"</f>
        <v>30731</v>
      </c>
      <c r="E6015">
        <v>67.05</v>
      </c>
    </row>
    <row r="6016" spans="1:5" x14ac:dyDescent="0.2">
      <c r="A6016">
        <v>30733</v>
      </c>
      <c r="B6016" t="s">
        <v>16</v>
      </c>
      <c r="C6016">
        <v>30733</v>
      </c>
      <c r="D6016" t="str">
        <f>"30733"</f>
        <v>30733</v>
      </c>
      <c r="E6016">
        <v>62.34</v>
      </c>
    </row>
    <row r="6017" spans="1:5" x14ac:dyDescent="0.2">
      <c r="A6017">
        <v>30734</v>
      </c>
      <c r="B6017" t="s">
        <v>16</v>
      </c>
      <c r="C6017">
        <v>30734</v>
      </c>
      <c r="D6017" t="str">
        <f>"30734"</f>
        <v>30734</v>
      </c>
      <c r="E6017">
        <v>63.71</v>
      </c>
    </row>
    <row r="6018" spans="1:5" x14ac:dyDescent="0.2">
      <c r="A6018">
        <v>30735</v>
      </c>
      <c r="B6018" t="s">
        <v>16</v>
      </c>
      <c r="C6018">
        <v>30735</v>
      </c>
      <c r="D6018" t="str">
        <f>"30735"</f>
        <v>30735</v>
      </c>
      <c r="E6018">
        <v>61.07</v>
      </c>
    </row>
    <row r="6019" spans="1:5" x14ac:dyDescent="0.2">
      <c r="A6019">
        <v>30736</v>
      </c>
      <c r="B6019" t="s">
        <v>16</v>
      </c>
      <c r="C6019">
        <v>30736</v>
      </c>
      <c r="D6019" t="str">
        <f>"30736"</f>
        <v>30736</v>
      </c>
      <c r="E6019">
        <v>71.95</v>
      </c>
    </row>
    <row r="6020" spans="1:5" x14ac:dyDescent="0.2">
      <c r="A6020">
        <v>30738</v>
      </c>
      <c r="B6020" t="s">
        <v>16</v>
      </c>
      <c r="C6020">
        <v>30738</v>
      </c>
      <c r="D6020" t="str">
        <f>"30738"</f>
        <v>30738</v>
      </c>
      <c r="E6020">
        <v>68.42</v>
      </c>
    </row>
    <row r="6021" spans="1:5" x14ac:dyDescent="0.2">
      <c r="A6021">
        <v>30739</v>
      </c>
      <c r="B6021" t="s">
        <v>16</v>
      </c>
      <c r="C6021">
        <v>30739</v>
      </c>
      <c r="D6021" t="str">
        <f>"30739"</f>
        <v>30739</v>
      </c>
      <c r="E6021">
        <v>73.8</v>
      </c>
    </row>
    <row r="6022" spans="1:5" x14ac:dyDescent="0.2">
      <c r="A6022">
        <v>30740</v>
      </c>
      <c r="B6022" t="s">
        <v>16</v>
      </c>
      <c r="C6022">
        <v>30740</v>
      </c>
      <c r="D6022" t="str">
        <f>"30740"</f>
        <v>30740</v>
      </c>
      <c r="E6022">
        <v>71.510000000000005</v>
      </c>
    </row>
    <row r="6023" spans="1:5" x14ac:dyDescent="0.2">
      <c r="A6023">
        <v>30741</v>
      </c>
      <c r="B6023" t="s">
        <v>16</v>
      </c>
      <c r="C6023">
        <v>30741</v>
      </c>
      <c r="D6023" t="str">
        <f>"30741"</f>
        <v>30741</v>
      </c>
      <c r="E6023">
        <v>62.3</v>
      </c>
    </row>
    <row r="6024" spans="1:5" x14ac:dyDescent="0.2">
      <c r="A6024">
        <v>30742</v>
      </c>
      <c r="B6024" t="s">
        <v>16</v>
      </c>
      <c r="C6024">
        <v>30742</v>
      </c>
      <c r="D6024" t="str">
        <f>"30742"</f>
        <v>30742</v>
      </c>
      <c r="E6024">
        <v>66.239999999999995</v>
      </c>
    </row>
    <row r="6025" spans="1:5" x14ac:dyDescent="0.2">
      <c r="A6025">
        <v>30746</v>
      </c>
      <c r="B6025" t="s">
        <v>16</v>
      </c>
      <c r="C6025">
        <v>30746</v>
      </c>
      <c r="D6025" t="str">
        <f>"30746"</f>
        <v>30746</v>
      </c>
      <c r="E6025">
        <v>73.58</v>
      </c>
    </row>
    <row r="6026" spans="1:5" x14ac:dyDescent="0.2">
      <c r="A6026">
        <v>30747</v>
      </c>
      <c r="B6026" t="s">
        <v>16</v>
      </c>
      <c r="C6026">
        <v>30747</v>
      </c>
      <c r="D6026" t="str">
        <f>"30747"</f>
        <v>30747</v>
      </c>
      <c r="E6026">
        <v>61.21</v>
      </c>
    </row>
    <row r="6027" spans="1:5" x14ac:dyDescent="0.2">
      <c r="A6027">
        <v>30750</v>
      </c>
      <c r="B6027" t="s">
        <v>16</v>
      </c>
      <c r="C6027">
        <v>30750</v>
      </c>
      <c r="D6027" t="str">
        <f>"30750"</f>
        <v>30750</v>
      </c>
      <c r="E6027">
        <v>74.260000000000005</v>
      </c>
    </row>
    <row r="6028" spans="1:5" x14ac:dyDescent="0.2">
      <c r="A6028">
        <v>30752</v>
      </c>
      <c r="B6028" t="s">
        <v>16</v>
      </c>
      <c r="C6028">
        <v>30752</v>
      </c>
      <c r="D6028" t="str">
        <f>"30752"</f>
        <v>30752</v>
      </c>
      <c r="E6028">
        <v>66.31</v>
      </c>
    </row>
    <row r="6029" spans="1:5" x14ac:dyDescent="0.2">
      <c r="A6029">
        <v>30753</v>
      </c>
      <c r="B6029" t="s">
        <v>16</v>
      </c>
      <c r="C6029">
        <v>30753</v>
      </c>
      <c r="D6029" t="str">
        <f>"30753"</f>
        <v>30753</v>
      </c>
      <c r="E6029">
        <v>58.59</v>
      </c>
    </row>
    <row r="6030" spans="1:5" x14ac:dyDescent="0.2">
      <c r="A6030">
        <v>30755</v>
      </c>
      <c r="B6030" t="s">
        <v>16</v>
      </c>
      <c r="C6030">
        <v>30755</v>
      </c>
      <c r="D6030" t="str">
        <f>"30755"</f>
        <v>30755</v>
      </c>
      <c r="E6030">
        <v>63.87</v>
      </c>
    </row>
    <row r="6031" spans="1:5" x14ac:dyDescent="0.2">
      <c r="A6031">
        <v>30757</v>
      </c>
      <c r="B6031" t="s">
        <v>16</v>
      </c>
      <c r="C6031">
        <v>30757</v>
      </c>
      <c r="D6031" t="str">
        <f>"30757"</f>
        <v>30757</v>
      </c>
      <c r="E6031">
        <v>68.75</v>
      </c>
    </row>
    <row r="6032" spans="1:5" x14ac:dyDescent="0.2">
      <c r="A6032">
        <v>30802</v>
      </c>
      <c r="B6032" t="s">
        <v>16</v>
      </c>
      <c r="C6032">
        <v>30802</v>
      </c>
      <c r="D6032" t="str">
        <f>"30802"</f>
        <v>30802</v>
      </c>
      <c r="E6032">
        <v>76.36</v>
      </c>
    </row>
    <row r="6033" spans="1:5" x14ac:dyDescent="0.2">
      <c r="A6033">
        <v>30803</v>
      </c>
      <c r="B6033" t="s">
        <v>16</v>
      </c>
      <c r="C6033">
        <v>30803</v>
      </c>
      <c r="D6033" t="str">
        <f>"30803"</f>
        <v>30803</v>
      </c>
      <c r="E6033">
        <v>69.7</v>
      </c>
    </row>
    <row r="6034" spans="1:5" x14ac:dyDescent="0.2">
      <c r="A6034">
        <v>30805</v>
      </c>
      <c r="B6034" t="s">
        <v>16</v>
      </c>
      <c r="C6034">
        <v>30805</v>
      </c>
      <c r="D6034" t="str">
        <f>"30805"</f>
        <v>30805</v>
      </c>
      <c r="E6034">
        <v>63.64</v>
      </c>
    </row>
    <row r="6035" spans="1:5" x14ac:dyDescent="0.2">
      <c r="A6035">
        <v>30807</v>
      </c>
      <c r="B6035" t="s">
        <v>16</v>
      </c>
      <c r="C6035">
        <v>30807</v>
      </c>
      <c r="D6035" t="str">
        <f>"30807"</f>
        <v>30807</v>
      </c>
      <c r="E6035" t="s">
        <v>6</v>
      </c>
    </row>
    <row r="6036" spans="1:5" x14ac:dyDescent="0.2">
      <c r="A6036">
        <v>30808</v>
      </c>
      <c r="B6036" t="s">
        <v>16</v>
      </c>
      <c r="C6036">
        <v>30808</v>
      </c>
      <c r="D6036" t="str">
        <f>"30808"</f>
        <v>30808</v>
      </c>
      <c r="E6036">
        <v>60.89</v>
      </c>
    </row>
    <row r="6037" spans="1:5" x14ac:dyDescent="0.2">
      <c r="A6037">
        <v>30809</v>
      </c>
      <c r="B6037" t="s">
        <v>16</v>
      </c>
      <c r="C6037">
        <v>30809</v>
      </c>
      <c r="D6037" t="str">
        <f>"30809"</f>
        <v>30809</v>
      </c>
      <c r="E6037">
        <v>78.650000000000006</v>
      </c>
    </row>
    <row r="6038" spans="1:5" x14ac:dyDescent="0.2">
      <c r="A6038">
        <v>30810</v>
      </c>
      <c r="B6038" t="s">
        <v>16</v>
      </c>
      <c r="C6038">
        <v>30810</v>
      </c>
      <c r="D6038" t="str">
        <f>"30810"</f>
        <v>30810</v>
      </c>
      <c r="E6038">
        <v>63.01</v>
      </c>
    </row>
    <row r="6039" spans="1:5" x14ac:dyDescent="0.2">
      <c r="A6039">
        <v>30813</v>
      </c>
      <c r="B6039" t="s">
        <v>16</v>
      </c>
      <c r="C6039">
        <v>30813</v>
      </c>
      <c r="D6039" t="str">
        <f>"30813"</f>
        <v>30813</v>
      </c>
      <c r="E6039">
        <v>70.599999999999994</v>
      </c>
    </row>
    <row r="6040" spans="1:5" x14ac:dyDescent="0.2">
      <c r="A6040">
        <v>30814</v>
      </c>
      <c r="B6040" t="s">
        <v>16</v>
      </c>
      <c r="C6040">
        <v>30814</v>
      </c>
      <c r="D6040" t="str">
        <f>"30814"</f>
        <v>30814</v>
      </c>
      <c r="E6040">
        <v>68.78</v>
      </c>
    </row>
    <row r="6041" spans="1:5" x14ac:dyDescent="0.2">
      <c r="A6041">
        <v>30815</v>
      </c>
      <c r="B6041" t="s">
        <v>16</v>
      </c>
      <c r="C6041">
        <v>30815</v>
      </c>
      <c r="D6041" t="str">
        <f>"30815"</f>
        <v>30815</v>
      </c>
      <c r="E6041">
        <v>60.97</v>
      </c>
    </row>
    <row r="6042" spans="1:5" x14ac:dyDescent="0.2">
      <c r="A6042">
        <v>30816</v>
      </c>
      <c r="B6042" t="s">
        <v>16</v>
      </c>
      <c r="C6042">
        <v>30816</v>
      </c>
      <c r="D6042" t="str">
        <f>"30816"</f>
        <v>30816</v>
      </c>
      <c r="E6042">
        <v>62.34</v>
      </c>
    </row>
    <row r="6043" spans="1:5" x14ac:dyDescent="0.2">
      <c r="A6043">
        <v>30817</v>
      </c>
      <c r="B6043" t="s">
        <v>16</v>
      </c>
      <c r="C6043">
        <v>30817</v>
      </c>
      <c r="D6043" t="str">
        <f>"30817"</f>
        <v>30817</v>
      </c>
      <c r="E6043">
        <v>64.400000000000006</v>
      </c>
    </row>
    <row r="6044" spans="1:5" x14ac:dyDescent="0.2">
      <c r="A6044">
        <v>30818</v>
      </c>
      <c r="B6044" t="s">
        <v>16</v>
      </c>
      <c r="C6044">
        <v>30818</v>
      </c>
      <c r="D6044" t="str">
        <f>"30818"</f>
        <v>30818</v>
      </c>
      <c r="E6044">
        <v>59.09</v>
      </c>
    </row>
    <row r="6045" spans="1:5" x14ac:dyDescent="0.2">
      <c r="A6045">
        <v>30820</v>
      </c>
      <c r="B6045" t="s">
        <v>16</v>
      </c>
      <c r="C6045">
        <v>30820</v>
      </c>
      <c r="D6045" t="str">
        <f>"30820"</f>
        <v>30820</v>
      </c>
      <c r="E6045">
        <v>65.91</v>
      </c>
    </row>
    <row r="6046" spans="1:5" x14ac:dyDescent="0.2">
      <c r="A6046">
        <v>30821</v>
      </c>
      <c r="B6046" t="s">
        <v>16</v>
      </c>
      <c r="C6046">
        <v>30821</v>
      </c>
      <c r="D6046" t="str">
        <f>"30821"</f>
        <v>30821</v>
      </c>
      <c r="E6046">
        <v>60</v>
      </c>
    </row>
    <row r="6047" spans="1:5" x14ac:dyDescent="0.2">
      <c r="A6047">
        <v>30823</v>
      </c>
      <c r="B6047" t="s">
        <v>16</v>
      </c>
      <c r="C6047">
        <v>30823</v>
      </c>
      <c r="D6047" t="str">
        <f>"30823"</f>
        <v>30823</v>
      </c>
      <c r="E6047">
        <v>62.32</v>
      </c>
    </row>
    <row r="6048" spans="1:5" x14ac:dyDescent="0.2">
      <c r="A6048">
        <v>30824</v>
      </c>
      <c r="B6048" t="s">
        <v>16</v>
      </c>
      <c r="C6048">
        <v>30824</v>
      </c>
      <c r="D6048" t="str">
        <f>"30824"</f>
        <v>30824</v>
      </c>
      <c r="E6048">
        <v>57.87</v>
      </c>
    </row>
    <row r="6049" spans="1:5" x14ac:dyDescent="0.2">
      <c r="A6049">
        <v>30828</v>
      </c>
      <c r="B6049" t="s">
        <v>16</v>
      </c>
      <c r="C6049">
        <v>30828</v>
      </c>
      <c r="D6049" t="str">
        <f>"30828"</f>
        <v>30828</v>
      </c>
      <c r="E6049">
        <v>54.72</v>
      </c>
    </row>
    <row r="6050" spans="1:5" x14ac:dyDescent="0.2">
      <c r="A6050">
        <v>30830</v>
      </c>
      <c r="B6050" t="s">
        <v>16</v>
      </c>
      <c r="C6050">
        <v>30830</v>
      </c>
      <c r="D6050" t="str">
        <f>"30830"</f>
        <v>30830</v>
      </c>
      <c r="E6050">
        <v>56.53</v>
      </c>
    </row>
    <row r="6051" spans="1:5" x14ac:dyDescent="0.2">
      <c r="A6051">
        <v>30833</v>
      </c>
      <c r="B6051" t="s">
        <v>16</v>
      </c>
      <c r="C6051">
        <v>30833</v>
      </c>
      <c r="D6051" t="str">
        <f>"30833"</f>
        <v>30833</v>
      </c>
      <c r="E6051">
        <v>51.85</v>
      </c>
    </row>
    <row r="6052" spans="1:5" x14ac:dyDescent="0.2">
      <c r="A6052">
        <v>30901</v>
      </c>
      <c r="B6052" t="s">
        <v>16</v>
      </c>
      <c r="C6052">
        <v>30901</v>
      </c>
      <c r="D6052" t="str">
        <f>"30901"</f>
        <v>30901</v>
      </c>
      <c r="E6052">
        <v>44.8</v>
      </c>
    </row>
    <row r="6053" spans="1:5" x14ac:dyDescent="0.2">
      <c r="A6053">
        <v>30904</v>
      </c>
      <c r="B6053" t="s">
        <v>16</v>
      </c>
      <c r="C6053">
        <v>30904</v>
      </c>
      <c r="D6053" t="str">
        <f>"30904"</f>
        <v>30904</v>
      </c>
      <c r="E6053">
        <v>59.08</v>
      </c>
    </row>
    <row r="6054" spans="1:5" x14ac:dyDescent="0.2">
      <c r="A6054">
        <v>30905</v>
      </c>
      <c r="B6054" t="s">
        <v>16</v>
      </c>
      <c r="C6054">
        <v>30905</v>
      </c>
      <c r="D6054" t="str">
        <f>"30905"</f>
        <v>30905</v>
      </c>
      <c r="E6054">
        <v>65.400000000000006</v>
      </c>
    </row>
    <row r="6055" spans="1:5" x14ac:dyDescent="0.2">
      <c r="A6055">
        <v>30906</v>
      </c>
      <c r="B6055" t="s">
        <v>16</v>
      </c>
      <c r="C6055">
        <v>30906</v>
      </c>
      <c r="D6055" t="str">
        <f>"30906"</f>
        <v>30906</v>
      </c>
      <c r="E6055">
        <v>51.56</v>
      </c>
    </row>
    <row r="6056" spans="1:5" x14ac:dyDescent="0.2">
      <c r="A6056">
        <v>30907</v>
      </c>
      <c r="B6056" t="s">
        <v>16</v>
      </c>
      <c r="C6056">
        <v>30907</v>
      </c>
      <c r="D6056" t="str">
        <f>"30907"</f>
        <v>30907</v>
      </c>
      <c r="E6056">
        <v>74.150000000000006</v>
      </c>
    </row>
    <row r="6057" spans="1:5" x14ac:dyDescent="0.2">
      <c r="A6057">
        <v>30909</v>
      </c>
      <c r="B6057" t="s">
        <v>16</v>
      </c>
      <c r="C6057">
        <v>30909</v>
      </c>
      <c r="D6057" t="str">
        <f>"30909"</f>
        <v>30909</v>
      </c>
      <c r="E6057">
        <v>68.02</v>
      </c>
    </row>
    <row r="6058" spans="1:5" x14ac:dyDescent="0.2">
      <c r="A6058">
        <v>30912</v>
      </c>
      <c r="B6058" t="s">
        <v>16</v>
      </c>
      <c r="C6058">
        <v>30912</v>
      </c>
      <c r="D6058" t="str">
        <f>"30912"</f>
        <v>30912</v>
      </c>
      <c r="E6058" t="s">
        <v>6</v>
      </c>
    </row>
    <row r="6059" spans="1:5" x14ac:dyDescent="0.2">
      <c r="A6059">
        <v>30916</v>
      </c>
      <c r="B6059" t="s">
        <v>16</v>
      </c>
      <c r="C6059">
        <v>30916</v>
      </c>
      <c r="D6059" t="str">
        <f>"30916"</f>
        <v>30916</v>
      </c>
      <c r="E6059" t="s">
        <v>6</v>
      </c>
    </row>
    <row r="6060" spans="1:5" x14ac:dyDescent="0.2">
      <c r="A6060">
        <v>31001</v>
      </c>
      <c r="B6060" t="s">
        <v>16</v>
      </c>
      <c r="C6060">
        <v>31001</v>
      </c>
      <c r="D6060" t="str">
        <f>"31001"</f>
        <v>31001</v>
      </c>
      <c r="E6060">
        <v>56.18</v>
      </c>
    </row>
    <row r="6061" spans="1:5" x14ac:dyDescent="0.2">
      <c r="A6061">
        <v>31002</v>
      </c>
      <c r="B6061" t="s">
        <v>16</v>
      </c>
      <c r="C6061">
        <v>31002</v>
      </c>
      <c r="D6061" t="str">
        <f>"31002"</f>
        <v>31002</v>
      </c>
      <c r="E6061">
        <v>59.05</v>
      </c>
    </row>
    <row r="6062" spans="1:5" x14ac:dyDescent="0.2">
      <c r="A6062">
        <v>31003</v>
      </c>
      <c r="B6062" t="s">
        <v>16</v>
      </c>
      <c r="C6062">
        <v>31003</v>
      </c>
      <c r="D6062" t="str">
        <f>"31003"</f>
        <v>31003</v>
      </c>
      <c r="E6062" t="s">
        <v>6</v>
      </c>
    </row>
    <row r="6063" spans="1:5" x14ac:dyDescent="0.2">
      <c r="A6063">
        <v>31005</v>
      </c>
      <c r="B6063" t="s">
        <v>16</v>
      </c>
      <c r="C6063">
        <v>31005</v>
      </c>
      <c r="D6063" t="str">
        <f>"31005"</f>
        <v>31005</v>
      </c>
      <c r="E6063">
        <v>75.36</v>
      </c>
    </row>
    <row r="6064" spans="1:5" x14ac:dyDescent="0.2">
      <c r="A6064">
        <v>31006</v>
      </c>
      <c r="B6064" t="s">
        <v>16</v>
      </c>
      <c r="C6064">
        <v>31006</v>
      </c>
      <c r="D6064" t="str">
        <f>"31006"</f>
        <v>31006</v>
      </c>
      <c r="E6064">
        <v>55.15</v>
      </c>
    </row>
    <row r="6065" spans="1:5" x14ac:dyDescent="0.2">
      <c r="A6065">
        <v>31007</v>
      </c>
      <c r="B6065" t="s">
        <v>16</v>
      </c>
      <c r="C6065">
        <v>31007</v>
      </c>
      <c r="D6065" t="str">
        <f>"31007"</f>
        <v>31007</v>
      </c>
      <c r="E6065">
        <v>52.94</v>
      </c>
    </row>
    <row r="6066" spans="1:5" x14ac:dyDescent="0.2">
      <c r="A6066">
        <v>31008</v>
      </c>
      <c r="B6066" t="s">
        <v>16</v>
      </c>
      <c r="C6066">
        <v>31008</v>
      </c>
      <c r="D6066" t="str">
        <f>"31008"</f>
        <v>31008</v>
      </c>
      <c r="E6066">
        <v>69.73</v>
      </c>
    </row>
    <row r="6067" spans="1:5" x14ac:dyDescent="0.2">
      <c r="A6067">
        <v>31009</v>
      </c>
      <c r="B6067" t="s">
        <v>16</v>
      </c>
      <c r="C6067">
        <v>31009</v>
      </c>
      <c r="D6067" t="str">
        <f>"31009"</f>
        <v>31009</v>
      </c>
      <c r="E6067">
        <v>67.44</v>
      </c>
    </row>
    <row r="6068" spans="1:5" x14ac:dyDescent="0.2">
      <c r="A6068">
        <v>31011</v>
      </c>
      <c r="B6068" t="s">
        <v>16</v>
      </c>
      <c r="C6068">
        <v>31011</v>
      </c>
      <c r="D6068" t="str">
        <f>"31011"</f>
        <v>31011</v>
      </c>
      <c r="E6068">
        <v>59.38</v>
      </c>
    </row>
    <row r="6069" spans="1:5" x14ac:dyDescent="0.2">
      <c r="A6069">
        <v>31012</v>
      </c>
      <c r="B6069" t="s">
        <v>16</v>
      </c>
      <c r="C6069">
        <v>31012</v>
      </c>
      <c r="D6069" t="str">
        <f>"31012"</f>
        <v>31012</v>
      </c>
      <c r="E6069">
        <v>60.87</v>
      </c>
    </row>
    <row r="6070" spans="1:5" x14ac:dyDescent="0.2">
      <c r="A6070">
        <v>31014</v>
      </c>
      <c r="B6070" t="s">
        <v>16</v>
      </c>
      <c r="C6070">
        <v>31014</v>
      </c>
      <c r="D6070" t="str">
        <f>"31014"</f>
        <v>31014</v>
      </c>
      <c r="E6070">
        <v>61.86</v>
      </c>
    </row>
    <row r="6071" spans="1:5" x14ac:dyDescent="0.2">
      <c r="A6071">
        <v>31015</v>
      </c>
      <c r="B6071" t="s">
        <v>16</v>
      </c>
      <c r="C6071">
        <v>31015</v>
      </c>
      <c r="D6071" t="str">
        <f>"31015"</f>
        <v>31015</v>
      </c>
      <c r="E6071">
        <v>52.45</v>
      </c>
    </row>
    <row r="6072" spans="1:5" x14ac:dyDescent="0.2">
      <c r="A6072">
        <v>31016</v>
      </c>
      <c r="B6072" t="s">
        <v>16</v>
      </c>
      <c r="C6072">
        <v>31016</v>
      </c>
      <c r="D6072" t="str">
        <f>"31016"</f>
        <v>31016</v>
      </c>
      <c r="E6072">
        <v>68.180000000000007</v>
      </c>
    </row>
    <row r="6073" spans="1:5" x14ac:dyDescent="0.2">
      <c r="A6073">
        <v>31017</v>
      </c>
      <c r="B6073" t="s">
        <v>16</v>
      </c>
      <c r="C6073">
        <v>31017</v>
      </c>
      <c r="D6073" t="str">
        <f>"31017"</f>
        <v>31017</v>
      </c>
      <c r="E6073">
        <v>67.09</v>
      </c>
    </row>
    <row r="6074" spans="1:5" x14ac:dyDescent="0.2">
      <c r="A6074">
        <v>31018</v>
      </c>
      <c r="B6074" t="s">
        <v>16</v>
      </c>
      <c r="C6074">
        <v>31018</v>
      </c>
      <c r="D6074" t="str">
        <f>"31018"</f>
        <v>31018</v>
      </c>
      <c r="E6074">
        <v>57.14</v>
      </c>
    </row>
    <row r="6075" spans="1:5" x14ac:dyDescent="0.2">
      <c r="A6075">
        <v>31019</v>
      </c>
      <c r="B6075" t="s">
        <v>16</v>
      </c>
      <c r="C6075">
        <v>31019</v>
      </c>
      <c r="D6075" t="str">
        <f>"31019"</f>
        <v>31019</v>
      </c>
      <c r="E6075">
        <v>67.37</v>
      </c>
    </row>
    <row r="6076" spans="1:5" x14ac:dyDescent="0.2">
      <c r="A6076">
        <v>31020</v>
      </c>
      <c r="B6076" t="s">
        <v>16</v>
      </c>
      <c r="C6076">
        <v>31020</v>
      </c>
      <c r="D6076" t="str">
        <f>"31020"</f>
        <v>31020</v>
      </c>
      <c r="E6076">
        <v>58.14</v>
      </c>
    </row>
    <row r="6077" spans="1:5" x14ac:dyDescent="0.2">
      <c r="A6077">
        <v>31021</v>
      </c>
      <c r="B6077" t="s">
        <v>16</v>
      </c>
      <c r="C6077">
        <v>31021</v>
      </c>
      <c r="D6077" t="str">
        <f>"31021"</f>
        <v>31021</v>
      </c>
      <c r="E6077">
        <v>58.39</v>
      </c>
    </row>
    <row r="6078" spans="1:5" x14ac:dyDescent="0.2">
      <c r="A6078">
        <v>31022</v>
      </c>
      <c r="B6078" t="s">
        <v>16</v>
      </c>
      <c r="C6078">
        <v>31022</v>
      </c>
      <c r="D6078" t="str">
        <f>"31022"</f>
        <v>31022</v>
      </c>
      <c r="E6078">
        <v>71.010000000000005</v>
      </c>
    </row>
    <row r="6079" spans="1:5" x14ac:dyDescent="0.2">
      <c r="A6079">
        <v>31023</v>
      </c>
      <c r="B6079" t="s">
        <v>16</v>
      </c>
      <c r="C6079">
        <v>31023</v>
      </c>
      <c r="D6079" t="str">
        <f>"31023"</f>
        <v>31023</v>
      </c>
      <c r="E6079">
        <v>54.34</v>
      </c>
    </row>
    <row r="6080" spans="1:5" x14ac:dyDescent="0.2">
      <c r="A6080">
        <v>31024</v>
      </c>
      <c r="B6080" t="s">
        <v>16</v>
      </c>
      <c r="C6080">
        <v>31024</v>
      </c>
      <c r="D6080" t="str">
        <f>"31024"</f>
        <v>31024</v>
      </c>
      <c r="E6080">
        <v>63.11</v>
      </c>
    </row>
    <row r="6081" spans="1:5" x14ac:dyDescent="0.2">
      <c r="A6081">
        <v>31025</v>
      </c>
      <c r="B6081" t="s">
        <v>16</v>
      </c>
      <c r="C6081">
        <v>31025</v>
      </c>
      <c r="D6081" t="str">
        <f>"31025"</f>
        <v>31025</v>
      </c>
      <c r="E6081">
        <v>75</v>
      </c>
    </row>
    <row r="6082" spans="1:5" x14ac:dyDescent="0.2">
      <c r="A6082">
        <v>31027</v>
      </c>
      <c r="B6082" t="s">
        <v>16</v>
      </c>
      <c r="C6082">
        <v>31027</v>
      </c>
      <c r="D6082" t="str">
        <f>"31027"</f>
        <v>31027</v>
      </c>
      <c r="E6082">
        <v>52.11</v>
      </c>
    </row>
    <row r="6083" spans="1:5" x14ac:dyDescent="0.2">
      <c r="A6083">
        <v>31028</v>
      </c>
      <c r="B6083" t="s">
        <v>16</v>
      </c>
      <c r="C6083">
        <v>31028</v>
      </c>
      <c r="D6083" t="str">
        <f>"31028"</f>
        <v>31028</v>
      </c>
      <c r="E6083">
        <v>70.77</v>
      </c>
    </row>
    <row r="6084" spans="1:5" x14ac:dyDescent="0.2">
      <c r="A6084">
        <v>31029</v>
      </c>
      <c r="B6084" t="s">
        <v>16</v>
      </c>
      <c r="C6084">
        <v>31029</v>
      </c>
      <c r="D6084" t="str">
        <f>"31029"</f>
        <v>31029</v>
      </c>
      <c r="E6084">
        <v>66.180000000000007</v>
      </c>
    </row>
    <row r="6085" spans="1:5" x14ac:dyDescent="0.2">
      <c r="A6085">
        <v>31030</v>
      </c>
      <c r="B6085" t="s">
        <v>16</v>
      </c>
      <c r="C6085">
        <v>31030</v>
      </c>
      <c r="D6085" t="str">
        <f>"31030"</f>
        <v>31030</v>
      </c>
      <c r="E6085">
        <v>55.54</v>
      </c>
    </row>
    <row r="6086" spans="1:5" x14ac:dyDescent="0.2">
      <c r="A6086">
        <v>31031</v>
      </c>
      <c r="B6086" t="s">
        <v>16</v>
      </c>
      <c r="C6086">
        <v>31031</v>
      </c>
      <c r="D6086" t="str">
        <f>"31031"</f>
        <v>31031</v>
      </c>
      <c r="E6086">
        <v>58.78</v>
      </c>
    </row>
    <row r="6087" spans="1:5" x14ac:dyDescent="0.2">
      <c r="A6087">
        <v>31032</v>
      </c>
      <c r="B6087" t="s">
        <v>16</v>
      </c>
      <c r="C6087">
        <v>31032</v>
      </c>
      <c r="D6087" t="str">
        <f>"31032"</f>
        <v>31032</v>
      </c>
      <c r="E6087">
        <v>70.92</v>
      </c>
    </row>
    <row r="6088" spans="1:5" x14ac:dyDescent="0.2">
      <c r="A6088">
        <v>31033</v>
      </c>
      <c r="B6088" t="s">
        <v>16</v>
      </c>
      <c r="C6088">
        <v>31033</v>
      </c>
      <c r="D6088" t="str">
        <f>"31033"</f>
        <v>31033</v>
      </c>
      <c r="E6088">
        <v>60.22</v>
      </c>
    </row>
    <row r="6089" spans="1:5" x14ac:dyDescent="0.2">
      <c r="A6089">
        <v>31035</v>
      </c>
      <c r="B6089" t="s">
        <v>16</v>
      </c>
      <c r="C6089">
        <v>31035</v>
      </c>
      <c r="D6089" t="str">
        <f>"31035"</f>
        <v>31035</v>
      </c>
      <c r="E6089">
        <v>59.57</v>
      </c>
    </row>
    <row r="6090" spans="1:5" x14ac:dyDescent="0.2">
      <c r="A6090">
        <v>31036</v>
      </c>
      <c r="B6090" t="s">
        <v>16</v>
      </c>
      <c r="C6090">
        <v>31036</v>
      </c>
      <c r="D6090" t="str">
        <f>"31036"</f>
        <v>31036</v>
      </c>
      <c r="E6090">
        <v>61.95</v>
      </c>
    </row>
    <row r="6091" spans="1:5" x14ac:dyDescent="0.2">
      <c r="A6091">
        <v>31037</v>
      </c>
      <c r="B6091" t="s">
        <v>16</v>
      </c>
      <c r="C6091">
        <v>31037</v>
      </c>
      <c r="D6091" t="str">
        <f>"31037"</f>
        <v>31037</v>
      </c>
      <c r="E6091">
        <v>50</v>
      </c>
    </row>
    <row r="6092" spans="1:5" x14ac:dyDescent="0.2">
      <c r="A6092">
        <v>31038</v>
      </c>
      <c r="B6092" t="s">
        <v>16</v>
      </c>
      <c r="C6092">
        <v>31038</v>
      </c>
      <c r="D6092" t="str">
        <f>"31038"</f>
        <v>31038</v>
      </c>
      <c r="E6092">
        <v>69.7</v>
      </c>
    </row>
    <row r="6093" spans="1:5" x14ac:dyDescent="0.2">
      <c r="A6093">
        <v>31041</v>
      </c>
      <c r="B6093" t="s">
        <v>16</v>
      </c>
      <c r="C6093">
        <v>31041</v>
      </c>
      <c r="D6093" t="str">
        <f>"31041"</f>
        <v>31041</v>
      </c>
      <c r="E6093">
        <v>54.17</v>
      </c>
    </row>
    <row r="6094" spans="1:5" x14ac:dyDescent="0.2">
      <c r="A6094">
        <v>31042</v>
      </c>
      <c r="B6094" t="s">
        <v>16</v>
      </c>
      <c r="C6094">
        <v>31042</v>
      </c>
      <c r="D6094" t="str">
        <f>"31042"</f>
        <v>31042</v>
      </c>
      <c r="E6094">
        <v>56.58</v>
      </c>
    </row>
    <row r="6095" spans="1:5" x14ac:dyDescent="0.2">
      <c r="A6095">
        <v>31044</v>
      </c>
      <c r="B6095" t="s">
        <v>16</v>
      </c>
      <c r="C6095">
        <v>31044</v>
      </c>
      <c r="D6095" t="str">
        <f>"31044"</f>
        <v>31044</v>
      </c>
      <c r="E6095">
        <v>57.52</v>
      </c>
    </row>
    <row r="6096" spans="1:5" x14ac:dyDescent="0.2">
      <c r="A6096">
        <v>31045</v>
      </c>
      <c r="B6096" t="s">
        <v>16</v>
      </c>
      <c r="C6096">
        <v>31045</v>
      </c>
      <c r="D6096" t="str">
        <f>"31045"</f>
        <v>31045</v>
      </c>
      <c r="E6096" t="s">
        <v>6</v>
      </c>
    </row>
    <row r="6097" spans="1:5" x14ac:dyDescent="0.2">
      <c r="A6097">
        <v>31046</v>
      </c>
      <c r="B6097" t="s">
        <v>16</v>
      </c>
      <c r="C6097">
        <v>31046</v>
      </c>
      <c r="D6097" t="str">
        <f>"31046"</f>
        <v>31046</v>
      </c>
      <c r="E6097">
        <v>72.14</v>
      </c>
    </row>
    <row r="6098" spans="1:5" x14ac:dyDescent="0.2">
      <c r="A6098">
        <v>31047</v>
      </c>
      <c r="B6098" t="s">
        <v>16</v>
      </c>
      <c r="C6098">
        <v>31047</v>
      </c>
      <c r="D6098" t="str">
        <f>"31047"</f>
        <v>31047</v>
      </c>
      <c r="E6098">
        <v>76.38</v>
      </c>
    </row>
    <row r="6099" spans="1:5" x14ac:dyDescent="0.2">
      <c r="A6099">
        <v>31049</v>
      </c>
      <c r="B6099" t="s">
        <v>16</v>
      </c>
      <c r="C6099">
        <v>31049</v>
      </c>
      <c r="D6099" t="str">
        <f>"31049"</f>
        <v>31049</v>
      </c>
      <c r="E6099">
        <v>65.08</v>
      </c>
    </row>
    <row r="6100" spans="1:5" x14ac:dyDescent="0.2">
      <c r="A6100">
        <v>31050</v>
      </c>
      <c r="B6100" t="s">
        <v>16</v>
      </c>
      <c r="C6100">
        <v>31050</v>
      </c>
      <c r="D6100" t="str">
        <f>"31050"</f>
        <v>31050</v>
      </c>
      <c r="E6100">
        <v>66.67</v>
      </c>
    </row>
    <row r="6101" spans="1:5" x14ac:dyDescent="0.2">
      <c r="A6101">
        <v>31051</v>
      </c>
      <c r="B6101" t="s">
        <v>16</v>
      </c>
      <c r="C6101">
        <v>31051</v>
      </c>
      <c r="D6101" t="str">
        <f>"31051"</f>
        <v>31051</v>
      </c>
      <c r="E6101" t="s">
        <v>6</v>
      </c>
    </row>
    <row r="6102" spans="1:5" x14ac:dyDescent="0.2">
      <c r="A6102">
        <v>31052</v>
      </c>
      <c r="B6102" t="s">
        <v>16</v>
      </c>
      <c r="C6102">
        <v>31052</v>
      </c>
      <c r="D6102" t="str">
        <f>"31052"</f>
        <v>31052</v>
      </c>
      <c r="E6102">
        <v>69.900000000000006</v>
      </c>
    </row>
    <row r="6103" spans="1:5" x14ac:dyDescent="0.2">
      <c r="A6103">
        <v>31054</v>
      </c>
      <c r="B6103" t="s">
        <v>16</v>
      </c>
      <c r="C6103">
        <v>31054</v>
      </c>
      <c r="D6103" t="str">
        <f>"31054"</f>
        <v>31054</v>
      </c>
      <c r="E6103">
        <v>57.58</v>
      </c>
    </row>
    <row r="6104" spans="1:5" x14ac:dyDescent="0.2">
      <c r="A6104">
        <v>31055</v>
      </c>
      <c r="B6104" t="s">
        <v>16</v>
      </c>
      <c r="C6104">
        <v>31055</v>
      </c>
      <c r="D6104" t="str">
        <f>"31055"</f>
        <v>31055</v>
      </c>
      <c r="E6104">
        <v>54.02</v>
      </c>
    </row>
    <row r="6105" spans="1:5" x14ac:dyDescent="0.2">
      <c r="A6105">
        <v>31057</v>
      </c>
      <c r="B6105" t="s">
        <v>16</v>
      </c>
      <c r="C6105">
        <v>31057</v>
      </c>
      <c r="D6105" t="str">
        <f>"31057"</f>
        <v>31057</v>
      </c>
      <c r="E6105">
        <v>56.52</v>
      </c>
    </row>
    <row r="6106" spans="1:5" x14ac:dyDescent="0.2">
      <c r="A6106">
        <v>31058</v>
      </c>
      <c r="B6106" t="s">
        <v>16</v>
      </c>
      <c r="C6106">
        <v>31058</v>
      </c>
      <c r="D6106" t="str">
        <f>"31058"</f>
        <v>31058</v>
      </c>
      <c r="E6106">
        <v>56.14</v>
      </c>
    </row>
    <row r="6107" spans="1:5" x14ac:dyDescent="0.2">
      <c r="A6107">
        <v>31060</v>
      </c>
      <c r="B6107" t="s">
        <v>16</v>
      </c>
      <c r="C6107">
        <v>31060</v>
      </c>
      <c r="D6107" t="str">
        <f>"31060"</f>
        <v>31060</v>
      </c>
      <c r="E6107">
        <v>58.62</v>
      </c>
    </row>
    <row r="6108" spans="1:5" x14ac:dyDescent="0.2">
      <c r="A6108">
        <v>31061</v>
      </c>
      <c r="B6108" t="s">
        <v>16</v>
      </c>
      <c r="C6108">
        <v>31061</v>
      </c>
      <c r="D6108" t="str">
        <f>"31061"</f>
        <v>31061</v>
      </c>
      <c r="E6108">
        <v>59.93</v>
      </c>
    </row>
    <row r="6109" spans="1:5" x14ac:dyDescent="0.2">
      <c r="A6109">
        <v>31062</v>
      </c>
      <c r="B6109" t="s">
        <v>16</v>
      </c>
      <c r="C6109">
        <v>31062</v>
      </c>
      <c r="D6109" t="str">
        <f>"31062"</f>
        <v>31062</v>
      </c>
      <c r="E6109" t="s">
        <v>6</v>
      </c>
    </row>
    <row r="6110" spans="1:5" x14ac:dyDescent="0.2">
      <c r="A6110">
        <v>31063</v>
      </c>
      <c r="B6110" t="s">
        <v>16</v>
      </c>
      <c r="C6110">
        <v>31063</v>
      </c>
      <c r="D6110" t="str">
        <f>"31063"</f>
        <v>31063</v>
      </c>
      <c r="E6110">
        <v>51.24</v>
      </c>
    </row>
    <row r="6111" spans="1:5" x14ac:dyDescent="0.2">
      <c r="A6111">
        <v>31064</v>
      </c>
      <c r="B6111" t="s">
        <v>16</v>
      </c>
      <c r="C6111">
        <v>31064</v>
      </c>
      <c r="D6111" t="str">
        <f>"31064"</f>
        <v>31064</v>
      </c>
      <c r="E6111">
        <v>63.41</v>
      </c>
    </row>
    <row r="6112" spans="1:5" x14ac:dyDescent="0.2">
      <c r="A6112">
        <v>31065</v>
      </c>
      <c r="B6112" t="s">
        <v>16</v>
      </c>
      <c r="C6112">
        <v>31065</v>
      </c>
      <c r="D6112" t="str">
        <f>"31065"</f>
        <v>31065</v>
      </c>
      <c r="E6112">
        <v>61.22</v>
      </c>
    </row>
    <row r="6113" spans="1:5" x14ac:dyDescent="0.2">
      <c r="A6113">
        <v>31066</v>
      </c>
      <c r="B6113" t="s">
        <v>16</v>
      </c>
      <c r="C6113">
        <v>31066</v>
      </c>
      <c r="D6113" t="str">
        <f>"31066"</f>
        <v>31066</v>
      </c>
      <c r="E6113">
        <v>69.569999999999993</v>
      </c>
    </row>
    <row r="6114" spans="1:5" x14ac:dyDescent="0.2">
      <c r="A6114">
        <v>31067</v>
      </c>
      <c r="B6114" t="s">
        <v>16</v>
      </c>
      <c r="C6114">
        <v>31067</v>
      </c>
      <c r="D6114" t="str">
        <f>"31067"</f>
        <v>31067</v>
      </c>
      <c r="E6114" t="s">
        <v>6</v>
      </c>
    </row>
    <row r="6115" spans="1:5" x14ac:dyDescent="0.2">
      <c r="A6115">
        <v>31068</v>
      </c>
      <c r="B6115" t="s">
        <v>16</v>
      </c>
      <c r="C6115">
        <v>31068</v>
      </c>
      <c r="D6115" t="str">
        <f>"31068"</f>
        <v>31068</v>
      </c>
      <c r="E6115">
        <v>53.39</v>
      </c>
    </row>
    <row r="6116" spans="1:5" x14ac:dyDescent="0.2">
      <c r="A6116">
        <v>31069</v>
      </c>
      <c r="B6116" t="s">
        <v>16</v>
      </c>
      <c r="C6116">
        <v>31069</v>
      </c>
      <c r="D6116" t="str">
        <f>"31069"</f>
        <v>31069</v>
      </c>
      <c r="E6116">
        <v>66.31</v>
      </c>
    </row>
    <row r="6117" spans="1:5" x14ac:dyDescent="0.2">
      <c r="A6117">
        <v>31070</v>
      </c>
      <c r="B6117" t="s">
        <v>16</v>
      </c>
      <c r="C6117">
        <v>31070</v>
      </c>
      <c r="D6117" t="str">
        <f>"31070"</f>
        <v>31070</v>
      </c>
      <c r="E6117">
        <v>67.86</v>
      </c>
    </row>
    <row r="6118" spans="1:5" x14ac:dyDescent="0.2">
      <c r="A6118">
        <v>31071</v>
      </c>
      <c r="B6118" t="s">
        <v>16</v>
      </c>
      <c r="C6118">
        <v>31071</v>
      </c>
      <c r="D6118" t="str">
        <f>"31071"</f>
        <v>31071</v>
      </c>
      <c r="E6118">
        <v>59.09</v>
      </c>
    </row>
    <row r="6119" spans="1:5" x14ac:dyDescent="0.2">
      <c r="A6119">
        <v>31072</v>
      </c>
      <c r="B6119" t="s">
        <v>16</v>
      </c>
      <c r="C6119">
        <v>31072</v>
      </c>
      <c r="D6119" t="str">
        <f>"31072"</f>
        <v>31072</v>
      </c>
      <c r="E6119">
        <v>62.22</v>
      </c>
    </row>
    <row r="6120" spans="1:5" x14ac:dyDescent="0.2">
      <c r="A6120">
        <v>31075</v>
      </c>
      <c r="B6120" t="s">
        <v>16</v>
      </c>
      <c r="C6120">
        <v>31075</v>
      </c>
      <c r="D6120" t="str">
        <f>"31075"</f>
        <v>31075</v>
      </c>
      <c r="E6120">
        <v>63.64</v>
      </c>
    </row>
    <row r="6121" spans="1:5" x14ac:dyDescent="0.2">
      <c r="A6121">
        <v>31076</v>
      </c>
      <c r="B6121" t="s">
        <v>16</v>
      </c>
      <c r="C6121">
        <v>31076</v>
      </c>
      <c r="D6121" t="str">
        <f>"31076"</f>
        <v>31076</v>
      </c>
      <c r="E6121">
        <v>62.07</v>
      </c>
    </row>
    <row r="6122" spans="1:5" x14ac:dyDescent="0.2">
      <c r="A6122">
        <v>31077</v>
      </c>
      <c r="B6122" t="s">
        <v>16</v>
      </c>
      <c r="C6122">
        <v>31077</v>
      </c>
      <c r="D6122" t="str">
        <f>"31077"</f>
        <v>31077</v>
      </c>
      <c r="E6122">
        <v>59.09</v>
      </c>
    </row>
    <row r="6123" spans="1:5" x14ac:dyDescent="0.2">
      <c r="A6123">
        <v>31078</v>
      </c>
      <c r="B6123" t="s">
        <v>16</v>
      </c>
      <c r="C6123">
        <v>31078</v>
      </c>
      <c r="D6123" t="str">
        <f>"31078"</f>
        <v>31078</v>
      </c>
      <c r="E6123">
        <v>56.72</v>
      </c>
    </row>
    <row r="6124" spans="1:5" x14ac:dyDescent="0.2">
      <c r="A6124">
        <v>31079</v>
      </c>
      <c r="B6124" t="s">
        <v>16</v>
      </c>
      <c r="C6124">
        <v>31079</v>
      </c>
      <c r="D6124" t="str">
        <f>"31079"</f>
        <v>31079</v>
      </c>
      <c r="E6124">
        <v>52.94</v>
      </c>
    </row>
    <row r="6125" spans="1:5" x14ac:dyDescent="0.2">
      <c r="A6125">
        <v>31081</v>
      </c>
      <c r="B6125" t="s">
        <v>16</v>
      </c>
      <c r="C6125">
        <v>31081</v>
      </c>
      <c r="D6125" t="str">
        <f>"31081"</f>
        <v>31081</v>
      </c>
      <c r="E6125" t="s">
        <v>6</v>
      </c>
    </row>
    <row r="6126" spans="1:5" x14ac:dyDescent="0.2">
      <c r="A6126">
        <v>31082</v>
      </c>
      <c r="B6126" t="s">
        <v>16</v>
      </c>
      <c r="C6126">
        <v>31082</v>
      </c>
      <c r="D6126" t="str">
        <f>"31082"</f>
        <v>31082</v>
      </c>
      <c r="E6126">
        <v>57.14</v>
      </c>
    </row>
    <row r="6127" spans="1:5" x14ac:dyDescent="0.2">
      <c r="A6127">
        <v>31083</v>
      </c>
      <c r="B6127" t="s">
        <v>16</v>
      </c>
      <c r="C6127">
        <v>31083</v>
      </c>
      <c r="D6127" t="str">
        <f>"31083"</f>
        <v>31083</v>
      </c>
      <c r="E6127" t="s">
        <v>6</v>
      </c>
    </row>
    <row r="6128" spans="1:5" x14ac:dyDescent="0.2">
      <c r="A6128">
        <v>31085</v>
      </c>
      <c r="B6128" t="s">
        <v>16</v>
      </c>
      <c r="C6128">
        <v>31085</v>
      </c>
      <c r="D6128" t="str">
        <f>"31085"</f>
        <v>31085</v>
      </c>
      <c r="E6128">
        <v>61.54</v>
      </c>
    </row>
    <row r="6129" spans="1:5" x14ac:dyDescent="0.2">
      <c r="A6129">
        <v>31086</v>
      </c>
      <c r="B6129" t="s">
        <v>16</v>
      </c>
      <c r="C6129">
        <v>31086</v>
      </c>
      <c r="D6129" t="str">
        <f>"31086"</f>
        <v>31086</v>
      </c>
      <c r="E6129" t="s">
        <v>6</v>
      </c>
    </row>
    <row r="6130" spans="1:5" x14ac:dyDescent="0.2">
      <c r="A6130">
        <v>31087</v>
      </c>
      <c r="B6130" t="s">
        <v>16</v>
      </c>
      <c r="C6130">
        <v>31087</v>
      </c>
      <c r="D6130" t="str">
        <f>"31087"</f>
        <v>31087</v>
      </c>
      <c r="E6130">
        <v>51.8</v>
      </c>
    </row>
    <row r="6131" spans="1:5" x14ac:dyDescent="0.2">
      <c r="A6131">
        <v>31088</v>
      </c>
      <c r="B6131" t="s">
        <v>16</v>
      </c>
      <c r="C6131">
        <v>31088</v>
      </c>
      <c r="D6131" t="str">
        <f>"31088"</f>
        <v>31088</v>
      </c>
      <c r="E6131">
        <v>68.67</v>
      </c>
    </row>
    <row r="6132" spans="1:5" x14ac:dyDescent="0.2">
      <c r="A6132">
        <v>31089</v>
      </c>
      <c r="B6132" t="s">
        <v>16</v>
      </c>
      <c r="C6132">
        <v>31089</v>
      </c>
      <c r="D6132" t="str">
        <f>"31089"</f>
        <v>31089</v>
      </c>
      <c r="E6132">
        <v>51.55</v>
      </c>
    </row>
    <row r="6133" spans="1:5" x14ac:dyDescent="0.2">
      <c r="A6133">
        <v>31090</v>
      </c>
      <c r="B6133" t="s">
        <v>16</v>
      </c>
      <c r="C6133">
        <v>31090</v>
      </c>
      <c r="D6133" t="str">
        <f>"31090"</f>
        <v>31090</v>
      </c>
      <c r="E6133">
        <v>63.89</v>
      </c>
    </row>
    <row r="6134" spans="1:5" x14ac:dyDescent="0.2">
      <c r="A6134">
        <v>31091</v>
      </c>
      <c r="B6134" t="s">
        <v>16</v>
      </c>
      <c r="C6134">
        <v>31091</v>
      </c>
      <c r="D6134" t="str">
        <f>"31091"</f>
        <v>31091</v>
      </c>
      <c r="E6134">
        <v>52.88</v>
      </c>
    </row>
    <row r="6135" spans="1:5" x14ac:dyDescent="0.2">
      <c r="A6135">
        <v>31092</v>
      </c>
      <c r="B6135" t="s">
        <v>16</v>
      </c>
      <c r="C6135">
        <v>31092</v>
      </c>
      <c r="D6135" t="str">
        <f>"31092"</f>
        <v>31092</v>
      </c>
      <c r="E6135">
        <v>55.56</v>
      </c>
    </row>
    <row r="6136" spans="1:5" x14ac:dyDescent="0.2">
      <c r="A6136">
        <v>31093</v>
      </c>
      <c r="B6136" t="s">
        <v>16</v>
      </c>
      <c r="C6136">
        <v>31093</v>
      </c>
      <c r="D6136" t="str">
        <f>"31093"</f>
        <v>31093</v>
      </c>
      <c r="E6136">
        <v>54.86</v>
      </c>
    </row>
    <row r="6137" spans="1:5" x14ac:dyDescent="0.2">
      <c r="A6137">
        <v>31094</v>
      </c>
      <c r="B6137" t="s">
        <v>16</v>
      </c>
      <c r="C6137">
        <v>31094</v>
      </c>
      <c r="D6137" t="str">
        <f>"31094"</f>
        <v>31094</v>
      </c>
      <c r="E6137">
        <v>66.67</v>
      </c>
    </row>
    <row r="6138" spans="1:5" x14ac:dyDescent="0.2">
      <c r="A6138">
        <v>31096</v>
      </c>
      <c r="B6138" t="s">
        <v>16</v>
      </c>
      <c r="C6138">
        <v>31096</v>
      </c>
      <c r="D6138" t="str">
        <f>"31096"</f>
        <v>31096</v>
      </c>
      <c r="E6138">
        <v>53.88</v>
      </c>
    </row>
    <row r="6139" spans="1:5" x14ac:dyDescent="0.2">
      <c r="A6139">
        <v>31097</v>
      </c>
      <c r="B6139" t="s">
        <v>16</v>
      </c>
      <c r="C6139">
        <v>31097</v>
      </c>
      <c r="D6139" t="str">
        <f>"31097"</f>
        <v>31097</v>
      </c>
      <c r="E6139">
        <v>65.45</v>
      </c>
    </row>
    <row r="6140" spans="1:5" x14ac:dyDescent="0.2">
      <c r="A6140">
        <v>31098</v>
      </c>
      <c r="B6140" t="s">
        <v>16</v>
      </c>
      <c r="C6140">
        <v>31098</v>
      </c>
      <c r="D6140" t="str">
        <f>"31098"</f>
        <v>31098</v>
      </c>
      <c r="E6140">
        <v>67.260000000000005</v>
      </c>
    </row>
    <row r="6141" spans="1:5" x14ac:dyDescent="0.2">
      <c r="A6141">
        <v>31201</v>
      </c>
      <c r="B6141" t="s">
        <v>16</v>
      </c>
      <c r="C6141">
        <v>31201</v>
      </c>
      <c r="D6141" t="str">
        <f>"31201"</f>
        <v>31201</v>
      </c>
      <c r="E6141">
        <v>54.37</v>
      </c>
    </row>
    <row r="6142" spans="1:5" x14ac:dyDescent="0.2">
      <c r="A6142">
        <v>31204</v>
      </c>
      <c r="B6142" t="s">
        <v>16</v>
      </c>
      <c r="C6142">
        <v>31204</v>
      </c>
      <c r="D6142" t="str">
        <f>"31204"</f>
        <v>31204</v>
      </c>
      <c r="E6142">
        <v>50.99</v>
      </c>
    </row>
    <row r="6143" spans="1:5" x14ac:dyDescent="0.2">
      <c r="A6143">
        <v>31206</v>
      </c>
      <c r="B6143" t="s">
        <v>16</v>
      </c>
      <c r="C6143">
        <v>31206</v>
      </c>
      <c r="D6143" t="str">
        <f>"31206"</f>
        <v>31206</v>
      </c>
      <c r="E6143">
        <v>38.35</v>
      </c>
    </row>
    <row r="6144" spans="1:5" x14ac:dyDescent="0.2">
      <c r="A6144">
        <v>31207</v>
      </c>
      <c r="B6144" t="s">
        <v>16</v>
      </c>
      <c r="C6144">
        <v>31207</v>
      </c>
      <c r="D6144" t="str">
        <f>"31207"</f>
        <v>31207</v>
      </c>
      <c r="E6144" t="s">
        <v>6</v>
      </c>
    </row>
    <row r="6145" spans="1:5" x14ac:dyDescent="0.2">
      <c r="A6145">
        <v>31210</v>
      </c>
      <c r="B6145" t="s">
        <v>16</v>
      </c>
      <c r="C6145">
        <v>31210</v>
      </c>
      <c r="D6145" t="str">
        <f>"31210"</f>
        <v>31210</v>
      </c>
      <c r="E6145">
        <v>70.02</v>
      </c>
    </row>
    <row r="6146" spans="1:5" x14ac:dyDescent="0.2">
      <c r="A6146">
        <v>31211</v>
      </c>
      <c r="B6146" t="s">
        <v>16</v>
      </c>
      <c r="C6146">
        <v>31211</v>
      </c>
      <c r="D6146" t="str">
        <f>"31211"</f>
        <v>31211</v>
      </c>
      <c r="E6146">
        <v>59.19</v>
      </c>
    </row>
    <row r="6147" spans="1:5" x14ac:dyDescent="0.2">
      <c r="A6147">
        <v>31216</v>
      </c>
      <c r="B6147" t="s">
        <v>16</v>
      </c>
      <c r="C6147">
        <v>31216</v>
      </c>
      <c r="D6147" t="str">
        <f>"31216"</f>
        <v>31216</v>
      </c>
      <c r="E6147">
        <v>71.760000000000005</v>
      </c>
    </row>
    <row r="6148" spans="1:5" x14ac:dyDescent="0.2">
      <c r="A6148">
        <v>31217</v>
      </c>
      <c r="B6148" t="s">
        <v>16</v>
      </c>
      <c r="C6148">
        <v>31217</v>
      </c>
      <c r="D6148" t="str">
        <f>"31217"</f>
        <v>31217</v>
      </c>
      <c r="E6148">
        <v>49.85</v>
      </c>
    </row>
    <row r="6149" spans="1:5" x14ac:dyDescent="0.2">
      <c r="A6149">
        <v>31220</v>
      </c>
      <c r="B6149" t="s">
        <v>16</v>
      </c>
      <c r="C6149">
        <v>31220</v>
      </c>
      <c r="D6149" t="str">
        <f>"31220"</f>
        <v>31220</v>
      </c>
      <c r="E6149">
        <v>69.25</v>
      </c>
    </row>
    <row r="6150" spans="1:5" x14ac:dyDescent="0.2">
      <c r="A6150">
        <v>31295</v>
      </c>
      <c r="B6150" t="s">
        <v>16</v>
      </c>
      <c r="C6150">
        <v>31295</v>
      </c>
      <c r="D6150" t="str">
        <f>"31295"</f>
        <v>31295</v>
      </c>
      <c r="E6150" t="s">
        <v>6</v>
      </c>
    </row>
    <row r="6151" spans="1:5" x14ac:dyDescent="0.2">
      <c r="A6151">
        <v>31301</v>
      </c>
      <c r="B6151" t="s">
        <v>16</v>
      </c>
      <c r="C6151">
        <v>31301</v>
      </c>
      <c r="D6151" t="str">
        <f>"31301"</f>
        <v>31301</v>
      </c>
      <c r="E6151">
        <v>57.42</v>
      </c>
    </row>
    <row r="6152" spans="1:5" x14ac:dyDescent="0.2">
      <c r="A6152">
        <v>31302</v>
      </c>
      <c r="B6152" t="s">
        <v>16</v>
      </c>
      <c r="C6152">
        <v>31302</v>
      </c>
      <c r="D6152" t="str">
        <f>"31302"</f>
        <v>31302</v>
      </c>
      <c r="E6152">
        <v>69.709999999999994</v>
      </c>
    </row>
    <row r="6153" spans="1:5" x14ac:dyDescent="0.2">
      <c r="A6153">
        <v>31303</v>
      </c>
      <c r="B6153" t="s">
        <v>16</v>
      </c>
      <c r="C6153">
        <v>31303</v>
      </c>
      <c r="D6153" t="str">
        <f>"31303"</f>
        <v>31303</v>
      </c>
      <c r="E6153">
        <v>68.37</v>
      </c>
    </row>
    <row r="6154" spans="1:5" x14ac:dyDescent="0.2">
      <c r="A6154">
        <v>31305</v>
      </c>
      <c r="B6154" t="s">
        <v>16</v>
      </c>
      <c r="C6154">
        <v>31305</v>
      </c>
      <c r="D6154" t="str">
        <f>"31305"</f>
        <v>31305</v>
      </c>
      <c r="E6154">
        <v>62.1</v>
      </c>
    </row>
    <row r="6155" spans="1:5" x14ac:dyDescent="0.2">
      <c r="A6155">
        <v>31307</v>
      </c>
      <c r="B6155" t="s">
        <v>16</v>
      </c>
      <c r="C6155">
        <v>31307</v>
      </c>
      <c r="D6155" t="str">
        <f>"31307"</f>
        <v>31307</v>
      </c>
      <c r="E6155" t="s">
        <v>6</v>
      </c>
    </row>
    <row r="6156" spans="1:5" x14ac:dyDescent="0.2">
      <c r="A6156">
        <v>31308</v>
      </c>
      <c r="B6156" t="s">
        <v>16</v>
      </c>
      <c r="C6156">
        <v>31308</v>
      </c>
      <c r="D6156" t="str">
        <f>"31308"</f>
        <v>31308</v>
      </c>
      <c r="E6156">
        <v>66.180000000000007</v>
      </c>
    </row>
    <row r="6157" spans="1:5" x14ac:dyDescent="0.2">
      <c r="A6157">
        <v>31309</v>
      </c>
      <c r="B6157" t="s">
        <v>16</v>
      </c>
      <c r="C6157">
        <v>31309</v>
      </c>
      <c r="D6157" t="str">
        <f>"31309"</f>
        <v>31309</v>
      </c>
      <c r="E6157">
        <v>66.67</v>
      </c>
    </row>
    <row r="6158" spans="1:5" x14ac:dyDescent="0.2">
      <c r="A6158">
        <v>31312</v>
      </c>
      <c r="B6158" t="s">
        <v>16</v>
      </c>
      <c r="C6158">
        <v>31312</v>
      </c>
      <c r="D6158" t="str">
        <f>"31312"</f>
        <v>31312</v>
      </c>
      <c r="E6158">
        <v>73.930000000000007</v>
      </c>
    </row>
    <row r="6159" spans="1:5" x14ac:dyDescent="0.2">
      <c r="A6159">
        <v>31313</v>
      </c>
      <c r="B6159" t="s">
        <v>16</v>
      </c>
      <c r="C6159">
        <v>31313</v>
      </c>
      <c r="D6159" t="str">
        <f>"31313"</f>
        <v>31313</v>
      </c>
      <c r="E6159">
        <v>59.94</v>
      </c>
    </row>
    <row r="6160" spans="1:5" x14ac:dyDescent="0.2">
      <c r="A6160">
        <v>31314</v>
      </c>
      <c r="B6160" t="s">
        <v>16</v>
      </c>
      <c r="C6160">
        <v>31314</v>
      </c>
      <c r="D6160" t="str">
        <f>"31314"</f>
        <v>31314</v>
      </c>
      <c r="E6160">
        <v>90.8</v>
      </c>
    </row>
    <row r="6161" spans="1:5" x14ac:dyDescent="0.2">
      <c r="A6161">
        <v>31315</v>
      </c>
      <c r="B6161" t="s">
        <v>16</v>
      </c>
      <c r="C6161">
        <v>31315</v>
      </c>
      <c r="D6161" t="str">
        <f>"31315"</f>
        <v>31315</v>
      </c>
      <c r="E6161">
        <v>50.72</v>
      </c>
    </row>
    <row r="6162" spans="1:5" x14ac:dyDescent="0.2">
      <c r="A6162">
        <v>31316</v>
      </c>
      <c r="B6162" t="s">
        <v>16</v>
      </c>
      <c r="C6162">
        <v>31316</v>
      </c>
      <c r="D6162" t="str">
        <f>"31316"</f>
        <v>31316</v>
      </c>
      <c r="E6162">
        <v>58.72</v>
      </c>
    </row>
    <row r="6163" spans="1:5" x14ac:dyDescent="0.2">
      <c r="A6163">
        <v>31318</v>
      </c>
      <c r="B6163" t="s">
        <v>16</v>
      </c>
      <c r="C6163">
        <v>31318</v>
      </c>
      <c r="D6163" t="str">
        <f>"31318"</f>
        <v>31318</v>
      </c>
      <c r="E6163" t="s">
        <v>6</v>
      </c>
    </row>
    <row r="6164" spans="1:5" x14ac:dyDescent="0.2">
      <c r="A6164">
        <v>31320</v>
      </c>
      <c r="B6164" t="s">
        <v>16</v>
      </c>
      <c r="C6164">
        <v>31320</v>
      </c>
      <c r="D6164" t="str">
        <f>"31320"</f>
        <v>31320</v>
      </c>
      <c r="E6164">
        <v>66.67</v>
      </c>
    </row>
    <row r="6165" spans="1:5" x14ac:dyDescent="0.2">
      <c r="A6165">
        <v>31321</v>
      </c>
      <c r="B6165" t="s">
        <v>16</v>
      </c>
      <c r="C6165">
        <v>31321</v>
      </c>
      <c r="D6165" t="str">
        <f>"31321"</f>
        <v>31321</v>
      </c>
      <c r="E6165">
        <v>66.319999999999993</v>
      </c>
    </row>
    <row r="6166" spans="1:5" x14ac:dyDescent="0.2">
      <c r="A6166">
        <v>31322</v>
      </c>
      <c r="B6166" t="s">
        <v>16</v>
      </c>
      <c r="C6166">
        <v>31322</v>
      </c>
      <c r="D6166" t="str">
        <f>"31322"</f>
        <v>31322</v>
      </c>
      <c r="E6166">
        <v>74.81</v>
      </c>
    </row>
    <row r="6167" spans="1:5" x14ac:dyDescent="0.2">
      <c r="A6167">
        <v>31323</v>
      </c>
      <c r="B6167" t="s">
        <v>16</v>
      </c>
      <c r="C6167">
        <v>31323</v>
      </c>
      <c r="D6167" t="str">
        <f>"31323"</f>
        <v>31323</v>
      </c>
      <c r="E6167">
        <v>60</v>
      </c>
    </row>
    <row r="6168" spans="1:5" x14ac:dyDescent="0.2">
      <c r="A6168">
        <v>31324</v>
      </c>
      <c r="B6168" t="s">
        <v>16</v>
      </c>
      <c r="C6168">
        <v>31324</v>
      </c>
      <c r="D6168" t="str">
        <f>"31324"</f>
        <v>31324</v>
      </c>
      <c r="E6168">
        <v>74.78</v>
      </c>
    </row>
    <row r="6169" spans="1:5" x14ac:dyDescent="0.2">
      <c r="A6169">
        <v>31326</v>
      </c>
      <c r="B6169" t="s">
        <v>16</v>
      </c>
      <c r="C6169">
        <v>31326</v>
      </c>
      <c r="D6169" t="str">
        <f>"31326"</f>
        <v>31326</v>
      </c>
      <c r="E6169">
        <v>72.39</v>
      </c>
    </row>
    <row r="6170" spans="1:5" x14ac:dyDescent="0.2">
      <c r="A6170">
        <v>31327</v>
      </c>
      <c r="B6170" t="s">
        <v>16</v>
      </c>
      <c r="C6170">
        <v>31327</v>
      </c>
      <c r="D6170" t="str">
        <f>"31327"</f>
        <v>31327</v>
      </c>
      <c r="E6170" t="s">
        <v>6</v>
      </c>
    </row>
    <row r="6171" spans="1:5" x14ac:dyDescent="0.2">
      <c r="A6171">
        <v>31328</v>
      </c>
      <c r="B6171" t="s">
        <v>16</v>
      </c>
      <c r="C6171">
        <v>31328</v>
      </c>
      <c r="D6171" t="str">
        <f>"31328"</f>
        <v>31328</v>
      </c>
      <c r="E6171">
        <v>78.790000000000006</v>
      </c>
    </row>
    <row r="6172" spans="1:5" x14ac:dyDescent="0.2">
      <c r="A6172">
        <v>31329</v>
      </c>
      <c r="B6172" t="s">
        <v>16</v>
      </c>
      <c r="C6172">
        <v>31329</v>
      </c>
      <c r="D6172" t="str">
        <f>"31329"</f>
        <v>31329</v>
      </c>
      <c r="E6172">
        <v>68.23</v>
      </c>
    </row>
    <row r="6173" spans="1:5" x14ac:dyDescent="0.2">
      <c r="A6173">
        <v>31331</v>
      </c>
      <c r="B6173" t="s">
        <v>16</v>
      </c>
      <c r="C6173">
        <v>31331</v>
      </c>
      <c r="D6173" t="str">
        <f>"31331"</f>
        <v>31331</v>
      </c>
      <c r="E6173">
        <v>63.76</v>
      </c>
    </row>
    <row r="6174" spans="1:5" x14ac:dyDescent="0.2">
      <c r="A6174">
        <v>31401</v>
      </c>
      <c r="B6174" t="s">
        <v>16</v>
      </c>
      <c r="C6174">
        <v>31401</v>
      </c>
      <c r="D6174" t="str">
        <f>"31401"</f>
        <v>31401</v>
      </c>
      <c r="E6174">
        <v>63.2</v>
      </c>
    </row>
    <row r="6175" spans="1:5" x14ac:dyDescent="0.2">
      <c r="A6175">
        <v>31404</v>
      </c>
      <c r="B6175" t="s">
        <v>16</v>
      </c>
      <c r="C6175">
        <v>31404</v>
      </c>
      <c r="D6175" t="str">
        <f>"31404"</f>
        <v>31404</v>
      </c>
      <c r="E6175">
        <v>54.33</v>
      </c>
    </row>
    <row r="6176" spans="1:5" x14ac:dyDescent="0.2">
      <c r="A6176">
        <v>31405</v>
      </c>
      <c r="B6176" t="s">
        <v>16</v>
      </c>
      <c r="C6176">
        <v>31405</v>
      </c>
      <c r="D6176" t="str">
        <f>"31405"</f>
        <v>31405</v>
      </c>
      <c r="E6176">
        <v>64.62</v>
      </c>
    </row>
    <row r="6177" spans="1:5" x14ac:dyDescent="0.2">
      <c r="A6177">
        <v>31406</v>
      </c>
      <c r="B6177" t="s">
        <v>16</v>
      </c>
      <c r="C6177">
        <v>31406</v>
      </c>
      <c r="D6177" t="str">
        <f>"31406"</f>
        <v>31406</v>
      </c>
      <c r="E6177">
        <v>67.88</v>
      </c>
    </row>
    <row r="6178" spans="1:5" x14ac:dyDescent="0.2">
      <c r="A6178">
        <v>31407</v>
      </c>
      <c r="B6178" t="s">
        <v>16</v>
      </c>
      <c r="C6178">
        <v>31407</v>
      </c>
      <c r="D6178" t="str">
        <f>"31407"</f>
        <v>31407</v>
      </c>
      <c r="E6178">
        <v>71.180000000000007</v>
      </c>
    </row>
    <row r="6179" spans="1:5" x14ac:dyDescent="0.2">
      <c r="A6179">
        <v>31408</v>
      </c>
      <c r="B6179" t="s">
        <v>16</v>
      </c>
      <c r="C6179">
        <v>31408</v>
      </c>
      <c r="D6179" t="str">
        <f>"31408"</f>
        <v>31408</v>
      </c>
      <c r="E6179">
        <v>54.36</v>
      </c>
    </row>
    <row r="6180" spans="1:5" x14ac:dyDescent="0.2">
      <c r="A6180">
        <v>31409</v>
      </c>
      <c r="B6180" t="s">
        <v>16</v>
      </c>
      <c r="C6180">
        <v>31409</v>
      </c>
      <c r="D6180" t="str">
        <f>"31409"</f>
        <v>31409</v>
      </c>
      <c r="E6180" t="s">
        <v>6</v>
      </c>
    </row>
    <row r="6181" spans="1:5" x14ac:dyDescent="0.2">
      <c r="A6181">
        <v>31410</v>
      </c>
      <c r="B6181" t="s">
        <v>16</v>
      </c>
      <c r="C6181">
        <v>31410</v>
      </c>
      <c r="D6181" t="str">
        <f>"31410"</f>
        <v>31410</v>
      </c>
      <c r="E6181">
        <v>79.44</v>
      </c>
    </row>
    <row r="6182" spans="1:5" x14ac:dyDescent="0.2">
      <c r="A6182">
        <v>31411</v>
      </c>
      <c r="B6182" t="s">
        <v>16</v>
      </c>
      <c r="C6182">
        <v>31411</v>
      </c>
      <c r="D6182" t="str">
        <f>"31411"</f>
        <v>31411</v>
      </c>
      <c r="E6182">
        <v>86.03</v>
      </c>
    </row>
    <row r="6183" spans="1:5" x14ac:dyDescent="0.2">
      <c r="A6183">
        <v>31415</v>
      </c>
      <c r="B6183" t="s">
        <v>16</v>
      </c>
      <c r="C6183">
        <v>31415</v>
      </c>
      <c r="D6183" t="str">
        <f>"31415"</f>
        <v>31415</v>
      </c>
      <c r="E6183">
        <v>43.13</v>
      </c>
    </row>
    <row r="6184" spans="1:5" x14ac:dyDescent="0.2">
      <c r="A6184">
        <v>31419</v>
      </c>
      <c r="B6184" t="s">
        <v>16</v>
      </c>
      <c r="C6184">
        <v>31419</v>
      </c>
      <c r="D6184" t="str">
        <f>"31419"</f>
        <v>31419</v>
      </c>
      <c r="E6184">
        <v>67.25</v>
      </c>
    </row>
    <row r="6185" spans="1:5" x14ac:dyDescent="0.2">
      <c r="A6185">
        <v>31421</v>
      </c>
      <c r="B6185" t="s">
        <v>16</v>
      </c>
      <c r="C6185">
        <v>31421</v>
      </c>
      <c r="D6185" t="str">
        <f>"31421"</f>
        <v>31421</v>
      </c>
      <c r="E6185" t="s">
        <v>6</v>
      </c>
    </row>
    <row r="6186" spans="1:5" x14ac:dyDescent="0.2">
      <c r="A6186">
        <v>31501</v>
      </c>
      <c r="B6186" t="s">
        <v>16</v>
      </c>
      <c r="C6186">
        <v>31501</v>
      </c>
      <c r="D6186" t="str">
        <f>"31501"</f>
        <v>31501</v>
      </c>
      <c r="E6186">
        <v>54.89</v>
      </c>
    </row>
    <row r="6187" spans="1:5" x14ac:dyDescent="0.2">
      <c r="A6187">
        <v>31503</v>
      </c>
      <c r="B6187" t="s">
        <v>16</v>
      </c>
      <c r="C6187">
        <v>31503</v>
      </c>
      <c r="D6187" t="str">
        <f>"31503"</f>
        <v>31503</v>
      </c>
      <c r="E6187">
        <v>59.34</v>
      </c>
    </row>
    <row r="6188" spans="1:5" x14ac:dyDescent="0.2">
      <c r="A6188">
        <v>31510</v>
      </c>
      <c r="B6188" t="s">
        <v>16</v>
      </c>
      <c r="C6188">
        <v>31510</v>
      </c>
      <c r="D6188" t="str">
        <f>"31510"</f>
        <v>31510</v>
      </c>
      <c r="E6188">
        <v>57.49</v>
      </c>
    </row>
    <row r="6189" spans="1:5" x14ac:dyDescent="0.2">
      <c r="A6189">
        <v>31512</v>
      </c>
      <c r="B6189" t="s">
        <v>16</v>
      </c>
      <c r="C6189">
        <v>31512</v>
      </c>
      <c r="D6189" t="str">
        <f>"31512"</f>
        <v>31512</v>
      </c>
      <c r="E6189">
        <v>56.94</v>
      </c>
    </row>
    <row r="6190" spans="1:5" x14ac:dyDescent="0.2">
      <c r="A6190">
        <v>31513</v>
      </c>
      <c r="B6190" t="s">
        <v>16</v>
      </c>
      <c r="C6190">
        <v>31513</v>
      </c>
      <c r="D6190" t="str">
        <f>"31513"</f>
        <v>31513</v>
      </c>
      <c r="E6190">
        <v>58.76</v>
      </c>
    </row>
    <row r="6191" spans="1:5" x14ac:dyDescent="0.2">
      <c r="A6191">
        <v>31516</v>
      </c>
      <c r="B6191" t="s">
        <v>16</v>
      </c>
      <c r="C6191">
        <v>31516</v>
      </c>
      <c r="D6191" t="str">
        <f>"31516"</f>
        <v>31516</v>
      </c>
      <c r="E6191">
        <v>62.77</v>
      </c>
    </row>
    <row r="6192" spans="1:5" x14ac:dyDescent="0.2">
      <c r="A6192">
        <v>31518</v>
      </c>
      <c r="B6192" t="s">
        <v>16</v>
      </c>
      <c r="C6192">
        <v>31518</v>
      </c>
      <c r="D6192" t="str">
        <f>"31518"</f>
        <v>31518</v>
      </c>
      <c r="E6192">
        <v>59.26</v>
      </c>
    </row>
    <row r="6193" spans="1:5" x14ac:dyDescent="0.2">
      <c r="A6193">
        <v>31519</v>
      </c>
      <c r="B6193" t="s">
        <v>16</v>
      </c>
      <c r="C6193">
        <v>31519</v>
      </c>
      <c r="D6193" t="str">
        <f>"31519"</f>
        <v>31519</v>
      </c>
      <c r="E6193">
        <v>58.16</v>
      </c>
    </row>
    <row r="6194" spans="1:5" x14ac:dyDescent="0.2">
      <c r="A6194">
        <v>31520</v>
      </c>
      <c r="B6194" t="s">
        <v>16</v>
      </c>
      <c r="C6194">
        <v>31520</v>
      </c>
      <c r="D6194" t="str">
        <f>"31520"</f>
        <v>31520</v>
      </c>
      <c r="E6194">
        <v>50.42</v>
      </c>
    </row>
    <row r="6195" spans="1:5" x14ac:dyDescent="0.2">
      <c r="A6195">
        <v>31522</v>
      </c>
      <c r="B6195" t="s">
        <v>16</v>
      </c>
      <c r="C6195">
        <v>31522</v>
      </c>
      <c r="D6195" t="str">
        <f>"31522"</f>
        <v>31522</v>
      </c>
      <c r="E6195">
        <v>80.14</v>
      </c>
    </row>
    <row r="6196" spans="1:5" x14ac:dyDescent="0.2">
      <c r="A6196">
        <v>31523</v>
      </c>
      <c r="B6196" t="s">
        <v>16</v>
      </c>
      <c r="C6196">
        <v>31523</v>
      </c>
      <c r="D6196" t="str">
        <f>"31523"</f>
        <v>31523</v>
      </c>
      <c r="E6196">
        <v>70.75</v>
      </c>
    </row>
    <row r="6197" spans="1:5" x14ac:dyDescent="0.2">
      <c r="A6197">
        <v>31524</v>
      </c>
      <c r="B6197" t="s">
        <v>16</v>
      </c>
      <c r="C6197">
        <v>31524</v>
      </c>
      <c r="D6197" t="str">
        <f>"31524"</f>
        <v>31524</v>
      </c>
      <c r="E6197" t="s">
        <v>6</v>
      </c>
    </row>
    <row r="6198" spans="1:5" x14ac:dyDescent="0.2">
      <c r="A6198">
        <v>31525</v>
      </c>
      <c r="B6198" t="s">
        <v>16</v>
      </c>
      <c r="C6198">
        <v>31525</v>
      </c>
      <c r="D6198" t="str">
        <f>"31525"</f>
        <v>31525</v>
      </c>
      <c r="E6198">
        <v>65.38</v>
      </c>
    </row>
    <row r="6199" spans="1:5" x14ac:dyDescent="0.2">
      <c r="A6199">
        <v>31527</v>
      </c>
      <c r="B6199" t="s">
        <v>16</v>
      </c>
      <c r="C6199">
        <v>31527</v>
      </c>
      <c r="D6199" t="str">
        <f>"31527"</f>
        <v>31527</v>
      </c>
      <c r="E6199">
        <v>84.09</v>
      </c>
    </row>
    <row r="6200" spans="1:5" x14ac:dyDescent="0.2">
      <c r="A6200">
        <v>31532</v>
      </c>
      <c r="B6200" t="s">
        <v>16</v>
      </c>
      <c r="C6200">
        <v>31532</v>
      </c>
      <c r="D6200" t="str">
        <f>"31532"</f>
        <v>31532</v>
      </c>
      <c r="E6200">
        <v>63.64</v>
      </c>
    </row>
    <row r="6201" spans="1:5" x14ac:dyDescent="0.2">
      <c r="A6201">
        <v>31533</v>
      </c>
      <c r="B6201" t="s">
        <v>16</v>
      </c>
      <c r="C6201">
        <v>31533</v>
      </c>
      <c r="D6201" t="str">
        <f>"31533"</f>
        <v>31533</v>
      </c>
      <c r="E6201">
        <v>49.32</v>
      </c>
    </row>
    <row r="6202" spans="1:5" x14ac:dyDescent="0.2">
      <c r="A6202">
        <v>31535</v>
      </c>
      <c r="B6202" t="s">
        <v>16</v>
      </c>
      <c r="C6202">
        <v>31535</v>
      </c>
      <c r="D6202" t="str">
        <f>"31535"</f>
        <v>31535</v>
      </c>
      <c r="E6202">
        <v>54.34</v>
      </c>
    </row>
    <row r="6203" spans="1:5" x14ac:dyDescent="0.2">
      <c r="A6203">
        <v>31537</v>
      </c>
      <c r="B6203" t="s">
        <v>16</v>
      </c>
      <c r="C6203">
        <v>31537</v>
      </c>
      <c r="D6203" t="str">
        <f>"31537"</f>
        <v>31537</v>
      </c>
      <c r="E6203">
        <v>59</v>
      </c>
    </row>
    <row r="6204" spans="1:5" x14ac:dyDescent="0.2">
      <c r="A6204">
        <v>31539</v>
      </c>
      <c r="B6204" t="s">
        <v>16</v>
      </c>
      <c r="C6204">
        <v>31539</v>
      </c>
      <c r="D6204" t="str">
        <f>"31539"</f>
        <v>31539</v>
      </c>
      <c r="E6204">
        <v>54.21</v>
      </c>
    </row>
    <row r="6205" spans="1:5" x14ac:dyDescent="0.2">
      <c r="A6205">
        <v>31542</v>
      </c>
      <c r="B6205" t="s">
        <v>16</v>
      </c>
      <c r="C6205">
        <v>31542</v>
      </c>
      <c r="D6205" t="str">
        <f>"31542"</f>
        <v>31542</v>
      </c>
      <c r="E6205">
        <v>65.66</v>
      </c>
    </row>
    <row r="6206" spans="1:5" x14ac:dyDescent="0.2">
      <c r="A6206">
        <v>31543</v>
      </c>
      <c r="B6206" t="s">
        <v>16</v>
      </c>
      <c r="C6206">
        <v>31543</v>
      </c>
      <c r="D6206" t="str">
        <f>"31543"</f>
        <v>31543</v>
      </c>
      <c r="E6206">
        <v>58.76</v>
      </c>
    </row>
    <row r="6207" spans="1:5" x14ac:dyDescent="0.2">
      <c r="A6207">
        <v>31544</v>
      </c>
      <c r="B6207" t="s">
        <v>16</v>
      </c>
      <c r="C6207">
        <v>31544</v>
      </c>
      <c r="D6207" t="str">
        <f>"31544"</f>
        <v>31544</v>
      </c>
      <c r="E6207">
        <v>58.33</v>
      </c>
    </row>
    <row r="6208" spans="1:5" x14ac:dyDescent="0.2">
      <c r="A6208">
        <v>31545</v>
      </c>
      <c r="B6208" t="s">
        <v>16</v>
      </c>
      <c r="C6208">
        <v>31545</v>
      </c>
      <c r="D6208" t="str">
        <f>"31545"</f>
        <v>31545</v>
      </c>
      <c r="E6208">
        <v>56.9</v>
      </c>
    </row>
    <row r="6209" spans="1:5" x14ac:dyDescent="0.2">
      <c r="A6209">
        <v>31546</v>
      </c>
      <c r="B6209" t="s">
        <v>16</v>
      </c>
      <c r="C6209">
        <v>31546</v>
      </c>
      <c r="D6209" t="str">
        <f>"31546"</f>
        <v>31546</v>
      </c>
      <c r="E6209">
        <v>62.71</v>
      </c>
    </row>
    <row r="6210" spans="1:5" x14ac:dyDescent="0.2">
      <c r="A6210">
        <v>31547</v>
      </c>
      <c r="B6210" t="s">
        <v>16</v>
      </c>
      <c r="C6210">
        <v>31547</v>
      </c>
      <c r="D6210" t="str">
        <f>"31547"</f>
        <v>31547</v>
      </c>
      <c r="E6210" t="s">
        <v>6</v>
      </c>
    </row>
    <row r="6211" spans="1:5" x14ac:dyDescent="0.2">
      <c r="A6211">
        <v>31548</v>
      </c>
      <c r="B6211" t="s">
        <v>16</v>
      </c>
      <c r="C6211">
        <v>31548</v>
      </c>
      <c r="D6211" t="str">
        <f>"31548"</f>
        <v>31548</v>
      </c>
      <c r="E6211">
        <v>65.34</v>
      </c>
    </row>
    <row r="6212" spans="1:5" x14ac:dyDescent="0.2">
      <c r="A6212">
        <v>31549</v>
      </c>
      <c r="B6212" t="s">
        <v>16</v>
      </c>
      <c r="C6212">
        <v>31549</v>
      </c>
      <c r="D6212" t="str">
        <f>"31549"</f>
        <v>31549</v>
      </c>
      <c r="E6212">
        <v>50</v>
      </c>
    </row>
    <row r="6213" spans="1:5" x14ac:dyDescent="0.2">
      <c r="A6213">
        <v>31550</v>
      </c>
      <c r="B6213" t="s">
        <v>16</v>
      </c>
      <c r="C6213">
        <v>31550</v>
      </c>
      <c r="D6213" t="str">
        <f>"31550"</f>
        <v>31550</v>
      </c>
      <c r="E6213">
        <v>64.52</v>
      </c>
    </row>
    <row r="6214" spans="1:5" x14ac:dyDescent="0.2">
      <c r="A6214">
        <v>31551</v>
      </c>
      <c r="B6214" t="s">
        <v>16</v>
      </c>
      <c r="C6214">
        <v>31551</v>
      </c>
      <c r="D6214" t="str">
        <f>"31551"</f>
        <v>31551</v>
      </c>
      <c r="E6214">
        <v>64.709999999999994</v>
      </c>
    </row>
    <row r="6215" spans="1:5" x14ac:dyDescent="0.2">
      <c r="A6215">
        <v>31552</v>
      </c>
      <c r="B6215" t="s">
        <v>16</v>
      </c>
      <c r="C6215">
        <v>31552</v>
      </c>
      <c r="D6215" t="str">
        <f>"31552"</f>
        <v>31552</v>
      </c>
      <c r="E6215">
        <v>68.42</v>
      </c>
    </row>
    <row r="6216" spans="1:5" x14ac:dyDescent="0.2">
      <c r="A6216">
        <v>31553</v>
      </c>
      <c r="B6216" t="s">
        <v>16</v>
      </c>
      <c r="C6216">
        <v>31553</v>
      </c>
      <c r="D6216" t="str">
        <f>"31553"</f>
        <v>31553</v>
      </c>
      <c r="E6216">
        <v>60</v>
      </c>
    </row>
    <row r="6217" spans="1:5" x14ac:dyDescent="0.2">
      <c r="A6217">
        <v>31554</v>
      </c>
      <c r="B6217" t="s">
        <v>16</v>
      </c>
      <c r="C6217">
        <v>31554</v>
      </c>
      <c r="D6217" t="str">
        <f>"31554"</f>
        <v>31554</v>
      </c>
      <c r="E6217">
        <v>54.92</v>
      </c>
    </row>
    <row r="6218" spans="1:5" x14ac:dyDescent="0.2">
      <c r="A6218">
        <v>31555</v>
      </c>
      <c r="B6218" t="s">
        <v>16</v>
      </c>
      <c r="C6218">
        <v>31555</v>
      </c>
      <c r="D6218" t="str">
        <f>"31555"</f>
        <v>31555</v>
      </c>
      <c r="E6218">
        <v>65.52</v>
      </c>
    </row>
    <row r="6219" spans="1:5" x14ac:dyDescent="0.2">
      <c r="A6219">
        <v>31557</v>
      </c>
      <c r="B6219" t="s">
        <v>16</v>
      </c>
      <c r="C6219">
        <v>31557</v>
      </c>
      <c r="D6219" t="str">
        <f>"31557"</f>
        <v>31557</v>
      </c>
      <c r="E6219">
        <v>62.18</v>
      </c>
    </row>
    <row r="6220" spans="1:5" x14ac:dyDescent="0.2">
      <c r="A6220">
        <v>31558</v>
      </c>
      <c r="B6220" t="s">
        <v>16</v>
      </c>
      <c r="C6220">
        <v>31558</v>
      </c>
      <c r="D6220" t="str">
        <f>"31558"</f>
        <v>31558</v>
      </c>
      <c r="E6220">
        <v>68.81</v>
      </c>
    </row>
    <row r="6221" spans="1:5" x14ac:dyDescent="0.2">
      <c r="A6221">
        <v>31560</v>
      </c>
      <c r="B6221" t="s">
        <v>16</v>
      </c>
      <c r="C6221">
        <v>31560</v>
      </c>
      <c r="D6221" t="str">
        <f>"31560"</f>
        <v>31560</v>
      </c>
      <c r="E6221">
        <v>64.650000000000006</v>
      </c>
    </row>
    <row r="6222" spans="1:5" x14ac:dyDescent="0.2">
      <c r="A6222">
        <v>31561</v>
      </c>
      <c r="B6222" t="s">
        <v>16</v>
      </c>
      <c r="C6222">
        <v>31561</v>
      </c>
      <c r="D6222" t="str">
        <f>"31561"</f>
        <v>31561</v>
      </c>
      <c r="E6222" t="s">
        <v>6</v>
      </c>
    </row>
    <row r="6223" spans="1:5" x14ac:dyDescent="0.2">
      <c r="A6223">
        <v>31562</v>
      </c>
      <c r="B6223" t="s">
        <v>16</v>
      </c>
      <c r="C6223">
        <v>31562</v>
      </c>
      <c r="D6223" t="str">
        <f>"31562"</f>
        <v>31562</v>
      </c>
      <c r="E6223">
        <v>65.569999999999993</v>
      </c>
    </row>
    <row r="6224" spans="1:5" x14ac:dyDescent="0.2">
      <c r="A6224">
        <v>31563</v>
      </c>
      <c r="B6224" t="s">
        <v>16</v>
      </c>
      <c r="C6224">
        <v>31563</v>
      </c>
      <c r="D6224" t="str">
        <f>"31563"</f>
        <v>31563</v>
      </c>
      <c r="E6224">
        <v>64</v>
      </c>
    </row>
    <row r="6225" spans="1:5" x14ac:dyDescent="0.2">
      <c r="A6225">
        <v>31565</v>
      </c>
      <c r="B6225" t="s">
        <v>16</v>
      </c>
      <c r="C6225">
        <v>31565</v>
      </c>
      <c r="D6225" t="str">
        <f>"31565"</f>
        <v>31565</v>
      </c>
      <c r="E6225">
        <v>70.209999999999994</v>
      </c>
    </row>
    <row r="6226" spans="1:5" x14ac:dyDescent="0.2">
      <c r="A6226">
        <v>31566</v>
      </c>
      <c r="B6226" t="s">
        <v>16</v>
      </c>
      <c r="C6226">
        <v>31566</v>
      </c>
      <c r="D6226" t="str">
        <f>"31566"</f>
        <v>31566</v>
      </c>
      <c r="E6226">
        <v>59.68</v>
      </c>
    </row>
    <row r="6227" spans="1:5" x14ac:dyDescent="0.2">
      <c r="A6227">
        <v>31567</v>
      </c>
      <c r="B6227" t="s">
        <v>16</v>
      </c>
      <c r="C6227">
        <v>31567</v>
      </c>
      <c r="D6227" t="str">
        <f>"31567"</f>
        <v>31567</v>
      </c>
      <c r="E6227">
        <v>55.17</v>
      </c>
    </row>
    <row r="6228" spans="1:5" x14ac:dyDescent="0.2">
      <c r="A6228">
        <v>31568</v>
      </c>
      <c r="B6228" t="s">
        <v>16</v>
      </c>
      <c r="C6228">
        <v>31568</v>
      </c>
      <c r="D6228" t="str">
        <f>"31568"</f>
        <v>31568</v>
      </c>
      <c r="E6228">
        <v>68.290000000000006</v>
      </c>
    </row>
    <row r="6229" spans="1:5" x14ac:dyDescent="0.2">
      <c r="A6229">
        <v>31569</v>
      </c>
      <c r="B6229" t="s">
        <v>16</v>
      </c>
      <c r="C6229">
        <v>31569</v>
      </c>
      <c r="D6229" t="str">
        <f>"31569"</f>
        <v>31569</v>
      </c>
      <c r="E6229">
        <v>70.61</v>
      </c>
    </row>
    <row r="6230" spans="1:5" x14ac:dyDescent="0.2">
      <c r="A6230">
        <v>31601</v>
      </c>
      <c r="B6230" t="s">
        <v>16</v>
      </c>
      <c r="C6230">
        <v>31601</v>
      </c>
      <c r="D6230" t="str">
        <f>"31601"</f>
        <v>31601</v>
      </c>
      <c r="E6230">
        <v>47.09</v>
      </c>
    </row>
    <row r="6231" spans="1:5" x14ac:dyDescent="0.2">
      <c r="A6231">
        <v>31602</v>
      </c>
      <c r="B6231" t="s">
        <v>16</v>
      </c>
      <c r="C6231">
        <v>31602</v>
      </c>
      <c r="D6231" t="str">
        <f>"31602"</f>
        <v>31602</v>
      </c>
      <c r="E6231">
        <v>60.29</v>
      </c>
    </row>
    <row r="6232" spans="1:5" x14ac:dyDescent="0.2">
      <c r="A6232">
        <v>31605</v>
      </c>
      <c r="B6232" t="s">
        <v>16</v>
      </c>
      <c r="C6232">
        <v>31605</v>
      </c>
      <c r="D6232" t="str">
        <f>"31605"</f>
        <v>31605</v>
      </c>
      <c r="E6232">
        <v>67.09</v>
      </c>
    </row>
    <row r="6233" spans="1:5" x14ac:dyDescent="0.2">
      <c r="A6233">
        <v>31606</v>
      </c>
      <c r="B6233" t="s">
        <v>16</v>
      </c>
      <c r="C6233">
        <v>31606</v>
      </c>
      <c r="D6233" t="str">
        <f>"31606"</f>
        <v>31606</v>
      </c>
      <c r="E6233">
        <v>64.52</v>
      </c>
    </row>
    <row r="6234" spans="1:5" x14ac:dyDescent="0.2">
      <c r="A6234">
        <v>31620</v>
      </c>
      <c r="B6234" t="s">
        <v>16</v>
      </c>
      <c r="C6234">
        <v>31620</v>
      </c>
      <c r="D6234" t="str">
        <f>"31620"</f>
        <v>31620</v>
      </c>
      <c r="E6234">
        <v>56.68</v>
      </c>
    </row>
    <row r="6235" spans="1:5" x14ac:dyDescent="0.2">
      <c r="A6235">
        <v>31622</v>
      </c>
      <c r="B6235" t="s">
        <v>16</v>
      </c>
      <c r="C6235">
        <v>31622</v>
      </c>
      <c r="D6235" t="str">
        <f>"31622"</f>
        <v>31622</v>
      </c>
      <c r="E6235">
        <v>59.15</v>
      </c>
    </row>
    <row r="6236" spans="1:5" x14ac:dyDescent="0.2">
      <c r="A6236">
        <v>31623</v>
      </c>
      <c r="B6236" t="s">
        <v>16</v>
      </c>
      <c r="C6236">
        <v>31623</v>
      </c>
      <c r="D6236" t="str">
        <f>"31623"</f>
        <v>31623</v>
      </c>
      <c r="E6236" t="s">
        <v>6</v>
      </c>
    </row>
    <row r="6237" spans="1:5" x14ac:dyDescent="0.2">
      <c r="A6237">
        <v>31624</v>
      </c>
      <c r="B6237" t="s">
        <v>16</v>
      </c>
      <c r="C6237">
        <v>31624</v>
      </c>
      <c r="D6237" t="str">
        <f>"31624"</f>
        <v>31624</v>
      </c>
      <c r="E6237">
        <v>54</v>
      </c>
    </row>
    <row r="6238" spans="1:5" x14ac:dyDescent="0.2">
      <c r="A6238">
        <v>31625</v>
      </c>
      <c r="B6238" t="s">
        <v>16</v>
      </c>
      <c r="C6238">
        <v>31625</v>
      </c>
      <c r="D6238" t="str">
        <f>"31625"</f>
        <v>31625</v>
      </c>
      <c r="E6238">
        <v>60.47</v>
      </c>
    </row>
    <row r="6239" spans="1:5" x14ac:dyDescent="0.2">
      <c r="A6239">
        <v>31626</v>
      </c>
      <c r="B6239" t="s">
        <v>16</v>
      </c>
      <c r="C6239">
        <v>31626</v>
      </c>
      <c r="D6239" t="str">
        <f>"31626"</f>
        <v>31626</v>
      </c>
      <c r="E6239">
        <v>62.12</v>
      </c>
    </row>
    <row r="6240" spans="1:5" x14ac:dyDescent="0.2">
      <c r="A6240">
        <v>31627</v>
      </c>
      <c r="B6240" t="s">
        <v>16</v>
      </c>
      <c r="C6240">
        <v>31627</v>
      </c>
      <c r="D6240" t="str">
        <f>"31627"</f>
        <v>31627</v>
      </c>
      <c r="E6240" t="s">
        <v>6</v>
      </c>
    </row>
    <row r="6241" spans="1:5" x14ac:dyDescent="0.2">
      <c r="A6241">
        <v>31629</v>
      </c>
      <c r="B6241" t="s">
        <v>16</v>
      </c>
      <c r="C6241">
        <v>31629</v>
      </c>
      <c r="D6241" t="str">
        <f>"31629"</f>
        <v>31629</v>
      </c>
      <c r="E6241">
        <v>60</v>
      </c>
    </row>
    <row r="6242" spans="1:5" x14ac:dyDescent="0.2">
      <c r="A6242">
        <v>31630</v>
      </c>
      <c r="B6242" t="s">
        <v>16</v>
      </c>
      <c r="C6242">
        <v>31630</v>
      </c>
      <c r="D6242" t="str">
        <f>"31630"</f>
        <v>31630</v>
      </c>
      <c r="E6242">
        <v>52.94</v>
      </c>
    </row>
    <row r="6243" spans="1:5" x14ac:dyDescent="0.2">
      <c r="A6243">
        <v>31631</v>
      </c>
      <c r="B6243" t="s">
        <v>16</v>
      </c>
      <c r="C6243">
        <v>31631</v>
      </c>
      <c r="D6243" t="str">
        <f>"31631"</f>
        <v>31631</v>
      </c>
      <c r="E6243">
        <v>66.67</v>
      </c>
    </row>
    <row r="6244" spans="1:5" x14ac:dyDescent="0.2">
      <c r="A6244">
        <v>31632</v>
      </c>
      <c r="B6244" t="s">
        <v>16</v>
      </c>
      <c r="C6244">
        <v>31632</v>
      </c>
      <c r="D6244" t="str">
        <f>"31632"</f>
        <v>31632</v>
      </c>
      <c r="E6244">
        <v>69.83</v>
      </c>
    </row>
    <row r="6245" spans="1:5" x14ac:dyDescent="0.2">
      <c r="A6245">
        <v>31634</v>
      </c>
      <c r="B6245" t="s">
        <v>16</v>
      </c>
      <c r="C6245">
        <v>31634</v>
      </c>
      <c r="D6245" t="str">
        <f>"31634"</f>
        <v>31634</v>
      </c>
      <c r="E6245">
        <v>53</v>
      </c>
    </row>
    <row r="6246" spans="1:5" x14ac:dyDescent="0.2">
      <c r="A6246">
        <v>31635</v>
      </c>
      <c r="B6246" t="s">
        <v>16</v>
      </c>
      <c r="C6246">
        <v>31635</v>
      </c>
      <c r="D6246" t="str">
        <f>"31635"</f>
        <v>31635</v>
      </c>
      <c r="E6246">
        <v>56.36</v>
      </c>
    </row>
    <row r="6247" spans="1:5" x14ac:dyDescent="0.2">
      <c r="A6247">
        <v>31636</v>
      </c>
      <c r="B6247" t="s">
        <v>16</v>
      </c>
      <c r="C6247">
        <v>31636</v>
      </c>
      <c r="D6247" t="str">
        <f>"31636"</f>
        <v>31636</v>
      </c>
      <c r="E6247">
        <v>64.27</v>
      </c>
    </row>
    <row r="6248" spans="1:5" x14ac:dyDescent="0.2">
      <c r="A6248">
        <v>31637</v>
      </c>
      <c r="B6248" t="s">
        <v>16</v>
      </c>
      <c r="C6248">
        <v>31637</v>
      </c>
      <c r="D6248" t="str">
        <f>"31637"</f>
        <v>31637</v>
      </c>
      <c r="E6248">
        <v>62.86</v>
      </c>
    </row>
    <row r="6249" spans="1:5" x14ac:dyDescent="0.2">
      <c r="A6249">
        <v>31638</v>
      </c>
      <c r="B6249" t="s">
        <v>16</v>
      </c>
      <c r="C6249">
        <v>31638</v>
      </c>
      <c r="D6249" t="str">
        <f>"31638"</f>
        <v>31638</v>
      </c>
      <c r="E6249">
        <v>59.46</v>
      </c>
    </row>
    <row r="6250" spans="1:5" x14ac:dyDescent="0.2">
      <c r="A6250">
        <v>31639</v>
      </c>
      <c r="B6250" t="s">
        <v>16</v>
      </c>
      <c r="C6250">
        <v>31639</v>
      </c>
      <c r="D6250" t="str">
        <f>"31639"</f>
        <v>31639</v>
      </c>
      <c r="E6250">
        <v>59.16</v>
      </c>
    </row>
    <row r="6251" spans="1:5" x14ac:dyDescent="0.2">
      <c r="A6251">
        <v>31641</v>
      </c>
      <c r="B6251" t="s">
        <v>16</v>
      </c>
      <c r="C6251">
        <v>31641</v>
      </c>
      <c r="D6251" t="str">
        <f>"31641"</f>
        <v>31641</v>
      </c>
      <c r="E6251">
        <v>63.75</v>
      </c>
    </row>
    <row r="6252" spans="1:5" x14ac:dyDescent="0.2">
      <c r="A6252">
        <v>31642</v>
      </c>
      <c r="B6252" t="s">
        <v>16</v>
      </c>
      <c r="C6252">
        <v>31642</v>
      </c>
      <c r="D6252" t="str">
        <f>"31642"</f>
        <v>31642</v>
      </c>
      <c r="E6252">
        <v>48.59</v>
      </c>
    </row>
    <row r="6253" spans="1:5" x14ac:dyDescent="0.2">
      <c r="A6253">
        <v>31643</v>
      </c>
      <c r="B6253" t="s">
        <v>16</v>
      </c>
      <c r="C6253">
        <v>31643</v>
      </c>
      <c r="D6253" t="str">
        <f>"31643"</f>
        <v>31643</v>
      </c>
      <c r="E6253">
        <v>55.66</v>
      </c>
    </row>
    <row r="6254" spans="1:5" x14ac:dyDescent="0.2">
      <c r="A6254">
        <v>31645</v>
      </c>
      <c r="B6254" t="s">
        <v>16</v>
      </c>
      <c r="C6254">
        <v>31645</v>
      </c>
      <c r="D6254" t="str">
        <f>"31645"</f>
        <v>31645</v>
      </c>
      <c r="E6254">
        <v>56.32</v>
      </c>
    </row>
    <row r="6255" spans="1:5" x14ac:dyDescent="0.2">
      <c r="A6255">
        <v>31647</v>
      </c>
      <c r="B6255" t="s">
        <v>16</v>
      </c>
      <c r="C6255">
        <v>31647</v>
      </c>
      <c r="D6255" t="str">
        <f>"31647"</f>
        <v>31647</v>
      </c>
      <c r="E6255">
        <v>49.22</v>
      </c>
    </row>
    <row r="6256" spans="1:5" x14ac:dyDescent="0.2">
      <c r="A6256">
        <v>31648</v>
      </c>
      <c r="B6256" t="s">
        <v>16</v>
      </c>
      <c r="C6256">
        <v>31648</v>
      </c>
      <c r="D6256" t="str">
        <f>"31648"</f>
        <v>31648</v>
      </c>
      <c r="E6256">
        <v>50</v>
      </c>
    </row>
    <row r="6257" spans="1:5" x14ac:dyDescent="0.2">
      <c r="A6257">
        <v>31649</v>
      </c>
      <c r="B6257" t="s">
        <v>16</v>
      </c>
      <c r="C6257">
        <v>31649</v>
      </c>
      <c r="D6257" t="str">
        <f>"31649"</f>
        <v>31649</v>
      </c>
      <c r="E6257">
        <v>59.26</v>
      </c>
    </row>
    <row r="6258" spans="1:5" x14ac:dyDescent="0.2">
      <c r="A6258">
        <v>31650</v>
      </c>
      <c r="B6258" t="s">
        <v>16</v>
      </c>
      <c r="C6258">
        <v>31650</v>
      </c>
      <c r="D6258" t="str">
        <f>"31650"</f>
        <v>31650</v>
      </c>
      <c r="E6258">
        <v>52.17</v>
      </c>
    </row>
    <row r="6259" spans="1:5" x14ac:dyDescent="0.2">
      <c r="A6259">
        <v>31698</v>
      </c>
      <c r="B6259" t="s">
        <v>16</v>
      </c>
      <c r="C6259">
        <v>31698</v>
      </c>
      <c r="D6259" t="str">
        <f>"31698"</f>
        <v>31698</v>
      </c>
      <c r="E6259" t="s">
        <v>6</v>
      </c>
    </row>
    <row r="6260" spans="1:5" x14ac:dyDescent="0.2">
      <c r="A6260">
        <v>31699</v>
      </c>
      <c r="B6260" t="s">
        <v>16</v>
      </c>
      <c r="C6260">
        <v>31699</v>
      </c>
      <c r="D6260" t="str">
        <f>"31699"</f>
        <v>31699</v>
      </c>
      <c r="E6260" t="s">
        <v>6</v>
      </c>
    </row>
    <row r="6261" spans="1:5" x14ac:dyDescent="0.2">
      <c r="A6261">
        <v>31701</v>
      </c>
      <c r="B6261" t="s">
        <v>16</v>
      </c>
      <c r="C6261">
        <v>31701</v>
      </c>
      <c r="D6261" t="str">
        <f>"31701"</f>
        <v>31701</v>
      </c>
      <c r="E6261">
        <v>41.88</v>
      </c>
    </row>
    <row r="6262" spans="1:5" x14ac:dyDescent="0.2">
      <c r="A6262">
        <v>31704</v>
      </c>
      <c r="B6262" t="s">
        <v>16</v>
      </c>
      <c r="C6262">
        <v>31704</v>
      </c>
      <c r="D6262" t="str">
        <f>"31704"</f>
        <v>31704</v>
      </c>
      <c r="E6262" t="s">
        <v>6</v>
      </c>
    </row>
    <row r="6263" spans="1:5" x14ac:dyDescent="0.2">
      <c r="A6263">
        <v>31705</v>
      </c>
      <c r="B6263" t="s">
        <v>16</v>
      </c>
      <c r="C6263">
        <v>31705</v>
      </c>
      <c r="D6263" t="str">
        <f>"31705"</f>
        <v>31705</v>
      </c>
      <c r="E6263">
        <v>44.57</v>
      </c>
    </row>
    <row r="6264" spans="1:5" x14ac:dyDescent="0.2">
      <c r="A6264">
        <v>31707</v>
      </c>
      <c r="B6264" t="s">
        <v>16</v>
      </c>
      <c r="C6264">
        <v>31707</v>
      </c>
      <c r="D6264" t="str">
        <f>"31707"</f>
        <v>31707</v>
      </c>
      <c r="E6264">
        <v>56.02</v>
      </c>
    </row>
    <row r="6265" spans="1:5" x14ac:dyDescent="0.2">
      <c r="A6265">
        <v>31709</v>
      </c>
      <c r="B6265" t="s">
        <v>16</v>
      </c>
      <c r="C6265">
        <v>31709</v>
      </c>
      <c r="D6265" t="str">
        <f>"31709"</f>
        <v>31709</v>
      </c>
      <c r="E6265">
        <v>56.11</v>
      </c>
    </row>
    <row r="6266" spans="1:5" x14ac:dyDescent="0.2">
      <c r="A6266">
        <v>31711</v>
      </c>
      <c r="B6266" t="s">
        <v>16</v>
      </c>
      <c r="C6266">
        <v>31711</v>
      </c>
      <c r="D6266" t="str">
        <f>"31711"</f>
        <v>31711</v>
      </c>
      <c r="E6266">
        <v>66.67</v>
      </c>
    </row>
    <row r="6267" spans="1:5" x14ac:dyDescent="0.2">
      <c r="A6267">
        <v>31712</v>
      </c>
      <c r="B6267" t="s">
        <v>16</v>
      </c>
      <c r="C6267">
        <v>31712</v>
      </c>
      <c r="D6267" t="str">
        <f>"31712"</f>
        <v>31712</v>
      </c>
      <c r="E6267">
        <v>65.12</v>
      </c>
    </row>
    <row r="6268" spans="1:5" x14ac:dyDescent="0.2">
      <c r="A6268">
        <v>31714</v>
      </c>
      <c r="B6268" t="s">
        <v>16</v>
      </c>
      <c r="C6268">
        <v>31714</v>
      </c>
      <c r="D6268" t="str">
        <f>"31714"</f>
        <v>31714</v>
      </c>
      <c r="E6268">
        <v>45.28</v>
      </c>
    </row>
    <row r="6269" spans="1:5" x14ac:dyDescent="0.2">
      <c r="A6269">
        <v>31716</v>
      </c>
      <c r="B6269" t="s">
        <v>16</v>
      </c>
      <c r="C6269">
        <v>31716</v>
      </c>
      <c r="D6269" t="str">
        <f>"31716"</f>
        <v>31716</v>
      </c>
      <c r="E6269">
        <v>54.55</v>
      </c>
    </row>
    <row r="6270" spans="1:5" x14ac:dyDescent="0.2">
      <c r="A6270">
        <v>31719</v>
      </c>
      <c r="B6270" t="s">
        <v>16</v>
      </c>
      <c r="C6270">
        <v>31719</v>
      </c>
      <c r="D6270" t="str">
        <f>"31719"</f>
        <v>31719</v>
      </c>
      <c r="E6270">
        <v>49.4</v>
      </c>
    </row>
    <row r="6271" spans="1:5" x14ac:dyDescent="0.2">
      <c r="A6271">
        <v>31720</v>
      </c>
      <c r="B6271" t="s">
        <v>16</v>
      </c>
      <c r="C6271">
        <v>31720</v>
      </c>
      <c r="D6271" t="str">
        <f>"31720"</f>
        <v>31720</v>
      </c>
      <c r="E6271" t="s">
        <v>6</v>
      </c>
    </row>
    <row r="6272" spans="1:5" x14ac:dyDescent="0.2">
      <c r="A6272">
        <v>31721</v>
      </c>
      <c r="B6272" t="s">
        <v>16</v>
      </c>
      <c r="C6272">
        <v>31721</v>
      </c>
      <c r="D6272" t="str">
        <f>"31721"</f>
        <v>31721</v>
      </c>
      <c r="E6272">
        <v>67.239999999999995</v>
      </c>
    </row>
    <row r="6273" spans="1:5" x14ac:dyDescent="0.2">
      <c r="A6273">
        <v>31722</v>
      </c>
      <c r="B6273" t="s">
        <v>16</v>
      </c>
      <c r="C6273">
        <v>31722</v>
      </c>
      <c r="D6273" t="str">
        <f>"31722"</f>
        <v>31722</v>
      </c>
      <c r="E6273" t="s">
        <v>6</v>
      </c>
    </row>
    <row r="6274" spans="1:5" x14ac:dyDescent="0.2">
      <c r="A6274">
        <v>31730</v>
      </c>
      <c r="B6274" t="s">
        <v>16</v>
      </c>
      <c r="C6274">
        <v>31730</v>
      </c>
      <c r="D6274" t="str">
        <f>"31730"</f>
        <v>31730</v>
      </c>
      <c r="E6274">
        <v>51.96</v>
      </c>
    </row>
    <row r="6275" spans="1:5" x14ac:dyDescent="0.2">
      <c r="A6275">
        <v>31733</v>
      </c>
      <c r="B6275" t="s">
        <v>16</v>
      </c>
      <c r="C6275">
        <v>31733</v>
      </c>
      <c r="D6275" t="str">
        <f>"31733"</f>
        <v>31733</v>
      </c>
      <c r="E6275">
        <v>64.180000000000007</v>
      </c>
    </row>
    <row r="6276" spans="1:5" x14ac:dyDescent="0.2">
      <c r="A6276">
        <v>31735</v>
      </c>
      <c r="B6276" t="s">
        <v>16</v>
      </c>
      <c r="C6276">
        <v>31735</v>
      </c>
      <c r="D6276" t="str">
        <f>"31735"</f>
        <v>31735</v>
      </c>
      <c r="E6276">
        <v>71.430000000000007</v>
      </c>
    </row>
    <row r="6277" spans="1:5" x14ac:dyDescent="0.2">
      <c r="A6277">
        <v>31738</v>
      </c>
      <c r="B6277" t="s">
        <v>16</v>
      </c>
      <c r="C6277">
        <v>31738</v>
      </c>
      <c r="D6277" t="str">
        <f>"31738"</f>
        <v>31738</v>
      </c>
      <c r="E6277">
        <v>61.36</v>
      </c>
    </row>
    <row r="6278" spans="1:5" x14ac:dyDescent="0.2">
      <c r="A6278">
        <v>31743</v>
      </c>
      <c r="B6278" t="s">
        <v>16</v>
      </c>
      <c r="C6278">
        <v>31743</v>
      </c>
      <c r="D6278" t="str">
        <f>"31743"</f>
        <v>31743</v>
      </c>
      <c r="E6278">
        <v>38.1</v>
      </c>
    </row>
    <row r="6279" spans="1:5" x14ac:dyDescent="0.2">
      <c r="A6279">
        <v>31744</v>
      </c>
      <c r="B6279" t="s">
        <v>16</v>
      </c>
      <c r="C6279">
        <v>31744</v>
      </c>
      <c r="D6279" t="str">
        <f>"31744"</f>
        <v>31744</v>
      </c>
      <c r="E6279">
        <v>61.02</v>
      </c>
    </row>
    <row r="6280" spans="1:5" x14ac:dyDescent="0.2">
      <c r="A6280">
        <v>31747</v>
      </c>
      <c r="B6280" t="s">
        <v>16</v>
      </c>
      <c r="C6280">
        <v>31747</v>
      </c>
      <c r="D6280" t="str">
        <f>"31747"</f>
        <v>31747</v>
      </c>
      <c r="E6280" t="s">
        <v>6</v>
      </c>
    </row>
    <row r="6281" spans="1:5" x14ac:dyDescent="0.2">
      <c r="A6281">
        <v>31749</v>
      </c>
      <c r="B6281" t="s">
        <v>16</v>
      </c>
      <c r="C6281">
        <v>31749</v>
      </c>
      <c r="D6281" t="str">
        <f>"31749"</f>
        <v>31749</v>
      </c>
      <c r="E6281">
        <v>59.3</v>
      </c>
    </row>
    <row r="6282" spans="1:5" x14ac:dyDescent="0.2">
      <c r="A6282">
        <v>31750</v>
      </c>
      <c r="B6282" t="s">
        <v>16</v>
      </c>
      <c r="C6282">
        <v>31750</v>
      </c>
      <c r="D6282" t="str">
        <f>"31750"</f>
        <v>31750</v>
      </c>
      <c r="E6282">
        <v>55.21</v>
      </c>
    </row>
    <row r="6283" spans="1:5" x14ac:dyDescent="0.2">
      <c r="A6283">
        <v>31756</v>
      </c>
      <c r="B6283" t="s">
        <v>16</v>
      </c>
      <c r="C6283">
        <v>31756</v>
      </c>
      <c r="D6283" t="str">
        <f>"31756"</f>
        <v>31756</v>
      </c>
      <c r="E6283">
        <v>64.86</v>
      </c>
    </row>
    <row r="6284" spans="1:5" x14ac:dyDescent="0.2">
      <c r="A6284">
        <v>31757</v>
      </c>
      <c r="B6284" t="s">
        <v>16</v>
      </c>
      <c r="C6284">
        <v>31757</v>
      </c>
      <c r="D6284" t="str">
        <f>"31757"</f>
        <v>31757</v>
      </c>
      <c r="E6284">
        <v>65.81</v>
      </c>
    </row>
    <row r="6285" spans="1:5" x14ac:dyDescent="0.2">
      <c r="A6285">
        <v>31763</v>
      </c>
      <c r="B6285" t="s">
        <v>16</v>
      </c>
      <c r="C6285">
        <v>31763</v>
      </c>
      <c r="D6285" t="str">
        <f>"31763"</f>
        <v>31763</v>
      </c>
      <c r="E6285">
        <v>68.12</v>
      </c>
    </row>
    <row r="6286" spans="1:5" x14ac:dyDescent="0.2">
      <c r="A6286">
        <v>31764</v>
      </c>
      <c r="B6286" t="s">
        <v>16</v>
      </c>
      <c r="C6286">
        <v>31764</v>
      </c>
      <c r="D6286" t="str">
        <f>"31764"</f>
        <v>31764</v>
      </c>
      <c r="E6286">
        <v>62.26</v>
      </c>
    </row>
    <row r="6287" spans="1:5" x14ac:dyDescent="0.2">
      <c r="A6287">
        <v>31765</v>
      </c>
      <c r="B6287" t="s">
        <v>16</v>
      </c>
      <c r="C6287">
        <v>31765</v>
      </c>
      <c r="D6287" t="str">
        <f>"31765"</f>
        <v>31765</v>
      </c>
      <c r="E6287">
        <v>55.79</v>
      </c>
    </row>
    <row r="6288" spans="1:5" x14ac:dyDescent="0.2">
      <c r="A6288">
        <v>31768</v>
      </c>
      <c r="B6288" t="s">
        <v>16</v>
      </c>
      <c r="C6288">
        <v>31768</v>
      </c>
      <c r="D6288" t="str">
        <f>"31768"</f>
        <v>31768</v>
      </c>
      <c r="E6288">
        <v>51.87</v>
      </c>
    </row>
    <row r="6289" spans="1:5" x14ac:dyDescent="0.2">
      <c r="A6289">
        <v>31769</v>
      </c>
      <c r="B6289" t="s">
        <v>16</v>
      </c>
      <c r="C6289">
        <v>31769</v>
      </c>
      <c r="D6289" t="str">
        <f>"31769"</f>
        <v>31769</v>
      </c>
      <c r="E6289" t="s">
        <v>6</v>
      </c>
    </row>
    <row r="6290" spans="1:5" x14ac:dyDescent="0.2">
      <c r="A6290">
        <v>31771</v>
      </c>
      <c r="B6290" t="s">
        <v>16</v>
      </c>
      <c r="C6290">
        <v>31771</v>
      </c>
      <c r="D6290" t="str">
        <f>"31771"</f>
        <v>31771</v>
      </c>
      <c r="E6290">
        <v>52.04</v>
      </c>
    </row>
    <row r="6291" spans="1:5" x14ac:dyDescent="0.2">
      <c r="A6291">
        <v>31772</v>
      </c>
      <c r="B6291" t="s">
        <v>16</v>
      </c>
      <c r="C6291">
        <v>31772</v>
      </c>
      <c r="D6291" t="str">
        <f>"31772"</f>
        <v>31772</v>
      </c>
      <c r="E6291">
        <v>68.42</v>
      </c>
    </row>
    <row r="6292" spans="1:5" x14ac:dyDescent="0.2">
      <c r="A6292">
        <v>31773</v>
      </c>
      <c r="B6292" t="s">
        <v>16</v>
      </c>
      <c r="C6292">
        <v>31773</v>
      </c>
      <c r="D6292" t="str">
        <f>"31773"</f>
        <v>31773</v>
      </c>
      <c r="E6292">
        <v>65.16</v>
      </c>
    </row>
    <row r="6293" spans="1:5" x14ac:dyDescent="0.2">
      <c r="A6293">
        <v>31774</v>
      </c>
      <c r="B6293" t="s">
        <v>16</v>
      </c>
      <c r="C6293">
        <v>31774</v>
      </c>
      <c r="D6293" t="str">
        <f>"31774"</f>
        <v>31774</v>
      </c>
      <c r="E6293">
        <v>54.43</v>
      </c>
    </row>
    <row r="6294" spans="1:5" x14ac:dyDescent="0.2">
      <c r="A6294">
        <v>31775</v>
      </c>
      <c r="B6294" t="s">
        <v>16</v>
      </c>
      <c r="C6294">
        <v>31775</v>
      </c>
      <c r="D6294" t="str">
        <f>"31775"</f>
        <v>31775</v>
      </c>
      <c r="E6294">
        <v>49.11</v>
      </c>
    </row>
    <row r="6295" spans="1:5" x14ac:dyDescent="0.2">
      <c r="A6295">
        <v>31778</v>
      </c>
      <c r="B6295" t="s">
        <v>16</v>
      </c>
      <c r="C6295">
        <v>31778</v>
      </c>
      <c r="D6295" t="str">
        <f>"31778"</f>
        <v>31778</v>
      </c>
      <c r="E6295">
        <v>62.11</v>
      </c>
    </row>
    <row r="6296" spans="1:5" x14ac:dyDescent="0.2">
      <c r="A6296">
        <v>31779</v>
      </c>
      <c r="B6296" t="s">
        <v>16</v>
      </c>
      <c r="C6296">
        <v>31779</v>
      </c>
      <c r="D6296" t="str">
        <f>"31779"</f>
        <v>31779</v>
      </c>
      <c r="E6296">
        <v>52.56</v>
      </c>
    </row>
    <row r="6297" spans="1:5" x14ac:dyDescent="0.2">
      <c r="A6297">
        <v>31780</v>
      </c>
      <c r="B6297" t="s">
        <v>16</v>
      </c>
      <c r="C6297">
        <v>31780</v>
      </c>
      <c r="D6297" t="str">
        <f>"31780"</f>
        <v>31780</v>
      </c>
      <c r="E6297">
        <v>59.15</v>
      </c>
    </row>
    <row r="6298" spans="1:5" x14ac:dyDescent="0.2">
      <c r="A6298">
        <v>31781</v>
      </c>
      <c r="B6298" t="s">
        <v>16</v>
      </c>
      <c r="C6298">
        <v>31781</v>
      </c>
      <c r="D6298" t="str">
        <f>"31781"</f>
        <v>31781</v>
      </c>
      <c r="E6298">
        <v>61.02</v>
      </c>
    </row>
    <row r="6299" spans="1:5" x14ac:dyDescent="0.2">
      <c r="A6299">
        <v>31783</v>
      </c>
      <c r="B6299" t="s">
        <v>16</v>
      </c>
      <c r="C6299">
        <v>31783</v>
      </c>
      <c r="D6299" t="str">
        <f>"31783"</f>
        <v>31783</v>
      </c>
      <c r="E6299">
        <v>65.849999999999994</v>
      </c>
    </row>
    <row r="6300" spans="1:5" x14ac:dyDescent="0.2">
      <c r="A6300">
        <v>31784</v>
      </c>
      <c r="B6300" t="s">
        <v>16</v>
      </c>
      <c r="C6300">
        <v>31784</v>
      </c>
      <c r="D6300" t="str">
        <f>"31784"</f>
        <v>31784</v>
      </c>
      <c r="E6300">
        <v>53.57</v>
      </c>
    </row>
    <row r="6301" spans="1:5" x14ac:dyDescent="0.2">
      <c r="A6301">
        <v>31787</v>
      </c>
      <c r="B6301" t="s">
        <v>16</v>
      </c>
      <c r="C6301">
        <v>31787</v>
      </c>
      <c r="D6301" t="str">
        <f>"31787"</f>
        <v>31787</v>
      </c>
      <c r="E6301">
        <v>57.89</v>
      </c>
    </row>
    <row r="6302" spans="1:5" x14ac:dyDescent="0.2">
      <c r="A6302">
        <v>31788</v>
      </c>
      <c r="B6302" t="s">
        <v>16</v>
      </c>
      <c r="C6302">
        <v>31788</v>
      </c>
      <c r="D6302" t="str">
        <f>"31788"</f>
        <v>31788</v>
      </c>
      <c r="E6302">
        <v>52.86</v>
      </c>
    </row>
    <row r="6303" spans="1:5" x14ac:dyDescent="0.2">
      <c r="A6303">
        <v>31789</v>
      </c>
      <c r="B6303" t="s">
        <v>16</v>
      </c>
      <c r="C6303">
        <v>31789</v>
      </c>
      <c r="D6303" t="str">
        <f>"31789"</f>
        <v>31789</v>
      </c>
      <c r="E6303">
        <v>61.82</v>
      </c>
    </row>
    <row r="6304" spans="1:5" x14ac:dyDescent="0.2">
      <c r="A6304">
        <v>31790</v>
      </c>
      <c r="B6304" t="s">
        <v>16</v>
      </c>
      <c r="C6304">
        <v>31790</v>
      </c>
      <c r="D6304" t="str">
        <f>"31790"</f>
        <v>31790</v>
      </c>
      <c r="E6304">
        <v>58.57</v>
      </c>
    </row>
    <row r="6305" spans="1:5" x14ac:dyDescent="0.2">
      <c r="A6305">
        <v>31791</v>
      </c>
      <c r="B6305" t="s">
        <v>16</v>
      </c>
      <c r="C6305">
        <v>31791</v>
      </c>
      <c r="D6305" t="str">
        <f>"31791"</f>
        <v>31791</v>
      </c>
      <c r="E6305">
        <v>58.3</v>
      </c>
    </row>
    <row r="6306" spans="1:5" x14ac:dyDescent="0.2">
      <c r="A6306">
        <v>31792</v>
      </c>
      <c r="B6306" t="s">
        <v>16</v>
      </c>
      <c r="C6306">
        <v>31792</v>
      </c>
      <c r="D6306" t="str">
        <f>"31792"</f>
        <v>31792</v>
      </c>
      <c r="E6306">
        <v>60.41</v>
      </c>
    </row>
    <row r="6307" spans="1:5" x14ac:dyDescent="0.2">
      <c r="A6307">
        <v>31793</v>
      </c>
      <c r="B6307" t="s">
        <v>16</v>
      </c>
      <c r="C6307">
        <v>31793</v>
      </c>
      <c r="D6307" t="str">
        <f>"31793"</f>
        <v>31793</v>
      </c>
      <c r="E6307">
        <v>66.34</v>
      </c>
    </row>
    <row r="6308" spans="1:5" x14ac:dyDescent="0.2">
      <c r="A6308">
        <v>31794</v>
      </c>
      <c r="B6308" t="s">
        <v>16</v>
      </c>
      <c r="C6308">
        <v>31794</v>
      </c>
      <c r="D6308" t="str">
        <f>"31794"</f>
        <v>31794</v>
      </c>
      <c r="E6308">
        <v>53.05</v>
      </c>
    </row>
    <row r="6309" spans="1:5" x14ac:dyDescent="0.2">
      <c r="A6309">
        <v>31795</v>
      </c>
      <c r="B6309" t="s">
        <v>16</v>
      </c>
      <c r="C6309">
        <v>31795</v>
      </c>
      <c r="D6309" t="str">
        <f>"31795"</f>
        <v>31795</v>
      </c>
      <c r="E6309">
        <v>58.62</v>
      </c>
    </row>
    <row r="6310" spans="1:5" x14ac:dyDescent="0.2">
      <c r="A6310">
        <v>31796</v>
      </c>
      <c r="B6310" t="s">
        <v>16</v>
      </c>
      <c r="C6310">
        <v>31796</v>
      </c>
      <c r="D6310" t="str">
        <f>"31796"</f>
        <v>31796</v>
      </c>
      <c r="E6310">
        <v>64.44</v>
      </c>
    </row>
    <row r="6311" spans="1:5" x14ac:dyDescent="0.2">
      <c r="A6311">
        <v>31798</v>
      </c>
      <c r="B6311" t="s">
        <v>16</v>
      </c>
      <c r="C6311">
        <v>31798</v>
      </c>
      <c r="D6311" t="str">
        <f>"31798"</f>
        <v>31798</v>
      </c>
      <c r="E6311">
        <v>60.98</v>
      </c>
    </row>
    <row r="6312" spans="1:5" x14ac:dyDescent="0.2">
      <c r="A6312">
        <v>31801</v>
      </c>
      <c r="B6312" t="s">
        <v>16</v>
      </c>
      <c r="C6312">
        <v>31801</v>
      </c>
      <c r="D6312" t="str">
        <f>"31801"</f>
        <v>31801</v>
      </c>
      <c r="E6312">
        <v>63.72</v>
      </c>
    </row>
    <row r="6313" spans="1:5" x14ac:dyDescent="0.2">
      <c r="A6313">
        <v>31803</v>
      </c>
      <c r="B6313" t="s">
        <v>16</v>
      </c>
      <c r="C6313">
        <v>31803</v>
      </c>
      <c r="D6313" t="str">
        <f>"31803"</f>
        <v>31803</v>
      </c>
      <c r="E6313">
        <v>56.5</v>
      </c>
    </row>
    <row r="6314" spans="1:5" x14ac:dyDescent="0.2">
      <c r="A6314">
        <v>31804</v>
      </c>
      <c r="B6314" t="s">
        <v>16</v>
      </c>
      <c r="C6314">
        <v>31804</v>
      </c>
      <c r="D6314" t="str">
        <f>"31804"</f>
        <v>31804</v>
      </c>
      <c r="E6314">
        <v>74.05</v>
      </c>
    </row>
    <row r="6315" spans="1:5" x14ac:dyDescent="0.2">
      <c r="A6315">
        <v>31805</v>
      </c>
      <c r="B6315" t="s">
        <v>16</v>
      </c>
      <c r="C6315">
        <v>31805</v>
      </c>
      <c r="D6315" t="str">
        <f>"31805"</f>
        <v>31805</v>
      </c>
      <c r="E6315">
        <v>54.39</v>
      </c>
    </row>
    <row r="6316" spans="1:5" x14ac:dyDescent="0.2">
      <c r="A6316">
        <v>31806</v>
      </c>
      <c r="B6316" t="s">
        <v>16</v>
      </c>
      <c r="C6316">
        <v>31806</v>
      </c>
      <c r="D6316" t="str">
        <f>"31806"</f>
        <v>31806</v>
      </c>
      <c r="E6316">
        <v>60.48</v>
      </c>
    </row>
    <row r="6317" spans="1:5" x14ac:dyDescent="0.2">
      <c r="A6317">
        <v>31807</v>
      </c>
      <c r="B6317" t="s">
        <v>16</v>
      </c>
      <c r="C6317">
        <v>31807</v>
      </c>
      <c r="D6317" t="str">
        <f>"31807"</f>
        <v>31807</v>
      </c>
      <c r="E6317">
        <v>77.239999999999995</v>
      </c>
    </row>
    <row r="6318" spans="1:5" x14ac:dyDescent="0.2">
      <c r="A6318">
        <v>31808</v>
      </c>
      <c r="B6318" t="s">
        <v>16</v>
      </c>
      <c r="C6318">
        <v>31808</v>
      </c>
      <c r="D6318" t="str">
        <f>"31808"</f>
        <v>31808</v>
      </c>
      <c r="E6318">
        <v>75.739999999999995</v>
      </c>
    </row>
    <row r="6319" spans="1:5" x14ac:dyDescent="0.2">
      <c r="A6319">
        <v>31811</v>
      </c>
      <c r="B6319" t="s">
        <v>16</v>
      </c>
      <c r="C6319">
        <v>31811</v>
      </c>
      <c r="D6319" t="str">
        <f>"31811"</f>
        <v>31811</v>
      </c>
      <c r="E6319">
        <v>71.430000000000007</v>
      </c>
    </row>
    <row r="6320" spans="1:5" x14ac:dyDescent="0.2">
      <c r="A6320">
        <v>31812</v>
      </c>
      <c r="B6320" t="s">
        <v>16</v>
      </c>
      <c r="C6320">
        <v>31812</v>
      </c>
      <c r="D6320" t="str">
        <f>"31812"</f>
        <v>31812</v>
      </c>
      <c r="E6320">
        <v>50</v>
      </c>
    </row>
    <row r="6321" spans="1:5" x14ac:dyDescent="0.2">
      <c r="A6321">
        <v>31815</v>
      </c>
      <c r="B6321" t="s">
        <v>16</v>
      </c>
      <c r="C6321">
        <v>31815</v>
      </c>
      <c r="D6321" t="str">
        <f>"31815"</f>
        <v>31815</v>
      </c>
      <c r="E6321">
        <v>54.17</v>
      </c>
    </row>
    <row r="6322" spans="1:5" x14ac:dyDescent="0.2">
      <c r="A6322">
        <v>31816</v>
      </c>
      <c r="B6322" t="s">
        <v>16</v>
      </c>
      <c r="C6322">
        <v>31816</v>
      </c>
      <c r="D6322" t="str">
        <f>"31816"</f>
        <v>31816</v>
      </c>
      <c r="E6322">
        <v>56.6</v>
      </c>
    </row>
    <row r="6323" spans="1:5" x14ac:dyDescent="0.2">
      <c r="A6323">
        <v>31820</v>
      </c>
      <c r="B6323" t="s">
        <v>16</v>
      </c>
      <c r="C6323">
        <v>31820</v>
      </c>
      <c r="D6323" t="str">
        <f>"31820"</f>
        <v>31820</v>
      </c>
      <c r="E6323">
        <v>78.06</v>
      </c>
    </row>
    <row r="6324" spans="1:5" x14ac:dyDescent="0.2">
      <c r="A6324">
        <v>31821</v>
      </c>
      <c r="B6324" t="s">
        <v>16</v>
      </c>
      <c r="C6324">
        <v>31821</v>
      </c>
      <c r="D6324" t="str">
        <f>"31821"</f>
        <v>31821</v>
      </c>
      <c r="E6324" t="s">
        <v>6</v>
      </c>
    </row>
    <row r="6325" spans="1:5" x14ac:dyDescent="0.2">
      <c r="A6325">
        <v>31822</v>
      </c>
      <c r="B6325" t="s">
        <v>16</v>
      </c>
      <c r="C6325">
        <v>31822</v>
      </c>
      <c r="D6325" t="str">
        <f>"31822"</f>
        <v>31822</v>
      </c>
      <c r="E6325">
        <v>66.13</v>
      </c>
    </row>
    <row r="6326" spans="1:5" x14ac:dyDescent="0.2">
      <c r="A6326">
        <v>31823</v>
      </c>
      <c r="B6326" t="s">
        <v>16</v>
      </c>
      <c r="C6326">
        <v>31823</v>
      </c>
      <c r="D6326" t="str">
        <f>"31823"</f>
        <v>31823</v>
      </c>
      <c r="E6326">
        <v>66.67</v>
      </c>
    </row>
    <row r="6327" spans="1:5" x14ac:dyDescent="0.2">
      <c r="A6327">
        <v>31824</v>
      </c>
      <c r="B6327" t="s">
        <v>16</v>
      </c>
      <c r="C6327">
        <v>31824</v>
      </c>
      <c r="D6327" t="str">
        <f>"31824"</f>
        <v>31824</v>
      </c>
      <c r="E6327">
        <v>58.62</v>
      </c>
    </row>
    <row r="6328" spans="1:5" x14ac:dyDescent="0.2">
      <c r="A6328">
        <v>31825</v>
      </c>
      <c r="B6328" t="s">
        <v>16</v>
      </c>
      <c r="C6328">
        <v>31825</v>
      </c>
      <c r="D6328" t="str">
        <f>"31825"</f>
        <v>31825</v>
      </c>
      <c r="E6328">
        <v>51.28</v>
      </c>
    </row>
    <row r="6329" spans="1:5" x14ac:dyDescent="0.2">
      <c r="A6329">
        <v>31826</v>
      </c>
      <c r="B6329" t="s">
        <v>16</v>
      </c>
      <c r="C6329">
        <v>31826</v>
      </c>
      <c r="D6329" t="str">
        <f>"31826"</f>
        <v>31826</v>
      </c>
      <c r="E6329">
        <v>59.76</v>
      </c>
    </row>
    <row r="6330" spans="1:5" x14ac:dyDescent="0.2">
      <c r="A6330">
        <v>31827</v>
      </c>
      <c r="B6330" t="s">
        <v>16</v>
      </c>
      <c r="C6330">
        <v>31827</v>
      </c>
      <c r="D6330" t="str">
        <f>"31827"</f>
        <v>31827</v>
      </c>
      <c r="E6330">
        <v>55.84</v>
      </c>
    </row>
    <row r="6331" spans="1:5" x14ac:dyDescent="0.2">
      <c r="A6331">
        <v>31829</v>
      </c>
      <c r="B6331" t="s">
        <v>16</v>
      </c>
      <c r="C6331">
        <v>31829</v>
      </c>
      <c r="D6331" t="str">
        <f>"31829"</f>
        <v>31829</v>
      </c>
      <c r="E6331">
        <v>70.83</v>
      </c>
    </row>
    <row r="6332" spans="1:5" x14ac:dyDescent="0.2">
      <c r="A6332">
        <v>31830</v>
      </c>
      <c r="B6332" t="s">
        <v>16</v>
      </c>
      <c r="C6332">
        <v>31830</v>
      </c>
      <c r="D6332" t="str">
        <f>"31830"</f>
        <v>31830</v>
      </c>
      <c r="E6332">
        <v>63.64</v>
      </c>
    </row>
    <row r="6333" spans="1:5" x14ac:dyDescent="0.2">
      <c r="A6333">
        <v>31831</v>
      </c>
      <c r="B6333" t="s">
        <v>16</v>
      </c>
      <c r="C6333">
        <v>31831</v>
      </c>
      <c r="D6333" t="str">
        <f>"31831"</f>
        <v>31831</v>
      </c>
      <c r="E6333">
        <v>70.2</v>
      </c>
    </row>
    <row r="6334" spans="1:5" x14ac:dyDescent="0.2">
      <c r="A6334">
        <v>31832</v>
      </c>
      <c r="B6334" t="s">
        <v>16</v>
      </c>
      <c r="C6334">
        <v>31832</v>
      </c>
      <c r="D6334" t="str">
        <f>"31832"</f>
        <v>31832</v>
      </c>
      <c r="E6334" t="s">
        <v>6</v>
      </c>
    </row>
    <row r="6335" spans="1:5" x14ac:dyDescent="0.2">
      <c r="A6335">
        <v>31833</v>
      </c>
      <c r="B6335" t="s">
        <v>16</v>
      </c>
      <c r="C6335">
        <v>31833</v>
      </c>
      <c r="D6335" t="str">
        <f>"31833"</f>
        <v>31833</v>
      </c>
      <c r="E6335">
        <v>57.67</v>
      </c>
    </row>
    <row r="6336" spans="1:5" x14ac:dyDescent="0.2">
      <c r="A6336">
        <v>31836</v>
      </c>
      <c r="B6336" t="s">
        <v>16</v>
      </c>
      <c r="C6336">
        <v>31836</v>
      </c>
      <c r="D6336" t="str">
        <f>"31836"</f>
        <v>31836</v>
      </c>
      <c r="E6336">
        <v>62.5</v>
      </c>
    </row>
    <row r="6337" spans="1:5" x14ac:dyDescent="0.2">
      <c r="A6337">
        <v>31901</v>
      </c>
      <c r="B6337" t="s">
        <v>16</v>
      </c>
      <c r="C6337">
        <v>31901</v>
      </c>
      <c r="D6337" t="str">
        <f>"31901"</f>
        <v>31901</v>
      </c>
      <c r="E6337">
        <v>58.26</v>
      </c>
    </row>
    <row r="6338" spans="1:5" x14ac:dyDescent="0.2">
      <c r="A6338">
        <v>31903</v>
      </c>
      <c r="B6338" t="s">
        <v>16</v>
      </c>
      <c r="C6338">
        <v>31903</v>
      </c>
      <c r="D6338" t="str">
        <f>"31903"</f>
        <v>31903</v>
      </c>
      <c r="E6338">
        <v>36.99</v>
      </c>
    </row>
    <row r="6339" spans="1:5" x14ac:dyDescent="0.2">
      <c r="A6339">
        <v>31904</v>
      </c>
      <c r="B6339" t="s">
        <v>16</v>
      </c>
      <c r="C6339">
        <v>31904</v>
      </c>
      <c r="D6339" t="str">
        <f>"31904"</f>
        <v>31904</v>
      </c>
      <c r="E6339">
        <v>65.09</v>
      </c>
    </row>
    <row r="6340" spans="1:5" x14ac:dyDescent="0.2">
      <c r="A6340">
        <v>31905</v>
      </c>
      <c r="B6340" t="s">
        <v>16</v>
      </c>
      <c r="C6340">
        <v>31905</v>
      </c>
      <c r="D6340" t="str">
        <f>"31905"</f>
        <v>31905</v>
      </c>
      <c r="E6340">
        <v>65</v>
      </c>
    </row>
    <row r="6341" spans="1:5" x14ac:dyDescent="0.2">
      <c r="A6341">
        <v>31906</v>
      </c>
      <c r="B6341" t="s">
        <v>16</v>
      </c>
      <c r="C6341">
        <v>31906</v>
      </c>
      <c r="D6341" t="str">
        <f>"31906"</f>
        <v>31906</v>
      </c>
      <c r="E6341">
        <v>53.12</v>
      </c>
    </row>
    <row r="6342" spans="1:5" x14ac:dyDescent="0.2">
      <c r="A6342">
        <v>31907</v>
      </c>
      <c r="B6342" t="s">
        <v>16</v>
      </c>
      <c r="C6342">
        <v>31907</v>
      </c>
      <c r="D6342" t="str">
        <f>"31907"</f>
        <v>31907</v>
      </c>
      <c r="E6342">
        <v>55.35</v>
      </c>
    </row>
    <row r="6343" spans="1:5" x14ac:dyDescent="0.2">
      <c r="A6343">
        <v>31909</v>
      </c>
      <c r="B6343" t="s">
        <v>16</v>
      </c>
      <c r="C6343">
        <v>31909</v>
      </c>
      <c r="D6343" t="str">
        <f>"31909"</f>
        <v>31909</v>
      </c>
      <c r="E6343">
        <v>70.599999999999994</v>
      </c>
    </row>
    <row r="6344" spans="1:5" x14ac:dyDescent="0.2">
      <c r="A6344">
        <v>39813</v>
      </c>
      <c r="B6344" t="s">
        <v>16</v>
      </c>
      <c r="C6344">
        <v>39813</v>
      </c>
      <c r="D6344" t="str">
        <f>"39813"</f>
        <v>39813</v>
      </c>
      <c r="E6344">
        <v>56</v>
      </c>
    </row>
    <row r="6345" spans="1:5" x14ac:dyDescent="0.2">
      <c r="A6345">
        <v>39815</v>
      </c>
      <c r="B6345" t="s">
        <v>16</v>
      </c>
      <c r="C6345">
        <v>39815</v>
      </c>
      <c r="D6345" t="str">
        <f>"39815"</f>
        <v>39815</v>
      </c>
      <c r="E6345">
        <v>52.31</v>
      </c>
    </row>
    <row r="6346" spans="1:5" x14ac:dyDescent="0.2">
      <c r="A6346">
        <v>39817</v>
      </c>
      <c r="B6346" t="s">
        <v>16</v>
      </c>
      <c r="C6346">
        <v>39817</v>
      </c>
      <c r="D6346" t="str">
        <f>"39817"</f>
        <v>39817</v>
      </c>
      <c r="E6346">
        <v>50</v>
      </c>
    </row>
    <row r="6347" spans="1:5" x14ac:dyDescent="0.2">
      <c r="A6347">
        <v>39819</v>
      </c>
      <c r="B6347" t="s">
        <v>16</v>
      </c>
      <c r="C6347">
        <v>39819</v>
      </c>
      <c r="D6347" t="str">
        <f>"39819"</f>
        <v>39819</v>
      </c>
      <c r="E6347">
        <v>57.29</v>
      </c>
    </row>
    <row r="6348" spans="1:5" x14ac:dyDescent="0.2">
      <c r="A6348">
        <v>39823</v>
      </c>
      <c r="B6348" t="s">
        <v>16</v>
      </c>
      <c r="C6348">
        <v>39823</v>
      </c>
      <c r="D6348" t="str">
        <f>"39823"</f>
        <v>39823</v>
      </c>
      <c r="E6348">
        <v>50.15</v>
      </c>
    </row>
    <row r="6349" spans="1:5" x14ac:dyDescent="0.2">
      <c r="A6349">
        <v>39824</v>
      </c>
      <c r="B6349" t="s">
        <v>16</v>
      </c>
      <c r="C6349">
        <v>39824</v>
      </c>
      <c r="D6349" t="str">
        <f>"39824"</f>
        <v>39824</v>
      </c>
      <c r="E6349">
        <v>64.290000000000006</v>
      </c>
    </row>
    <row r="6350" spans="1:5" x14ac:dyDescent="0.2">
      <c r="A6350">
        <v>39825</v>
      </c>
      <c r="B6350" t="s">
        <v>16</v>
      </c>
      <c r="C6350">
        <v>39825</v>
      </c>
      <c r="D6350" t="str">
        <f>"39825"</f>
        <v>39825</v>
      </c>
      <c r="E6350">
        <v>64</v>
      </c>
    </row>
    <row r="6351" spans="1:5" x14ac:dyDescent="0.2">
      <c r="A6351">
        <v>39826</v>
      </c>
      <c r="B6351" t="s">
        <v>16</v>
      </c>
      <c r="C6351">
        <v>39826</v>
      </c>
      <c r="D6351" t="str">
        <f>"39826"</f>
        <v>39826</v>
      </c>
      <c r="E6351">
        <v>60</v>
      </c>
    </row>
    <row r="6352" spans="1:5" x14ac:dyDescent="0.2">
      <c r="A6352">
        <v>39827</v>
      </c>
      <c r="B6352" t="s">
        <v>16</v>
      </c>
      <c r="C6352">
        <v>39827</v>
      </c>
      <c r="D6352" t="str">
        <f>"39827"</f>
        <v>39827</v>
      </c>
      <c r="E6352">
        <v>63.19</v>
      </c>
    </row>
    <row r="6353" spans="1:5" x14ac:dyDescent="0.2">
      <c r="A6353">
        <v>39828</v>
      </c>
      <c r="B6353" t="s">
        <v>16</v>
      </c>
      <c r="C6353">
        <v>39828</v>
      </c>
      <c r="D6353" t="str">
        <f>"39828"</f>
        <v>39828</v>
      </c>
      <c r="E6353">
        <v>53.74</v>
      </c>
    </row>
    <row r="6354" spans="1:5" x14ac:dyDescent="0.2">
      <c r="A6354">
        <v>39834</v>
      </c>
      <c r="B6354" t="s">
        <v>16</v>
      </c>
      <c r="C6354">
        <v>39834</v>
      </c>
      <c r="D6354" t="str">
        <f>"39834"</f>
        <v>39834</v>
      </c>
      <c r="E6354">
        <v>62.79</v>
      </c>
    </row>
    <row r="6355" spans="1:5" x14ac:dyDescent="0.2">
      <c r="A6355">
        <v>39836</v>
      </c>
      <c r="B6355" t="s">
        <v>16</v>
      </c>
      <c r="C6355">
        <v>39836</v>
      </c>
      <c r="D6355" t="str">
        <f>"39836"</f>
        <v>39836</v>
      </c>
      <c r="E6355">
        <v>64.709999999999994</v>
      </c>
    </row>
    <row r="6356" spans="1:5" x14ac:dyDescent="0.2">
      <c r="A6356">
        <v>39837</v>
      </c>
      <c r="B6356" t="s">
        <v>16</v>
      </c>
      <c r="C6356">
        <v>39837</v>
      </c>
      <c r="D6356" t="str">
        <f>"39837"</f>
        <v>39837</v>
      </c>
      <c r="E6356">
        <v>58.69</v>
      </c>
    </row>
    <row r="6357" spans="1:5" x14ac:dyDescent="0.2">
      <c r="A6357">
        <v>39840</v>
      </c>
      <c r="B6357" t="s">
        <v>16</v>
      </c>
      <c r="C6357">
        <v>39840</v>
      </c>
      <c r="D6357" t="str">
        <f>"39840"</f>
        <v>39840</v>
      </c>
      <c r="E6357">
        <v>50.85</v>
      </c>
    </row>
    <row r="6358" spans="1:5" x14ac:dyDescent="0.2">
      <c r="A6358">
        <v>39841</v>
      </c>
      <c r="B6358" t="s">
        <v>16</v>
      </c>
      <c r="C6358">
        <v>39841</v>
      </c>
      <c r="D6358" t="str">
        <f>"39841"</f>
        <v>39841</v>
      </c>
      <c r="E6358">
        <v>56.67</v>
      </c>
    </row>
    <row r="6359" spans="1:5" x14ac:dyDescent="0.2">
      <c r="A6359">
        <v>39842</v>
      </c>
      <c r="B6359" t="s">
        <v>16</v>
      </c>
      <c r="C6359">
        <v>39842</v>
      </c>
      <c r="D6359" t="str">
        <f>"39842"</f>
        <v>39842</v>
      </c>
      <c r="E6359">
        <v>48.86</v>
      </c>
    </row>
    <row r="6360" spans="1:5" x14ac:dyDescent="0.2">
      <c r="A6360">
        <v>39845</v>
      </c>
      <c r="B6360" t="s">
        <v>16</v>
      </c>
      <c r="C6360">
        <v>39845</v>
      </c>
      <c r="D6360" t="str">
        <f>"39845"</f>
        <v>39845</v>
      </c>
      <c r="E6360">
        <v>57.59</v>
      </c>
    </row>
    <row r="6361" spans="1:5" x14ac:dyDescent="0.2">
      <c r="A6361">
        <v>39846</v>
      </c>
      <c r="B6361" t="s">
        <v>16</v>
      </c>
      <c r="C6361">
        <v>39846</v>
      </c>
      <c r="D6361" t="str">
        <f>"39846"</f>
        <v>39846</v>
      </c>
      <c r="E6361">
        <v>53.95</v>
      </c>
    </row>
    <row r="6362" spans="1:5" x14ac:dyDescent="0.2">
      <c r="A6362">
        <v>39851</v>
      </c>
      <c r="B6362" t="s">
        <v>16</v>
      </c>
      <c r="C6362">
        <v>39851</v>
      </c>
      <c r="D6362" t="str">
        <f>"39851"</f>
        <v>39851</v>
      </c>
      <c r="E6362">
        <v>45.68</v>
      </c>
    </row>
    <row r="6363" spans="1:5" x14ac:dyDescent="0.2">
      <c r="A6363">
        <v>39854</v>
      </c>
      <c r="B6363" t="s">
        <v>16</v>
      </c>
      <c r="C6363">
        <v>39854</v>
      </c>
      <c r="D6363" t="str">
        <f>"39854"</f>
        <v>39854</v>
      </c>
      <c r="E6363">
        <v>55.42</v>
      </c>
    </row>
    <row r="6364" spans="1:5" x14ac:dyDescent="0.2">
      <c r="A6364">
        <v>39859</v>
      </c>
      <c r="B6364" t="s">
        <v>16</v>
      </c>
      <c r="C6364">
        <v>39859</v>
      </c>
      <c r="D6364" t="str">
        <f>"39859"</f>
        <v>39859</v>
      </c>
      <c r="E6364">
        <v>60.42</v>
      </c>
    </row>
    <row r="6365" spans="1:5" x14ac:dyDescent="0.2">
      <c r="A6365">
        <v>39861</v>
      </c>
      <c r="B6365" t="s">
        <v>16</v>
      </c>
      <c r="C6365">
        <v>39861</v>
      </c>
      <c r="D6365" t="str">
        <f>"39861"</f>
        <v>39861</v>
      </c>
      <c r="E6365">
        <v>60.61</v>
      </c>
    </row>
    <row r="6366" spans="1:5" x14ac:dyDescent="0.2">
      <c r="A6366">
        <v>39862</v>
      </c>
      <c r="B6366" t="s">
        <v>16</v>
      </c>
      <c r="C6366">
        <v>39862</v>
      </c>
      <c r="D6366" t="str">
        <f>"39862"</f>
        <v>39862</v>
      </c>
      <c r="E6366">
        <v>62</v>
      </c>
    </row>
    <row r="6367" spans="1:5" x14ac:dyDescent="0.2">
      <c r="A6367">
        <v>39866</v>
      </c>
      <c r="B6367" t="s">
        <v>16</v>
      </c>
      <c r="C6367">
        <v>39866</v>
      </c>
      <c r="D6367" t="str">
        <f>"39866"</f>
        <v>39866</v>
      </c>
      <c r="E6367">
        <v>66.67</v>
      </c>
    </row>
    <row r="6368" spans="1:5" x14ac:dyDescent="0.2">
      <c r="A6368">
        <v>39867</v>
      </c>
      <c r="B6368" t="s">
        <v>16</v>
      </c>
      <c r="C6368">
        <v>39867</v>
      </c>
      <c r="D6368" t="str">
        <f>"39867"</f>
        <v>39867</v>
      </c>
      <c r="E6368">
        <v>61.11</v>
      </c>
    </row>
    <row r="6369" spans="1:5" x14ac:dyDescent="0.2">
      <c r="A6369">
        <v>39870</v>
      </c>
      <c r="B6369" t="s">
        <v>16</v>
      </c>
      <c r="C6369">
        <v>39870</v>
      </c>
      <c r="D6369" t="str">
        <f>"39870"</f>
        <v>39870</v>
      </c>
      <c r="E6369">
        <v>54.55</v>
      </c>
    </row>
    <row r="6370" spans="1:5" x14ac:dyDescent="0.2">
      <c r="A6370">
        <v>39877</v>
      </c>
      <c r="B6370" t="s">
        <v>16</v>
      </c>
      <c r="C6370">
        <v>39877</v>
      </c>
      <c r="D6370" t="str">
        <f>"39877"</f>
        <v>39877</v>
      </c>
      <c r="E6370">
        <v>62.5</v>
      </c>
    </row>
    <row r="6371" spans="1:5" x14ac:dyDescent="0.2">
      <c r="A6371">
        <v>39885</v>
      </c>
      <c r="B6371" t="s">
        <v>16</v>
      </c>
      <c r="C6371">
        <v>39885</v>
      </c>
      <c r="D6371" t="str">
        <f>"39885"</f>
        <v>39885</v>
      </c>
      <c r="E6371" t="s">
        <v>6</v>
      </c>
    </row>
    <row r="6372" spans="1:5" x14ac:dyDescent="0.2">
      <c r="A6372">
        <v>39886</v>
      </c>
      <c r="B6372" t="s">
        <v>16</v>
      </c>
      <c r="C6372">
        <v>39886</v>
      </c>
      <c r="D6372" t="str">
        <f>"39886"</f>
        <v>39886</v>
      </c>
      <c r="E6372">
        <v>55.17</v>
      </c>
    </row>
    <row r="6373" spans="1:5" x14ac:dyDescent="0.2">
      <c r="A6373">
        <v>39897</v>
      </c>
      <c r="B6373" t="s">
        <v>16</v>
      </c>
      <c r="C6373">
        <v>39897</v>
      </c>
      <c r="D6373" t="str">
        <f>"39897"</f>
        <v>39897</v>
      </c>
      <c r="E6373">
        <v>65.91</v>
      </c>
    </row>
    <row r="6374" spans="1:5" x14ac:dyDescent="0.2">
      <c r="A6374">
        <v>96701</v>
      </c>
      <c r="B6374" t="s">
        <v>17</v>
      </c>
      <c r="C6374">
        <v>96701</v>
      </c>
      <c r="D6374" t="str">
        <f>"96701"</f>
        <v>96701</v>
      </c>
      <c r="E6374">
        <v>81.27</v>
      </c>
    </row>
    <row r="6375" spans="1:5" x14ac:dyDescent="0.2">
      <c r="A6375">
        <v>96703</v>
      </c>
      <c r="B6375" t="s">
        <v>17</v>
      </c>
      <c r="C6375">
        <v>96703</v>
      </c>
      <c r="D6375" t="str">
        <f>"96703"</f>
        <v>96703</v>
      </c>
      <c r="E6375" t="s">
        <v>6</v>
      </c>
    </row>
    <row r="6376" spans="1:5" x14ac:dyDescent="0.2">
      <c r="A6376">
        <v>96704</v>
      </c>
      <c r="B6376" t="s">
        <v>17</v>
      </c>
      <c r="C6376">
        <v>96704</v>
      </c>
      <c r="D6376" t="str">
        <f>"96704"</f>
        <v>96704</v>
      </c>
      <c r="E6376">
        <v>65.56</v>
      </c>
    </row>
    <row r="6377" spans="1:5" x14ac:dyDescent="0.2">
      <c r="A6377">
        <v>96705</v>
      </c>
      <c r="B6377" t="s">
        <v>17</v>
      </c>
      <c r="C6377">
        <v>96705</v>
      </c>
      <c r="D6377" t="str">
        <f>"96705"</f>
        <v>96705</v>
      </c>
      <c r="E6377" t="s">
        <v>6</v>
      </c>
    </row>
    <row r="6378" spans="1:5" x14ac:dyDescent="0.2">
      <c r="A6378">
        <v>96706</v>
      </c>
      <c r="B6378" t="s">
        <v>17</v>
      </c>
      <c r="C6378">
        <v>96706</v>
      </c>
      <c r="D6378" t="str">
        <f>"96706"</f>
        <v>96706</v>
      </c>
      <c r="E6378">
        <v>76.28</v>
      </c>
    </row>
    <row r="6379" spans="1:5" x14ac:dyDescent="0.2">
      <c r="A6379">
        <v>96707</v>
      </c>
      <c r="B6379" t="s">
        <v>17</v>
      </c>
      <c r="C6379">
        <v>96707</v>
      </c>
      <c r="D6379" t="str">
        <f>"96707"</f>
        <v>96707</v>
      </c>
      <c r="E6379">
        <v>78.67</v>
      </c>
    </row>
    <row r="6380" spans="1:5" x14ac:dyDescent="0.2">
      <c r="A6380">
        <v>96708</v>
      </c>
      <c r="B6380" t="s">
        <v>17</v>
      </c>
      <c r="C6380">
        <v>96708</v>
      </c>
      <c r="D6380" t="str">
        <f>"96708"</f>
        <v>96708</v>
      </c>
      <c r="E6380">
        <v>68.22</v>
      </c>
    </row>
    <row r="6381" spans="1:5" x14ac:dyDescent="0.2">
      <c r="A6381">
        <v>96710</v>
      </c>
      <c r="B6381" t="s">
        <v>17</v>
      </c>
      <c r="C6381">
        <v>96710</v>
      </c>
      <c r="D6381" t="str">
        <f>"96710"</f>
        <v>96710</v>
      </c>
      <c r="E6381" t="s">
        <v>6</v>
      </c>
    </row>
    <row r="6382" spans="1:5" x14ac:dyDescent="0.2">
      <c r="A6382">
        <v>96712</v>
      </c>
      <c r="B6382" t="s">
        <v>17</v>
      </c>
      <c r="C6382">
        <v>96712</v>
      </c>
      <c r="D6382" t="str">
        <f>"96712"</f>
        <v>96712</v>
      </c>
      <c r="E6382">
        <v>75.3</v>
      </c>
    </row>
    <row r="6383" spans="1:5" x14ac:dyDescent="0.2">
      <c r="A6383">
        <v>96713</v>
      </c>
      <c r="B6383" t="s">
        <v>17</v>
      </c>
      <c r="C6383">
        <v>96713</v>
      </c>
      <c r="D6383" t="str">
        <f>"96713"</f>
        <v>96713</v>
      </c>
      <c r="E6383">
        <v>62.65</v>
      </c>
    </row>
    <row r="6384" spans="1:5" x14ac:dyDescent="0.2">
      <c r="A6384">
        <v>96714</v>
      </c>
      <c r="B6384" t="s">
        <v>17</v>
      </c>
      <c r="C6384">
        <v>96714</v>
      </c>
      <c r="D6384" t="str">
        <f>"96714"</f>
        <v>96714</v>
      </c>
      <c r="E6384" t="s">
        <v>6</v>
      </c>
    </row>
    <row r="6385" spans="1:5" x14ac:dyDescent="0.2">
      <c r="A6385">
        <v>96716</v>
      </c>
      <c r="B6385" t="s">
        <v>17</v>
      </c>
      <c r="C6385">
        <v>96716</v>
      </c>
      <c r="D6385" t="str">
        <f>"96716"</f>
        <v>96716</v>
      </c>
      <c r="E6385" t="s">
        <v>6</v>
      </c>
    </row>
    <row r="6386" spans="1:5" x14ac:dyDescent="0.2">
      <c r="A6386">
        <v>96717</v>
      </c>
      <c r="B6386" t="s">
        <v>17</v>
      </c>
      <c r="C6386">
        <v>96717</v>
      </c>
      <c r="D6386" t="str">
        <f>"96717"</f>
        <v>96717</v>
      </c>
      <c r="E6386">
        <v>66.150000000000006</v>
      </c>
    </row>
    <row r="6387" spans="1:5" x14ac:dyDescent="0.2">
      <c r="A6387">
        <v>96718</v>
      </c>
      <c r="B6387" t="s">
        <v>17</v>
      </c>
      <c r="C6387">
        <v>96718</v>
      </c>
      <c r="D6387" t="str">
        <f>"96718"</f>
        <v>96718</v>
      </c>
      <c r="E6387" t="s">
        <v>6</v>
      </c>
    </row>
    <row r="6388" spans="1:5" x14ac:dyDescent="0.2">
      <c r="A6388">
        <v>96719</v>
      </c>
      <c r="B6388" t="s">
        <v>17</v>
      </c>
      <c r="C6388">
        <v>96719</v>
      </c>
      <c r="D6388" t="str">
        <f>"96719"</f>
        <v>96719</v>
      </c>
      <c r="E6388" t="s">
        <v>6</v>
      </c>
    </row>
    <row r="6389" spans="1:5" x14ac:dyDescent="0.2">
      <c r="A6389">
        <v>96720</v>
      </c>
      <c r="B6389" t="s">
        <v>17</v>
      </c>
      <c r="C6389">
        <v>96720</v>
      </c>
      <c r="D6389" t="str">
        <f>"96720"</f>
        <v>96720</v>
      </c>
      <c r="E6389">
        <v>68.66</v>
      </c>
    </row>
    <row r="6390" spans="1:5" x14ac:dyDescent="0.2">
      <c r="A6390">
        <v>96722</v>
      </c>
      <c r="B6390" t="s">
        <v>17</v>
      </c>
      <c r="C6390">
        <v>96722</v>
      </c>
      <c r="D6390" t="str">
        <f>"96722"</f>
        <v>96722</v>
      </c>
      <c r="E6390">
        <v>73.83</v>
      </c>
    </row>
    <row r="6391" spans="1:5" x14ac:dyDescent="0.2">
      <c r="A6391">
        <v>96725</v>
      </c>
      <c r="B6391" t="s">
        <v>17</v>
      </c>
      <c r="C6391">
        <v>96725</v>
      </c>
      <c r="D6391" t="str">
        <f>"96725"</f>
        <v>96725</v>
      </c>
      <c r="E6391">
        <v>69.680000000000007</v>
      </c>
    </row>
    <row r="6392" spans="1:5" x14ac:dyDescent="0.2">
      <c r="A6392">
        <v>96726</v>
      </c>
      <c r="B6392" t="s">
        <v>17</v>
      </c>
      <c r="C6392">
        <v>96726</v>
      </c>
      <c r="D6392" t="str">
        <f>"96726"</f>
        <v>96726</v>
      </c>
      <c r="E6392" t="s">
        <v>6</v>
      </c>
    </row>
    <row r="6393" spans="1:5" x14ac:dyDescent="0.2">
      <c r="A6393">
        <v>96727</v>
      </c>
      <c r="B6393" t="s">
        <v>17</v>
      </c>
      <c r="C6393">
        <v>96727</v>
      </c>
      <c r="D6393" t="str">
        <f>"96727"</f>
        <v>96727</v>
      </c>
      <c r="E6393">
        <v>69.42</v>
      </c>
    </row>
    <row r="6394" spans="1:5" x14ac:dyDescent="0.2">
      <c r="A6394">
        <v>96728</v>
      </c>
      <c r="B6394" t="s">
        <v>17</v>
      </c>
      <c r="C6394">
        <v>96728</v>
      </c>
      <c r="D6394" t="str">
        <f>"96728"</f>
        <v>96728</v>
      </c>
      <c r="E6394" t="s">
        <v>6</v>
      </c>
    </row>
    <row r="6395" spans="1:5" x14ac:dyDescent="0.2">
      <c r="A6395">
        <v>96729</v>
      </c>
      <c r="B6395" t="s">
        <v>17</v>
      </c>
      <c r="C6395">
        <v>96729</v>
      </c>
      <c r="D6395" t="str">
        <f>"96729"</f>
        <v>96729</v>
      </c>
      <c r="E6395" t="s">
        <v>6</v>
      </c>
    </row>
    <row r="6396" spans="1:5" x14ac:dyDescent="0.2">
      <c r="A6396">
        <v>96730</v>
      </c>
      <c r="B6396" t="s">
        <v>17</v>
      </c>
      <c r="C6396">
        <v>96730</v>
      </c>
      <c r="D6396" t="str">
        <f>"96730"</f>
        <v>96730</v>
      </c>
      <c r="E6396">
        <v>76.319999999999993</v>
      </c>
    </row>
    <row r="6397" spans="1:5" x14ac:dyDescent="0.2">
      <c r="A6397">
        <v>96731</v>
      </c>
      <c r="B6397" t="s">
        <v>17</v>
      </c>
      <c r="C6397">
        <v>96731</v>
      </c>
      <c r="D6397" t="str">
        <f>"96731"</f>
        <v>96731</v>
      </c>
      <c r="E6397">
        <v>67.42</v>
      </c>
    </row>
    <row r="6398" spans="1:5" x14ac:dyDescent="0.2">
      <c r="A6398">
        <v>96732</v>
      </c>
      <c r="B6398" t="s">
        <v>17</v>
      </c>
      <c r="C6398">
        <v>96732</v>
      </c>
      <c r="D6398" t="str">
        <f>"96732"</f>
        <v>96732</v>
      </c>
      <c r="E6398">
        <v>72.73</v>
      </c>
    </row>
    <row r="6399" spans="1:5" x14ac:dyDescent="0.2">
      <c r="A6399">
        <v>96734</v>
      </c>
      <c r="B6399" t="s">
        <v>17</v>
      </c>
      <c r="C6399">
        <v>96734</v>
      </c>
      <c r="D6399" t="str">
        <f>"96734"</f>
        <v>96734</v>
      </c>
      <c r="E6399">
        <v>80.27</v>
      </c>
    </row>
    <row r="6400" spans="1:5" x14ac:dyDescent="0.2">
      <c r="A6400">
        <v>96738</v>
      </c>
      <c r="B6400" t="s">
        <v>17</v>
      </c>
      <c r="C6400">
        <v>96738</v>
      </c>
      <c r="D6400" t="str">
        <f>"96738"</f>
        <v>96738</v>
      </c>
      <c r="E6400">
        <v>75.92</v>
      </c>
    </row>
    <row r="6401" spans="1:5" x14ac:dyDescent="0.2">
      <c r="A6401">
        <v>96740</v>
      </c>
      <c r="B6401" t="s">
        <v>17</v>
      </c>
      <c r="C6401">
        <v>96740</v>
      </c>
      <c r="D6401" t="str">
        <f>"96740"</f>
        <v>96740</v>
      </c>
      <c r="E6401">
        <v>71.92</v>
      </c>
    </row>
    <row r="6402" spans="1:5" x14ac:dyDescent="0.2">
      <c r="A6402">
        <v>96741</v>
      </c>
      <c r="B6402" t="s">
        <v>17</v>
      </c>
      <c r="C6402">
        <v>96741</v>
      </c>
      <c r="D6402" t="str">
        <f>"96741"</f>
        <v>96741</v>
      </c>
      <c r="E6402">
        <v>75.599999999999994</v>
      </c>
    </row>
    <row r="6403" spans="1:5" x14ac:dyDescent="0.2">
      <c r="A6403">
        <v>96742</v>
      </c>
      <c r="B6403" t="s">
        <v>17</v>
      </c>
      <c r="C6403">
        <v>96742</v>
      </c>
      <c r="D6403" t="str">
        <f>"96742"</f>
        <v>96742</v>
      </c>
      <c r="E6403" t="s">
        <v>6</v>
      </c>
    </row>
    <row r="6404" spans="1:5" x14ac:dyDescent="0.2">
      <c r="A6404">
        <v>96743</v>
      </c>
      <c r="B6404" t="s">
        <v>17</v>
      </c>
      <c r="C6404">
        <v>96743</v>
      </c>
      <c r="D6404" t="str">
        <f>"96743"</f>
        <v>96743</v>
      </c>
      <c r="E6404">
        <v>74.47</v>
      </c>
    </row>
    <row r="6405" spans="1:5" x14ac:dyDescent="0.2">
      <c r="A6405">
        <v>96744</v>
      </c>
      <c r="B6405" t="s">
        <v>17</v>
      </c>
      <c r="C6405">
        <v>96744</v>
      </c>
      <c r="D6405" t="str">
        <f>"96744"</f>
        <v>96744</v>
      </c>
      <c r="E6405">
        <v>80.92</v>
      </c>
    </row>
    <row r="6406" spans="1:5" x14ac:dyDescent="0.2">
      <c r="A6406">
        <v>96746</v>
      </c>
      <c r="B6406" t="s">
        <v>17</v>
      </c>
      <c r="C6406">
        <v>96746</v>
      </c>
      <c r="D6406" t="str">
        <f>"96746"</f>
        <v>96746</v>
      </c>
      <c r="E6406">
        <v>73.64</v>
      </c>
    </row>
    <row r="6407" spans="1:5" x14ac:dyDescent="0.2">
      <c r="A6407">
        <v>96747</v>
      </c>
      <c r="B6407" t="s">
        <v>17</v>
      </c>
      <c r="C6407">
        <v>96747</v>
      </c>
      <c r="D6407" t="str">
        <f>"96747"</f>
        <v>96747</v>
      </c>
      <c r="E6407" t="s">
        <v>6</v>
      </c>
    </row>
    <row r="6408" spans="1:5" x14ac:dyDescent="0.2">
      <c r="A6408">
        <v>96748</v>
      </c>
      <c r="B6408" t="s">
        <v>17</v>
      </c>
      <c r="C6408">
        <v>96748</v>
      </c>
      <c r="D6408" t="str">
        <f>"96748"</f>
        <v>96748</v>
      </c>
      <c r="E6408">
        <v>58.97</v>
      </c>
    </row>
    <row r="6409" spans="1:5" x14ac:dyDescent="0.2">
      <c r="A6409">
        <v>96749</v>
      </c>
      <c r="B6409" t="s">
        <v>17</v>
      </c>
      <c r="C6409">
        <v>96749</v>
      </c>
      <c r="D6409" t="str">
        <f>"96749"</f>
        <v>96749</v>
      </c>
      <c r="E6409">
        <v>63.22</v>
      </c>
    </row>
    <row r="6410" spans="1:5" x14ac:dyDescent="0.2">
      <c r="A6410">
        <v>96750</v>
      </c>
      <c r="B6410" t="s">
        <v>17</v>
      </c>
      <c r="C6410">
        <v>96750</v>
      </c>
      <c r="D6410" t="str">
        <f>"96750"</f>
        <v>96750</v>
      </c>
      <c r="E6410">
        <v>66.91</v>
      </c>
    </row>
    <row r="6411" spans="1:5" x14ac:dyDescent="0.2">
      <c r="A6411">
        <v>96751</v>
      </c>
      <c r="B6411" t="s">
        <v>17</v>
      </c>
      <c r="C6411">
        <v>96751</v>
      </c>
      <c r="D6411" t="str">
        <f>"96751"</f>
        <v>96751</v>
      </c>
      <c r="E6411" t="s">
        <v>6</v>
      </c>
    </row>
    <row r="6412" spans="1:5" x14ac:dyDescent="0.2">
      <c r="A6412">
        <v>96752</v>
      </c>
      <c r="B6412" t="s">
        <v>17</v>
      </c>
      <c r="C6412">
        <v>96752</v>
      </c>
      <c r="D6412" t="str">
        <f>"96752"</f>
        <v>96752</v>
      </c>
      <c r="E6412" t="s">
        <v>6</v>
      </c>
    </row>
    <row r="6413" spans="1:5" x14ac:dyDescent="0.2">
      <c r="A6413">
        <v>96753</v>
      </c>
      <c r="B6413" t="s">
        <v>17</v>
      </c>
      <c r="C6413">
        <v>96753</v>
      </c>
      <c r="D6413" t="str">
        <f>"96753"</f>
        <v>96753</v>
      </c>
      <c r="E6413">
        <v>76.94</v>
      </c>
    </row>
    <row r="6414" spans="1:5" x14ac:dyDescent="0.2">
      <c r="A6414">
        <v>96754</v>
      </c>
      <c r="B6414" t="s">
        <v>17</v>
      </c>
      <c r="C6414">
        <v>96754</v>
      </c>
      <c r="D6414" t="str">
        <f>"96754"</f>
        <v>96754</v>
      </c>
      <c r="E6414">
        <v>72.540000000000006</v>
      </c>
    </row>
    <row r="6415" spans="1:5" x14ac:dyDescent="0.2">
      <c r="A6415">
        <v>96755</v>
      </c>
      <c r="B6415" t="s">
        <v>17</v>
      </c>
      <c r="C6415">
        <v>96755</v>
      </c>
      <c r="D6415" t="str">
        <f>"96755"</f>
        <v>96755</v>
      </c>
      <c r="E6415" t="s">
        <v>6</v>
      </c>
    </row>
    <row r="6416" spans="1:5" x14ac:dyDescent="0.2">
      <c r="A6416">
        <v>96756</v>
      </c>
      <c r="B6416" t="s">
        <v>17</v>
      </c>
      <c r="C6416">
        <v>96756</v>
      </c>
      <c r="D6416" t="str">
        <f>"96756"</f>
        <v>96756</v>
      </c>
      <c r="E6416">
        <v>76.12</v>
      </c>
    </row>
    <row r="6417" spans="1:5" x14ac:dyDescent="0.2">
      <c r="A6417">
        <v>96757</v>
      </c>
      <c r="B6417" t="s">
        <v>17</v>
      </c>
      <c r="C6417">
        <v>96757</v>
      </c>
      <c r="D6417" t="str">
        <f>"96757"</f>
        <v>96757</v>
      </c>
      <c r="E6417" t="s">
        <v>6</v>
      </c>
    </row>
    <row r="6418" spans="1:5" x14ac:dyDescent="0.2">
      <c r="A6418">
        <v>96759</v>
      </c>
      <c r="B6418" t="s">
        <v>17</v>
      </c>
      <c r="C6418">
        <v>96759</v>
      </c>
      <c r="D6418" t="str">
        <f>"96759"</f>
        <v>96759</v>
      </c>
      <c r="E6418" t="s">
        <v>6</v>
      </c>
    </row>
    <row r="6419" spans="1:5" x14ac:dyDescent="0.2">
      <c r="A6419">
        <v>96760</v>
      </c>
      <c r="B6419" t="s">
        <v>17</v>
      </c>
      <c r="C6419">
        <v>96760</v>
      </c>
      <c r="D6419" t="str">
        <f>"96760"</f>
        <v>96760</v>
      </c>
      <c r="E6419">
        <v>62.96</v>
      </c>
    </row>
    <row r="6420" spans="1:5" x14ac:dyDescent="0.2">
      <c r="A6420">
        <v>96761</v>
      </c>
      <c r="B6420" t="s">
        <v>17</v>
      </c>
      <c r="C6420">
        <v>96761</v>
      </c>
      <c r="D6420" t="str">
        <f>"96761"</f>
        <v>96761</v>
      </c>
      <c r="E6420">
        <v>78.63</v>
      </c>
    </row>
    <row r="6421" spans="1:5" x14ac:dyDescent="0.2">
      <c r="A6421">
        <v>96762</v>
      </c>
      <c r="B6421" t="s">
        <v>17</v>
      </c>
      <c r="C6421">
        <v>96762</v>
      </c>
      <c r="D6421" t="str">
        <f>"96762"</f>
        <v>96762</v>
      </c>
      <c r="E6421">
        <v>42.92</v>
      </c>
    </row>
    <row r="6422" spans="1:5" x14ac:dyDescent="0.2">
      <c r="A6422">
        <v>96763</v>
      </c>
      <c r="B6422" t="s">
        <v>17</v>
      </c>
      <c r="C6422">
        <v>96763</v>
      </c>
      <c r="D6422" t="str">
        <f>"96763"</f>
        <v>96763</v>
      </c>
      <c r="E6422" t="s">
        <v>6</v>
      </c>
    </row>
    <row r="6423" spans="1:5" x14ac:dyDescent="0.2">
      <c r="A6423">
        <v>96764</v>
      </c>
      <c r="B6423" t="s">
        <v>17</v>
      </c>
      <c r="C6423">
        <v>96764</v>
      </c>
      <c r="D6423" t="str">
        <f>"96764"</f>
        <v>96764</v>
      </c>
      <c r="E6423" t="s">
        <v>6</v>
      </c>
    </row>
    <row r="6424" spans="1:5" x14ac:dyDescent="0.2">
      <c r="A6424">
        <v>96765</v>
      </c>
      <c r="B6424" t="s">
        <v>17</v>
      </c>
      <c r="C6424">
        <v>96765</v>
      </c>
      <c r="D6424" t="str">
        <f>"96765"</f>
        <v>96765</v>
      </c>
      <c r="E6424" t="s">
        <v>6</v>
      </c>
    </row>
    <row r="6425" spans="1:5" x14ac:dyDescent="0.2">
      <c r="A6425">
        <v>96766</v>
      </c>
      <c r="B6425" t="s">
        <v>17</v>
      </c>
      <c r="C6425">
        <v>96766</v>
      </c>
      <c r="D6425" t="str">
        <f>"96766"</f>
        <v>96766</v>
      </c>
      <c r="E6425">
        <v>75.56</v>
      </c>
    </row>
    <row r="6426" spans="1:5" x14ac:dyDescent="0.2">
      <c r="A6426">
        <v>96768</v>
      </c>
      <c r="B6426" t="s">
        <v>17</v>
      </c>
      <c r="C6426">
        <v>96768</v>
      </c>
      <c r="D6426" t="str">
        <f>"96768"</f>
        <v>96768</v>
      </c>
      <c r="E6426">
        <v>73.75</v>
      </c>
    </row>
    <row r="6427" spans="1:5" x14ac:dyDescent="0.2">
      <c r="A6427">
        <v>96769</v>
      </c>
      <c r="B6427" t="s">
        <v>17</v>
      </c>
      <c r="C6427">
        <v>96769</v>
      </c>
      <c r="D6427" t="str">
        <f>"96769"</f>
        <v>96769</v>
      </c>
      <c r="E6427" t="s">
        <v>6</v>
      </c>
    </row>
    <row r="6428" spans="1:5" x14ac:dyDescent="0.2">
      <c r="A6428">
        <v>96770</v>
      </c>
      <c r="B6428" t="s">
        <v>17</v>
      </c>
      <c r="C6428">
        <v>96770</v>
      </c>
      <c r="D6428" t="str">
        <f>"96770"</f>
        <v>96770</v>
      </c>
      <c r="E6428" t="s">
        <v>6</v>
      </c>
    </row>
    <row r="6429" spans="1:5" x14ac:dyDescent="0.2">
      <c r="A6429">
        <v>96771</v>
      </c>
      <c r="B6429" t="s">
        <v>17</v>
      </c>
      <c r="C6429">
        <v>96771</v>
      </c>
      <c r="D6429" t="str">
        <f>"96771"</f>
        <v>96771</v>
      </c>
      <c r="E6429">
        <v>58.18</v>
      </c>
    </row>
    <row r="6430" spans="1:5" x14ac:dyDescent="0.2">
      <c r="A6430">
        <v>96772</v>
      </c>
      <c r="B6430" t="s">
        <v>17</v>
      </c>
      <c r="C6430">
        <v>96772</v>
      </c>
      <c r="D6430" t="str">
        <f>"96772"</f>
        <v>96772</v>
      </c>
      <c r="E6430" t="s">
        <v>6</v>
      </c>
    </row>
    <row r="6431" spans="1:5" x14ac:dyDescent="0.2">
      <c r="A6431">
        <v>96773</v>
      </c>
      <c r="B6431" t="s">
        <v>17</v>
      </c>
      <c r="C6431">
        <v>96773</v>
      </c>
      <c r="D6431" t="str">
        <f>"96773"</f>
        <v>96773</v>
      </c>
      <c r="E6431" t="s">
        <v>6</v>
      </c>
    </row>
    <row r="6432" spans="1:5" x14ac:dyDescent="0.2">
      <c r="A6432">
        <v>96774</v>
      </c>
      <c r="B6432" t="s">
        <v>17</v>
      </c>
      <c r="C6432">
        <v>96774</v>
      </c>
      <c r="D6432" t="str">
        <f>"96774"</f>
        <v>96774</v>
      </c>
      <c r="E6432" t="s">
        <v>6</v>
      </c>
    </row>
    <row r="6433" spans="1:5" x14ac:dyDescent="0.2">
      <c r="A6433">
        <v>96776</v>
      </c>
      <c r="B6433" t="s">
        <v>17</v>
      </c>
      <c r="C6433">
        <v>96776</v>
      </c>
      <c r="D6433" t="str">
        <f>"96776"</f>
        <v>96776</v>
      </c>
      <c r="E6433" t="s">
        <v>6</v>
      </c>
    </row>
    <row r="6434" spans="1:5" x14ac:dyDescent="0.2">
      <c r="A6434">
        <v>96777</v>
      </c>
      <c r="B6434" t="s">
        <v>17</v>
      </c>
      <c r="C6434">
        <v>96777</v>
      </c>
      <c r="D6434" t="str">
        <f>"96777"</f>
        <v>96777</v>
      </c>
      <c r="E6434" t="s">
        <v>6</v>
      </c>
    </row>
    <row r="6435" spans="1:5" x14ac:dyDescent="0.2">
      <c r="A6435">
        <v>96778</v>
      </c>
      <c r="B6435" t="s">
        <v>17</v>
      </c>
      <c r="C6435">
        <v>96778</v>
      </c>
      <c r="D6435" t="str">
        <f>"96778"</f>
        <v>96778</v>
      </c>
      <c r="E6435">
        <v>55.28</v>
      </c>
    </row>
    <row r="6436" spans="1:5" x14ac:dyDescent="0.2">
      <c r="A6436">
        <v>96779</v>
      </c>
      <c r="B6436" t="s">
        <v>17</v>
      </c>
      <c r="C6436">
        <v>96779</v>
      </c>
      <c r="D6436" t="str">
        <f>"96779"</f>
        <v>96779</v>
      </c>
      <c r="E6436">
        <v>71</v>
      </c>
    </row>
    <row r="6437" spans="1:5" x14ac:dyDescent="0.2">
      <c r="A6437">
        <v>96780</v>
      </c>
      <c r="B6437" t="s">
        <v>17</v>
      </c>
      <c r="C6437">
        <v>96780</v>
      </c>
      <c r="D6437" t="str">
        <f>"96780"</f>
        <v>96780</v>
      </c>
      <c r="E6437" t="s">
        <v>6</v>
      </c>
    </row>
    <row r="6438" spans="1:5" x14ac:dyDescent="0.2">
      <c r="A6438">
        <v>96781</v>
      </c>
      <c r="B6438" t="s">
        <v>17</v>
      </c>
      <c r="C6438">
        <v>96781</v>
      </c>
      <c r="D6438" t="str">
        <f>"96781"</f>
        <v>96781</v>
      </c>
      <c r="E6438">
        <v>68.67</v>
      </c>
    </row>
    <row r="6439" spans="1:5" x14ac:dyDescent="0.2">
      <c r="A6439">
        <v>96782</v>
      </c>
      <c r="B6439" t="s">
        <v>17</v>
      </c>
      <c r="C6439">
        <v>96782</v>
      </c>
      <c r="D6439" t="str">
        <f>"96782"</f>
        <v>96782</v>
      </c>
      <c r="E6439">
        <v>78.599999999999994</v>
      </c>
    </row>
    <row r="6440" spans="1:5" x14ac:dyDescent="0.2">
      <c r="A6440">
        <v>96783</v>
      </c>
      <c r="B6440" t="s">
        <v>17</v>
      </c>
      <c r="C6440">
        <v>96783</v>
      </c>
      <c r="D6440" t="str">
        <f>"96783"</f>
        <v>96783</v>
      </c>
      <c r="E6440">
        <v>60.2</v>
      </c>
    </row>
    <row r="6441" spans="1:5" x14ac:dyDescent="0.2">
      <c r="A6441">
        <v>96784</v>
      </c>
      <c r="B6441" t="s">
        <v>17</v>
      </c>
      <c r="C6441">
        <v>96784</v>
      </c>
      <c r="D6441" t="str">
        <f>"96784"</f>
        <v>96784</v>
      </c>
      <c r="E6441" t="s">
        <v>6</v>
      </c>
    </row>
    <row r="6442" spans="1:5" x14ac:dyDescent="0.2">
      <c r="A6442">
        <v>96785</v>
      </c>
      <c r="B6442" t="s">
        <v>17</v>
      </c>
      <c r="C6442">
        <v>96785</v>
      </c>
      <c r="D6442" t="str">
        <f>"96785"</f>
        <v>96785</v>
      </c>
      <c r="E6442" t="s">
        <v>6</v>
      </c>
    </row>
    <row r="6443" spans="1:5" x14ac:dyDescent="0.2">
      <c r="A6443">
        <v>96786</v>
      </c>
      <c r="B6443" t="s">
        <v>17</v>
      </c>
      <c r="C6443">
        <v>96786</v>
      </c>
      <c r="D6443" t="str">
        <f>"96786"</f>
        <v>96786</v>
      </c>
      <c r="E6443">
        <v>68.180000000000007</v>
      </c>
    </row>
    <row r="6444" spans="1:5" x14ac:dyDescent="0.2">
      <c r="A6444">
        <v>96789</v>
      </c>
      <c r="B6444" t="s">
        <v>17</v>
      </c>
      <c r="C6444">
        <v>96789</v>
      </c>
      <c r="D6444" t="str">
        <f>"96789"</f>
        <v>96789</v>
      </c>
      <c r="E6444">
        <v>82.77</v>
      </c>
    </row>
    <row r="6445" spans="1:5" x14ac:dyDescent="0.2">
      <c r="A6445">
        <v>96790</v>
      </c>
      <c r="B6445" t="s">
        <v>17</v>
      </c>
      <c r="C6445">
        <v>96790</v>
      </c>
      <c r="D6445" t="str">
        <f>"96790"</f>
        <v>96790</v>
      </c>
      <c r="E6445">
        <v>74.540000000000006</v>
      </c>
    </row>
    <row r="6446" spans="1:5" x14ac:dyDescent="0.2">
      <c r="A6446">
        <v>96791</v>
      </c>
      <c r="B6446" t="s">
        <v>17</v>
      </c>
      <c r="C6446">
        <v>96791</v>
      </c>
      <c r="D6446" t="str">
        <f>"96791"</f>
        <v>96791</v>
      </c>
      <c r="E6446">
        <v>75.53</v>
      </c>
    </row>
    <row r="6447" spans="1:5" x14ac:dyDescent="0.2">
      <c r="A6447">
        <v>96792</v>
      </c>
      <c r="B6447" t="s">
        <v>17</v>
      </c>
      <c r="C6447">
        <v>96792</v>
      </c>
      <c r="D6447" t="str">
        <f>"96792"</f>
        <v>96792</v>
      </c>
      <c r="E6447">
        <v>62.95</v>
      </c>
    </row>
    <row r="6448" spans="1:5" x14ac:dyDescent="0.2">
      <c r="A6448">
        <v>96793</v>
      </c>
      <c r="B6448" t="s">
        <v>17</v>
      </c>
      <c r="C6448">
        <v>96793</v>
      </c>
      <c r="D6448" t="str">
        <f>"96793"</f>
        <v>96793</v>
      </c>
      <c r="E6448">
        <v>74.819999999999993</v>
      </c>
    </row>
    <row r="6449" spans="1:5" x14ac:dyDescent="0.2">
      <c r="A6449">
        <v>96795</v>
      </c>
      <c r="B6449" t="s">
        <v>17</v>
      </c>
      <c r="C6449">
        <v>96795</v>
      </c>
      <c r="D6449" t="str">
        <f>"96795"</f>
        <v>96795</v>
      </c>
      <c r="E6449">
        <v>70.89</v>
      </c>
    </row>
    <row r="6450" spans="1:5" x14ac:dyDescent="0.2">
      <c r="A6450">
        <v>96796</v>
      </c>
      <c r="B6450" t="s">
        <v>17</v>
      </c>
      <c r="C6450">
        <v>96796</v>
      </c>
      <c r="D6450" t="str">
        <f>"96796"</f>
        <v>96796</v>
      </c>
      <c r="E6450" t="s">
        <v>6</v>
      </c>
    </row>
    <row r="6451" spans="1:5" x14ac:dyDescent="0.2">
      <c r="A6451">
        <v>96797</v>
      </c>
      <c r="B6451" t="s">
        <v>17</v>
      </c>
      <c r="C6451">
        <v>96797</v>
      </c>
      <c r="D6451" t="str">
        <f>"96797"</f>
        <v>96797</v>
      </c>
      <c r="E6451">
        <v>75.069999999999993</v>
      </c>
    </row>
    <row r="6452" spans="1:5" x14ac:dyDescent="0.2">
      <c r="A6452">
        <v>96813</v>
      </c>
      <c r="B6452" t="s">
        <v>17</v>
      </c>
      <c r="C6452">
        <v>96813</v>
      </c>
      <c r="D6452" t="str">
        <f>"96813"</f>
        <v>96813</v>
      </c>
      <c r="E6452">
        <v>79.77</v>
      </c>
    </row>
    <row r="6453" spans="1:5" x14ac:dyDescent="0.2">
      <c r="A6453">
        <v>96814</v>
      </c>
      <c r="B6453" t="s">
        <v>17</v>
      </c>
      <c r="C6453">
        <v>96814</v>
      </c>
      <c r="D6453" t="str">
        <f>"96814"</f>
        <v>96814</v>
      </c>
      <c r="E6453">
        <v>77.83</v>
      </c>
    </row>
    <row r="6454" spans="1:5" x14ac:dyDescent="0.2">
      <c r="A6454">
        <v>96815</v>
      </c>
      <c r="B6454" t="s">
        <v>17</v>
      </c>
      <c r="C6454">
        <v>96815</v>
      </c>
      <c r="D6454" t="str">
        <f>"96815"</f>
        <v>96815</v>
      </c>
      <c r="E6454">
        <v>80.680000000000007</v>
      </c>
    </row>
    <row r="6455" spans="1:5" x14ac:dyDescent="0.2">
      <c r="A6455">
        <v>96816</v>
      </c>
      <c r="B6455" t="s">
        <v>17</v>
      </c>
      <c r="C6455">
        <v>96816</v>
      </c>
      <c r="D6455" t="str">
        <f>"96816"</f>
        <v>96816</v>
      </c>
      <c r="E6455">
        <v>78.819999999999993</v>
      </c>
    </row>
    <row r="6456" spans="1:5" x14ac:dyDescent="0.2">
      <c r="A6456">
        <v>96817</v>
      </c>
      <c r="B6456" t="s">
        <v>17</v>
      </c>
      <c r="C6456">
        <v>96817</v>
      </c>
      <c r="D6456" t="str">
        <f>"96817"</f>
        <v>96817</v>
      </c>
      <c r="E6456">
        <v>69.819999999999993</v>
      </c>
    </row>
    <row r="6457" spans="1:5" x14ac:dyDescent="0.2">
      <c r="A6457">
        <v>96818</v>
      </c>
      <c r="B6457" t="s">
        <v>17</v>
      </c>
      <c r="C6457">
        <v>96818</v>
      </c>
      <c r="D6457" t="str">
        <f>"96818"</f>
        <v>96818</v>
      </c>
      <c r="E6457">
        <v>75.63</v>
      </c>
    </row>
    <row r="6458" spans="1:5" x14ac:dyDescent="0.2">
      <c r="A6458">
        <v>96819</v>
      </c>
      <c r="B6458" t="s">
        <v>17</v>
      </c>
      <c r="C6458">
        <v>96819</v>
      </c>
      <c r="D6458" t="str">
        <f>"96819"</f>
        <v>96819</v>
      </c>
      <c r="E6458">
        <v>69.83</v>
      </c>
    </row>
    <row r="6459" spans="1:5" x14ac:dyDescent="0.2">
      <c r="A6459">
        <v>96821</v>
      </c>
      <c r="B6459" t="s">
        <v>17</v>
      </c>
      <c r="C6459">
        <v>96821</v>
      </c>
      <c r="D6459" t="str">
        <f>"96821"</f>
        <v>96821</v>
      </c>
      <c r="E6459">
        <v>81.52</v>
      </c>
    </row>
    <row r="6460" spans="1:5" x14ac:dyDescent="0.2">
      <c r="A6460">
        <v>96822</v>
      </c>
      <c r="B6460" t="s">
        <v>17</v>
      </c>
      <c r="C6460">
        <v>96822</v>
      </c>
      <c r="D6460" t="str">
        <f>"96822"</f>
        <v>96822</v>
      </c>
      <c r="E6460">
        <v>79.8</v>
      </c>
    </row>
    <row r="6461" spans="1:5" x14ac:dyDescent="0.2">
      <c r="A6461">
        <v>96825</v>
      </c>
      <c r="B6461" t="s">
        <v>17</v>
      </c>
      <c r="C6461">
        <v>96825</v>
      </c>
      <c r="D6461" t="str">
        <f>"96825"</f>
        <v>96825</v>
      </c>
      <c r="E6461">
        <v>82.5</v>
      </c>
    </row>
    <row r="6462" spans="1:5" x14ac:dyDescent="0.2">
      <c r="A6462">
        <v>96826</v>
      </c>
      <c r="B6462" t="s">
        <v>17</v>
      </c>
      <c r="C6462">
        <v>96826</v>
      </c>
      <c r="D6462" t="str">
        <f>"96826"</f>
        <v>96826</v>
      </c>
      <c r="E6462">
        <v>75.19</v>
      </c>
    </row>
    <row r="6463" spans="1:5" x14ac:dyDescent="0.2">
      <c r="A6463">
        <v>96850</v>
      </c>
      <c r="B6463" t="s">
        <v>17</v>
      </c>
      <c r="C6463">
        <v>96850</v>
      </c>
      <c r="D6463" t="str">
        <f>"96850"</f>
        <v>96850</v>
      </c>
      <c r="E6463" t="s">
        <v>6</v>
      </c>
    </row>
    <row r="6464" spans="1:5" x14ac:dyDescent="0.2">
      <c r="A6464">
        <v>96853</v>
      </c>
      <c r="B6464" t="s">
        <v>17</v>
      </c>
      <c r="C6464">
        <v>96853</v>
      </c>
      <c r="D6464" t="str">
        <f>"96853"</f>
        <v>96853</v>
      </c>
      <c r="E6464" t="s">
        <v>6</v>
      </c>
    </row>
    <row r="6465" spans="1:5" x14ac:dyDescent="0.2">
      <c r="A6465">
        <v>96857</v>
      </c>
      <c r="B6465" t="s">
        <v>17</v>
      </c>
      <c r="C6465">
        <v>96857</v>
      </c>
      <c r="D6465" t="str">
        <f>"96857"</f>
        <v>96857</v>
      </c>
      <c r="E6465" t="s">
        <v>6</v>
      </c>
    </row>
    <row r="6466" spans="1:5" x14ac:dyDescent="0.2">
      <c r="A6466">
        <v>96858</v>
      </c>
      <c r="B6466" t="s">
        <v>17</v>
      </c>
      <c r="C6466">
        <v>96858</v>
      </c>
      <c r="D6466" t="str">
        <f>"96858"</f>
        <v>96858</v>
      </c>
      <c r="E6466" t="s">
        <v>6</v>
      </c>
    </row>
    <row r="6467" spans="1:5" x14ac:dyDescent="0.2">
      <c r="A6467">
        <v>96859</v>
      </c>
      <c r="B6467" t="s">
        <v>17</v>
      </c>
      <c r="C6467">
        <v>96859</v>
      </c>
      <c r="D6467" t="str">
        <f>"96859"</f>
        <v>96859</v>
      </c>
      <c r="E6467" t="s">
        <v>6</v>
      </c>
    </row>
    <row r="6468" spans="1:5" x14ac:dyDescent="0.2">
      <c r="A6468">
        <v>96860</v>
      </c>
      <c r="B6468" t="s">
        <v>17</v>
      </c>
      <c r="C6468">
        <v>96860</v>
      </c>
      <c r="D6468" t="str">
        <f>"96860"</f>
        <v>96860</v>
      </c>
      <c r="E6468" t="s">
        <v>6</v>
      </c>
    </row>
    <row r="6469" spans="1:5" x14ac:dyDescent="0.2">
      <c r="A6469">
        <v>96861</v>
      </c>
      <c r="B6469" t="s">
        <v>17</v>
      </c>
      <c r="C6469">
        <v>96861</v>
      </c>
      <c r="D6469" t="str">
        <f>"96861"</f>
        <v>96861</v>
      </c>
      <c r="E6469" t="s">
        <v>6</v>
      </c>
    </row>
    <row r="6470" spans="1:5" x14ac:dyDescent="0.2">
      <c r="A6470">
        <v>96863</v>
      </c>
      <c r="B6470" t="s">
        <v>17</v>
      </c>
      <c r="C6470">
        <v>96863</v>
      </c>
      <c r="D6470" t="str">
        <f>"96863"</f>
        <v>96863</v>
      </c>
      <c r="E6470" t="s">
        <v>6</v>
      </c>
    </row>
    <row r="6471" spans="1:5" x14ac:dyDescent="0.2">
      <c r="A6471">
        <v>50001</v>
      </c>
      <c r="B6471" t="s">
        <v>18</v>
      </c>
      <c r="C6471">
        <v>50001</v>
      </c>
      <c r="D6471" t="str">
        <f>"50001"</f>
        <v>50001</v>
      </c>
      <c r="E6471">
        <v>79.31</v>
      </c>
    </row>
    <row r="6472" spans="1:5" x14ac:dyDescent="0.2">
      <c r="A6472">
        <v>50002</v>
      </c>
      <c r="B6472" t="s">
        <v>18</v>
      </c>
      <c r="C6472">
        <v>50002</v>
      </c>
      <c r="D6472" t="str">
        <f>"50002"</f>
        <v>50002</v>
      </c>
      <c r="E6472">
        <v>75.86</v>
      </c>
    </row>
    <row r="6473" spans="1:5" x14ac:dyDescent="0.2">
      <c r="A6473">
        <v>50003</v>
      </c>
      <c r="B6473" t="s">
        <v>18</v>
      </c>
      <c r="C6473">
        <v>50003</v>
      </c>
      <c r="D6473" t="str">
        <f>"50003"</f>
        <v>50003</v>
      </c>
      <c r="E6473">
        <v>81.400000000000006</v>
      </c>
    </row>
    <row r="6474" spans="1:5" x14ac:dyDescent="0.2">
      <c r="A6474">
        <v>50005</v>
      </c>
      <c r="B6474" t="s">
        <v>18</v>
      </c>
      <c r="C6474">
        <v>50005</v>
      </c>
      <c r="D6474" t="str">
        <f>"50005"</f>
        <v>50005</v>
      </c>
      <c r="E6474">
        <v>69.7</v>
      </c>
    </row>
    <row r="6475" spans="1:5" x14ac:dyDescent="0.2">
      <c r="A6475">
        <v>50006</v>
      </c>
      <c r="B6475" t="s">
        <v>18</v>
      </c>
      <c r="C6475">
        <v>50006</v>
      </c>
      <c r="D6475" t="str">
        <f>"50006"</f>
        <v>50006</v>
      </c>
      <c r="E6475">
        <v>77.78</v>
      </c>
    </row>
    <row r="6476" spans="1:5" x14ac:dyDescent="0.2">
      <c r="A6476">
        <v>50007</v>
      </c>
      <c r="B6476" t="s">
        <v>18</v>
      </c>
      <c r="C6476">
        <v>50007</v>
      </c>
      <c r="D6476" t="str">
        <f>"50007"</f>
        <v>50007</v>
      </c>
      <c r="E6476">
        <v>76.92</v>
      </c>
    </row>
    <row r="6477" spans="1:5" x14ac:dyDescent="0.2">
      <c r="A6477">
        <v>50008</v>
      </c>
      <c r="B6477" t="s">
        <v>18</v>
      </c>
      <c r="C6477">
        <v>50008</v>
      </c>
      <c r="D6477" t="str">
        <f>"50008"</f>
        <v>50008</v>
      </c>
      <c r="E6477">
        <v>66.67</v>
      </c>
    </row>
    <row r="6478" spans="1:5" x14ac:dyDescent="0.2">
      <c r="A6478">
        <v>50009</v>
      </c>
      <c r="B6478" t="s">
        <v>18</v>
      </c>
      <c r="C6478">
        <v>50009</v>
      </c>
      <c r="D6478" t="str">
        <f>"50009"</f>
        <v>50009</v>
      </c>
      <c r="E6478">
        <v>80.37</v>
      </c>
    </row>
    <row r="6479" spans="1:5" x14ac:dyDescent="0.2">
      <c r="A6479">
        <v>50010</v>
      </c>
      <c r="B6479" t="s">
        <v>18</v>
      </c>
      <c r="C6479">
        <v>50010</v>
      </c>
      <c r="D6479" t="str">
        <f>"50010"</f>
        <v>50010</v>
      </c>
      <c r="E6479">
        <v>77.84</v>
      </c>
    </row>
    <row r="6480" spans="1:5" x14ac:dyDescent="0.2">
      <c r="A6480">
        <v>50011</v>
      </c>
      <c r="B6480" t="s">
        <v>18</v>
      </c>
      <c r="C6480">
        <v>50011</v>
      </c>
      <c r="D6480" t="str">
        <f>"50011"</f>
        <v>50011</v>
      </c>
      <c r="E6480" t="s">
        <v>6</v>
      </c>
    </row>
    <row r="6481" spans="1:5" x14ac:dyDescent="0.2">
      <c r="A6481">
        <v>50012</v>
      </c>
      <c r="B6481" t="s">
        <v>18</v>
      </c>
      <c r="C6481">
        <v>50012</v>
      </c>
      <c r="D6481" t="str">
        <f>"50012"</f>
        <v>50012</v>
      </c>
      <c r="E6481" t="s">
        <v>6</v>
      </c>
    </row>
    <row r="6482" spans="1:5" x14ac:dyDescent="0.2">
      <c r="A6482">
        <v>50013</v>
      </c>
      <c r="B6482" t="s">
        <v>18</v>
      </c>
      <c r="C6482">
        <v>50013</v>
      </c>
      <c r="D6482" t="str">
        <f>"50013"</f>
        <v>50013</v>
      </c>
      <c r="E6482" t="s">
        <v>6</v>
      </c>
    </row>
    <row r="6483" spans="1:5" x14ac:dyDescent="0.2">
      <c r="A6483">
        <v>50014</v>
      </c>
      <c r="B6483" t="s">
        <v>18</v>
      </c>
      <c r="C6483">
        <v>50014</v>
      </c>
      <c r="D6483" t="str">
        <f>"50014"</f>
        <v>50014</v>
      </c>
      <c r="E6483">
        <v>76.25</v>
      </c>
    </row>
    <row r="6484" spans="1:5" x14ac:dyDescent="0.2">
      <c r="A6484">
        <v>50020</v>
      </c>
      <c r="B6484" t="s">
        <v>18</v>
      </c>
      <c r="C6484">
        <v>50020</v>
      </c>
      <c r="D6484" t="str">
        <f>"50020"</f>
        <v>50020</v>
      </c>
      <c r="E6484">
        <v>75</v>
      </c>
    </row>
    <row r="6485" spans="1:5" x14ac:dyDescent="0.2">
      <c r="A6485">
        <v>50021</v>
      </c>
      <c r="B6485" t="s">
        <v>18</v>
      </c>
      <c r="C6485">
        <v>50021</v>
      </c>
      <c r="D6485" t="str">
        <f>"50021"</f>
        <v>50021</v>
      </c>
      <c r="E6485">
        <v>82.59</v>
      </c>
    </row>
    <row r="6486" spans="1:5" x14ac:dyDescent="0.2">
      <c r="A6486">
        <v>50022</v>
      </c>
      <c r="B6486" t="s">
        <v>18</v>
      </c>
      <c r="C6486">
        <v>50022</v>
      </c>
      <c r="D6486" t="str">
        <f>"50022"</f>
        <v>50022</v>
      </c>
      <c r="E6486">
        <v>70.400000000000006</v>
      </c>
    </row>
    <row r="6487" spans="1:5" x14ac:dyDescent="0.2">
      <c r="A6487">
        <v>50023</v>
      </c>
      <c r="B6487" t="s">
        <v>18</v>
      </c>
      <c r="C6487">
        <v>50023</v>
      </c>
      <c r="D6487" t="str">
        <f>"50023"</f>
        <v>50023</v>
      </c>
      <c r="E6487">
        <v>84.23</v>
      </c>
    </row>
    <row r="6488" spans="1:5" x14ac:dyDescent="0.2">
      <c r="A6488">
        <v>50025</v>
      </c>
      <c r="B6488" t="s">
        <v>18</v>
      </c>
      <c r="C6488">
        <v>50025</v>
      </c>
      <c r="D6488" t="str">
        <f>"50025"</f>
        <v>50025</v>
      </c>
      <c r="E6488">
        <v>73.760000000000005</v>
      </c>
    </row>
    <row r="6489" spans="1:5" x14ac:dyDescent="0.2">
      <c r="A6489">
        <v>50026</v>
      </c>
      <c r="B6489" t="s">
        <v>18</v>
      </c>
      <c r="C6489">
        <v>50026</v>
      </c>
      <c r="D6489" t="str">
        <f>"50026"</f>
        <v>50026</v>
      </c>
      <c r="E6489">
        <v>72.73</v>
      </c>
    </row>
    <row r="6490" spans="1:5" x14ac:dyDescent="0.2">
      <c r="A6490">
        <v>50027</v>
      </c>
      <c r="B6490" t="s">
        <v>18</v>
      </c>
      <c r="C6490">
        <v>50027</v>
      </c>
      <c r="D6490" t="str">
        <f>"50027"</f>
        <v>50027</v>
      </c>
      <c r="E6490">
        <v>83.33</v>
      </c>
    </row>
    <row r="6491" spans="1:5" x14ac:dyDescent="0.2">
      <c r="A6491">
        <v>50028</v>
      </c>
      <c r="B6491" t="s">
        <v>18</v>
      </c>
      <c r="C6491">
        <v>50028</v>
      </c>
      <c r="D6491" t="str">
        <f>"50028"</f>
        <v>50028</v>
      </c>
      <c r="E6491">
        <v>77.03</v>
      </c>
    </row>
    <row r="6492" spans="1:5" x14ac:dyDescent="0.2">
      <c r="A6492">
        <v>50029</v>
      </c>
      <c r="B6492" t="s">
        <v>18</v>
      </c>
      <c r="C6492">
        <v>50029</v>
      </c>
      <c r="D6492" t="str">
        <f>"50029"</f>
        <v>50029</v>
      </c>
      <c r="E6492">
        <v>64.290000000000006</v>
      </c>
    </row>
    <row r="6493" spans="1:5" x14ac:dyDescent="0.2">
      <c r="A6493">
        <v>50031</v>
      </c>
      <c r="B6493" t="s">
        <v>18</v>
      </c>
      <c r="C6493">
        <v>50031</v>
      </c>
      <c r="D6493" t="str">
        <f>"50031"</f>
        <v>50031</v>
      </c>
      <c r="E6493" t="s">
        <v>6</v>
      </c>
    </row>
    <row r="6494" spans="1:5" x14ac:dyDescent="0.2">
      <c r="A6494">
        <v>50032</v>
      </c>
      <c r="B6494" t="s">
        <v>18</v>
      </c>
      <c r="C6494">
        <v>50032</v>
      </c>
      <c r="D6494" t="str">
        <f>"50032"</f>
        <v>50032</v>
      </c>
      <c r="E6494" t="s">
        <v>6</v>
      </c>
    </row>
    <row r="6495" spans="1:5" x14ac:dyDescent="0.2">
      <c r="A6495">
        <v>50033</v>
      </c>
      <c r="B6495" t="s">
        <v>18</v>
      </c>
      <c r="C6495">
        <v>50033</v>
      </c>
      <c r="D6495" t="str">
        <f>"50033"</f>
        <v>50033</v>
      </c>
      <c r="E6495" t="s">
        <v>6</v>
      </c>
    </row>
    <row r="6496" spans="1:5" x14ac:dyDescent="0.2">
      <c r="A6496">
        <v>50034</v>
      </c>
      <c r="B6496" t="s">
        <v>18</v>
      </c>
      <c r="C6496">
        <v>50034</v>
      </c>
      <c r="D6496" t="str">
        <f>"50034"</f>
        <v>50034</v>
      </c>
      <c r="E6496">
        <v>70.59</v>
      </c>
    </row>
    <row r="6497" spans="1:5" x14ac:dyDescent="0.2">
      <c r="A6497">
        <v>50035</v>
      </c>
      <c r="B6497" t="s">
        <v>18</v>
      </c>
      <c r="C6497">
        <v>50035</v>
      </c>
      <c r="D6497" t="str">
        <f>"50035"</f>
        <v>50035</v>
      </c>
      <c r="E6497">
        <v>82.85</v>
      </c>
    </row>
    <row r="6498" spans="1:5" x14ac:dyDescent="0.2">
      <c r="A6498">
        <v>50036</v>
      </c>
      <c r="B6498" t="s">
        <v>18</v>
      </c>
      <c r="C6498">
        <v>50036</v>
      </c>
      <c r="D6498" t="str">
        <f>"50036"</f>
        <v>50036</v>
      </c>
      <c r="E6498">
        <v>77.959999999999994</v>
      </c>
    </row>
    <row r="6499" spans="1:5" x14ac:dyDescent="0.2">
      <c r="A6499">
        <v>50038</v>
      </c>
      <c r="B6499" t="s">
        <v>18</v>
      </c>
      <c r="C6499">
        <v>50038</v>
      </c>
      <c r="D6499" t="str">
        <f>"50038"</f>
        <v>50038</v>
      </c>
      <c r="E6499" t="s">
        <v>6</v>
      </c>
    </row>
    <row r="6500" spans="1:5" x14ac:dyDescent="0.2">
      <c r="A6500">
        <v>50039</v>
      </c>
      <c r="B6500" t="s">
        <v>18</v>
      </c>
      <c r="C6500">
        <v>50039</v>
      </c>
      <c r="D6500" t="str">
        <f>"50039"</f>
        <v>50039</v>
      </c>
      <c r="E6500">
        <v>77.78</v>
      </c>
    </row>
    <row r="6501" spans="1:5" x14ac:dyDescent="0.2">
      <c r="A6501">
        <v>50040</v>
      </c>
      <c r="B6501" t="s">
        <v>18</v>
      </c>
      <c r="C6501">
        <v>50040</v>
      </c>
      <c r="D6501" t="str">
        <f>"50040"</f>
        <v>50040</v>
      </c>
      <c r="E6501" t="s">
        <v>6</v>
      </c>
    </row>
    <row r="6502" spans="1:5" x14ac:dyDescent="0.2">
      <c r="A6502">
        <v>50041</v>
      </c>
      <c r="B6502" t="s">
        <v>18</v>
      </c>
      <c r="C6502">
        <v>50041</v>
      </c>
      <c r="D6502" t="str">
        <f>"50041"</f>
        <v>50041</v>
      </c>
      <c r="E6502" t="s">
        <v>6</v>
      </c>
    </row>
    <row r="6503" spans="1:5" x14ac:dyDescent="0.2">
      <c r="A6503">
        <v>50042</v>
      </c>
      <c r="B6503" t="s">
        <v>18</v>
      </c>
      <c r="C6503">
        <v>50042</v>
      </c>
      <c r="D6503" t="str">
        <f>"50042"</f>
        <v>50042</v>
      </c>
      <c r="E6503">
        <v>76.92</v>
      </c>
    </row>
    <row r="6504" spans="1:5" x14ac:dyDescent="0.2">
      <c r="A6504">
        <v>50044</v>
      </c>
      <c r="B6504" t="s">
        <v>18</v>
      </c>
      <c r="C6504">
        <v>50044</v>
      </c>
      <c r="D6504" t="str">
        <f>"50044"</f>
        <v>50044</v>
      </c>
      <c r="E6504">
        <v>70</v>
      </c>
    </row>
    <row r="6505" spans="1:5" x14ac:dyDescent="0.2">
      <c r="A6505">
        <v>50046</v>
      </c>
      <c r="B6505" t="s">
        <v>18</v>
      </c>
      <c r="C6505">
        <v>50046</v>
      </c>
      <c r="D6505" t="str">
        <f>"50046"</f>
        <v>50046</v>
      </c>
      <c r="E6505">
        <v>81.94</v>
      </c>
    </row>
    <row r="6506" spans="1:5" x14ac:dyDescent="0.2">
      <c r="A6506">
        <v>50047</v>
      </c>
      <c r="B6506" t="s">
        <v>18</v>
      </c>
      <c r="C6506">
        <v>50047</v>
      </c>
      <c r="D6506" t="str">
        <f>"50047"</f>
        <v>50047</v>
      </c>
      <c r="E6506">
        <v>79.08</v>
      </c>
    </row>
    <row r="6507" spans="1:5" x14ac:dyDescent="0.2">
      <c r="A6507">
        <v>50048</v>
      </c>
      <c r="B6507" t="s">
        <v>18</v>
      </c>
      <c r="C6507">
        <v>50048</v>
      </c>
      <c r="D6507" t="str">
        <f>"50048"</f>
        <v>50048</v>
      </c>
      <c r="E6507">
        <v>75.680000000000007</v>
      </c>
    </row>
    <row r="6508" spans="1:5" x14ac:dyDescent="0.2">
      <c r="A6508">
        <v>50049</v>
      </c>
      <c r="B6508" t="s">
        <v>18</v>
      </c>
      <c r="C6508">
        <v>50049</v>
      </c>
      <c r="D6508" t="str">
        <f>"50049"</f>
        <v>50049</v>
      </c>
      <c r="E6508">
        <v>69.23</v>
      </c>
    </row>
    <row r="6509" spans="1:5" x14ac:dyDescent="0.2">
      <c r="A6509">
        <v>50050</v>
      </c>
      <c r="B6509" t="s">
        <v>18</v>
      </c>
      <c r="C6509">
        <v>50050</v>
      </c>
      <c r="D6509" t="str">
        <f>"50050"</f>
        <v>50050</v>
      </c>
      <c r="E6509">
        <v>71.88</v>
      </c>
    </row>
    <row r="6510" spans="1:5" x14ac:dyDescent="0.2">
      <c r="A6510">
        <v>50051</v>
      </c>
      <c r="B6510" t="s">
        <v>18</v>
      </c>
      <c r="C6510">
        <v>50051</v>
      </c>
      <c r="D6510" t="str">
        <f>"50051"</f>
        <v>50051</v>
      </c>
      <c r="E6510">
        <v>71.430000000000007</v>
      </c>
    </row>
    <row r="6511" spans="1:5" x14ac:dyDescent="0.2">
      <c r="A6511">
        <v>50052</v>
      </c>
      <c r="B6511" t="s">
        <v>18</v>
      </c>
      <c r="C6511">
        <v>50052</v>
      </c>
      <c r="D6511" t="str">
        <f>"50052"</f>
        <v>50052</v>
      </c>
      <c r="E6511" t="s">
        <v>6</v>
      </c>
    </row>
    <row r="6512" spans="1:5" x14ac:dyDescent="0.2">
      <c r="A6512">
        <v>50054</v>
      </c>
      <c r="B6512" t="s">
        <v>18</v>
      </c>
      <c r="C6512">
        <v>50054</v>
      </c>
      <c r="D6512" t="str">
        <f>"50054"</f>
        <v>50054</v>
      </c>
      <c r="E6512">
        <v>76.92</v>
      </c>
    </row>
    <row r="6513" spans="1:5" x14ac:dyDescent="0.2">
      <c r="A6513">
        <v>50055</v>
      </c>
      <c r="B6513" t="s">
        <v>18</v>
      </c>
      <c r="C6513">
        <v>50055</v>
      </c>
      <c r="D6513" t="str">
        <f>"50055"</f>
        <v>50055</v>
      </c>
      <c r="E6513">
        <v>77.08</v>
      </c>
    </row>
    <row r="6514" spans="1:5" x14ac:dyDescent="0.2">
      <c r="A6514">
        <v>50056</v>
      </c>
      <c r="B6514" t="s">
        <v>18</v>
      </c>
      <c r="C6514">
        <v>50056</v>
      </c>
      <c r="D6514" t="str">
        <f>"50056"</f>
        <v>50056</v>
      </c>
      <c r="E6514">
        <v>78.459999999999994</v>
      </c>
    </row>
    <row r="6515" spans="1:5" x14ac:dyDescent="0.2">
      <c r="A6515">
        <v>50057</v>
      </c>
      <c r="B6515" t="s">
        <v>18</v>
      </c>
      <c r="C6515">
        <v>50057</v>
      </c>
      <c r="D6515" t="str">
        <f>"50057"</f>
        <v>50057</v>
      </c>
      <c r="E6515" t="s">
        <v>6</v>
      </c>
    </row>
    <row r="6516" spans="1:5" x14ac:dyDescent="0.2">
      <c r="A6516">
        <v>50058</v>
      </c>
      <c r="B6516" t="s">
        <v>18</v>
      </c>
      <c r="C6516">
        <v>50058</v>
      </c>
      <c r="D6516" t="str">
        <f>"50058"</f>
        <v>50058</v>
      </c>
      <c r="E6516">
        <v>71.599999999999994</v>
      </c>
    </row>
    <row r="6517" spans="1:5" x14ac:dyDescent="0.2">
      <c r="A6517">
        <v>50059</v>
      </c>
      <c r="B6517" t="s">
        <v>18</v>
      </c>
      <c r="C6517">
        <v>50059</v>
      </c>
      <c r="D6517" t="str">
        <f>"50059"</f>
        <v>50059</v>
      </c>
      <c r="E6517" t="s">
        <v>6</v>
      </c>
    </row>
    <row r="6518" spans="1:5" x14ac:dyDescent="0.2">
      <c r="A6518">
        <v>50060</v>
      </c>
      <c r="B6518" t="s">
        <v>18</v>
      </c>
      <c r="C6518">
        <v>50060</v>
      </c>
      <c r="D6518" t="str">
        <f>"50060"</f>
        <v>50060</v>
      </c>
      <c r="E6518">
        <v>72.819999999999993</v>
      </c>
    </row>
    <row r="6519" spans="1:5" x14ac:dyDescent="0.2">
      <c r="A6519">
        <v>50061</v>
      </c>
      <c r="B6519" t="s">
        <v>18</v>
      </c>
      <c r="C6519">
        <v>50061</v>
      </c>
      <c r="D6519" t="str">
        <f>"50061"</f>
        <v>50061</v>
      </c>
      <c r="E6519">
        <v>83.16</v>
      </c>
    </row>
    <row r="6520" spans="1:5" x14ac:dyDescent="0.2">
      <c r="A6520">
        <v>50062</v>
      </c>
      <c r="B6520" t="s">
        <v>18</v>
      </c>
      <c r="C6520">
        <v>50062</v>
      </c>
      <c r="D6520" t="str">
        <f>"50062"</f>
        <v>50062</v>
      </c>
      <c r="E6520">
        <v>72</v>
      </c>
    </row>
    <row r="6521" spans="1:5" x14ac:dyDescent="0.2">
      <c r="A6521">
        <v>50063</v>
      </c>
      <c r="B6521" t="s">
        <v>18</v>
      </c>
      <c r="C6521">
        <v>50063</v>
      </c>
      <c r="D6521" t="str">
        <f>"50063"</f>
        <v>50063</v>
      </c>
      <c r="E6521">
        <v>80.45</v>
      </c>
    </row>
    <row r="6522" spans="1:5" x14ac:dyDescent="0.2">
      <c r="A6522">
        <v>50064</v>
      </c>
      <c r="B6522" t="s">
        <v>18</v>
      </c>
      <c r="C6522">
        <v>50064</v>
      </c>
      <c r="D6522" t="str">
        <f>"50064"</f>
        <v>50064</v>
      </c>
      <c r="E6522" t="s">
        <v>6</v>
      </c>
    </row>
    <row r="6523" spans="1:5" x14ac:dyDescent="0.2">
      <c r="A6523">
        <v>50065</v>
      </c>
      <c r="B6523" t="s">
        <v>18</v>
      </c>
      <c r="C6523">
        <v>50065</v>
      </c>
      <c r="D6523" t="str">
        <f>"50065"</f>
        <v>50065</v>
      </c>
      <c r="E6523">
        <v>52.63</v>
      </c>
    </row>
    <row r="6524" spans="1:5" x14ac:dyDescent="0.2">
      <c r="A6524">
        <v>50066</v>
      </c>
      <c r="B6524" t="s">
        <v>18</v>
      </c>
      <c r="C6524">
        <v>50066</v>
      </c>
      <c r="D6524" t="str">
        <f>"50066"</f>
        <v>50066</v>
      </c>
      <c r="E6524">
        <v>75</v>
      </c>
    </row>
    <row r="6525" spans="1:5" x14ac:dyDescent="0.2">
      <c r="A6525">
        <v>50067</v>
      </c>
      <c r="B6525" t="s">
        <v>18</v>
      </c>
      <c r="C6525">
        <v>50067</v>
      </c>
      <c r="D6525" t="str">
        <f>"50067"</f>
        <v>50067</v>
      </c>
      <c r="E6525">
        <v>61.54</v>
      </c>
    </row>
    <row r="6526" spans="1:5" x14ac:dyDescent="0.2">
      <c r="A6526">
        <v>50068</v>
      </c>
      <c r="B6526" t="s">
        <v>18</v>
      </c>
      <c r="C6526">
        <v>50068</v>
      </c>
      <c r="D6526" t="str">
        <f>"50068"</f>
        <v>50068</v>
      </c>
      <c r="E6526">
        <v>73.33</v>
      </c>
    </row>
    <row r="6527" spans="1:5" x14ac:dyDescent="0.2">
      <c r="A6527">
        <v>50069</v>
      </c>
      <c r="B6527" t="s">
        <v>18</v>
      </c>
      <c r="C6527">
        <v>50069</v>
      </c>
      <c r="D6527" t="str">
        <f>"50069"</f>
        <v>50069</v>
      </c>
      <c r="E6527">
        <v>77.08</v>
      </c>
    </row>
    <row r="6528" spans="1:5" x14ac:dyDescent="0.2">
      <c r="A6528">
        <v>50070</v>
      </c>
      <c r="B6528" t="s">
        <v>18</v>
      </c>
      <c r="C6528">
        <v>50070</v>
      </c>
      <c r="D6528" t="str">
        <f>"50070"</f>
        <v>50070</v>
      </c>
      <c r="E6528">
        <v>82.09</v>
      </c>
    </row>
    <row r="6529" spans="1:5" x14ac:dyDescent="0.2">
      <c r="A6529">
        <v>50071</v>
      </c>
      <c r="B6529" t="s">
        <v>18</v>
      </c>
      <c r="C6529">
        <v>50071</v>
      </c>
      <c r="D6529" t="str">
        <f>"50071"</f>
        <v>50071</v>
      </c>
      <c r="E6529">
        <v>73.81</v>
      </c>
    </row>
    <row r="6530" spans="1:5" x14ac:dyDescent="0.2">
      <c r="A6530">
        <v>50072</v>
      </c>
      <c r="B6530" t="s">
        <v>18</v>
      </c>
      <c r="C6530">
        <v>50072</v>
      </c>
      <c r="D6530" t="str">
        <f>"50072"</f>
        <v>50072</v>
      </c>
      <c r="E6530">
        <v>80</v>
      </c>
    </row>
    <row r="6531" spans="1:5" x14ac:dyDescent="0.2">
      <c r="A6531">
        <v>50073</v>
      </c>
      <c r="B6531" t="s">
        <v>18</v>
      </c>
      <c r="C6531">
        <v>50073</v>
      </c>
      <c r="D6531" t="str">
        <f>"50073"</f>
        <v>50073</v>
      </c>
      <c r="E6531">
        <v>84.85</v>
      </c>
    </row>
    <row r="6532" spans="1:5" x14ac:dyDescent="0.2">
      <c r="A6532">
        <v>50074</v>
      </c>
      <c r="B6532" t="s">
        <v>18</v>
      </c>
      <c r="C6532">
        <v>50074</v>
      </c>
      <c r="D6532" t="str">
        <f>"50074"</f>
        <v>50074</v>
      </c>
      <c r="E6532">
        <v>81.25</v>
      </c>
    </row>
    <row r="6533" spans="1:5" x14ac:dyDescent="0.2">
      <c r="A6533">
        <v>50075</v>
      </c>
      <c r="B6533" t="s">
        <v>18</v>
      </c>
      <c r="C6533">
        <v>50075</v>
      </c>
      <c r="D6533" t="str">
        <f>"50075"</f>
        <v>50075</v>
      </c>
      <c r="E6533">
        <v>81.58</v>
      </c>
    </row>
    <row r="6534" spans="1:5" x14ac:dyDescent="0.2">
      <c r="A6534">
        <v>50076</v>
      </c>
      <c r="B6534" t="s">
        <v>18</v>
      </c>
      <c r="C6534">
        <v>50076</v>
      </c>
      <c r="D6534" t="str">
        <f>"50076"</f>
        <v>50076</v>
      </c>
      <c r="E6534">
        <v>71.88</v>
      </c>
    </row>
    <row r="6535" spans="1:5" x14ac:dyDescent="0.2">
      <c r="A6535">
        <v>50078</v>
      </c>
      <c r="B6535" t="s">
        <v>18</v>
      </c>
      <c r="C6535">
        <v>50078</v>
      </c>
      <c r="D6535" t="str">
        <f>"50078"</f>
        <v>50078</v>
      </c>
      <c r="E6535" t="s">
        <v>6</v>
      </c>
    </row>
    <row r="6536" spans="1:5" x14ac:dyDescent="0.2">
      <c r="A6536">
        <v>50101</v>
      </c>
      <c r="B6536" t="s">
        <v>18</v>
      </c>
      <c r="C6536">
        <v>50101</v>
      </c>
      <c r="D6536" t="str">
        <f>"50101"</f>
        <v>50101</v>
      </c>
      <c r="E6536" t="s">
        <v>6</v>
      </c>
    </row>
    <row r="6537" spans="1:5" x14ac:dyDescent="0.2">
      <c r="A6537">
        <v>50102</v>
      </c>
      <c r="B6537" t="s">
        <v>18</v>
      </c>
      <c r="C6537">
        <v>50102</v>
      </c>
      <c r="D6537" t="str">
        <f>"50102"</f>
        <v>50102</v>
      </c>
      <c r="E6537" t="s">
        <v>6</v>
      </c>
    </row>
    <row r="6538" spans="1:5" x14ac:dyDescent="0.2">
      <c r="A6538">
        <v>50103</v>
      </c>
      <c r="B6538" t="s">
        <v>18</v>
      </c>
      <c r="C6538">
        <v>50103</v>
      </c>
      <c r="D6538" t="str">
        <f>"50103"</f>
        <v>50103</v>
      </c>
      <c r="E6538">
        <v>58.82</v>
      </c>
    </row>
    <row r="6539" spans="1:5" x14ac:dyDescent="0.2">
      <c r="A6539">
        <v>50104</v>
      </c>
      <c r="B6539" t="s">
        <v>18</v>
      </c>
      <c r="C6539">
        <v>50104</v>
      </c>
      <c r="D6539" t="str">
        <f>"50104"</f>
        <v>50104</v>
      </c>
      <c r="E6539" t="s">
        <v>6</v>
      </c>
    </row>
    <row r="6540" spans="1:5" x14ac:dyDescent="0.2">
      <c r="A6540">
        <v>50105</v>
      </c>
      <c r="B6540" t="s">
        <v>18</v>
      </c>
      <c r="C6540">
        <v>50105</v>
      </c>
      <c r="D6540" t="str">
        <f>"50105"</f>
        <v>50105</v>
      </c>
      <c r="E6540">
        <v>84.21</v>
      </c>
    </row>
    <row r="6541" spans="1:5" x14ac:dyDescent="0.2">
      <c r="A6541">
        <v>50106</v>
      </c>
      <c r="B6541" t="s">
        <v>18</v>
      </c>
      <c r="C6541">
        <v>50106</v>
      </c>
      <c r="D6541" t="str">
        <f>"50106"</f>
        <v>50106</v>
      </c>
      <c r="E6541">
        <v>72.55</v>
      </c>
    </row>
    <row r="6542" spans="1:5" x14ac:dyDescent="0.2">
      <c r="A6542">
        <v>50107</v>
      </c>
      <c r="B6542" t="s">
        <v>18</v>
      </c>
      <c r="C6542">
        <v>50107</v>
      </c>
      <c r="D6542" t="str">
        <f>"50107"</f>
        <v>50107</v>
      </c>
      <c r="E6542">
        <v>71.430000000000007</v>
      </c>
    </row>
    <row r="6543" spans="1:5" x14ac:dyDescent="0.2">
      <c r="A6543">
        <v>50108</v>
      </c>
      <c r="B6543" t="s">
        <v>18</v>
      </c>
      <c r="C6543">
        <v>50108</v>
      </c>
      <c r="D6543" t="str">
        <f>"50108"</f>
        <v>50108</v>
      </c>
      <c r="E6543">
        <v>63.16</v>
      </c>
    </row>
    <row r="6544" spans="1:5" x14ac:dyDescent="0.2">
      <c r="A6544">
        <v>50109</v>
      </c>
      <c r="B6544" t="s">
        <v>18</v>
      </c>
      <c r="C6544">
        <v>50109</v>
      </c>
      <c r="D6544" t="str">
        <f>"50109"</f>
        <v>50109</v>
      </c>
      <c r="E6544">
        <v>84.03</v>
      </c>
    </row>
    <row r="6545" spans="1:5" x14ac:dyDescent="0.2">
      <c r="A6545">
        <v>50110</v>
      </c>
      <c r="B6545" t="s">
        <v>18</v>
      </c>
      <c r="C6545">
        <v>50110</v>
      </c>
      <c r="D6545" t="str">
        <f>"50110"</f>
        <v>50110</v>
      </c>
      <c r="E6545" t="s">
        <v>6</v>
      </c>
    </row>
    <row r="6546" spans="1:5" x14ac:dyDescent="0.2">
      <c r="A6546">
        <v>50111</v>
      </c>
      <c r="B6546" t="s">
        <v>18</v>
      </c>
      <c r="C6546">
        <v>50111</v>
      </c>
      <c r="D6546" t="str">
        <f>"50111"</f>
        <v>50111</v>
      </c>
      <c r="E6546">
        <v>82.44</v>
      </c>
    </row>
    <row r="6547" spans="1:5" x14ac:dyDescent="0.2">
      <c r="A6547">
        <v>50112</v>
      </c>
      <c r="B6547" t="s">
        <v>18</v>
      </c>
      <c r="C6547">
        <v>50112</v>
      </c>
      <c r="D6547" t="str">
        <f>"50112"</f>
        <v>50112</v>
      </c>
      <c r="E6547">
        <v>76.3</v>
      </c>
    </row>
    <row r="6548" spans="1:5" x14ac:dyDescent="0.2">
      <c r="A6548">
        <v>50115</v>
      </c>
      <c r="B6548" t="s">
        <v>18</v>
      </c>
      <c r="C6548">
        <v>50115</v>
      </c>
      <c r="D6548" t="str">
        <f>"50115"</f>
        <v>50115</v>
      </c>
      <c r="E6548">
        <v>74.17</v>
      </c>
    </row>
    <row r="6549" spans="1:5" x14ac:dyDescent="0.2">
      <c r="A6549">
        <v>50116</v>
      </c>
      <c r="B6549" t="s">
        <v>18</v>
      </c>
      <c r="C6549">
        <v>50116</v>
      </c>
      <c r="D6549" t="str">
        <f>"50116"</f>
        <v>50116</v>
      </c>
      <c r="E6549">
        <v>76.92</v>
      </c>
    </row>
    <row r="6550" spans="1:5" x14ac:dyDescent="0.2">
      <c r="A6550">
        <v>50117</v>
      </c>
      <c r="B6550" t="s">
        <v>18</v>
      </c>
      <c r="C6550">
        <v>50117</v>
      </c>
      <c r="D6550" t="str">
        <f>"50117"</f>
        <v>50117</v>
      </c>
      <c r="E6550" t="s">
        <v>6</v>
      </c>
    </row>
    <row r="6551" spans="1:5" x14ac:dyDescent="0.2">
      <c r="A6551">
        <v>50118</v>
      </c>
      <c r="B6551" t="s">
        <v>18</v>
      </c>
      <c r="C6551">
        <v>50118</v>
      </c>
      <c r="D6551" t="str">
        <f>"50118"</f>
        <v>50118</v>
      </c>
      <c r="E6551">
        <v>73.17</v>
      </c>
    </row>
    <row r="6552" spans="1:5" x14ac:dyDescent="0.2">
      <c r="A6552">
        <v>50119</v>
      </c>
      <c r="B6552" t="s">
        <v>18</v>
      </c>
      <c r="C6552">
        <v>50119</v>
      </c>
      <c r="D6552" t="str">
        <f>"50119"</f>
        <v>50119</v>
      </c>
      <c r="E6552">
        <v>73.91</v>
      </c>
    </row>
    <row r="6553" spans="1:5" x14ac:dyDescent="0.2">
      <c r="A6553">
        <v>50120</v>
      </c>
      <c r="B6553" t="s">
        <v>18</v>
      </c>
      <c r="C6553">
        <v>50120</v>
      </c>
      <c r="D6553" t="str">
        <f>"50120"</f>
        <v>50120</v>
      </c>
      <c r="E6553">
        <v>64.709999999999994</v>
      </c>
    </row>
    <row r="6554" spans="1:5" x14ac:dyDescent="0.2">
      <c r="A6554">
        <v>50122</v>
      </c>
      <c r="B6554" t="s">
        <v>18</v>
      </c>
      <c r="C6554">
        <v>50122</v>
      </c>
      <c r="D6554" t="str">
        <f>"50122"</f>
        <v>50122</v>
      </c>
      <c r="E6554">
        <v>77.05</v>
      </c>
    </row>
    <row r="6555" spans="1:5" x14ac:dyDescent="0.2">
      <c r="A6555">
        <v>50123</v>
      </c>
      <c r="B6555" t="s">
        <v>18</v>
      </c>
      <c r="C6555">
        <v>50123</v>
      </c>
      <c r="D6555" t="str">
        <f>"50123"</f>
        <v>50123</v>
      </c>
      <c r="E6555">
        <v>67.569999999999993</v>
      </c>
    </row>
    <row r="6556" spans="1:5" x14ac:dyDescent="0.2">
      <c r="A6556">
        <v>50124</v>
      </c>
      <c r="B6556" t="s">
        <v>18</v>
      </c>
      <c r="C6556">
        <v>50124</v>
      </c>
      <c r="D6556" t="str">
        <f>"50124"</f>
        <v>50124</v>
      </c>
      <c r="E6556">
        <v>80.63</v>
      </c>
    </row>
    <row r="6557" spans="1:5" x14ac:dyDescent="0.2">
      <c r="A6557">
        <v>50125</v>
      </c>
      <c r="B6557" t="s">
        <v>18</v>
      </c>
      <c r="C6557">
        <v>50125</v>
      </c>
      <c r="D6557" t="str">
        <f>"50125"</f>
        <v>50125</v>
      </c>
      <c r="E6557">
        <v>77.81</v>
      </c>
    </row>
    <row r="6558" spans="1:5" x14ac:dyDescent="0.2">
      <c r="A6558">
        <v>50126</v>
      </c>
      <c r="B6558" t="s">
        <v>18</v>
      </c>
      <c r="C6558">
        <v>50126</v>
      </c>
      <c r="D6558" t="str">
        <f>"50126"</f>
        <v>50126</v>
      </c>
      <c r="E6558">
        <v>74.67</v>
      </c>
    </row>
    <row r="6559" spans="1:5" x14ac:dyDescent="0.2">
      <c r="A6559">
        <v>50127</v>
      </c>
      <c r="B6559" t="s">
        <v>18</v>
      </c>
      <c r="C6559">
        <v>50127</v>
      </c>
      <c r="D6559" t="str">
        <f>"50127"</f>
        <v>50127</v>
      </c>
      <c r="E6559" t="s">
        <v>6</v>
      </c>
    </row>
    <row r="6560" spans="1:5" x14ac:dyDescent="0.2">
      <c r="A6560">
        <v>50128</v>
      </c>
      <c r="B6560" t="s">
        <v>18</v>
      </c>
      <c r="C6560">
        <v>50128</v>
      </c>
      <c r="D6560" t="str">
        <f>"50128"</f>
        <v>50128</v>
      </c>
      <c r="E6560">
        <v>73.33</v>
      </c>
    </row>
    <row r="6561" spans="1:5" x14ac:dyDescent="0.2">
      <c r="A6561">
        <v>50129</v>
      </c>
      <c r="B6561" t="s">
        <v>18</v>
      </c>
      <c r="C6561">
        <v>50129</v>
      </c>
      <c r="D6561" t="str">
        <f>"50129"</f>
        <v>50129</v>
      </c>
      <c r="E6561">
        <v>72.489999999999995</v>
      </c>
    </row>
    <row r="6562" spans="1:5" x14ac:dyDescent="0.2">
      <c r="A6562">
        <v>50130</v>
      </c>
      <c r="B6562" t="s">
        <v>18</v>
      </c>
      <c r="C6562">
        <v>50130</v>
      </c>
      <c r="D6562" t="str">
        <f>"50130"</f>
        <v>50130</v>
      </c>
      <c r="E6562">
        <v>75.64</v>
      </c>
    </row>
    <row r="6563" spans="1:5" x14ac:dyDescent="0.2">
      <c r="A6563">
        <v>50131</v>
      </c>
      <c r="B6563" t="s">
        <v>18</v>
      </c>
      <c r="C6563">
        <v>50131</v>
      </c>
      <c r="D6563" t="str">
        <f>"50131"</f>
        <v>50131</v>
      </c>
      <c r="E6563">
        <v>81.56</v>
      </c>
    </row>
    <row r="6564" spans="1:5" x14ac:dyDescent="0.2">
      <c r="A6564">
        <v>50132</v>
      </c>
      <c r="B6564" t="s">
        <v>18</v>
      </c>
      <c r="C6564">
        <v>50132</v>
      </c>
      <c r="D6564" t="str">
        <f>"50132"</f>
        <v>50132</v>
      </c>
      <c r="E6564">
        <v>70.59</v>
      </c>
    </row>
    <row r="6565" spans="1:5" x14ac:dyDescent="0.2">
      <c r="A6565">
        <v>50133</v>
      </c>
      <c r="B6565" t="s">
        <v>18</v>
      </c>
      <c r="C6565">
        <v>50133</v>
      </c>
      <c r="D6565" t="str">
        <f>"50133"</f>
        <v>50133</v>
      </c>
      <c r="E6565">
        <v>54.55</v>
      </c>
    </row>
    <row r="6566" spans="1:5" x14ac:dyDescent="0.2">
      <c r="A6566">
        <v>50134</v>
      </c>
      <c r="B6566" t="s">
        <v>18</v>
      </c>
      <c r="C6566">
        <v>50134</v>
      </c>
      <c r="D6566" t="str">
        <f>"50134"</f>
        <v>50134</v>
      </c>
      <c r="E6566">
        <v>80</v>
      </c>
    </row>
    <row r="6567" spans="1:5" x14ac:dyDescent="0.2">
      <c r="A6567">
        <v>50135</v>
      </c>
      <c r="B6567" t="s">
        <v>18</v>
      </c>
      <c r="C6567">
        <v>50135</v>
      </c>
      <c r="D6567" t="str">
        <f>"50135"</f>
        <v>50135</v>
      </c>
      <c r="E6567">
        <v>74.67</v>
      </c>
    </row>
    <row r="6568" spans="1:5" x14ac:dyDescent="0.2">
      <c r="A6568">
        <v>50136</v>
      </c>
      <c r="B6568" t="s">
        <v>18</v>
      </c>
      <c r="C6568">
        <v>50136</v>
      </c>
      <c r="D6568" t="str">
        <f>"50136"</f>
        <v>50136</v>
      </c>
      <c r="E6568">
        <v>70</v>
      </c>
    </row>
    <row r="6569" spans="1:5" x14ac:dyDescent="0.2">
      <c r="A6569">
        <v>50137</v>
      </c>
      <c r="B6569" t="s">
        <v>18</v>
      </c>
      <c r="C6569">
        <v>50137</v>
      </c>
      <c r="D6569" t="str">
        <f>"50137"</f>
        <v>50137</v>
      </c>
      <c r="E6569" t="s">
        <v>6</v>
      </c>
    </row>
    <row r="6570" spans="1:5" x14ac:dyDescent="0.2">
      <c r="A6570">
        <v>50138</v>
      </c>
      <c r="B6570" t="s">
        <v>18</v>
      </c>
      <c r="C6570">
        <v>50138</v>
      </c>
      <c r="D6570" t="str">
        <f>"50138"</f>
        <v>50138</v>
      </c>
      <c r="E6570">
        <v>75.94</v>
      </c>
    </row>
    <row r="6571" spans="1:5" x14ac:dyDescent="0.2">
      <c r="A6571">
        <v>50139</v>
      </c>
      <c r="B6571" t="s">
        <v>18</v>
      </c>
      <c r="C6571">
        <v>50139</v>
      </c>
      <c r="D6571" t="str">
        <f>"50139"</f>
        <v>50139</v>
      </c>
      <c r="E6571">
        <v>76.92</v>
      </c>
    </row>
    <row r="6572" spans="1:5" x14ac:dyDescent="0.2">
      <c r="A6572">
        <v>50140</v>
      </c>
      <c r="B6572" t="s">
        <v>18</v>
      </c>
      <c r="C6572">
        <v>50140</v>
      </c>
      <c r="D6572" t="str">
        <f>"50140"</f>
        <v>50140</v>
      </c>
      <c r="E6572">
        <v>61.18</v>
      </c>
    </row>
    <row r="6573" spans="1:5" x14ac:dyDescent="0.2">
      <c r="A6573">
        <v>50141</v>
      </c>
      <c r="B6573" t="s">
        <v>18</v>
      </c>
      <c r="C6573">
        <v>50141</v>
      </c>
      <c r="D6573" t="str">
        <f>"50141"</f>
        <v>50141</v>
      </c>
      <c r="E6573">
        <v>75</v>
      </c>
    </row>
    <row r="6574" spans="1:5" x14ac:dyDescent="0.2">
      <c r="A6574">
        <v>50142</v>
      </c>
      <c r="B6574" t="s">
        <v>18</v>
      </c>
      <c r="C6574">
        <v>50142</v>
      </c>
      <c r="D6574" t="str">
        <f>"50142"</f>
        <v>50142</v>
      </c>
      <c r="E6574" t="s">
        <v>6</v>
      </c>
    </row>
    <row r="6575" spans="1:5" x14ac:dyDescent="0.2">
      <c r="A6575">
        <v>50143</v>
      </c>
      <c r="B6575" t="s">
        <v>18</v>
      </c>
      <c r="C6575">
        <v>50143</v>
      </c>
      <c r="D6575" t="str">
        <f>"50143"</f>
        <v>50143</v>
      </c>
      <c r="E6575">
        <v>80.77</v>
      </c>
    </row>
    <row r="6576" spans="1:5" x14ac:dyDescent="0.2">
      <c r="A6576">
        <v>50144</v>
      </c>
      <c r="B6576" t="s">
        <v>18</v>
      </c>
      <c r="C6576">
        <v>50144</v>
      </c>
      <c r="D6576" t="str">
        <f>"50144"</f>
        <v>50144</v>
      </c>
      <c r="E6576">
        <v>65.45</v>
      </c>
    </row>
    <row r="6577" spans="1:5" x14ac:dyDescent="0.2">
      <c r="A6577">
        <v>50145</v>
      </c>
      <c r="B6577" t="s">
        <v>18</v>
      </c>
      <c r="C6577">
        <v>50145</v>
      </c>
      <c r="D6577" t="str">
        <f>"50145"</f>
        <v>50145</v>
      </c>
      <c r="E6577" t="s">
        <v>6</v>
      </c>
    </row>
    <row r="6578" spans="1:5" x14ac:dyDescent="0.2">
      <c r="A6578">
        <v>50146</v>
      </c>
      <c r="B6578" t="s">
        <v>18</v>
      </c>
      <c r="C6578">
        <v>50146</v>
      </c>
      <c r="D6578" t="str">
        <f>"50146"</f>
        <v>50146</v>
      </c>
      <c r="E6578">
        <v>77.27</v>
      </c>
    </row>
    <row r="6579" spans="1:5" x14ac:dyDescent="0.2">
      <c r="A6579">
        <v>50147</v>
      </c>
      <c r="B6579" t="s">
        <v>18</v>
      </c>
      <c r="C6579">
        <v>50147</v>
      </c>
      <c r="D6579" t="str">
        <f>"50147"</f>
        <v>50147</v>
      </c>
      <c r="E6579">
        <v>70.59</v>
      </c>
    </row>
    <row r="6580" spans="1:5" x14ac:dyDescent="0.2">
      <c r="A6580">
        <v>50148</v>
      </c>
      <c r="B6580" t="s">
        <v>18</v>
      </c>
      <c r="C6580">
        <v>50148</v>
      </c>
      <c r="D6580" t="str">
        <f>"50148"</f>
        <v>50148</v>
      </c>
      <c r="E6580">
        <v>76.47</v>
      </c>
    </row>
    <row r="6581" spans="1:5" x14ac:dyDescent="0.2">
      <c r="A6581">
        <v>50149</v>
      </c>
      <c r="B6581" t="s">
        <v>18</v>
      </c>
      <c r="C6581">
        <v>50149</v>
      </c>
      <c r="D6581" t="str">
        <f>"50149"</f>
        <v>50149</v>
      </c>
      <c r="E6581">
        <v>67.569999999999993</v>
      </c>
    </row>
    <row r="6582" spans="1:5" x14ac:dyDescent="0.2">
      <c r="A6582">
        <v>50150</v>
      </c>
      <c r="B6582" t="s">
        <v>18</v>
      </c>
      <c r="C6582">
        <v>50150</v>
      </c>
      <c r="D6582" t="str">
        <f>"50150"</f>
        <v>50150</v>
      </c>
      <c r="E6582">
        <v>71.05</v>
      </c>
    </row>
    <row r="6583" spans="1:5" x14ac:dyDescent="0.2">
      <c r="A6583">
        <v>50151</v>
      </c>
      <c r="B6583" t="s">
        <v>18</v>
      </c>
      <c r="C6583">
        <v>50151</v>
      </c>
      <c r="D6583" t="str">
        <f>"50151"</f>
        <v>50151</v>
      </c>
      <c r="E6583">
        <v>69.7</v>
      </c>
    </row>
    <row r="6584" spans="1:5" x14ac:dyDescent="0.2">
      <c r="A6584">
        <v>50152</v>
      </c>
      <c r="B6584" t="s">
        <v>18</v>
      </c>
      <c r="C6584">
        <v>50152</v>
      </c>
      <c r="D6584" t="str">
        <f>"50152"</f>
        <v>50152</v>
      </c>
      <c r="E6584" t="s">
        <v>6</v>
      </c>
    </row>
    <row r="6585" spans="1:5" x14ac:dyDescent="0.2">
      <c r="A6585">
        <v>50153</v>
      </c>
      <c r="B6585" t="s">
        <v>18</v>
      </c>
      <c r="C6585">
        <v>50153</v>
      </c>
      <c r="D6585" t="str">
        <f>"50153"</f>
        <v>50153</v>
      </c>
      <c r="E6585">
        <v>78.38</v>
      </c>
    </row>
    <row r="6586" spans="1:5" x14ac:dyDescent="0.2">
      <c r="A6586">
        <v>50154</v>
      </c>
      <c r="B6586" t="s">
        <v>18</v>
      </c>
      <c r="C6586">
        <v>50154</v>
      </c>
      <c r="D6586" t="str">
        <f>"50154"</f>
        <v>50154</v>
      </c>
      <c r="E6586">
        <v>82.61</v>
      </c>
    </row>
    <row r="6587" spans="1:5" x14ac:dyDescent="0.2">
      <c r="A6587">
        <v>50155</v>
      </c>
      <c r="B6587" t="s">
        <v>18</v>
      </c>
      <c r="C6587">
        <v>50155</v>
      </c>
      <c r="D6587" t="str">
        <f>"50155"</f>
        <v>50155</v>
      </c>
      <c r="E6587">
        <v>66.67</v>
      </c>
    </row>
    <row r="6588" spans="1:5" x14ac:dyDescent="0.2">
      <c r="A6588">
        <v>50156</v>
      </c>
      <c r="B6588" t="s">
        <v>18</v>
      </c>
      <c r="C6588">
        <v>50156</v>
      </c>
      <c r="D6588" t="str">
        <f>"50156"</f>
        <v>50156</v>
      </c>
      <c r="E6588">
        <v>80.819999999999993</v>
      </c>
    </row>
    <row r="6589" spans="1:5" x14ac:dyDescent="0.2">
      <c r="A6589">
        <v>50157</v>
      </c>
      <c r="B6589" t="s">
        <v>18</v>
      </c>
      <c r="C6589">
        <v>50157</v>
      </c>
      <c r="D6589" t="str">
        <f>"50157"</f>
        <v>50157</v>
      </c>
      <c r="E6589">
        <v>78.790000000000006</v>
      </c>
    </row>
    <row r="6590" spans="1:5" x14ac:dyDescent="0.2">
      <c r="A6590">
        <v>50158</v>
      </c>
      <c r="B6590" t="s">
        <v>18</v>
      </c>
      <c r="C6590">
        <v>50158</v>
      </c>
      <c r="D6590" t="str">
        <f>"50158"</f>
        <v>50158</v>
      </c>
      <c r="E6590">
        <v>72</v>
      </c>
    </row>
    <row r="6591" spans="1:5" x14ac:dyDescent="0.2">
      <c r="A6591">
        <v>50160</v>
      </c>
      <c r="B6591" t="s">
        <v>18</v>
      </c>
      <c r="C6591">
        <v>50160</v>
      </c>
      <c r="D6591" t="str">
        <f>"50160"</f>
        <v>50160</v>
      </c>
      <c r="E6591" t="s">
        <v>6</v>
      </c>
    </row>
    <row r="6592" spans="1:5" x14ac:dyDescent="0.2">
      <c r="A6592">
        <v>50161</v>
      </c>
      <c r="B6592" t="s">
        <v>18</v>
      </c>
      <c r="C6592">
        <v>50161</v>
      </c>
      <c r="D6592" t="str">
        <f>"50161"</f>
        <v>50161</v>
      </c>
      <c r="E6592">
        <v>80</v>
      </c>
    </row>
    <row r="6593" spans="1:5" x14ac:dyDescent="0.2">
      <c r="A6593">
        <v>50162</v>
      </c>
      <c r="B6593" t="s">
        <v>18</v>
      </c>
      <c r="C6593">
        <v>50162</v>
      </c>
      <c r="D6593" t="str">
        <f>"50162"</f>
        <v>50162</v>
      </c>
      <c r="E6593">
        <v>79.63</v>
      </c>
    </row>
    <row r="6594" spans="1:5" x14ac:dyDescent="0.2">
      <c r="A6594">
        <v>50163</v>
      </c>
      <c r="B6594" t="s">
        <v>18</v>
      </c>
      <c r="C6594">
        <v>50163</v>
      </c>
      <c r="D6594" t="str">
        <f>"50163"</f>
        <v>50163</v>
      </c>
      <c r="E6594" t="s">
        <v>6</v>
      </c>
    </row>
    <row r="6595" spans="1:5" x14ac:dyDescent="0.2">
      <c r="A6595">
        <v>50164</v>
      </c>
      <c r="B6595" t="s">
        <v>18</v>
      </c>
      <c r="C6595">
        <v>50164</v>
      </c>
      <c r="D6595" t="str">
        <f>"50164"</f>
        <v>50164</v>
      </c>
      <c r="E6595">
        <v>75</v>
      </c>
    </row>
    <row r="6596" spans="1:5" x14ac:dyDescent="0.2">
      <c r="A6596">
        <v>50165</v>
      </c>
      <c r="B6596" t="s">
        <v>18</v>
      </c>
      <c r="C6596">
        <v>50165</v>
      </c>
      <c r="D6596" t="str">
        <f>"50165"</f>
        <v>50165</v>
      </c>
      <c r="E6596" t="s">
        <v>6</v>
      </c>
    </row>
    <row r="6597" spans="1:5" x14ac:dyDescent="0.2">
      <c r="A6597">
        <v>50166</v>
      </c>
      <c r="B6597" t="s">
        <v>18</v>
      </c>
      <c r="C6597">
        <v>50166</v>
      </c>
      <c r="D6597" t="str">
        <f>"50166"</f>
        <v>50166</v>
      </c>
      <c r="E6597">
        <v>78.260000000000005</v>
      </c>
    </row>
    <row r="6598" spans="1:5" x14ac:dyDescent="0.2">
      <c r="A6598">
        <v>50167</v>
      </c>
      <c r="B6598" t="s">
        <v>18</v>
      </c>
      <c r="C6598">
        <v>50167</v>
      </c>
      <c r="D6598" t="str">
        <f>"50167"</f>
        <v>50167</v>
      </c>
      <c r="E6598">
        <v>79.41</v>
      </c>
    </row>
    <row r="6599" spans="1:5" x14ac:dyDescent="0.2">
      <c r="A6599">
        <v>50168</v>
      </c>
      <c r="B6599" t="s">
        <v>18</v>
      </c>
      <c r="C6599">
        <v>50168</v>
      </c>
      <c r="D6599" t="str">
        <f>"50168"</f>
        <v>50168</v>
      </c>
      <c r="E6599">
        <v>82.93</v>
      </c>
    </row>
    <row r="6600" spans="1:5" x14ac:dyDescent="0.2">
      <c r="A6600">
        <v>50169</v>
      </c>
      <c r="B6600" t="s">
        <v>18</v>
      </c>
      <c r="C6600">
        <v>50169</v>
      </c>
      <c r="D6600" t="str">
        <f>"50169"</f>
        <v>50169</v>
      </c>
      <c r="E6600">
        <v>80.83</v>
      </c>
    </row>
    <row r="6601" spans="1:5" x14ac:dyDescent="0.2">
      <c r="A6601">
        <v>50170</v>
      </c>
      <c r="B6601" t="s">
        <v>18</v>
      </c>
      <c r="C6601">
        <v>50170</v>
      </c>
      <c r="D6601" t="str">
        <f>"50170"</f>
        <v>50170</v>
      </c>
      <c r="E6601">
        <v>78.36</v>
      </c>
    </row>
    <row r="6602" spans="1:5" x14ac:dyDescent="0.2">
      <c r="A6602">
        <v>50171</v>
      </c>
      <c r="B6602" t="s">
        <v>18</v>
      </c>
      <c r="C6602">
        <v>50171</v>
      </c>
      <c r="D6602" t="str">
        <f>"50171"</f>
        <v>50171</v>
      </c>
      <c r="E6602">
        <v>75.19</v>
      </c>
    </row>
    <row r="6603" spans="1:5" x14ac:dyDescent="0.2">
      <c r="A6603">
        <v>50173</v>
      </c>
      <c r="B6603" t="s">
        <v>18</v>
      </c>
      <c r="C6603">
        <v>50173</v>
      </c>
      <c r="D6603" t="str">
        <f>"50173"</f>
        <v>50173</v>
      </c>
      <c r="E6603">
        <v>78.790000000000006</v>
      </c>
    </row>
    <row r="6604" spans="1:5" x14ac:dyDescent="0.2">
      <c r="A6604">
        <v>50174</v>
      </c>
      <c r="B6604" t="s">
        <v>18</v>
      </c>
      <c r="C6604">
        <v>50174</v>
      </c>
      <c r="D6604" t="str">
        <f>"50174"</f>
        <v>50174</v>
      </c>
      <c r="E6604">
        <v>70.180000000000007</v>
      </c>
    </row>
    <row r="6605" spans="1:5" x14ac:dyDescent="0.2">
      <c r="A6605">
        <v>50201</v>
      </c>
      <c r="B6605" t="s">
        <v>18</v>
      </c>
      <c r="C6605">
        <v>50201</v>
      </c>
      <c r="D6605" t="str">
        <f>"50201"</f>
        <v>50201</v>
      </c>
      <c r="E6605">
        <v>78.59</v>
      </c>
    </row>
    <row r="6606" spans="1:5" x14ac:dyDescent="0.2">
      <c r="A6606">
        <v>50206</v>
      </c>
      <c r="B6606" t="s">
        <v>18</v>
      </c>
      <c r="C6606">
        <v>50206</v>
      </c>
      <c r="D6606" t="str">
        <f>"50206"</f>
        <v>50206</v>
      </c>
      <c r="E6606">
        <v>75</v>
      </c>
    </row>
    <row r="6607" spans="1:5" x14ac:dyDescent="0.2">
      <c r="A6607">
        <v>50207</v>
      </c>
      <c r="B6607" t="s">
        <v>18</v>
      </c>
      <c r="C6607">
        <v>50207</v>
      </c>
      <c r="D6607" t="str">
        <f>"50207"</f>
        <v>50207</v>
      </c>
      <c r="E6607">
        <v>73.64</v>
      </c>
    </row>
    <row r="6608" spans="1:5" x14ac:dyDescent="0.2">
      <c r="A6608">
        <v>50208</v>
      </c>
      <c r="B6608" t="s">
        <v>18</v>
      </c>
      <c r="C6608">
        <v>50208</v>
      </c>
      <c r="D6608" t="str">
        <f>"50208"</f>
        <v>50208</v>
      </c>
      <c r="E6608">
        <v>73.790000000000006</v>
      </c>
    </row>
    <row r="6609" spans="1:5" x14ac:dyDescent="0.2">
      <c r="A6609">
        <v>50210</v>
      </c>
      <c r="B6609" t="s">
        <v>18</v>
      </c>
      <c r="C6609">
        <v>50210</v>
      </c>
      <c r="D6609" t="str">
        <f>"50210"</f>
        <v>50210</v>
      </c>
      <c r="E6609">
        <v>78.819999999999993</v>
      </c>
    </row>
    <row r="6610" spans="1:5" x14ac:dyDescent="0.2">
      <c r="A6610">
        <v>50211</v>
      </c>
      <c r="B6610" t="s">
        <v>18</v>
      </c>
      <c r="C6610">
        <v>50211</v>
      </c>
      <c r="D6610" t="str">
        <f>"50211"</f>
        <v>50211</v>
      </c>
      <c r="E6610">
        <v>81.31</v>
      </c>
    </row>
    <row r="6611" spans="1:5" x14ac:dyDescent="0.2">
      <c r="A6611">
        <v>50212</v>
      </c>
      <c r="B6611" t="s">
        <v>18</v>
      </c>
      <c r="C6611">
        <v>50212</v>
      </c>
      <c r="D6611" t="str">
        <f>"50212"</f>
        <v>50212</v>
      </c>
      <c r="E6611">
        <v>78.08</v>
      </c>
    </row>
    <row r="6612" spans="1:5" x14ac:dyDescent="0.2">
      <c r="A6612">
        <v>50213</v>
      </c>
      <c r="B6612" t="s">
        <v>18</v>
      </c>
      <c r="C6612">
        <v>50213</v>
      </c>
      <c r="D6612" t="str">
        <f>"50213"</f>
        <v>50213</v>
      </c>
      <c r="E6612">
        <v>70.06</v>
      </c>
    </row>
    <row r="6613" spans="1:5" x14ac:dyDescent="0.2">
      <c r="A6613">
        <v>50214</v>
      </c>
      <c r="B6613" t="s">
        <v>18</v>
      </c>
      <c r="C6613">
        <v>50214</v>
      </c>
      <c r="D6613" t="str">
        <f>"50214"</f>
        <v>50214</v>
      </c>
      <c r="E6613">
        <v>81.58</v>
      </c>
    </row>
    <row r="6614" spans="1:5" x14ac:dyDescent="0.2">
      <c r="A6614">
        <v>50216</v>
      </c>
      <c r="B6614" t="s">
        <v>18</v>
      </c>
      <c r="C6614">
        <v>50216</v>
      </c>
      <c r="D6614" t="str">
        <f>"50216"</f>
        <v>50216</v>
      </c>
      <c r="E6614">
        <v>77.52</v>
      </c>
    </row>
    <row r="6615" spans="1:5" x14ac:dyDescent="0.2">
      <c r="A6615">
        <v>50217</v>
      </c>
      <c r="B6615" t="s">
        <v>18</v>
      </c>
      <c r="C6615">
        <v>50217</v>
      </c>
      <c r="D6615" t="str">
        <f>"50217"</f>
        <v>50217</v>
      </c>
      <c r="E6615">
        <v>69.23</v>
      </c>
    </row>
    <row r="6616" spans="1:5" x14ac:dyDescent="0.2">
      <c r="A6616">
        <v>50218</v>
      </c>
      <c r="B6616" t="s">
        <v>18</v>
      </c>
      <c r="C6616">
        <v>50218</v>
      </c>
      <c r="D6616" t="str">
        <f>"50218"</f>
        <v>50218</v>
      </c>
      <c r="E6616" t="s">
        <v>6</v>
      </c>
    </row>
    <row r="6617" spans="1:5" x14ac:dyDescent="0.2">
      <c r="A6617">
        <v>50219</v>
      </c>
      <c r="B6617" t="s">
        <v>18</v>
      </c>
      <c r="C6617">
        <v>50219</v>
      </c>
      <c r="D6617" t="str">
        <f>"50219"</f>
        <v>50219</v>
      </c>
      <c r="E6617">
        <v>79.739999999999995</v>
      </c>
    </row>
    <row r="6618" spans="1:5" x14ac:dyDescent="0.2">
      <c r="A6618">
        <v>50220</v>
      </c>
      <c r="B6618" t="s">
        <v>18</v>
      </c>
      <c r="C6618">
        <v>50220</v>
      </c>
      <c r="D6618" t="str">
        <f>"50220"</f>
        <v>50220</v>
      </c>
      <c r="E6618">
        <v>70.540000000000006</v>
      </c>
    </row>
    <row r="6619" spans="1:5" x14ac:dyDescent="0.2">
      <c r="A6619">
        <v>50222</v>
      </c>
      <c r="B6619" t="s">
        <v>18</v>
      </c>
      <c r="C6619">
        <v>50222</v>
      </c>
      <c r="D6619" t="str">
        <f>"50222"</f>
        <v>50222</v>
      </c>
      <c r="E6619">
        <v>77.27</v>
      </c>
    </row>
    <row r="6620" spans="1:5" x14ac:dyDescent="0.2">
      <c r="A6620">
        <v>50223</v>
      </c>
      <c r="B6620" t="s">
        <v>18</v>
      </c>
      <c r="C6620">
        <v>50223</v>
      </c>
      <c r="D6620" t="str">
        <f>"50223"</f>
        <v>50223</v>
      </c>
      <c r="E6620">
        <v>80</v>
      </c>
    </row>
    <row r="6621" spans="1:5" x14ac:dyDescent="0.2">
      <c r="A6621">
        <v>50225</v>
      </c>
      <c r="B6621" t="s">
        <v>18</v>
      </c>
      <c r="C6621">
        <v>50225</v>
      </c>
      <c r="D6621" t="str">
        <f>"50225"</f>
        <v>50225</v>
      </c>
      <c r="E6621">
        <v>76.69</v>
      </c>
    </row>
    <row r="6622" spans="1:5" x14ac:dyDescent="0.2">
      <c r="A6622">
        <v>50226</v>
      </c>
      <c r="B6622" t="s">
        <v>18</v>
      </c>
      <c r="C6622">
        <v>50226</v>
      </c>
      <c r="D6622" t="str">
        <f>"50226"</f>
        <v>50226</v>
      </c>
      <c r="E6622">
        <v>84.29</v>
      </c>
    </row>
    <row r="6623" spans="1:5" x14ac:dyDescent="0.2">
      <c r="A6623">
        <v>50227</v>
      </c>
      <c r="B6623" t="s">
        <v>18</v>
      </c>
      <c r="C6623">
        <v>50227</v>
      </c>
      <c r="D6623" t="str">
        <f>"50227"</f>
        <v>50227</v>
      </c>
      <c r="E6623" t="s">
        <v>6</v>
      </c>
    </row>
    <row r="6624" spans="1:5" x14ac:dyDescent="0.2">
      <c r="A6624">
        <v>50228</v>
      </c>
      <c r="B6624" t="s">
        <v>18</v>
      </c>
      <c r="C6624">
        <v>50228</v>
      </c>
      <c r="D6624" t="str">
        <f>"50228"</f>
        <v>50228</v>
      </c>
      <c r="E6624">
        <v>77.680000000000007</v>
      </c>
    </row>
    <row r="6625" spans="1:5" x14ac:dyDescent="0.2">
      <c r="A6625">
        <v>50229</v>
      </c>
      <c r="B6625" t="s">
        <v>18</v>
      </c>
      <c r="C6625">
        <v>50229</v>
      </c>
      <c r="D6625" t="str">
        <f>"50229"</f>
        <v>50229</v>
      </c>
      <c r="E6625">
        <v>81.819999999999993</v>
      </c>
    </row>
    <row r="6626" spans="1:5" x14ac:dyDescent="0.2">
      <c r="A6626">
        <v>50230</v>
      </c>
      <c r="B6626" t="s">
        <v>18</v>
      </c>
      <c r="C6626">
        <v>50230</v>
      </c>
      <c r="D6626" t="str">
        <f>"50230"</f>
        <v>50230</v>
      </c>
      <c r="E6626">
        <v>74.510000000000005</v>
      </c>
    </row>
    <row r="6627" spans="1:5" x14ac:dyDescent="0.2">
      <c r="A6627">
        <v>50231</v>
      </c>
      <c r="B6627" t="s">
        <v>18</v>
      </c>
      <c r="C6627">
        <v>50231</v>
      </c>
      <c r="D6627" t="str">
        <f>"50231"</f>
        <v>50231</v>
      </c>
      <c r="E6627" t="s">
        <v>6</v>
      </c>
    </row>
    <row r="6628" spans="1:5" x14ac:dyDescent="0.2">
      <c r="A6628">
        <v>50232</v>
      </c>
      <c r="B6628" t="s">
        <v>18</v>
      </c>
      <c r="C6628">
        <v>50232</v>
      </c>
      <c r="D6628" t="str">
        <f>"50232"</f>
        <v>50232</v>
      </c>
      <c r="E6628">
        <v>76</v>
      </c>
    </row>
    <row r="6629" spans="1:5" x14ac:dyDescent="0.2">
      <c r="A6629">
        <v>50233</v>
      </c>
      <c r="B6629" t="s">
        <v>18</v>
      </c>
      <c r="C6629">
        <v>50233</v>
      </c>
      <c r="D6629" t="str">
        <f>"50233"</f>
        <v>50233</v>
      </c>
      <c r="E6629">
        <v>76.19</v>
      </c>
    </row>
    <row r="6630" spans="1:5" x14ac:dyDescent="0.2">
      <c r="A6630">
        <v>50234</v>
      </c>
      <c r="B6630" t="s">
        <v>18</v>
      </c>
      <c r="C6630">
        <v>50234</v>
      </c>
      <c r="D6630" t="str">
        <f>"50234"</f>
        <v>50234</v>
      </c>
      <c r="E6630">
        <v>80</v>
      </c>
    </row>
    <row r="6631" spans="1:5" x14ac:dyDescent="0.2">
      <c r="A6631">
        <v>50235</v>
      </c>
      <c r="B6631" t="s">
        <v>18</v>
      </c>
      <c r="C6631">
        <v>50235</v>
      </c>
      <c r="D6631" t="str">
        <f>"50235"</f>
        <v>50235</v>
      </c>
      <c r="E6631">
        <v>70</v>
      </c>
    </row>
    <row r="6632" spans="1:5" x14ac:dyDescent="0.2">
      <c r="A6632">
        <v>50236</v>
      </c>
      <c r="B6632" t="s">
        <v>18</v>
      </c>
      <c r="C6632">
        <v>50236</v>
      </c>
      <c r="D6632" t="str">
        <f>"50236"</f>
        <v>50236</v>
      </c>
      <c r="E6632">
        <v>82.19</v>
      </c>
    </row>
    <row r="6633" spans="1:5" x14ac:dyDescent="0.2">
      <c r="A6633">
        <v>50237</v>
      </c>
      <c r="B6633" t="s">
        <v>18</v>
      </c>
      <c r="C6633">
        <v>50237</v>
      </c>
      <c r="D6633" t="str">
        <f>"50237"</f>
        <v>50237</v>
      </c>
      <c r="E6633">
        <v>83.45</v>
      </c>
    </row>
    <row r="6634" spans="1:5" x14ac:dyDescent="0.2">
      <c r="A6634">
        <v>50238</v>
      </c>
      <c r="B6634" t="s">
        <v>18</v>
      </c>
      <c r="C6634">
        <v>50238</v>
      </c>
      <c r="D6634" t="str">
        <f>"50238"</f>
        <v>50238</v>
      </c>
      <c r="E6634">
        <v>73.33</v>
      </c>
    </row>
    <row r="6635" spans="1:5" x14ac:dyDescent="0.2">
      <c r="A6635">
        <v>50239</v>
      </c>
      <c r="B6635" t="s">
        <v>18</v>
      </c>
      <c r="C6635">
        <v>50239</v>
      </c>
      <c r="D6635" t="str">
        <f>"50239"</f>
        <v>50239</v>
      </c>
      <c r="E6635" t="s">
        <v>6</v>
      </c>
    </row>
    <row r="6636" spans="1:5" x14ac:dyDescent="0.2">
      <c r="A6636">
        <v>50240</v>
      </c>
      <c r="B6636" t="s">
        <v>18</v>
      </c>
      <c r="C6636">
        <v>50240</v>
      </c>
      <c r="D6636" t="str">
        <f>"50240"</f>
        <v>50240</v>
      </c>
      <c r="E6636">
        <v>79.44</v>
      </c>
    </row>
    <row r="6637" spans="1:5" x14ac:dyDescent="0.2">
      <c r="A6637">
        <v>50241</v>
      </c>
      <c r="B6637" t="s">
        <v>18</v>
      </c>
      <c r="C6637">
        <v>50241</v>
      </c>
      <c r="D6637" t="str">
        <f>"50241"</f>
        <v>50241</v>
      </c>
      <c r="E6637" t="s">
        <v>6</v>
      </c>
    </row>
    <row r="6638" spans="1:5" x14ac:dyDescent="0.2">
      <c r="A6638">
        <v>50242</v>
      </c>
      <c r="B6638" t="s">
        <v>18</v>
      </c>
      <c r="C6638">
        <v>50242</v>
      </c>
      <c r="D6638" t="str">
        <f>"50242"</f>
        <v>50242</v>
      </c>
      <c r="E6638">
        <v>70.59</v>
      </c>
    </row>
    <row r="6639" spans="1:5" x14ac:dyDescent="0.2">
      <c r="A6639">
        <v>50243</v>
      </c>
      <c r="B6639" t="s">
        <v>18</v>
      </c>
      <c r="C6639">
        <v>50243</v>
      </c>
      <c r="D6639" t="str">
        <f>"50243"</f>
        <v>50243</v>
      </c>
      <c r="E6639" t="s">
        <v>6</v>
      </c>
    </row>
    <row r="6640" spans="1:5" x14ac:dyDescent="0.2">
      <c r="A6640">
        <v>50244</v>
      </c>
      <c r="B6640" t="s">
        <v>18</v>
      </c>
      <c r="C6640">
        <v>50244</v>
      </c>
      <c r="D6640" t="str">
        <f>"50244"</f>
        <v>50244</v>
      </c>
      <c r="E6640">
        <v>84.44</v>
      </c>
    </row>
    <row r="6641" spans="1:5" x14ac:dyDescent="0.2">
      <c r="A6641">
        <v>50246</v>
      </c>
      <c r="B6641" t="s">
        <v>18</v>
      </c>
      <c r="C6641">
        <v>50246</v>
      </c>
      <c r="D6641" t="str">
        <f>"50246"</f>
        <v>50246</v>
      </c>
      <c r="E6641">
        <v>80.650000000000006</v>
      </c>
    </row>
    <row r="6642" spans="1:5" x14ac:dyDescent="0.2">
      <c r="A6642">
        <v>50247</v>
      </c>
      <c r="B6642" t="s">
        <v>18</v>
      </c>
      <c r="C6642">
        <v>50247</v>
      </c>
      <c r="D6642" t="str">
        <f>"50247"</f>
        <v>50247</v>
      </c>
      <c r="E6642">
        <v>76.150000000000006</v>
      </c>
    </row>
    <row r="6643" spans="1:5" x14ac:dyDescent="0.2">
      <c r="A6643">
        <v>50248</v>
      </c>
      <c r="B6643" t="s">
        <v>18</v>
      </c>
      <c r="C6643">
        <v>50248</v>
      </c>
      <c r="D6643" t="str">
        <f>"50248"</f>
        <v>50248</v>
      </c>
      <c r="E6643">
        <v>79.72</v>
      </c>
    </row>
    <row r="6644" spans="1:5" x14ac:dyDescent="0.2">
      <c r="A6644">
        <v>50249</v>
      </c>
      <c r="B6644" t="s">
        <v>18</v>
      </c>
      <c r="C6644">
        <v>50249</v>
      </c>
      <c r="D6644" t="str">
        <f>"50249"</f>
        <v>50249</v>
      </c>
      <c r="E6644">
        <v>80</v>
      </c>
    </row>
    <row r="6645" spans="1:5" x14ac:dyDescent="0.2">
      <c r="A6645">
        <v>50250</v>
      </c>
      <c r="B6645" t="s">
        <v>18</v>
      </c>
      <c r="C6645">
        <v>50250</v>
      </c>
      <c r="D6645" t="str">
        <f>"50250"</f>
        <v>50250</v>
      </c>
      <c r="E6645">
        <v>71.430000000000007</v>
      </c>
    </row>
    <row r="6646" spans="1:5" x14ac:dyDescent="0.2">
      <c r="A6646">
        <v>50251</v>
      </c>
      <c r="B6646" t="s">
        <v>18</v>
      </c>
      <c r="C6646">
        <v>50251</v>
      </c>
      <c r="D6646" t="str">
        <f>"50251"</f>
        <v>50251</v>
      </c>
      <c r="E6646">
        <v>75</v>
      </c>
    </row>
    <row r="6647" spans="1:5" x14ac:dyDescent="0.2">
      <c r="A6647">
        <v>50252</v>
      </c>
      <c r="B6647" t="s">
        <v>18</v>
      </c>
      <c r="C6647">
        <v>50252</v>
      </c>
      <c r="D6647" t="str">
        <f>"50252"</f>
        <v>50252</v>
      </c>
      <c r="E6647">
        <v>73.680000000000007</v>
      </c>
    </row>
    <row r="6648" spans="1:5" x14ac:dyDescent="0.2">
      <c r="A6648">
        <v>50254</v>
      </c>
      <c r="B6648" t="s">
        <v>18</v>
      </c>
      <c r="C6648">
        <v>50254</v>
      </c>
      <c r="D6648" t="str">
        <f>"50254"</f>
        <v>50254</v>
      </c>
      <c r="E6648">
        <v>76.92</v>
      </c>
    </row>
    <row r="6649" spans="1:5" x14ac:dyDescent="0.2">
      <c r="A6649">
        <v>50255</v>
      </c>
      <c r="B6649" t="s">
        <v>18</v>
      </c>
      <c r="C6649">
        <v>50255</v>
      </c>
      <c r="D6649" t="str">
        <f>"50255"</f>
        <v>50255</v>
      </c>
      <c r="E6649" t="s">
        <v>6</v>
      </c>
    </row>
    <row r="6650" spans="1:5" x14ac:dyDescent="0.2">
      <c r="A6650">
        <v>50256</v>
      </c>
      <c r="B6650" t="s">
        <v>18</v>
      </c>
      <c r="C6650">
        <v>50256</v>
      </c>
      <c r="D6650" t="str">
        <f>"50256"</f>
        <v>50256</v>
      </c>
      <c r="E6650">
        <v>81.819999999999993</v>
      </c>
    </row>
    <row r="6651" spans="1:5" x14ac:dyDescent="0.2">
      <c r="A6651">
        <v>50257</v>
      </c>
      <c r="B6651" t="s">
        <v>18</v>
      </c>
      <c r="C6651">
        <v>50257</v>
      </c>
      <c r="D6651" t="str">
        <f>"50257"</f>
        <v>50257</v>
      </c>
      <c r="E6651">
        <v>72.73</v>
      </c>
    </row>
    <row r="6652" spans="1:5" x14ac:dyDescent="0.2">
      <c r="A6652">
        <v>50258</v>
      </c>
      <c r="B6652" t="s">
        <v>18</v>
      </c>
      <c r="C6652">
        <v>50258</v>
      </c>
      <c r="D6652" t="str">
        <f>"50258"</f>
        <v>50258</v>
      </c>
      <c r="E6652">
        <v>74.290000000000006</v>
      </c>
    </row>
    <row r="6653" spans="1:5" x14ac:dyDescent="0.2">
      <c r="A6653">
        <v>50259</v>
      </c>
      <c r="B6653" t="s">
        <v>18</v>
      </c>
      <c r="C6653">
        <v>50259</v>
      </c>
      <c r="D6653" t="str">
        <f>"50259"</f>
        <v>50259</v>
      </c>
      <c r="E6653" t="s">
        <v>6</v>
      </c>
    </row>
    <row r="6654" spans="1:5" x14ac:dyDescent="0.2">
      <c r="A6654">
        <v>50261</v>
      </c>
      <c r="B6654" t="s">
        <v>18</v>
      </c>
      <c r="C6654">
        <v>50261</v>
      </c>
      <c r="D6654" t="str">
        <f>"50261"</f>
        <v>50261</v>
      </c>
      <c r="E6654">
        <v>80.33</v>
      </c>
    </row>
    <row r="6655" spans="1:5" x14ac:dyDescent="0.2">
      <c r="A6655">
        <v>50262</v>
      </c>
      <c r="B6655" t="s">
        <v>18</v>
      </c>
      <c r="C6655">
        <v>50262</v>
      </c>
      <c r="D6655" t="str">
        <f>"50262"</f>
        <v>50262</v>
      </c>
      <c r="E6655">
        <v>77.78</v>
      </c>
    </row>
    <row r="6656" spans="1:5" x14ac:dyDescent="0.2">
      <c r="A6656">
        <v>50263</v>
      </c>
      <c r="B6656" t="s">
        <v>18</v>
      </c>
      <c r="C6656">
        <v>50263</v>
      </c>
      <c r="D6656" t="str">
        <f>"50263"</f>
        <v>50263</v>
      </c>
      <c r="E6656">
        <v>82.99</v>
      </c>
    </row>
    <row r="6657" spans="1:5" x14ac:dyDescent="0.2">
      <c r="A6657">
        <v>50264</v>
      </c>
      <c r="B6657" t="s">
        <v>18</v>
      </c>
      <c r="C6657">
        <v>50264</v>
      </c>
      <c r="D6657" t="str">
        <f>"50264"</f>
        <v>50264</v>
      </c>
      <c r="E6657">
        <v>57.14</v>
      </c>
    </row>
    <row r="6658" spans="1:5" x14ac:dyDescent="0.2">
      <c r="A6658">
        <v>50265</v>
      </c>
      <c r="B6658" t="s">
        <v>18</v>
      </c>
      <c r="C6658">
        <v>50265</v>
      </c>
      <c r="D6658" t="str">
        <f>"50265"</f>
        <v>50265</v>
      </c>
      <c r="E6658">
        <v>80.819999999999993</v>
      </c>
    </row>
    <row r="6659" spans="1:5" x14ac:dyDescent="0.2">
      <c r="A6659">
        <v>50266</v>
      </c>
      <c r="B6659" t="s">
        <v>18</v>
      </c>
      <c r="C6659">
        <v>50266</v>
      </c>
      <c r="D6659" t="str">
        <f>"50266"</f>
        <v>50266</v>
      </c>
      <c r="E6659">
        <v>83.47</v>
      </c>
    </row>
    <row r="6660" spans="1:5" x14ac:dyDescent="0.2">
      <c r="A6660">
        <v>50268</v>
      </c>
      <c r="B6660" t="s">
        <v>18</v>
      </c>
      <c r="C6660">
        <v>50268</v>
      </c>
      <c r="D6660" t="str">
        <f>"50268"</f>
        <v>50268</v>
      </c>
      <c r="E6660">
        <v>65.790000000000006</v>
      </c>
    </row>
    <row r="6661" spans="1:5" x14ac:dyDescent="0.2">
      <c r="A6661">
        <v>50269</v>
      </c>
      <c r="B6661" t="s">
        <v>18</v>
      </c>
      <c r="C6661">
        <v>50269</v>
      </c>
      <c r="D6661" t="str">
        <f>"50269"</f>
        <v>50269</v>
      </c>
      <c r="E6661" t="s">
        <v>6</v>
      </c>
    </row>
    <row r="6662" spans="1:5" x14ac:dyDescent="0.2">
      <c r="A6662">
        <v>50271</v>
      </c>
      <c r="B6662" t="s">
        <v>18</v>
      </c>
      <c r="C6662">
        <v>50271</v>
      </c>
      <c r="D6662" t="str">
        <f>"50271"</f>
        <v>50271</v>
      </c>
      <c r="E6662">
        <v>73.33</v>
      </c>
    </row>
    <row r="6663" spans="1:5" x14ac:dyDescent="0.2">
      <c r="A6663">
        <v>50272</v>
      </c>
      <c r="B6663" t="s">
        <v>18</v>
      </c>
      <c r="C6663">
        <v>50272</v>
      </c>
      <c r="D6663" t="str">
        <f>"50272"</f>
        <v>50272</v>
      </c>
      <c r="E6663" t="s">
        <v>6</v>
      </c>
    </row>
    <row r="6664" spans="1:5" x14ac:dyDescent="0.2">
      <c r="A6664">
        <v>50273</v>
      </c>
      <c r="B6664" t="s">
        <v>18</v>
      </c>
      <c r="C6664">
        <v>50273</v>
      </c>
      <c r="D6664" t="str">
        <f>"50273"</f>
        <v>50273</v>
      </c>
      <c r="E6664">
        <v>76.44</v>
      </c>
    </row>
    <row r="6665" spans="1:5" x14ac:dyDescent="0.2">
      <c r="A6665">
        <v>50274</v>
      </c>
      <c r="B6665" t="s">
        <v>18</v>
      </c>
      <c r="C6665">
        <v>50274</v>
      </c>
      <c r="D6665" t="str">
        <f>"50274"</f>
        <v>50274</v>
      </c>
      <c r="E6665">
        <v>75</v>
      </c>
    </row>
    <row r="6666" spans="1:5" x14ac:dyDescent="0.2">
      <c r="A6666">
        <v>50275</v>
      </c>
      <c r="B6666" t="s">
        <v>18</v>
      </c>
      <c r="C6666">
        <v>50275</v>
      </c>
      <c r="D6666" t="str">
        <f>"50275"</f>
        <v>50275</v>
      </c>
      <c r="E6666">
        <v>69.569999999999993</v>
      </c>
    </row>
    <row r="6667" spans="1:5" x14ac:dyDescent="0.2">
      <c r="A6667">
        <v>50276</v>
      </c>
      <c r="B6667" t="s">
        <v>18</v>
      </c>
      <c r="C6667">
        <v>50276</v>
      </c>
      <c r="D6667" t="str">
        <f>"50276"</f>
        <v>50276</v>
      </c>
      <c r="E6667">
        <v>81.55</v>
      </c>
    </row>
    <row r="6668" spans="1:5" x14ac:dyDescent="0.2">
      <c r="A6668">
        <v>50277</v>
      </c>
      <c r="B6668" t="s">
        <v>18</v>
      </c>
      <c r="C6668">
        <v>50277</v>
      </c>
      <c r="D6668" t="str">
        <f>"50277"</f>
        <v>50277</v>
      </c>
      <c r="E6668">
        <v>71.430000000000007</v>
      </c>
    </row>
    <row r="6669" spans="1:5" x14ac:dyDescent="0.2">
      <c r="A6669">
        <v>50278</v>
      </c>
      <c r="B6669" t="s">
        <v>18</v>
      </c>
      <c r="C6669">
        <v>50278</v>
      </c>
      <c r="D6669" t="str">
        <f>"50278"</f>
        <v>50278</v>
      </c>
      <c r="E6669">
        <v>72.97</v>
      </c>
    </row>
    <row r="6670" spans="1:5" x14ac:dyDescent="0.2">
      <c r="A6670">
        <v>50309</v>
      </c>
      <c r="B6670" t="s">
        <v>18</v>
      </c>
      <c r="C6670">
        <v>50309</v>
      </c>
      <c r="D6670" t="str">
        <f>"50309"</f>
        <v>50309</v>
      </c>
      <c r="E6670">
        <v>82.15</v>
      </c>
    </row>
    <row r="6671" spans="1:5" x14ac:dyDescent="0.2">
      <c r="A6671">
        <v>50310</v>
      </c>
      <c r="B6671" t="s">
        <v>18</v>
      </c>
      <c r="C6671">
        <v>50310</v>
      </c>
      <c r="D6671" t="str">
        <f>"50310"</f>
        <v>50310</v>
      </c>
      <c r="E6671">
        <v>76.819999999999993</v>
      </c>
    </row>
    <row r="6672" spans="1:5" x14ac:dyDescent="0.2">
      <c r="A6672">
        <v>50311</v>
      </c>
      <c r="B6672" t="s">
        <v>18</v>
      </c>
      <c r="C6672">
        <v>50311</v>
      </c>
      <c r="D6672" t="str">
        <f>"50311"</f>
        <v>50311</v>
      </c>
      <c r="E6672">
        <v>73.489999999999995</v>
      </c>
    </row>
    <row r="6673" spans="1:5" x14ac:dyDescent="0.2">
      <c r="A6673">
        <v>50312</v>
      </c>
      <c r="B6673" t="s">
        <v>18</v>
      </c>
      <c r="C6673">
        <v>50312</v>
      </c>
      <c r="D6673" t="str">
        <f>"50312"</f>
        <v>50312</v>
      </c>
      <c r="E6673">
        <v>81.319999999999993</v>
      </c>
    </row>
    <row r="6674" spans="1:5" x14ac:dyDescent="0.2">
      <c r="A6674">
        <v>50313</v>
      </c>
      <c r="B6674" t="s">
        <v>18</v>
      </c>
      <c r="C6674">
        <v>50313</v>
      </c>
      <c r="D6674" t="str">
        <f>"50313"</f>
        <v>50313</v>
      </c>
      <c r="E6674">
        <v>70.45</v>
      </c>
    </row>
    <row r="6675" spans="1:5" x14ac:dyDescent="0.2">
      <c r="A6675">
        <v>50314</v>
      </c>
      <c r="B6675" t="s">
        <v>18</v>
      </c>
      <c r="C6675">
        <v>50314</v>
      </c>
      <c r="D6675" t="str">
        <f>"50314"</f>
        <v>50314</v>
      </c>
      <c r="E6675">
        <v>53.36</v>
      </c>
    </row>
    <row r="6676" spans="1:5" x14ac:dyDescent="0.2">
      <c r="A6676">
        <v>50315</v>
      </c>
      <c r="B6676" t="s">
        <v>18</v>
      </c>
      <c r="C6676">
        <v>50315</v>
      </c>
      <c r="D6676" t="str">
        <f>"50315"</f>
        <v>50315</v>
      </c>
      <c r="E6676">
        <v>70.739999999999995</v>
      </c>
    </row>
    <row r="6677" spans="1:5" x14ac:dyDescent="0.2">
      <c r="A6677">
        <v>50316</v>
      </c>
      <c r="B6677" t="s">
        <v>18</v>
      </c>
      <c r="C6677">
        <v>50316</v>
      </c>
      <c r="D6677" t="str">
        <f>"50316"</f>
        <v>50316</v>
      </c>
      <c r="E6677">
        <v>62.13</v>
      </c>
    </row>
    <row r="6678" spans="1:5" x14ac:dyDescent="0.2">
      <c r="A6678">
        <v>50317</v>
      </c>
      <c r="B6678" t="s">
        <v>18</v>
      </c>
      <c r="C6678">
        <v>50317</v>
      </c>
      <c r="D6678" t="str">
        <f>"50317"</f>
        <v>50317</v>
      </c>
      <c r="E6678">
        <v>70.989999999999995</v>
      </c>
    </row>
    <row r="6679" spans="1:5" x14ac:dyDescent="0.2">
      <c r="A6679">
        <v>50319</v>
      </c>
      <c r="B6679" t="s">
        <v>18</v>
      </c>
      <c r="C6679">
        <v>50319</v>
      </c>
      <c r="D6679" t="str">
        <f>"50319"</f>
        <v>50319</v>
      </c>
      <c r="E6679" t="s">
        <v>6</v>
      </c>
    </row>
    <row r="6680" spans="1:5" x14ac:dyDescent="0.2">
      <c r="A6680">
        <v>50320</v>
      </c>
      <c r="B6680" t="s">
        <v>18</v>
      </c>
      <c r="C6680">
        <v>50320</v>
      </c>
      <c r="D6680" t="str">
        <f>"50320"</f>
        <v>50320</v>
      </c>
      <c r="E6680">
        <v>69</v>
      </c>
    </row>
    <row r="6681" spans="1:5" x14ac:dyDescent="0.2">
      <c r="A6681">
        <v>50321</v>
      </c>
      <c r="B6681" t="s">
        <v>18</v>
      </c>
      <c r="C6681">
        <v>50321</v>
      </c>
      <c r="D6681" t="str">
        <f>"50321"</f>
        <v>50321</v>
      </c>
      <c r="E6681">
        <v>75.39</v>
      </c>
    </row>
    <row r="6682" spans="1:5" x14ac:dyDescent="0.2">
      <c r="A6682">
        <v>50322</v>
      </c>
      <c r="B6682" t="s">
        <v>18</v>
      </c>
      <c r="C6682">
        <v>50322</v>
      </c>
      <c r="D6682" t="str">
        <f>"50322"</f>
        <v>50322</v>
      </c>
      <c r="E6682">
        <v>80.22</v>
      </c>
    </row>
    <row r="6683" spans="1:5" x14ac:dyDescent="0.2">
      <c r="A6683">
        <v>50323</v>
      </c>
      <c r="B6683" t="s">
        <v>18</v>
      </c>
      <c r="C6683">
        <v>50323</v>
      </c>
      <c r="D6683" t="str">
        <f>"50323"</f>
        <v>50323</v>
      </c>
      <c r="E6683">
        <v>86.32</v>
      </c>
    </row>
    <row r="6684" spans="1:5" x14ac:dyDescent="0.2">
      <c r="A6684">
        <v>50324</v>
      </c>
      <c r="B6684" t="s">
        <v>18</v>
      </c>
      <c r="C6684">
        <v>50324</v>
      </c>
      <c r="D6684" t="str">
        <f>"50324"</f>
        <v>50324</v>
      </c>
      <c r="E6684">
        <v>80.45</v>
      </c>
    </row>
    <row r="6685" spans="1:5" x14ac:dyDescent="0.2">
      <c r="A6685">
        <v>50325</v>
      </c>
      <c r="B6685" t="s">
        <v>18</v>
      </c>
      <c r="C6685">
        <v>50325</v>
      </c>
      <c r="D6685" t="str">
        <f>"50325"</f>
        <v>50325</v>
      </c>
      <c r="E6685">
        <v>81.459999999999994</v>
      </c>
    </row>
    <row r="6686" spans="1:5" x14ac:dyDescent="0.2">
      <c r="A6686">
        <v>50327</v>
      </c>
      <c r="B6686" t="s">
        <v>18</v>
      </c>
      <c r="C6686">
        <v>50327</v>
      </c>
      <c r="D6686" t="str">
        <f>"50327"</f>
        <v>50327</v>
      </c>
      <c r="E6686">
        <v>79.849999999999994</v>
      </c>
    </row>
    <row r="6687" spans="1:5" x14ac:dyDescent="0.2">
      <c r="A6687">
        <v>50391</v>
      </c>
      <c r="B6687" t="s">
        <v>18</v>
      </c>
      <c r="C6687">
        <v>50391</v>
      </c>
      <c r="D6687" t="str">
        <f>"50391"</f>
        <v>50391</v>
      </c>
      <c r="E6687" t="s">
        <v>6</v>
      </c>
    </row>
    <row r="6688" spans="1:5" x14ac:dyDescent="0.2">
      <c r="A6688">
        <v>50392</v>
      </c>
      <c r="B6688" t="s">
        <v>18</v>
      </c>
      <c r="C6688">
        <v>50392</v>
      </c>
      <c r="D6688" t="str">
        <f>"50392"</f>
        <v>50392</v>
      </c>
      <c r="E6688" t="s">
        <v>6</v>
      </c>
    </row>
    <row r="6689" spans="1:5" x14ac:dyDescent="0.2">
      <c r="A6689">
        <v>50398</v>
      </c>
      <c r="B6689" t="s">
        <v>18</v>
      </c>
      <c r="C6689">
        <v>50398</v>
      </c>
      <c r="D6689" t="str">
        <f>"50398"</f>
        <v>50398</v>
      </c>
      <c r="E6689" t="s">
        <v>6</v>
      </c>
    </row>
    <row r="6690" spans="1:5" x14ac:dyDescent="0.2">
      <c r="A6690">
        <v>50401</v>
      </c>
      <c r="B6690" t="s">
        <v>18</v>
      </c>
      <c r="C6690">
        <v>50401</v>
      </c>
      <c r="D6690" t="str">
        <f>"50401"</f>
        <v>50401</v>
      </c>
      <c r="E6690">
        <v>74.400000000000006</v>
      </c>
    </row>
    <row r="6691" spans="1:5" x14ac:dyDescent="0.2">
      <c r="A6691">
        <v>50420</v>
      </c>
      <c r="B6691" t="s">
        <v>18</v>
      </c>
      <c r="C6691">
        <v>50420</v>
      </c>
      <c r="D6691" t="str">
        <f>"50420"</f>
        <v>50420</v>
      </c>
      <c r="E6691">
        <v>68.75</v>
      </c>
    </row>
    <row r="6692" spans="1:5" x14ac:dyDescent="0.2">
      <c r="A6692">
        <v>50421</v>
      </c>
      <c r="B6692" t="s">
        <v>18</v>
      </c>
      <c r="C6692">
        <v>50421</v>
      </c>
      <c r="D6692" t="str">
        <f>"50421"</f>
        <v>50421</v>
      </c>
      <c r="E6692">
        <v>69.930000000000007</v>
      </c>
    </row>
    <row r="6693" spans="1:5" x14ac:dyDescent="0.2">
      <c r="A6693">
        <v>50423</v>
      </c>
      <c r="B6693" t="s">
        <v>18</v>
      </c>
      <c r="C6693">
        <v>50423</v>
      </c>
      <c r="D6693" t="str">
        <f>"50423"</f>
        <v>50423</v>
      </c>
      <c r="E6693">
        <v>75.97</v>
      </c>
    </row>
    <row r="6694" spans="1:5" x14ac:dyDescent="0.2">
      <c r="A6694">
        <v>50424</v>
      </c>
      <c r="B6694" t="s">
        <v>18</v>
      </c>
      <c r="C6694">
        <v>50424</v>
      </c>
      <c r="D6694" t="str">
        <f>"50424"</f>
        <v>50424</v>
      </c>
      <c r="E6694">
        <v>76.47</v>
      </c>
    </row>
    <row r="6695" spans="1:5" x14ac:dyDescent="0.2">
      <c r="A6695">
        <v>50426</v>
      </c>
      <c r="B6695" t="s">
        <v>18</v>
      </c>
      <c r="C6695">
        <v>50426</v>
      </c>
      <c r="D6695" t="str">
        <f>"50426"</f>
        <v>50426</v>
      </c>
      <c r="E6695" t="s">
        <v>6</v>
      </c>
    </row>
    <row r="6696" spans="1:5" x14ac:dyDescent="0.2">
      <c r="A6696">
        <v>50427</v>
      </c>
      <c r="B6696" t="s">
        <v>18</v>
      </c>
      <c r="C6696">
        <v>50427</v>
      </c>
      <c r="D6696" t="str">
        <f>"50427"</f>
        <v>50427</v>
      </c>
      <c r="E6696" t="s">
        <v>6</v>
      </c>
    </row>
    <row r="6697" spans="1:5" x14ac:dyDescent="0.2">
      <c r="A6697">
        <v>50428</v>
      </c>
      <c r="B6697" t="s">
        <v>18</v>
      </c>
      <c r="C6697">
        <v>50428</v>
      </c>
      <c r="D6697" t="str">
        <f>"50428"</f>
        <v>50428</v>
      </c>
      <c r="E6697">
        <v>78.7</v>
      </c>
    </row>
    <row r="6698" spans="1:5" x14ac:dyDescent="0.2">
      <c r="A6698">
        <v>50430</v>
      </c>
      <c r="B6698" t="s">
        <v>18</v>
      </c>
      <c r="C6698">
        <v>50430</v>
      </c>
      <c r="D6698" t="str">
        <f>"50430"</f>
        <v>50430</v>
      </c>
      <c r="E6698">
        <v>75</v>
      </c>
    </row>
    <row r="6699" spans="1:5" x14ac:dyDescent="0.2">
      <c r="A6699">
        <v>50431</v>
      </c>
      <c r="B6699" t="s">
        <v>18</v>
      </c>
      <c r="C6699">
        <v>50431</v>
      </c>
      <c r="D6699" t="str">
        <f>"50431"</f>
        <v>50431</v>
      </c>
      <c r="E6699" t="s">
        <v>6</v>
      </c>
    </row>
    <row r="6700" spans="1:5" x14ac:dyDescent="0.2">
      <c r="A6700">
        <v>50432</v>
      </c>
      <c r="B6700" t="s">
        <v>18</v>
      </c>
      <c r="C6700">
        <v>50432</v>
      </c>
      <c r="D6700" t="str">
        <f>"50432"</f>
        <v>50432</v>
      </c>
      <c r="E6700" t="s">
        <v>6</v>
      </c>
    </row>
    <row r="6701" spans="1:5" x14ac:dyDescent="0.2">
      <c r="A6701">
        <v>50433</v>
      </c>
      <c r="B6701" t="s">
        <v>18</v>
      </c>
      <c r="C6701">
        <v>50433</v>
      </c>
      <c r="D6701" t="str">
        <f>"50433"</f>
        <v>50433</v>
      </c>
      <c r="E6701">
        <v>90</v>
      </c>
    </row>
    <row r="6702" spans="1:5" x14ac:dyDescent="0.2">
      <c r="A6702">
        <v>50434</v>
      </c>
      <c r="B6702" t="s">
        <v>18</v>
      </c>
      <c r="C6702">
        <v>50434</v>
      </c>
      <c r="D6702" t="str">
        <f>"50434"</f>
        <v>50434</v>
      </c>
      <c r="E6702">
        <v>77.27</v>
      </c>
    </row>
    <row r="6703" spans="1:5" x14ac:dyDescent="0.2">
      <c r="A6703">
        <v>50435</v>
      </c>
      <c r="B6703" t="s">
        <v>18</v>
      </c>
      <c r="C6703">
        <v>50435</v>
      </c>
      <c r="D6703" t="str">
        <f>"50435"</f>
        <v>50435</v>
      </c>
      <c r="E6703">
        <v>75</v>
      </c>
    </row>
    <row r="6704" spans="1:5" x14ac:dyDescent="0.2">
      <c r="A6704">
        <v>50436</v>
      </c>
      <c r="B6704" t="s">
        <v>18</v>
      </c>
      <c r="C6704">
        <v>50436</v>
      </c>
      <c r="D6704" t="str">
        <f>"50436"</f>
        <v>50436</v>
      </c>
      <c r="E6704">
        <v>75.95</v>
      </c>
    </row>
    <row r="6705" spans="1:5" x14ac:dyDescent="0.2">
      <c r="A6705">
        <v>50438</v>
      </c>
      <c r="B6705" t="s">
        <v>18</v>
      </c>
      <c r="C6705">
        <v>50438</v>
      </c>
      <c r="D6705" t="str">
        <f>"50438"</f>
        <v>50438</v>
      </c>
      <c r="E6705">
        <v>75.92</v>
      </c>
    </row>
    <row r="6706" spans="1:5" x14ac:dyDescent="0.2">
      <c r="A6706">
        <v>50439</v>
      </c>
      <c r="B6706" t="s">
        <v>18</v>
      </c>
      <c r="C6706">
        <v>50439</v>
      </c>
      <c r="D6706" t="str">
        <f>"50439"</f>
        <v>50439</v>
      </c>
      <c r="E6706">
        <v>66.67</v>
      </c>
    </row>
    <row r="6707" spans="1:5" x14ac:dyDescent="0.2">
      <c r="A6707">
        <v>50440</v>
      </c>
      <c r="B6707" t="s">
        <v>18</v>
      </c>
      <c r="C6707">
        <v>50440</v>
      </c>
      <c r="D6707" t="str">
        <f>"50440"</f>
        <v>50440</v>
      </c>
      <c r="E6707">
        <v>80.95</v>
      </c>
    </row>
    <row r="6708" spans="1:5" x14ac:dyDescent="0.2">
      <c r="A6708">
        <v>50441</v>
      </c>
      <c r="B6708" t="s">
        <v>18</v>
      </c>
      <c r="C6708">
        <v>50441</v>
      </c>
      <c r="D6708" t="str">
        <f>"50441"</f>
        <v>50441</v>
      </c>
      <c r="E6708">
        <v>68.78</v>
      </c>
    </row>
    <row r="6709" spans="1:5" x14ac:dyDescent="0.2">
      <c r="A6709">
        <v>50444</v>
      </c>
      <c r="B6709" t="s">
        <v>18</v>
      </c>
      <c r="C6709">
        <v>50444</v>
      </c>
      <c r="D6709" t="str">
        <f>"50444"</f>
        <v>50444</v>
      </c>
      <c r="E6709">
        <v>77.78</v>
      </c>
    </row>
    <row r="6710" spans="1:5" x14ac:dyDescent="0.2">
      <c r="A6710">
        <v>50446</v>
      </c>
      <c r="B6710" t="s">
        <v>18</v>
      </c>
      <c r="C6710">
        <v>50446</v>
      </c>
      <c r="D6710" t="str">
        <f>"50446"</f>
        <v>50446</v>
      </c>
      <c r="E6710">
        <v>80</v>
      </c>
    </row>
    <row r="6711" spans="1:5" x14ac:dyDescent="0.2">
      <c r="A6711">
        <v>50447</v>
      </c>
      <c r="B6711" t="s">
        <v>18</v>
      </c>
      <c r="C6711">
        <v>50447</v>
      </c>
      <c r="D6711" t="str">
        <f>"50447"</f>
        <v>50447</v>
      </c>
      <c r="E6711">
        <v>72.92</v>
      </c>
    </row>
    <row r="6712" spans="1:5" x14ac:dyDescent="0.2">
      <c r="A6712">
        <v>50448</v>
      </c>
      <c r="B6712" t="s">
        <v>18</v>
      </c>
      <c r="C6712">
        <v>50448</v>
      </c>
      <c r="D6712" t="str">
        <f>"50448"</f>
        <v>50448</v>
      </c>
      <c r="E6712">
        <v>79.31</v>
      </c>
    </row>
    <row r="6713" spans="1:5" x14ac:dyDescent="0.2">
      <c r="A6713">
        <v>50449</v>
      </c>
      <c r="B6713" t="s">
        <v>18</v>
      </c>
      <c r="C6713">
        <v>50449</v>
      </c>
      <c r="D6713" t="str">
        <f>"50449"</f>
        <v>50449</v>
      </c>
      <c r="E6713">
        <v>70</v>
      </c>
    </row>
    <row r="6714" spans="1:5" x14ac:dyDescent="0.2">
      <c r="A6714">
        <v>50450</v>
      </c>
      <c r="B6714" t="s">
        <v>18</v>
      </c>
      <c r="C6714">
        <v>50450</v>
      </c>
      <c r="D6714" t="str">
        <f>"50450"</f>
        <v>50450</v>
      </c>
      <c r="E6714">
        <v>75.91</v>
      </c>
    </row>
    <row r="6715" spans="1:5" x14ac:dyDescent="0.2">
      <c r="A6715">
        <v>50451</v>
      </c>
      <c r="B6715" t="s">
        <v>18</v>
      </c>
      <c r="C6715">
        <v>50451</v>
      </c>
      <c r="D6715" t="str">
        <f>"50451"</f>
        <v>50451</v>
      </c>
      <c r="E6715">
        <v>73.91</v>
      </c>
    </row>
    <row r="6716" spans="1:5" x14ac:dyDescent="0.2">
      <c r="A6716">
        <v>50452</v>
      </c>
      <c r="B6716" t="s">
        <v>18</v>
      </c>
      <c r="C6716">
        <v>50452</v>
      </c>
      <c r="D6716" t="str">
        <f>"50452"</f>
        <v>50452</v>
      </c>
      <c r="E6716">
        <v>72.22</v>
      </c>
    </row>
    <row r="6717" spans="1:5" x14ac:dyDescent="0.2">
      <c r="A6717">
        <v>50453</v>
      </c>
      <c r="B6717" t="s">
        <v>18</v>
      </c>
      <c r="C6717">
        <v>50453</v>
      </c>
      <c r="D6717" t="str">
        <f>"50453"</f>
        <v>50453</v>
      </c>
      <c r="E6717">
        <v>72</v>
      </c>
    </row>
    <row r="6718" spans="1:5" x14ac:dyDescent="0.2">
      <c r="A6718">
        <v>50454</v>
      </c>
      <c r="B6718" t="s">
        <v>18</v>
      </c>
      <c r="C6718">
        <v>50454</v>
      </c>
      <c r="D6718" t="str">
        <f>"50454"</f>
        <v>50454</v>
      </c>
      <c r="E6718" t="s">
        <v>6</v>
      </c>
    </row>
    <row r="6719" spans="1:5" x14ac:dyDescent="0.2">
      <c r="A6719">
        <v>50455</v>
      </c>
      <c r="B6719" t="s">
        <v>18</v>
      </c>
      <c r="C6719">
        <v>50455</v>
      </c>
      <c r="D6719" t="str">
        <f>"50455"</f>
        <v>50455</v>
      </c>
      <c r="E6719">
        <v>64.290000000000006</v>
      </c>
    </row>
    <row r="6720" spans="1:5" x14ac:dyDescent="0.2">
      <c r="A6720">
        <v>50456</v>
      </c>
      <c r="B6720" t="s">
        <v>18</v>
      </c>
      <c r="C6720">
        <v>50456</v>
      </c>
      <c r="D6720" t="str">
        <f>"50456"</f>
        <v>50456</v>
      </c>
      <c r="E6720">
        <v>72.84</v>
      </c>
    </row>
    <row r="6721" spans="1:5" x14ac:dyDescent="0.2">
      <c r="A6721">
        <v>50457</v>
      </c>
      <c r="B6721" t="s">
        <v>18</v>
      </c>
      <c r="C6721">
        <v>50457</v>
      </c>
      <c r="D6721" t="str">
        <f>"50457"</f>
        <v>50457</v>
      </c>
      <c r="E6721">
        <v>66.67</v>
      </c>
    </row>
    <row r="6722" spans="1:5" x14ac:dyDescent="0.2">
      <c r="A6722">
        <v>50458</v>
      </c>
      <c r="B6722" t="s">
        <v>18</v>
      </c>
      <c r="C6722">
        <v>50458</v>
      </c>
      <c r="D6722" t="str">
        <f>"50458"</f>
        <v>50458</v>
      </c>
      <c r="E6722">
        <v>78.16</v>
      </c>
    </row>
    <row r="6723" spans="1:5" x14ac:dyDescent="0.2">
      <c r="A6723">
        <v>50459</v>
      </c>
      <c r="B6723" t="s">
        <v>18</v>
      </c>
      <c r="C6723">
        <v>50459</v>
      </c>
      <c r="D6723" t="str">
        <f>"50459"</f>
        <v>50459</v>
      </c>
      <c r="E6723">
        <v>74</v>
      </c>
    </row>
    <row r="6724" spans="1:5" x14ac:dyDescent="0.2">
      <c r="A6724">
        <v>50460</v>
      </c>
      <c r="B6724" t="s">
        <v>18</v>
      </c>
      <c r="C6724">
        <v>50460</v>
      </c>
      <c r="D6724" t="str">
        <f>"50460"</f>
        <v>50460</v>
      </c>
      <c r="E6724">
        <v>62.5</v>
      </c>
    </row>
    <row r="6725" spans="1:5" x14ac:dyDescent="0.2">
      <c r="A6725">
        <v>50461</v>
      </c>
      <c r="B6725" t="s">
        <v>18</v>
      </c>
      <c r="C6725">
        <v>50461</v>
      </c>
      <c r="D6725" t="str">
        <f>"50461"</f>
        <v>50461</v>
      </c>
      <c r="E6725">
        <v>75</v>
      </c>
    </row>
    <row r="6726" spans="1:5" x14ac:dyDescent="0.2">
      <c r="A6726">
        <v>50464</v>
      </c>
      <c r="B6726" t="s">
        <v>18</v>
      </c>
      <c r="C6726">
        <v>50464</v>
      </c>
      <c r="D6726" t="str">
        <f>"50464"</f>
        <v>50464</v>
      </c>
      <c r="E6726">
        <v>72.73</v>
      </c>
    </row>
    <row r="6727" spans="1:5" x14ac:dyDescent="0.2">
      <c r="A6727">
        <v>50466</v>
      </c>
      <c r="B6727" t="s">
        <v>18</v>
      </c>
      <c r="C6727">
        <v>50466</v>
      </c>
      <c r="D6727" t="str">
        <f>"50466"</f>
        <v>50466</v>
      </c>
      <c r="E6727">
        <v>72.22</v>
      </c>
    </row>
    <row r="6728" spans="1:5" x14ac:dyDescent="0.2">
      <c r="A6728">
        <v>50467</v>
      </c>
      <c r="B6728" t="s">
        <v>18</v>
      </c>
      <c r="C6728">
        <v>50467</v>
      </c>
      <c r="D6728" t="str">
        <f>"50467"</f>
        <v>50467</v>
      </c>
      <c r="E6728" t="s">
        <v>6</v>
      </c>
    </row>
    <row r="6729" spans="1:5" x14ac:dyDescent="0.2">
      <c r="A6729">
        <v>50468</v>
      </c>
      <c r="B6729" t="s">
        <v>18</v>
      </c>
      <c r="C6729">
        <v>50468</v>
      </c>
      <c r="D6729" t="str">
        <f>"50468"</f>
        <v>50468</v>
      </c>
      <c r="E6729">
        <v>77.14</v>
      </c>
    </row>
    <row r="6730" spans="1:5" x14ac:dyDescent="0.2">
      <c r="A6730">
        <v>50469</v>
      </c>
      <c r="B6730" t="s">
        <v>18</v>
      </c>
      <c r="C6730">
        <v>50469</v>
      </c>
      <c r="D6730" t="str">
        <f>"50469"</f>
        <v>50469</v>
      </c>
      <c r="E6730">
        <v>78.260000000000005</v>
      </c>
    </row>
    <row r="6731" spans="1:5" x14ac:dyDescent="0.2">
      <c r="A6731">
        <v>50470</v>
      </c>
      <c r="B6731" t="s">
        <v>18</v>
      </c>
      <c r="C6731">
        <v>50470</v>
      </c>
      <c r="D6731" t="str">
        <f>"50470"</f>
        <v>50470</v>
      </c>
      <c r="E6731">
        <v>80</v>
      </c>
    </row>
    <row r="6732" spans="1:5" x14ac:dyDescent="0.2">
      <c r="A6732">
        <v>50471</v>
      </c>
      <c r="B6732" t="s">
        <v>18</v>
      </c>
      <c r="C6732">
        <v>50471</v>
      </c>
      <c r="D6732" t="str">
        <f>"50471"</f>
        <v>50471</v>
      </c>
      <c r="E6732">
        <v>75</v>
      </c>
    </row>
    <row r="6733" spans="1:5" x14ac:dyDescent="0.2">
      <c r="A6733">
        <v>50472</v>
      </c>
      <c r="B6733" t="s">
        <v>18</v>
      </c>
      <c r="C6733">
        <v>50472</v>
      </c>
      <c r="D6733" t="str">
        <f>"50472"</f>
        <v>50472</v>
      </c>
      <c r="E6733">
        <v>79.81</v>
      </c>
    </row>
    <row r="6734" spans="1:5" x14ac:dyDescent="0.2">
      <c r="A6734">
        <v>50473</v>
      </c>
      <c r="B6734" t="s">
        <v>18</v>
      </c>
      <c r="C6734">
        <v>50473</v>
      </c>
      <c r="D6734" t="str">
        <f>"50473"</f>
        <v>50473</v>
      </c>
      <c r="E6734">
        <v>63.64</v>
      </c>
    </row>
    <row r="6735" spans="1:5" x14ac:dyDescent="0.2">
      <c r="A6735">
        <v>50475</v>
      </c>
      <c r="B6735" t="s">
        <v>18</v>
      </c>
      <c r="C6735">
        <v>50475</v>
      </c>
      <c r="D6735" t="str">
        <f>"50475"</f>
        <v>50475</v>
      </c>
      <c r="E6735">
        <v>77.63</v>
      </c>
    </row>
    <row r="6736" spans="1:5" x14ac:dyDescent="0.2">
      <c r="A6736">
        <v>50476</v>
      </c>
      <c r="B6736" t="s">
        <v>18</v>
      </c>
      <c r="C6736">
        <v>50476</v>
      </c>
      <c r="D6736" t="str">
        <f>"50476"</f>
        <v>50476</v>
      </c>
      <c r="E6736">
        <v>74.290000000000006</v>
      </c>
    </row>
    <row r="6737" spans="1:5" x14ac:dyDescent="0.2">
      <c r="A6737">
        <v>50477</v>
      </c>
      <c r="B6737" t="s">
        <v>18</v>
      </c>
      <c r="C6737">
        <v>50477</v>
      </c>
      <c r="D6737" t="str">
        <f>"50477"</f>
        <v>50477</v>
      </c>
      <c r="E6737">
        <v>62.5</v>
      </c>
    </row>
    <row r="6738" spans="1:5" x14ac:dyDescent="0.2">
      <c r="A6738">
        <v>50478</v>
      </c>
      <c r="B6738" t="s">
        <v>18</v>
      </c>
      <c r="C6738">
        <v>50478</v>
      </c>
      <c r="D6738" t="str">
        <f>"50478"</f>
        <v>50478</v>
      </c>
      <c r="E6738">
        <v>75</v>
      </c>
    </row>
    <row r="6739" spans="1:5" x14ac:dyDescent="0.2">
      <c r="A6739">
        <v>50479</v>
      </c>
      <c r="B6739" t="s">
        <v>18</v>
      </c>
      <c r="C6739">
        <v>50479</v>
      </c>
      <c r="D6739" t="str">
        <f>"50479"</f>
        <v>50479</v>
      </c>
      <c r="E6739">
        <v>78.790000000000006</v>
      </c>
    </row>
    <row r="6740" spans="1:5" x14ac:dyDescent="0.2">
      <c r="A6740">
        <v>50480</v>
      </c>
      <c r="B6740" t="s">
        <v>18</v>
      </c>
      <c r="C6740">
        <v>50480</v>
      </c>
      <c r="D6740" t="str">
        <f>"50480"</f>
        <v>50480</v>
      </c>
      <c r="E6740">
        <v>76.739999999999995</v>
      </c>
    </row>
    <row r="6741" spans="1:5" x14ac:dyDescent="0.2">
      <c r="A6741">
        <v>50481</v>
      </c>
      <c r="B6741" t="s">
        <v>18</v>
      </c>
      <c r="C6741">
        <v>50481</v>
      </c>
      <c r="D6741" t="str">
        <f>"50481"</f>
        <v>50481</v>
      </c>
      <c r="E6741" t="s">
        <v>6</v>
      </c>
    </row>
    <row r="6742" spans="1:5" x14ac:dyDescent="0.2">
      <c r="A6742">
        <v>50482</v>
      </c>
      <c r="B6742" t="s">
        <v>18</v>
      </c>
      <c r="C6742">
        <v>50482</v>
      </c>
      <c r="D6742" t="str">
        <f>"50482"</f>
        <v>50482</v>
      </c>
      <c r="E6742">
        <v>80.95</v>
      </c>
    </row>
    <row r="6743" spans="1:5" x14ac:dyDescent="0.2">
      <c r="A6743">
        <v>50483</v>
      </c>
      <c r="B6743" t="s">
        <v>18</v>
      </c>
      <c r="C6743">
        <v>50483</v>
      </c>
      <c r="D6743" t="str">
        <f>"50483"</f>
        <v>50483</v>
      </c>
      <c r="E6743">
        <v>75.680000000000007</v>
      </c>
    </row>
    <row r="6744" spans="1:5" x14ac:dyDescent="0.2">
      <c r="A6744">
        <v>50484</v>
      </c>
      <c r="B6744" t="s">
        <v>18</v>
      </c>
      <c r="C6744">
        <v>50484</v>
      </c>
      <c r="D6744" t="str">
        <f>"50484"</f>
        <v>50484</v>
      </c>
      <c r="E6744">
        <v>73.680000000000007</v>
      </c>
    </row>
    <row r="6745" spans="1:5" x14ac:dyDescent="0.2">
      <c r="A6745">
        <v>50501</v>
      </c>
      <c r="B6745" t="s">
        <v>18</v>
      </c>
      <c r="C6745">
        <v>50501</v>
      </c>
      <c r="D6745" t="str">
        <f>"50501"</f>
        <v>50501</v>
      </c>
      <c r="E6745">
        <v>71.98</v>
      </c>
    </row>
    <row r="6746" spans="1:5" x14ac:dyDescent="0.2">
      <c r="A6746">
        <v>50510</v>
      </c>
      <c r="B6746" t="s">
        <v>18</v>
      </c>
      <c r="C6746">
        <v>50510</v>
      </c>
      <c r="D6746" t="str">
        <f>"50510"</f>
        <v>50510</v>
      </c>
      <c r="E6746">
        <v>73.33</v>
      </c>
    </row>
    <row r="6747" spans="1:5" x14ac:dyDescent="0.2">
      <c r="A6747">
        <v>50511</v>
      </c>
      <c r="B6747" t="s">
        <v>18</v>
      </c>
      <c r="C6747">
        <v>50511</v>
      </c>
      <c r="D6747" t="str">
        <f>"50511"</f>
        <v>50511</v>
      </c>
      <c r="E6747">
        <v>75.78</v>
      </c>
    </row>
    <row r="6748" spans="1:5" x14ac:dyDescent="0.2">
      <c r="A6748">
        <v>50514</v>
      </c>
      <c r="B6748" t="s">
        <v>18</v>
      </c>
      <c r="C6748">
        <v>50514</v>
      </c>
      <c r="D6748" t="str">
        <f>"50514"</f>
        <v>50514</v>
      </c>
      <c r="E6748">
        <v>74.599999999999994</v>
      </c>
    </row>
    <row r="6749" spans="1:5" x14ac:dyDescent="0.2">
      <c r="A6749">
        <v>50515</v>
      </c>
      <c r="B6749" t="s">
        <v>18</v>
      </c>
      <c r="C6749">
        <v>50515</v>
      </c>
      <c r="D6749" t="str">
        <f>"50515"</f>
        <v>50515</v>
      </c>
      <c r="E6749">
        <v>75</v>
      </c>
    </row>
    <row r="6750" spans="1:5" x14ac:dyDescent="0.2">
      <c r="A6750">
        <v>50516</v>
      </c>
      <c r="B6750" t="s">
        <v>18</v>
      </c>
      <c r="C6750">
        <v>50516</v>
      </c>
      <c r="D6750" t="str">
        <f>"50516"</f>
        <v>50516</v>
      </c>
      <c r="E6750">
        <v>74.290000000000006</v>
      </c>
    </row>
    <row r="6751" spans="1:5" x14ac:dyDescent="0.2">
      <c r="A6751">
        <v>50517</v>
      </c>
      <c r="B6751" t="s">
        <v>18</v>
      </c>
      <c r="C6751">
        <v>50517</v>
      </c>
      <c r="D6751" t="str">
        <f>"50517"</f>
        <v>50517</v>
      </c>
      <c r="E6751">
        <v>73.33</v>
      </c>
    </row>
    <row r="6752" spans="1:5" x14ac:dyDescent="0.2">
      <c r="A6752">
        <v>50518</v>
      </c>
      <c r="B6752" t="s">
        <v>18</v>
      </c>
      <c r="C6752">
        <v>50518</v>
      </c>
      <c r="D6752" t="str">
        <f>"50518"</f>
        <v>50518</v>
      </c>
      <c r="E6752">
        <v>73.33</v>
      </c>
    </row>
    <row r="6753" spans="1:5" x14ac:dyDescent="0.2">
      <c r="A6753">
        <v>50519</v>
      </c>
      <c r="B6753" t="s">
        <v>18</v>
      </c>
      <c r="C6753">
        <v>50519</v>
      </c>
      <c r="D6753" t="str">
        <f>"50519"</f>
        <v>50519</v>
      </c>
      <c r="E6753">
        <v>76</v>
      </c>
    </row>
    <row r="6754" spans="1:5" x14ac:dyDescent="0.2">
      <c r="A6754">
        <v>50520</v>
      </c>
      <c r="B6754" t="s">
        <v>18</v>
      </c>
      <c r="C6754">
        <v>50520</v>
      </c>
      <c r="D6754" t="str">
        <f>"50520"</f>
        <v>50520</v>
      </c>
      <c r="E6754" t="s">
        <v>6</v>
      </c>
    </row>
    <row r="6755" spans="1:5" x14ac:dyDescent="0.2">
      <c r="A6755">
        <v>50521</v>
      </c>
      <c r="B6755" t="s">
        <v>18</v>
      </c>
      <c r="C6755">
        <v>50521</v>
      </c>
      <c r="D6755" t="str">
        <f>"50521"</f>
        <v>50521</v>
      </c>
      <c r="E6755" t="s">
        <v>6</v>
      </c>
    </row>
    <row r="6756" spans="1:5" x14ac:dyDescent="0.2">
      <c r="A6756">
        <v>50522</v>
      </c>
      <c r="B6756" t="s">
        <v>18</v>
      </c>
      <c r="C6756">
        <v>50522</v>
      </c>
      <c r="D6756" t="str">
        <f>"50522"</f>
        <v>50522</v>
      </c>
      <c r="E6756">
        <v>68.569999999999993</v>
      </c>
    </row>
    <row r="6757" spans="1:5" x14ac:dyDescent="0.2">
      <c r="A6757">
        <v>50523</v>
      </c>
      <c r="B6757" t="s">
        <v>18</v>
      </c>
      <c r="C6757">
        <v>50523</v>
      </c>
      <c r="D6757" t="str">
        <f>"50523"</f>
        <v>50523</v>
      </c>
      <c r="E6757">
        <v>75</v>
      </c>
    </row>
    <row r="6758" spans="1:5" x14ac:dyDescent="0.2">
      <c r="A6758">
        <v>50524</v>
      </c>
      <c r="B6758" t="s">
        <v>18</v>
      </c>
      <c r="C6758">
        <v>50524</v>
      </c>
      <c r="D6758" t="str">
        <f>"50524"</f>
        <v>50524</v>
      </c>
      <c r="E6758">
        <v>80</v>
      </c>
    </row>
    <row r="6759" spans="1:5" x14ac:dyDescent="0.2">
      <c r="A6759">
        <v>50525</v>
      </c>
      <c r="B6759" t="s">
        <v>18</v>
      </c>
      <c r="C6759">
        <v>50525</v>
      </c>
      <c r="D6759" t="str">
        <f>"50525"</f>
        <v>50525</v>
      </c>
      <c r="E6759">
        <v>70.06</v>
      </c>
    </row>
    <row r="6760" spans="1:5" x14ac:dyDescent="0.2">
      <c r="A6760">
        <v>50527</v>
      </c>
      <c r="B6760" t="s">
        <v>18</v>
      </c>
      <c r="C6760">
        <v>50527</v>
      </c>
      <c r="D6760" t="str">
        <f>"50527"</f>
        <v>50527</v>
      </c>
      <c r="E6760" t="s">
        <v>6</v>
      </c>
    </row>
    <row r="6761" spans="1:5" x14ac:dyDescent="0.2">
      <c r="A6761">
        <v>50528</v>
      </c>
      <c r="B6761" t="s">
        <v>18</v>
      </c>
      <c r="C6761">
        <v>50528</v>
      </c>
      <c r="D6761" t="str">
        <f>"50528"</f>
        <v>50528</v>
      </c>
      <c r="E6761">
        <v>70.59</v>
      </c>
    </row>
    <row r="6762" spans="1:5" x14ac:dyDescent="0.2">
      <c r="A6762">
        <v>50529</v>
      </c>
      <c r="B6762" t="s">
        <v>18</v>
      </c>
      <c r="C6762">
        <v>50529</v>
      </c>
      <c r="D6762" t="str">
        <f>"50529"</f>
        <v>50529</v>
      </c>
      <c r="E6762">
        <v>76.92</v>
      </c>
    </row>
    <row r="6763" spans="1:5" x14ac:dyDescent="0.2">
      <c r="A6763">
        <v>50530</v>
      </c>
      <c r="B6763" t="s">
        <v>18</v>
      </c>
      <c r="C6763">
        <v>50530</v>
      </c>
      <c r="D6763" t="str">
        <f>"50530"</f>
        <v>50530</v>
      </c>
      <c r="E6763">
        <v>70</v>
      </c>
    </row>
    <row r="6764" spans="1:5" x14ac:dyDescent="0.2">
      <c r="A6764">
        <v>50531</v>
      </c>
      <c r="B6764" t="s">
        <v>18</v>
      </c>
      <c r="C6764">
        <v>50531</v>
      </c>
      <c r="D6764" t="str">
        <f>"50531"</f>
        <v>50531</v>
      </c>
      <c r="E6764" t="s">
        <v>6</v>
      </c>
    </row>
    <row r="6765" spans="1:5" x14ac:dyDescent="0.2">
      <c r="A6765">
        <v>50532</v>
      </c>
      <c r="B6765" t="s">
        <v>18</v>
      </c>
      <c r="C6765">
        <v>50532</v>
      </c>
      <c r="D6765" t="str">
        <f>"50532"</f>
        <v>50532</v>
      </c>
      <c r="E6765">
        <v>73.17</v>
      </c>
    </row>
    <row r="6766" spans="1:5" x14ac:dyDescent="0.2">
      <c r="A6766">
        <v>50533</v>
      </c>
      <c r="B6766" t="s">
        <v>18</v>
      </c>
      <c r="C6766">
        <v>50533</v>
      </c>
      <c r="D6766" t="str">
        <f>"50533"</f>
        <v>50533</v>
      </c>
      <c r="E6766">
        <v>70.44</v>
      </c>
    </row>
    <row r="6767" spans="1:5" x14ac:dyDescent="0.2">
      <c r="A6767">
        <v>50535</v>
      </c>
      <c r="B6767" t="s">
        <v>18</v>
      </c>
      <c r="C6767">
        <v>50535</v>
      </c>
      <c r="D6767" t="str">
        <f>"50535"</f>
        <v>50535</v>
      </c>
      <c r="E6767">
        <v>79.069999999999993</v>
      </c>
    </row>
    <row r="6768" spans="1:5" x14ac:dyDescent="0.2">
      <c r="A6768">
        <v>50536</v>
      </c>
      <c r="B6768" t="s">
        <v>18</v>
      </c>
      <c r="C6768">
        <v>50536</v>
      </c>
      <c r="D6768" t="str">
        <f>"50536"</f>
        <v>50536</v>
      </c>
      <c r="E6768">
        <v>74.489999999999995</v>
      </c>
    </row>
    <row r="6769" spans="1:5" x14ac:dyDescent="0.2">
      <c r="A6769">
        <v>50538</v>
      </c>
      <c r="B6769" t="s">
        <v>18</v>
      </c>
      <c r="C6769">
        <v>50538</v>
      </c>
      <c r="D6769" t="str">
        <f>"50538"</f>
        <v>50538</v>
      </c>
      <c r="E6769">
        <v>73.08</v>
      </c>
    </row>
    <row r="6770" spans="1:5" x14ac:dyDescent="0.2">
      <c r="A6770">
        <v>50539</v>
      </c>
      <c r="B6770" t="s">
        <v>18</v>
      </c>
      <c r="C6770">
        <v>50539</v>
      </c>
      <c r="D6770" t="str">
        <f>"50539"</f>
        <v>50539</v>
      </c>
      <c r="E6770">
        <v>66.67</v>
      </c>
    </row>
    <row r="6771" spans="1:5" x14ac:dyDescent="0.2">
      <c r="A6771">
        <v>50540</v>
      </c>
      <c r="B6771" t="s">
        <v>18</v>
      </c>
      <c r="C6771">
        <v>50540</v>
      </c>
      <c r="D6771" t="str">
        <f>"50540"</f>
        <v>50540</v>
      </c>
      <c r="E6771">
        <v>76.599999999999994</v>
      </c>
    </row>
    <row r="6772" spans="1:5" x14ac:dyDescent="0.2">
      <c r="A6772">
        <v>50541</v>
      </c>
      <c r="B6772" t="s">
        <v>18</v>
      </c>
      <c r="C6772">
        <v>50541</v>
      </c>
      <c r="D6772" t="str">
        <f>"50541"</f>
        <v>50541</v>
      </c>
      <c r="E6772">
        <v>66.67</v>
      </c>
    </row>
    <row r="6773" spans="1:5" x14ac:dyDescent="0.2">
      <c r="A6773">
        <v>50542</v>
      </c>
      <c r="B6773" t="s">
        <v>18</v>
      </c>
      <c r="C6773">
        <v>50542</v>
      </c>
      <c r="D6773" t="str">
        <f>"50542"</f>
        <v>50542</v>
      </c>
      <c r="E6773">
        <v>73.81</v>
      </c>
    </row>
    <row r="6774" spans="1:5" x14ac:dyDescent="0.2">
      <c r="A6774">
        <v>50543</v>
      </c>
      <c r="B6774" t="s">
        <v>18</v>
      </c>
      <c r="C6774">
        <v>50543</v>
      </c>
      <c r="D6774" t="str">
        <f>"50543"</f>
        <v>50543</v>
      </c>
      <c r="E6774">
        <v>71.430000000000007</v>
      </c>
    </row>
    <row r="6775" spans="1:5" x14ac:dyDescent="0.2">
      <c r="A6775">
        <v>50544</v>
      </c>
      <c r="B6775" t="s">
        <v>18</v>
      </c>
      <c r="C6775">
        <v>50544</v>
      </c>
      <c r="D6775" t="str">
        <f>"50544"</f>
        <v>50544</v>
      </c>
      <c r="E6775">
        <v>68.180000000000007</v>
      </c>
    </row>
    <row r="6776" spans="1:5" x14ac:dyDescent="0.2">
      <c r="A6776">
        <v>50545</v>
      </c>
      <c r="B6776" t="s">
        <v>18</v>
      </c>
      <c r="C6776">
        <v>50545</v>
      </c>
      <c r="D6776" t="str">
        <f>"50545"</f>
        <v>50545</v>
      </c>
      <c r="E6776">
        <v>81.819999999999993</v>
      </c>
    </row>
    <row r="6777" spans="1:5" x14ac:dyDescent="0.2">
      <c r="A6777">
        <v>50546</v>
      </c>
      <c r="B6777" t="s">
        <v>18</v>
      </c>
      <c r="C6777">
        <v>50546</v>
      </c>
      <c r="D6777" t="str">
        <f>"50546"</f>
        <v>50546</v>
      </c>
      <c r="E6777">
        <v>64.709999999999994</v>
      </c>
    </row>
    <row r="6778" spans="1:5" x14ac:dyDescent="0.2">
      <c r="A6778">
        <v>50548</v>
      </c>
      <c r="B6778" t="s">
        <v>18</v>
      </c>
      <c r="C6778">
        <v>50548</v>
      </c>
      <c r="D6778" t="str">
        <f>"50548"</f>
        <v>50548</v>
      </c>
      <c r="E6778">
        <v>77.489999999999995</v>
      </c>
    </row>
    <row r="6779" spans="1:5" x14ac:dyDescent="0.2">
      <c r="A6779">
        <v>50551</v>
      </c>
      <c r="B6779" t="s">
        <v>18</v>
      </c>
      <c r="C6779">
        <v>50551</v>
      </c>
      <c r="D6779" t="str">
        <f>"50551"</f>
        <v>50551</v>
      </c>
      <c r="E6779" t="s">
        <v>6</v>
      </c>
    </row>
    <row r="6780" spans="1:5" x14ac:dyDescent="0.2">
      <c r="A6780">
        <v>50552</v>
      </c>
      <c r="B6780" t="s">
        <v>18</v>
      </c>
      <c r="C6780">
        <v>50552</v>
      </c>
      <c r="D6780" t="str">
        <f>"50552"</f>
        <v>50552</v>
      </c>
      <c r="E6780" t="s">
        <v>6</v>
      </c>
    </row>
    <row r="6781" spans="1:5" x14ac:dyDescent="0.2">
      <c r="A6781">
        <v>50554</v>
      </c>
      <c r="B6781" t="s">
        <v>18</v>
      </c>
      <c r="C6781">
        <v>50554</v>
      </c>
      <c r="D6781" t="str">
        <f>"50554"</f>
        <v>50554</v>
      </c>
      <c r="E6781">
        <v>78.260000000000005</v>
      </c>
    </row>
    <row r="6782" spans="1:5" x14ac:dyDescent="0.2">
      <c r="A6782">
        <v>50556</v>
      </c>
      <c r="B6782" t="s">
        <v>18</v>
      </c>
      <c r="C6782">
        <v>50556</v>
      </c>
      <c r="D6782" t="str">
        <f>"50556"</f>
        <v>50556</v>
      </c>
      <c r="E6782">
        <v>66.67</v>
      </c>
    </row>
    <row r="6783" spans="1:5" x14ac:dyDescent="0.2">
      <c r="A6783">
        <v>50557</v>
      </c>
      <c r="B6783" t="s">
        <v>18</v>
      </c>
      <c r="C6783">
        <v>50557</v>
      </c>
      <c r="D6783" t="str">
        <f>"50557"</f>
        <v>50557</v>
      </c>
      <c r="E6783">
        <v>75.760000000000005</v>
      </c>
    </row>
    <row r="6784" spans="1:5" x14ac:dyDescent="0.2">
      <c r="A6784">
        <v>50558</v>
      </c>
      <c r="B6784" t="s">
        <v>18</v>
      </c>
      <c r="C6784">
        <v>50558</v>
      </c>
      <c r="D6784" t="str">
        <f>"50558"</f>
        <v>50558</v>
      </c>
      <c r="E6784">
        <v>82.14</v>
      </c>
    </row>
    <row r="6785" spans="1:5" x14ac:dyDescent="0.2">
      <c r="A6785">
        <v>50559</v>
      </c>
      <c r="B6785" t="s">
        <v>18</v>
      </c>
      <c r="C6785">
        <v>50559</v>
      </c>
      <c r="D6785" t="str">
        <f>"50559"</f>
        <v>50559</v>
      </c>
      <c r="E6785">
        <v>68.75</v>
      </c>
    </row>
    <row r="6786" spans="1:5" x14ac:dyDescent="0.2">
      <c r="A6786">
        <v>50560</v>
      </c>
      <c r="B6786" t="s">
        <v>18</v>
      </c>
      <c r="C6786">
        <v>50560</v>
      </c>
      <c r="D6786" t="str">
        <f>"50560"</f>
        <v>50560</v>
      </c>
      <c r="E6786">
        <v>70.83</v>
      </c>
    </row>
    <row r="6787" spans="1:5" x14ac:dyDescent="0.2">
      <c r="A6787">
        <v>50561</v>
      </c>
      <c r="B6787" t="s">
        <v>18</v>
      </c>
      <c r="C6787">
        <v>50561</v>
      </c>
      <c r="D6787" t="str">
        <f>"50561"</f>
        <v>50561</v>
      </c>
      <c r="E6787">
        <v>68</v>
      </c>
    </row>
    <row r="6788" spans="1:5" x14ac:dyDescent="0.2">
      <c r="A6788">
        <v>50562</v>
      </c>
      <c r="B6788" t="s">
        <v>18</v>
      </c>
      <c r="C6788">
        <v>50562</v>
      </c>
      <c r="D6788" t="str">
        <f>"50562"</f>
        <v>50562</v>
      </c>
      <c r="E6788">
        <v>85</v>
      </c>
    </row>
    <row r="6789" spans="1:5" x14ac:dyDescent="0.2">
      <c r="A6789">
        <v>50563</v>
      </c>
      <c r="B6789" t="s">
        <v>18</v>
      </c>
      <c r="C6789">
        <v>50563</v>
      </c>
      <c r="D6789" t="str">
        <f>"50563"</f>
        <v>50563</v>
      </c>
      <c r="E6789">
        <v>76.790000000000006</v>
      </c>
    </row>
    <row r="6790" spans="1:5" x14ac:dyDescent="0.2">
      <c r="A6790">
        <v>50565</v>
      </c>
      <c r="B6790" t="s">
        <v>18</v>
      </c>
      <c r="C6790">
        <v>50565</v>
      </c>
      <c r="D6790" t="str">
        <f>"50565"</f>
        <v>50565</v>
      </c>
      <c r="E6790">
        <v>70</v>
      </c>
    </row>
    <row r="6791" spans="1:5" x14ac:dyDescent="0.2">
      <c r="A6791">
        <v>50566</v>
      </c>
      <c r="B6791" t="s">
        <v>18</v>
      </c>
      <c r="C6791">
        <v>50566</v>
      </c>
      <c r="D6791" t="str">
        <f>"50566"</f>
        <v>50566</v>
      </c>
      <c r="E6791">
        <v>66.67</v>
      </c>
    </row>
    <row r="6792" spans="1:5" x14ac:dyDescent="0.2">
      <c r="A6792">
        <v>50567</v>
      </c>
      <c r="B6792" t="s">
        <v>18</v>
      </c>
      <c r="C6792">
        <v>50567</v>
      </c>
      <c r="D6792" t="str">
        <f>"50567"</f>
        <v>50567</v>
      </c>
      <c r="E6792" t="s">
        <v>6</v>
      </c>
    </row>
    <row r="6793" spans="1:5" x14ac:dyDescent="0.2">
      <c r="A6793">
        <v>50568</v>
      </c>
      <c r="B6793" t="s">
        <v>18</v>
      </c>
      <c r="C6793">
        <v>50568</v>
      </c>
      <c r="D6793" t="str">
        <f>"50568"</f>
        <v>50568</v>
      </c>
      <c r="E6793">
        <v>70.489999999999995</v>
      </c>
    </row>
    <row r="6794" spans="1:5" x14ac:dyDescent="0.2">
      <c r="A6794">
        <v>50569</v>
      </c>
      <c r="B6794" t="s">
        <v>18</v>
      </c>
      <c r="C6794">
        <v>50569</v>
      </c>
      <c r="D6794" t="str">
        <f>"50569"</f>
        <v>50569</v>
      </c>
      <c r="E6794">
        <v>73.53</v>
      </c>
    </row>
    <row r="6795" spans="1:5" x14ac:dyDescent="0.2">
      <c r="A6795">
        <v>50570</v>
      </c>
      <c r="B6795" t="s">
        <v>18</v>
      </c>
      <c r="C6795">
        <v>50570</v>
      </c>
      <c r="D6795" t="str">
        <f>"50570"</f>
        <v>50570</v>
      </c>
      <c r="E6795" t="s">
        <v>6</v>
      </c>
    </row>
    <row r="6796" spans="1:5" x14ac:dyDescent="0.2">
      <c r="A6796">
        <v>50571</v>
      </c>
      <c r="B6796" t="s">
        <v>18</v>
      </c>
      <c r="C6796">
        <v>50571</v>
      </c>
      <c r="D6796" t="str">
        <f>"50571"</f>
        <v>50571</v>
      </c>
      <c r="E6796">
        <v>70.59</v>
      </c>
    </row>
    <row r="6797" spans="1:5" x14ac:dyDescent="0.2">
      <c r="A6797">
        <v>50573</v>
      </c>
      <c r="B6797" t="s">
        <v>18</v>
      </c>
      <c r="C6797">
        <v>50573</v>
      </c>
      <c r="D6797" t="str">
        <f>"50573"</f>
        <v>50573</v>
      </c>
      <c r="E6797" t="s">
        <v>6</v>
      </c>
    </row>
    <row r="6798" spans="1:5" x14ac:dyDescent="0.2">
      <c r="A6798">
        <v>50574</v>
      </c>
      <c r="B6798" t="s">
        <v>18</v>
      </c>
      <c r="C6798">
        <v>50574</v>
      </c>
      <c r="D6798" t="str">
        <f>"50574"</f>
        <v>50574</v>
      </c>
      <c r="E6798">
        <v>78.22</v>
      </c>
    </row>
    <row r="6799" spans="1:5" x14ac:dyDescent="0.2">
      <c r="A6799">
        <v>50575</v>
      </c>
      <c r="B6799" t="s">
        <v>18</v>
      </c>
      <c r="C6799">
        <v>50575</v>
      </c>
      <c r="D6799" t="str">
        <f>"50575"</f>
        <v>50575</v>
      </c>
      <c r="E6799">
        <v>72.5</v>
      </c>
    </row>
    <row r="6800" spans="1:5" x14ac:dyDescent="0.2">
      <c r="A6800">
        <v>50576</v>
      </c>
      <c r="B6800" t="s">
        <v>18</v>
      </c>
      <c r="C6800">
        <v>50576</v>
      </c>
      <c r="D6800" t="str">
        <f>"50576"</f>
        <v>50576</v>
      </c>
      <c r="E6800">
        <v>77.78</v>
      </c>
    </row>
    <row r="6801" spans="1:5" x14ac:dyDescent="0.2">
      <c r="A6801">
        <v>50577</v>
      </c>
      <c r="B6801" t="s">
        <v>18</v>
      </c>
      <c r="C6801">
        <v>50577</v>
      </c>
      <c r="D6801" t="str">
        <f>"50577"</f>
        <v>50577</v>
      </c>
      <c r="E6801">
        <v>73.680000000000007</v>
      </c>
    </row>
    <row r="6802" spans="1:5" x14ac:dyDescent="0.2">
      <c r="A6802">
        <v>50578</v>
      </c>
      <c r="B6802" t="s">
        <v>18</v>
      </c>
      <c r="C6802">
        <v>50578</v>
      </c>
      <c r="D6802" t="str">
        <f>"50578"</f>
        <v>50578</v>
      </c>
      <c r="E6802">
        <v>73.08</v>
      </c>
    </row>
    <row r="6803" spans="1:5" x14ac:dyDescent="0.2">
      <c r="A6803">
        <v>50579</v>
      </c>
      <c r="B6803" t="s">
        <v>18</v>
      </c>
      <c r="C6803">
        <v>50579</v>
      </c>
      <c r="D6803" t="str">
        <f>"50579"</f>
        <v>50579</v>
      </c>
      <c r="E6803">
        <v>72.900000000000006</v>
      </c>
    </row>
    <row r="6804" spans="1:5" x14ac:dyDescent="0.2">
      <c r="A6804">
        <v>50581</v>
      </c>
      <c r="B6804" t="s">
        <v>18</v>
      </c>
      <c r="C6804">
        <v>50581</v>
      </c>
      <c r="D6804" t="str">
        <f>"50581"</f>
        <v>50581</v>
      </c>
      <c r="E6804">
        <v>66.67</v>
      </c>
    </row>
    <row r="6805" spans="1:5" x14ac:dyDescent="0.2">
      <c r="A6805">
        <v>50582</v>
      </c>
      <c r="B6805" t="s">
        <v>18</v>
      </c>
      <c r="C6805">
        <v>50582</v>
      </c>
      <c r="D6805" t="str">
        <f>"50582"</f>
        <v>50582</v>
      </c>
      <c r="E6805" t="s">
        <v>6</v>
      </c>
    </row>
    <row r="6806" spans="1:5" x14ac:dyDescent="0.2">
      <c r="A6806">
        <v>50583</v>
      </c>
      <c r="B6806" t="s">
        <v>18</v>
      </c>
      <c r="C6806">
        <v>50583</v>
      </c>
      <c r="D6806" t="str">
        <f>"50583"</f>
        <v>50583</v>
      </c>
      <c r="E6806">
        <v>74.22</v>
      </c>
    </row>
    <row r="6807" spans="1:5" x14ac:dyDescent="0.2">
      <c r="A6807">
        <v>50585</v>
      </c>
      <c r="B6807" t="s">
        <v>18</v>
      </c>
      <c r="C6807">
        <v>50585</v>
      </c>
      <c r="D6807" t="str">
        <f>"50585"</f>
        <v>50585</v>
      </c>
      <c r="E6807">
        <v>76.47</v>
      </c>
    </row>
    <row r="6808" spans="1:5" x14ac:dyDescent="0.2">
      <c r="A6808">
        <v>50586</v>
      </c>
      <c r="B6808" t="s">
        <v>18</v>
      </c>
      <c r="C6808">
        <v>50586</v>
      </c>
      <c r="D6808" t="str">
        <f>"50586"</f>
        <v>50586</v>
      </c>
      <c r="E6808">
        <v>71.430000000000007</v>
      </c>
    </row>
    <row r="6809" spans="1:5" x14ac:dyDescent="0.2">
      <c r="A6809">
        <v>50588</v>
      </c>
      <c r="B6809" t="s">
        <v>18</v>
      </c>
      <c r="C6809">
        <v>50588</v>
      </c>
      <c r="D6809" t="str">
        <f>"50588"</f>
        <v>50588</v>
      </c>
      <c r="E6809">
        <v>71.17</v>
      </c>
    </row>
    <row r="6810" spans="1:5" x14ac:dyDescent="0.2">
      <c r="A6810">
        <v>50590</v>
      </c>
      <c r="B6810" t="s">
        <v>18</v>
      </c>
      <c r="C6810">
        <v>50590</v>
      </c>
      <c r="D6810" t="str">
        <f>"50590"</f>
        <v>50590</v>
      </c>
      <c r="E6810">
        <v>67.5</v>
      </c>
    </row>
    <row r="6811" spans="1:5" x14ac:dyDescent="0.2">
      <c r="A6811">
        <v>50591</v>
      </c>
      <c r="B6811" t="s">
        <v>18</v>
      </c>
      <c r="C6811">
        <v>50591</v>
      </c>
      <c r="D6811" t="str">
        <f>"50591"</f>
        <v>50591</v>
      </c>
      <c r="E6811">
        <v>76.92</v>
      </c>
    </row>
    <row r="6812" spans="1:5" x14ac:dyDescent="0.2">
      <c r="A6812">
        <v>50592</v>
      </c>
      <c r="B6812" t="s">
        <v>18</v>
      </c>
      <c r="C6812">
        <v>50592</v>
      </c>
      <c r="D6812" t="str">
        <f>"50592"</f>
        <v>50592</v>
      </c>
      <c r="E6812" t="s">
        <v>6</v>
      </c>
    </row>
    <row r="6813" spans="1:5" x14ac:dyDescent="0.2">
      <c r="A6813">
        <v>50593</v>
      </c>
      <c r="B6813" t="s">
        <v>18</v>
      </c>
      <c r="C6813">
        <v>50593</v>
      </c>
      <c r="D6813" t="str">
        <f>"50593"</f>
        <v>50593</v>
      </c>
      <c r="E6813" t="s">
        <v>6</v>
      </c>
    </row>
    <row r="6814" spans="1:5" x14ac:dyDescent="0.2">
      <c r="A6814">
        <v>50594</v>
      </c>
      <c r="B6814" t="s">
        <v>18</v>
      </c>
      <c r="C6814">
        <v>50594</v>
      </c>
      <c r="D6814" t="str">
        <f>"50594"</f>
        <v>50594</v>
      </c>
      <c r="E6814">
        <v>78.569999999999993</v>
      </c>
    </row>
    <row r="6815" spans="1:5" x14ac:dyDescent="0.2">
      <c r="A6815">
        <v>50595</v>
      </c>
      <c r="B6815" t="s">
        <v>18</v>
      </c>
      <c r="C6815">
        <v>50595</v>
      </c>
      <c r="D6815" t="str">
        <f>"50595"</f>
        <v>50595</v>
      </c>
      <c r="E6815">
        <v>73.77</v>
      </c>
    </row>
    <row r="6816" spans="1:5" x14ac:dyDescent="0.2">
      <c r="A6816">
        <v>50597</v>
      </c>
      <c r="B6816" t="s">
        <v>18</v>
      </c>
      <c r="C6816">
        <v>50597</v>
      </c>
      <c r="D6816" t="str">
        <f>"50597"</f>
        <v>50597</v>
      </c>
      <c r="E6816">
        <v>68.849999999999994</v>
      </c>
    </row>
    <row r="6817" spans="1:5" x14ac:dyDescent="0.2">
      <c r="A6817">
        <v>50598</v>
      </c>
      <c r="B6817" t="s">
        <v>18</v>
      </c>
      <c r="C6817">
        <v>50598</v>
      </c>
      <c r="D6817" t="str">
        <f>"50598"</f>
        <v>50598</v>
      </c>
      <c r="E6817">
        <v>72.73</v>
      </c>
    </row>
    <row r="6818" spans="1:5" x14ac:dyDescent="0.2">
      <c r="A6818">
        <v>50599</v>
      </c>
      <c r="B6818" t="s">
        <v>18</v>
      </c>
      <c r="C6818">
        <v>50599</v>
      </c>
      <c r="D6818" t="str">
        <f>"50599"</f>
        <v>50599</v>
      </c>
      <c r="E6818">
        <v>76.47</v>
      </c>
    </row>
    <row r="6819" spans="1:5" x14ac:dyDescent="0.2">
      <c r="A6819">
        <v>50601</v>
      </c>
      <c r="B6819" t="s">
        <v>18</v>
      </c>
      <c r="C6819">
        <v>50601</v>
      </c>
      <c r="D6819" t="str">
        <f>"50601"</f>
        <v>50601</v>
      </c>
      <c r="E6819">
        <v>73.39</v>
      </c>
    </row>
    <row r="6820" spans="1:5" x14ac:dyDescent="0.2">
      <c r="A6820">
        <v>50602</v>
      </c>
      <c r="B6820" t="s">
        <v>18</v>
      </c>
      <c r="C6820">
        <v>50602</v>
      </c>
      <c r="D6820" t="str">
        <f>"50602"</f>
        <v>50602</v>
      </c>
      <c r="E6820">
        <v>79.17</v>
      </c>
    </row>
    <row r="6821" spans="1:5" x14ac:dyDescent="0.2">
      <c r="A6821">
        <v>50603</v>
      </c>
      <c r="B6821" t="s">
        <v>18</v>
      </c>
      <c r="C6821">
        <v>50603</v>
      </c>
      <c r="D6821" t="str">
        <f>"50603"</f>
        <v>50603</v>
      </c>
      <c r="E6821">
        <v>75</v>
      </c>
    </row>
    <row r="6822" spans="1:5" x14ac:dyDescent="0.2">
      <c r="A6822">
        <v>50604</v>
      </c>
      <c r="B6822" t="s">
        <v>18</v>
      </c>
      <c r="C6822">
        <v>50604</v>
      </c>
      <c r="D6822" t="str">
        <f>"50604"</f>
        <v>50604</v>
      </c>
      <c r="E6822">
        <v>74.36</v>
      </c>
    </row>
    <row r="6823" spans="1:5" x14ac:dyDescent="0.2">
      <c r="A6823">
        <v>50605</v>
      </c>
      <c r="B6823" t="s">
        <v>18</v>
      </c>
      <c r="C6823">
        <v>50605</v>
      </c>
      <c r="D6823" t="str">
        <f>"50605"</f>
        <v>50605</v>
      </c>
      <c r="E6823" t="s">
        <v>6</v>
      </c>
    </row>
    <row r="6824" spans="1:5" x14ac:dyDescent="0.2">
      <c r="A6824">
        <v>50606</v>
      </c>
      <c r="B6824" t="s">
        <v>18</v>
      </c>
      <c r="C6824">
        <v>50606</v>
      </c>
      <c r="D6824" t="str">
        <f>"50606"</f>
        <v>50606</v>
      </c>
      <c r="E6824">
        <v>74.290000000000006</v>
      </c>
    </row>
    <row r="6825" spans="1:5" x14ac:dyDescent="0.2">
      <c r="A6825">
        <v>50607</v>
      </c>
      <c r="B6825" t="s">
        <v>18</v>
      </c>
      <c r="C6825">
        <v>50607</v>
      </c>
      <c r="D6825" t="str">
        <f>"50607"</f>
        <v>50607</v>
      </c>
      <c r="E6825">
        <v>77.27</v>
      </c>
    </row>
    <row r="6826" spans="1:5" x14ac:dyDescent="0.2">
      <c r="A6826">
        <v>50608</v>
      </c>
      <c r="B6826" t="s">
        <v>18</v>
      </c>
      <c r="C6826">
        <v>50608</v>
      </c>
      <c r="D6826" t="str">
        <f>"50608"</f>
        <v>50608</v>
      </c>
      <c r="E6826" t="s">
        <v>6</v>
      </c>
    </row>
    <row r="6827" spans="1:5" x14ac:dyDescent="0.2">
      <c r="A6827">
        <v>50609</v>
      </c>
      <c r="B6827" t="s">
        <v>18</v>
      </c>
      <c r="C6827">
        <v>50609</v>
      </c>
      <c r="D6827" t="str">
        <f>"50609"</f>
        <v>50609</v>
      </c>
      <c r="E6827">
        <v>80.95</v>
      </c>
    </row>
    <row r="6828" spans="1:5" x14ac:dyDescent="0.2">
      <c r="A6828">
        <v>50611</v>
      </c>
      <c r="B6828" t="s">
        <v>18</v>
      </c>
      <c r="C6828">
        <v>50611</v>
      </c>
      <c r="D6828" t="str">
        <f>"50611"</f>
        <v>50611</v>
      </c>
      <c r="E6828">
        <v>80</v>
      </c>
    </row>
    <row r="6829" spans="1:5" x14ac:dyDescent="0.2">
      <c r="A6829">
        <v>50612</v>
      </c>
      <c r="B6829" t="s">
        <v>18</v>
      </c>
      <c r="C6829">
        <v>50612</v>
      </c>
      <c r="D6829" t="str">
        <f>"50612"</f>
        <v>50612</v>
      </c>
      <c r="E6829">
        <v>87.5</v>
      </c>
    </row>
    <row r="6830" spans="1:5" x14ac:dyDescent="0.2">
      <c r="A6830">
        <v>50613</v>
      </c>
      <c r="B6830" t="s">
        <v>18</v>
      </c>
      <c r="C6830">
        <v>50613</v>
      </c>
      <c r="D6830" t="str">
        <f>"50613"</f>
        <v>50613</v>
      </c>
      <c r="E6830">
        <v>79.489999999999995</v>
      </c>
    </row>
    <row r="6831" spans="1:5" x14ac:dyDescent="0.2">
      <c r="A6831">
        <v>50614</v>
      </c>
      <c r="B6831" t="s">
        <v>18</v>
      </c>
      <c r="C6831">
        <v>50614</v>
      </c>
      <c r="D6831" t="str">
        <f>"50614"</f>
        <v>50614</v>
      </c>
      <c r="E6831" t="s">
        <v>6</v>
      </c>
    </row>
    <row r="6832" spans="1:5" x14ac:dyDescent="0.2">
      <c r="A6832">
        <v>50616</v>
      </c>
      <c r="B6832" t="s">
        <v>18</v>
      </c>
      <c r="C6832">
        <v>50616</v>
      </c>
      <c r="D6832" t="str">
        <f>"50616"</f>
        <v>50616</v>
      </c>
      <c r="E6832">
        <v>70.7</v>
      </c>
    </row>
    <row r="6833" spans="1:5" x14ac:dyDescent="0.2">
      <c r="A6833">
        <v>50619</v>
      </c>
      <c r="B6833" t="s">
        <v>18</v>
      </c>
      <c r="C6833">
        <v>50619</v>
      </c>
      <c r="D6833" t="str">
        <f>"50619"</f>
        <v>50619</v>
      </c>
      <c r="E6833">
        <v>75.489999999999995</v>
      </c>
    </row>
    <row r="6834" spans="1:5" x14ac:dyDescent="0.2">
      <c r="A6834">
        <v>50620</v>
      </c>
      <c r="B6834" t="s">
        <v>18</v>
      </c>
      <c r="C6834">
        <v>50620</v>
      </c>
      <c r="D6834" t="str">
        <f>"50620"</f>
        <v>50620</v>
      </c>
      <c r="E6834" t="s">
        <v>6</v>
      </c>
    </row>
    <row r="6835" spans="1:5" x14ac:dyDescent="0.2">
      <c r="A6835">
        <v>50621</v>
      </c>
      <c r="B6835" t="s">
        <v>18</v>
      </c>
      <c r="C6835">
        <v>50621</v>
      </c>
      <c r="D6835" t="str">
        <f>"50621"</f>
        <v>50621</v>
      </c>
      <c r="E6835">
        <v>79.099999999999994</v>
      </c>
    </row>
    <row r="6836" spans="1:5" x14ac:dyDescent="0.2">
      <c r="A6836">
        <v>50622</v>
      </c>
      <c r="B6836" t="s">
        <v>18</v>
      </c>
      <c r="C6836">
        <v>50622</v>
      </c>
      <c r="D6836" t="str">
        <f>"50622"</f>
        <v>50622</v>
      </c>
      <c r="E6836">
        <v>80.39</v>
      </c>
    </row>
    <row r="6837" spans="1:5" x14ac:dyDescent="0.2">
      <c r="A6837">
        <v>50623</v>
      </c>
      <c r="B6837" t="s">
        <v>18</v>
      </c>
      <c r="C6837">
        <v>50623</v>
      </c>
      <c r="D6837" t="str">
        <f>"50623"</f>
        <v>50623</v>
      </c>
      <c r="E6837" t="s">
        <v>6</v>
      </c>
    </row>
    <row r="6838" spans="1:5" x14ac:dyDescent="0.2">
      <c r="A6838">
        <v>50624</v>
      </c>
      <c r="B6838" t="s">
        <v>18</v>
      </c>
      <c r="C6838">
        <v>50624</v>
      </c>
      <c r="D6838" t="str">
        <f>"50624"</f>
        <v>50624</v>
      </c>
      <c r="E6838">
        <v>83.53</v>
      </c>
    </row>
    <row r="6839" spans="1:5" x14ac:dyDescent="0.2">
      <c r="A6839">
        <v>50625</v>
      </c>
      <c r="B6839" t="s">
        <v>18</v>
      </c>
      <c r="C6839">
        <v>50625</v>
      </c>
      <c r="D6839" t="str">
        <f>"50625"</f>
        <v>50625</v>
      </c>
      <c r="E6839">
        <v>66.67</v>
      </c>
    </row>
    <row r="6840" spans="1:5" x14ac:dyDescent="0.2">
      <c r="A6840">
        <v>50626</v>
      </c>
      <c r="B6840" t="s">
        <v>18</v>
      </c>
      <c r="C6840">
        <v>50626</v>
      </c>
      <c r="D6840" t="str">
        <f>"50626"</f>
        <v>50626</v>
      </c>
      <c r="E6840">
        <v>77.92</v>
      </c>
    </row>
    <row r="6841" spans="1:5" x14ac:dyDescent="0.2">
      <c r="A6841">
        <v>50627</v>
      </c>
      <c r="B6841" t="s">
        <v>18</v>
      </c>
      <c r="C6841">
        <v>50627</v>
      </c>
      <c r="D6841" t="str">
        <f>"50627"</f>
        <v>50627</v>
      </c>
      <c r="E6841">
        <v>70.42</v>
      </c>
    </row>
    <row r="6842" spans="1:5" x14ac:dyDescent="0.2">
      <c r="A6842">
        <v>50628</v>
      </c>
      <c r="B6842" t="s">
        <v>18</v>
      </c>
      <c r="C6842">
        <v>50628</v>
      </c>
      <c r="D6842" t="str">
        <f>"50628"</f>
        <v>50628</v>
      </c>
      <c r="E6842">
        <v>71.150000000000006</v>
      </c>
    </row>
    <row r="6843" spans="1:5" x14ac:dyDescent="0.2">
      <c r="A6843">
        <v>50629</v>
      </c>
      <c r="B6843" t="s">
        <v>18</v>
      </c>
      <c r="C6843">
        <v>50629</v>
      </c>
      <c r="D6843" t="str">
        <f>"50629"</f>
        <v>50629</v>
      </c>
      <c r="E6843">
        <v>74.489999999999995</v>
      </c>
    </row>
    <row r="6844" spans="1:5" x14ac:dyDescent="0.2">
      <c r="A6844">
        <v>50630</v>
      </c>
      <c r="B6844" t="s">
        <v>18</v>
      </c>
      <c r="C6844">
        <v>50630</v>
      </c>
      <c r="D6844" t="str">
        <f>"50630"</f>
        <v>50630</v>
      </c>
      <c r="E6844">
        <v>75</v>
      </c>
    </row>
    <row r="6845" spans="1:5" x14ac:dyDescent="0.2">
      <c r="A6845">
        <v>50631</v>
      </c>
      <c r="B6845" t="s">
        <v>18</v>
      </c>
      <c r="C6845">
        <v>50631</v>
      </c>
      <c r="D6845" t="str">
        <f>"50631"</f>
        <v>50631</v>
      </c>
      <c r="E6845" t="s">
        <v>6</v>
      </c>
    </row>
    <row r="6846" spans="1:5" x14ac:dyDescent="0.2">
      <c r="A6846">
        <v>50632</v>
      </c>
      <c r="B6846" t="s">
        <v>18</v>
      </c>
      <c r="C6846">
        <v>50632</v>
      </c>
      <c r="D6846" t="str">
        <f>"50632"</f>
        <v>50632</v>
      </c>
      <c r="E6846">
        <v>76</v>
      </c>
    </row>
    <row r="6847" spans="1:5" x14ac:dyDescent="0.2">
      <c r="A6847">
        <v>50633</v>
      </c>
      <c r="B6847" t="s">
        <v>18</v>
      </c>
      <c r="C6847">
        <v>50633</v>
      </c>
      <c r="D6847" t="str">
        <f>"50633"</f>
        <v>50633</v>
      </c>
      <c r="E6847">
        <v>76.47</v>
      </c>
    </row>
    <row r="6848" spans="1:5" x14ac:dyDescent="0.2">
      <c r="A6848">
        <v>50634</v>
      </c>
      <c r="B6848" t="s">
        <v>18</v>
      </c>
      <c r="C6848">
        <v>50634</v>
      </c>
      <c r="D6848" t="str">
        <f>"50634"</f>
        <v>50634</v>
      </c>
      <c r="E6848">
        <v>83.33</v>
      </c>
    </row>
    <row r="6849" spans="1:5" x14ac:dyDescent="0.2">
      <c r="A6849">
        <v>50635</v>
      </c>
      <c r="B6849" t="s">
        <v>18</v>
      </c>
      <c r="C6849">
        <v>50635</v>
      </c>
      <c r="D6849" t="str">
        <f>"50635"</f>
        <v>50635</v>
      </c>
      <c r="E6849">
        <v>81.430000000000007</v>
      </c>
    </row>
    <row r="6850" spans="1:5" x14ac:dyDescent="0.2">
      <c r="A6850">
        <v>50636</v>
      </c>
      <c r="B6850" t="s">
        <v>18</v>
      </c>
      <c r="C6850">
        <v>50636</v>
      </c>
      <c r="D6850" t="str">
        <f>"50636"</f>
        <v>50636</v>
      </c>
      <c r="E6850">
        <v>77.010000000000005</v>
      </c>
    </row>
    <row r="6851" spans="1:5" x14ac:dyDescent="0.2">
      <c r="A6851">
        <v>50638</v>
      </c>
      <c r="B6851" t="s">
        <v>18</v>
      </c>
      <c r="C6851">
        <v>50638</v>
      </c>
      <c r="D6851" t="str">
        <f>"50638"</f>
        <v>50638</v>
      </c>
      <c r="E6851">
        <v>79.08</v>
      </c>
    </row>
    <row r="6852" spans="1:5" x14ac:dyDescent="0.2">
      <c r="A6852">
        <v>50641</v>
      </c>
      <c r="B6852" t="s">
        <v>18</v>
      </c>
      <c r="C6852">
        <v>50641</v>
      </c>
      <c r="D6852" t="str">
        <f>"50641"</f>
        <v>50641</v>
      </c>
      <c r="E6852">
        <v>62.5</v>
      </c>
    </row>
    <row r="6853" spans="1:5" x14ac:dyDescent="0.2">
      <c r="A6853">
        <v>50642</v>
      </c>
      <c r="B6853" t="s">
        <v>18</v>
      </c>
      <c r="C6853">
        <v>50642</v>
      </c>
      <c r="D6853" t="str">
        <f>"50642"</f>
        <v>50642</v>
      </c>
      <c r="E6853">
        <v>76</v>
      </c>
    </row>
    <row r="6854" spans="1:5" x14ac:dyDescent="0.2">
      <c r="A6854">
        <v>50643</v>
      </c>
      <c r="B6854" t="s">
        <v>18</v>
      </c>
      <c r="C6854">
        <v>50643</v>
      </c>
      <c r="D6854" t="str">
        <f>"50643"</f>
        <v>50643</v>
      </c>
      <c r="E6854">
        <v>84.62</v>
      </c>
    </row>
    <row r="6855" spans="1:5" x14ac:dyDescent="0.2">
      <c r="A6855">
        <v>50644</v>
      </c>
      <c r="B6855" t="s">
        <v>18</v>
      </c>
      <c r="C6855">
        <v>50644</v>
      </c>
      <c r="D6855" t="str">
        <f>"50644"</f>
        <v>50644</v>
      </c>
      <c r="E6855">
        <v>76.790000000000006</v>
      </c>
    </row>
    <row r="6856" spans="1:5" x14ac:dyDescent="0.2">
      <c r="A6856">
        <v>50645</v>
      </c>
      <c r="B6856" t="s">
        <v>18</v>
      </c>
      <c r="C6856">
        <v>50645</v>
      </c>
      <c r="D6856" t="str">
        <f>"50645"</f>
        <v>50645</v>
      </c>
      <c r="E6856">
        <v>76.47</v>
      </c>
    </row>
    <row r="6857" spans="1:5" x14ac:dyDescent="0.2">
      <c r="A6857">
        <v>50647</v>
      </c>
      <c r="B6857" t="s">
        <v>18</v>
      </c>
      <c r="C6857">
        <v>50647</v>
      </c>
      <c r="D6857" t="str">
        <f>"50647"</f>
        <v>50647</v>
      </c>
      <c r="E6857">
        <v>81.05</v>
      </c>
    </row>
    <row r="6858" spans="1:5" x14ac:dyDescent="0.2">
      <c r="A6858">
        <v>50648</v>
      </c>
      <c r="B6858" t="s">
        <v>18</v>
      </c>
      <c r="C6858">
        <v>50648</v>
      </c>
      <c r="D6858" t="str">
        <f>"50648"</f>
        <v>50648</v>
      </c>
      <c r="E6858">
        <v>80.209999999999994</v>
      </c>
    </row>
    <row r="6859" spans="1:5" x14ac:dyDescent="0.2">
      <c r="A6859">
        <v>50649</v>
      </c>
      <c r="B6859" t="s">
        <v>18</v>
      </c>
      <c r="C6859">
        <v>50649</v>
      </c>
      <c r="D6859" t="str">
        <f>"50649"</f>
        <v>50649</v>
      </c>
      <c r="E6859" t="s">
        <v>6</v>
      </c>
    </row>
    <row r="6860" spans="1:5" x14ac:dyDescent="0.2">
      <c r="A6860">
        <v>50650</v>
      </c>
      <c r="B6860" t="s">
        <v>18</v>
      </c>
      <c r="C6860">
        <v>50650</v>
      </c>
      <c r="D6860" t="str">
        <f>"50650"</f>
        <v>50650</v>
      </c>
      <c r="E6860">
        <v>72.22</v>
      </c>
    </row>
    <row r="6861" spans="1:5" x14ac:dyDescent="0.2">
      <c r="A6861">
        <v>50651</v>
      </c>
      <c r="B6861" t="s">
        <v>18</v>
      </c>
      <c r="C6861">
        <v>50651</v>
      </c>
      <c r="D6861" t="str">
        <f>"50651"</f>
        <v>50651</v>
      </c>
      <c r="E6861">
        <v>79.31</v>
      </c>
    </row>
    <row r="6862" spans="1:5" x14ac:dyDescent="0.2">
      <c r="A6862">
        <v>50652</v>
      </c>
      <c r="B6862" t="s">
        <v>18</v>
      </c>
      <c r="C6862">
        <v>50652</v>
      </c>
      <c r="D6862" t="str">
        <f>"50652"</f>
        <v>50652</v>
      </c>
      <c r="E6862" t="s">
        <v>6</v>
      </c>
    </row>
    <row r="6863" spans="1:5" x14ac:dyDescent="0.2">
      <c r="A6863">
        <v>50653</v>
      </c>
      <c r="B6863" t="s">
        <v>18</v>
      </c>
      <c r="C6863">
        <v>50653</v>
      </c>
      <c r="D6863" t="str">
        <f>"50653"</f>
        <v>50653</v>
      </c>
      <c r="E6863">
        <v>78.569999999999993</v>
      </c>
    </row>
    <row r="6864" spans="1:5" x14ac:dyDescent="0.2">
      <c r="A6864">
        <v>50654</v>
      </c>
      <c r="B6864" t="s">
        <v>18</v>
      </c>
      <c r="C6864">
        <v>50654</v>
      </c>
      <c r="D6864" t="str">
        <f>"50654"</f>
        <v>50654</v>
      </c>
      <c r="E6864">
        <v>66.67</v>
      </c>
    </row>
    <row r="6865" spans="1:5" x14ac:dyDescent="0.2">
      <c r="A6865">
        <v>50655</v>
      </c>
      <c r="B6865" t="s">
        <v>18</v>
      </c>
      <c r="C6865">
        <v>50655</v>
      </c>
      <c r="D6865" t="str">
        <f>"50655"</f>
        <v>50655</v>
      </c>
      <c r="E6865">
        <v>71.430000000000007</v>
      </c>
    </row>
    <row r="6866" spans="1:5" x14ac:dyDescent="0.2">
      <c r="A6866">
        <v>50657</v>
      </c>
      <c r="B6866" t="s">
        <v>18</v>
      </c>
      <c r="C6866">
        <v>50657</v>
      </c>
      <c r="D6866" t="str">
        <f>"50657"</f>
        <v>50657</v>
      </c>
      <c r="E6866" t="s">
        <v>6</v>
      </c>
    </row>
    <row r="6867" spans="1:5" x14ac:dyDescent="0.2">
      <c r="A6867">
        <v>50658</v>
      </c>
      <c r="B6867" t="s">
        <v>18</v>
      </c>
      <c r="C6867">
        <v>50658</v>
      </c>
      <c r="D6867" t="str">
        <f>"50658"</f>
        <v>50658</v>
      </c>
      <c r="E6867">
        <v>73.87</v>
      </c>
    </row>
    <row r="6868" spans="1:5" x14ac:dyDescent="0.2">
      <c r="A6868">
        <v>50659</v>
      </c>
      <c r="B6868" t="s">
        <v>18</v>
      </c>
      <c r="C6868">
        <v>50659</v>
      </c>
      <c r="D6868" t="str">
        <f>"50659"</f>
        <v>50659</v>
      </c>
      <c r="E6868">
        <v>76.08</v>
      </c>
    </row>
    <row r="6869" spans="1:5" x14ac:dyDescent="0.2">
      <c r="A6869">
        <v>50660</v>
      </c>
      <c r="B6869" t="s">
        <v>18</v>
      </c>
      <c r="C6869">
        <v>50660</v>
      </c>
      <c r="D6869" t="str">
        <f>"50660"</f>
        <v>50660</v>
      </c>
      <c r="E6869">
        <v>77.05</v>
      </c>
    </row>
    <row r="6870" spans="1:5" x14ac:dyDescent="0.2">
      <c r="A6870">
        <v>50662</v>
      </c>
      <c r="B6870" t="s">
        <v>18</v>
      </c>
      <c r="C6870">
        <v>50662</v>
      </c>
      <c r="D6870" t="str">
        <f>"50662"</f>
        <v>50662</v>
      </c>
      <c r="E6870">
        <v>68.349999999999994</v>
      </c>
    </row>
    <row r="6871" spans="1:5" x14ac:dyDescent="0.2">
      <c r="A6871">
        <v>50664</v>
      </c>
      <c r="B6871" t="s">
        <v>18</v>
      </c>
      <c r="C6871">
        <v>50664</v>
      </c>
      <c r="D6871" t="str">
        <f>"50664"</f>
        <v>50664</v>
      </c>
      <c r="E6871" t="s">
        <v>6</v>
      </c>
    </row>
    <row r="6872" spans="1:5" x14ac:dyDescent="0.2">
      <c r="A6872">
        <v>50665</v>
      </c>
      <c r="B6872" t="s">
        <v>18</v>
      </c>
      <c r="C6872">
        <v>50665</v>
      </c>
      <c r="D6872" t="str">
        <f>"50665"</f>
        <v>50665</v>
      </c>
      <c r="E6872">
        <v>78.459999999999994</v>
      </c>
    </row>
    <row r="6873" spans="1:5" x14ac:dyDescent="0.2">
      <c r="A6873">
        <v>50666</v>
      </c>
      <c r="B6873" t="s">
        <v>18</v>
      </c>
      <c r="C6873">
        <v>50666</v>
      </c>
      <c r="D6873" t="str">
        <f>"50666"</f>
        <v>50666</v>
      </c>
      <c r="E6873">
        <v>80</v>
      </c>
    </row>
    <row r="6874" spans="1:5" x14ac:dyDescent="0.2">
      <c r="A6874">
        <v>50667</v>
      </c>
      <c r="B6874" t="s">
        <v>18</v>
      </c>
      <c r="C6874">
        <v>50667</v>
      </c>
      <c r="D6874" t="str">
        <f>"50667"</f>
        <v>50667</v>
      </c>
      <c r="E6874">
        <v>84.62</v>
      </c>
    </row>
    <row r="6875" spans="1:5" x14ac:dyDescent="0.2">
      <c r="A6875">
        <v>50668</v>
      </c>
      <c r="B6875" t="s">
        <v>18</v>
      </c>
      <c r="C6875">
        <v>50668</v>
      </c>
      <c r="D6875" t="str">
        <f>"50668"</f>
        <v>50668</v>
      </c>
      <c r="E6875">
        <v>80</v>
      </c>
    </row>
    <row r="6876" spans="1:5" x14ac:dyDescent="0.2">
      <c r="A6876">
        <v>50669</v>
      </c>
      <c r="B6876" t="s">
        <v>18</v>
      </c>
      <c r="C6876">
        <v>50669</v>
      </c>
      <c r="D6876" t="str">
        <f>"50669"</f>
        <v>50669</v>
      </c>
      <c r="E6876">
        <v>80.180000000000007</v>
      </c>
    </row>
    <row r="6877" spans="1:5" x14ac:dyDescent="0.2">
      <c r="A6877">
        <v>50670</v>
      </c>
      <c r="B6877" t="s">
        <v>18</v>
      </c>
      <c r="C6877">
        <v>50670</v>
      </c>
      <c r="D6877" t="str">
        <f>"50670"</f>
        <v>50670</v>
      </c>
      <c r="E6877">
        <v>80</v>
      </c>
    </row>
    <row r="6878" spans="1:5" x14ac:dyDescent="0.2">
      <c r="A6878">
        <v>50671</v>
      </c>
      <c r="B6878" t="s">
        <v>18</v>
      </c>
      <c r="C6878">
        <v>50671</v>
      </c>
      <c r="D6878" t="str">
        <f>"50671"</f>
        <v>50671</v>
      </c>
      <c r="E6878">
        <v>75</v>
      </c>
    </row>
    <row r="6879" spans="1:5" x14ac:dyDescent="0.2">
      <c r="A6879">
        <v>50672</v>
      </c>
      <c r="B6879" t="s">
        <v>18</v>
      </c>
      <c r="C6879">
        <v>50672</v>
      </c>
      <c r="D6879" t="str">
        <f>"50672"</f>
        <v>50672</v>
      </c>
      <c r="E6879">
        <v>75</v>
      </c>
    </row>
    <row r="6880" spans="1:5" x14ac:dyDescent="0.2">
      <c r="A6880">
        <v>50673</v>
      </c>
      <c r="B6880" t="s">
        <v>18</v>
      </c>
      <c r="C6880">
        <v>50673</v>
      </c>
      <c r="D6880" t="str">
        <f>"50673"</f>
        <v>50673</v>
      </c>
      <c r="E6880" t="s">
        <v>6</v>
      </c>
    </row>
    <row r="6881" spans="1:5" x14ac:dyDescent="0.2">
      <c r="A6881">
        <v>50674</v>
      </c>
      <c r="B6881" t="s">
        <v>18</v>
      </c>
      <c r="C6881">
        <v>50674</v>
      </c>
      <c r="D6881" t="str">
        <f>"50674"</f>
        <v>50674</v>
      </c>
      <c r="E6881">
        <v>73.459999999999994</v>
      </c>
    </row>
    <row r="6882" spans="1:5" x14ac:dyDescent="0.2">
      <c r="A6882">
        <v>50675</v>
      </c>
      <c r="B6882" t="s">
        <v>18</v>
      </c>
      <c r="C6882">
        <v>50675</v>
      </c>
      <c r="D6882" t="str">
        <f>"50675"</f>
        <v>50675</v>
      </c>
      <c r="E6882">
        <v>75.7</v>
      </c>
    </row>
    <row r="6883" spans="1:5" x14ac:dyDescent="0.2">
      <c r="A6883">
        <v>50676</v>
      </c>
      <c r="B6883" t="s">
        <v>18</v>
      </c>
      <c r="C6883">
        <v>50676</v>
      </c>
      <c r="D6883" t="str">
        <f>"50676"</f>
        <v>50676</v>
      </c>
      <c r="E6883">
        <v>77.010000000000005</v>
      </c>
    </row>
    <row r="6884" spans="1:5" x14ac:dyDescent="0.2">
      <c r="A6884">
        <v>50677</v>
      </c>
      <c r="B6884" t="s">
        <v>18</v>
      </c>
      <c r="C6884">
        <v>50677</v>
      </c>
      <c r="D6884" t="str">
        <f>"50677"</f>
        <v>50677</v>
      </c>
      <c r="E6884">
        <v>79.55</v>
      </c>
    </row>
    <row r="6885" spans="1:5" x14ac:dyDescent="0.2">
      <c r="A6885">
        <v>50680</v>
      </c>
      <c r="B6885" t="s">
        <v>18</v>
      </c>
      <c r="C6885">
        <v>50680</v>
      </c>
      <c r="D6885" t="str">
        <f>"50680"</f>
        <v>50680</v>
      </c>
      <c r="E6885">
        <v>77.78</v>
      </c>
    </row>
    <row r="6886" spans="1:5" x14ac:dyDescent="0.2">
      <c r="A6886">
        <v>50681</v>
      </c>
      <c r="B6886" t="s">
        <v>18</v>
      </c>
      <c r="C6886">
        <v>50681</v>
      </c>
      <c r="D6886" t="str">
        <f>"50681"</f>
        <v>50681</v>
      </c>
      <c r="E6886">
        <v>76.19</v>
      </c>
    </row>
    <row r="6887" spans="1:5" x14ac:dyDescent="0.2">
      <c r="A6887">
        <v>50682</v>
      </c>
      <c r="B6887" t="s">
        <v>18</v>
      </c>
      <c r="C6887">
        <v>50682</v>
      </c>
      <c r="D6887" t="str">
        <f>"50682"</f>
        <v>50682</v>
      </c>
      <c r="E6887">
        <v>71.83</v>
      </c>
    </row>
    <row r="6888" spans="1:5" x14ac:dyDescent="0.2">
      <c r="A6888">
        <v>50701</v>
      </c>
      <c r="B6888" t="s">
        <v>18</v>
      </c>
      <c r="C6888">
        <v>50701</v>
      </c>
      <c r="D6888" t="str">
        <f>"50701"</f>
        <v>50701</v>
      </c>
      <c r="E6888">
        <v>76.16</v>
      </c>
    </row>
    <row r="6889" spans="1:5" x14ac:dyDescent="0.2">
      <c r="A6889">
        <v>50702</v>
      </c>
      <c r="B6889" t="s">
        <v>18</v>
      </c>
      <c r="C6889">
        <v>50702</v>
      </c>
      <c r="D6889" t="str">
        <f>"50702"</f>
        <v>50702</v>
      </c>
      <c r="E6889">
        <v>71.180000000000007</v>
      </c>
    </row>
    <row r="6890" spans="1:5" x14ac:dyDescent="0.2">
      <c r="A6890">
        <v>50703</v>
      </c>
      <c r="B6890" t="s">
        <v>18</v>
      </c>
      <c r="C6890">
        <v>50703</v>
      </c>
      <c r="D6890" t="str">
        <f>"50703"</f>
        <v>50703</v>
      </c>
      <c r="E6890">
        <v>62.35</v>
      </c>
    </row>
    <row r="6891" spans="1:5" x14ac:dyDescent="0.2">
      <c r="A6891">
        <v>50707</v>
      </c>
      <c r="B6891" t="s">
        <v>18</v>
      </c>
      <c r="C6891">
        <v>50707</v>
      </c>
      <c r="D6891" t="str">
        <f>"50707"</f>
        <v>50707</v>
      </c>
      <c r="E6891">
        <v>72.73</v>
      </c>
    </row>
    <row r="6892" spans="1:5" x14ac:dyDescent="0.2">
      <c r="A6892">
        <v>50801</v>
      </c>
      <c r="B6892" t="s">
        <v>18</v>
      </c>
      <c r="C6892">
        <v>50801</v>
      </c>
      <c r="D6892" t="str">
        <f>"50801"</f>
        <v>50801</v>
      </c>
      <c r="E6892">
        <v>72.09</v>
      </c>
    </row>
    <row r="6893" spans="1:5" x14ac:dyDescent="0.2">
      <c r="A6893">
        <v>50830</v>
      </c>
      <c r="B6893" t="s">
        <v>18</v>
      </c>
      <c r="C6893">
        <v>50830</v>
      </c>
      <c r="D6893" t="str">
        <f>"50830"</f>
        <v>50830</v>
      </c>
      <c r="E6893">
        <v>72.86</v>
      </c>
    </row>
    <row r="6894" spans="1:5" x14ac:dyDescent="0.2">
      <c r="A6894">
        <v>50831</v>
      </c>
      <c r="B6894" t="s">
        <v>18</v>
      </c>
      <c r="C6894">
        <v>50831</v>
      </c>
      <c r="D6894" t="str">
        <f>"50831"</f>
        <v>50831</v>
      </c>
      <c r="E6894" t="s">
        <v>6</v>
      </c>
    </row>
    <row r="6895" spans="1:5" x14ac:dyDescent="0.2">
      <c r="A6895">
        <v>50833</v>
      </c>
      <c r="B6895" t="s">
        <v>18</v>
      </c>
      <c r="C6895">
        <v>50833</v>
      </c>
      <c r="D6895" t="str">
        <f>"50833"</f>
        <v>50833</v>
      </c>
      <c r="E6895">
        <v>65</v>
      </c>
    </row>
    <row r="6896" spans="1:5" x14ac:dyDescent="0.2">
      <c r="A6896">
        <v>50835</v>
      </c>
      <c r="B6896" t="s">
        <v>18</v>
      </c>
      <c r="C6896">
        <v>50835</v>
      </c>
      <c r="D6896" t="str">
        <f>"50835"</f>
        <v>50835</v>
      </c>
      <c r="E6896" t="s">
        <v>6</v>
      </c>
    </row>
    <row r="6897" spans="1:5" x14ac:dyDescent="0.2">
      <c r="A6897">
        <v>50836</v>
      </c>
      <c r="B6897" t="s">
        <v>18</v>
      </c>
      <c r="C6897">
        <v>50836</v>
      </c>
      <c r="D6897" t="str">
        <f>"50836"</f>
        <v>50836</v>
      </c>
      <c r="E6897">
        <v>73.33</v>
      </c>
    </row>
    <row r="6898" spans="1:5" x14ac:dyDescent="0.2">
      <c r="A6898">
        <v>50837</v>
      </c>
      <c r="B6898" t="s">
        <v>18</v>
      </c>
      <c r="C6898">
        <v>50837</v>
      </c>
      <c r="D6898" t="str">
        <f>"50837"</f>
        <v>50837</v>
      </c>
      <c r="E6898">
        <v>66.67</v>
      </c>
    </row>
    <row r="6899" spans="1:5" x14ac:dyDescent="0.2">
      <c r="A6899">
        <v>50839</v>
      </c>
      <c r="B6899" t="s">
        <v>18</v>
      </c>
      <c r="C6899">
        <v>50839</v>
      </c>
      <c r="D6899" t="str">
        <f>"50839"</f>
        <v>50839</v>
      </c>
      <c r="E6899" t="s">
        <v>6</v>
      </c>
    </row>
    <row r="6900" spans="1:5" x14ac:dyDescent="0.2">
      <c r="A6900">
        <v>50840</v>
      </c>
      <c r="B6900" t="s">
        <v>18</v>
      </c>
      <c r="C6900">
        <v>50840</v>
      </c>
      <c r="D6900" t="str">
        <f>"50840"</f>
        <v>50840</v>
      </c>
      <c r="E6900">
        <v>68.42</v>
      </c>
    </row>
    <row r="6901" spans="1:5" x14ac:dyDescent="0.2">
      <c r="A6901">
        <v>50841</v>
      </c>
      <c r="B6901" t="s">
        <v>18</v>
      </c>
      <c r="C6901">
        <v>50841</v>
      </c>
      <c r="D6901" t="str">
        <f>"50841"</f>
        <v>50841</v>
      </c>
      <c r="E6901">
        <v>70.34</v>
      </c>
    </row>
    <row r="6902" spans="1:5" x14ac:dyDescent="0.2">
      <c r="A6902">
        <v>50842</v>
      </c>
      <c r="B6902" t="s">
        <v>18</v>
      </c>
      <c r="C6902">
        <v>50842</v>
      </c>
      <c r="D6902" t="str">
        <f>"50842"</f>
        <v>50842</v>
      </c>
      <c r="E6902" t="s">
        <v>6</v>
      </c>
    </row>
    <row r="6903" spans="1:5" x14ac:dyDescent="0.2">
      <c r="A6903">
        <v>50843</v>
      </c>
      <c r="B6903" t="s">
        <v>18</v>
      </c>
      <c r="C6903">
        <v>50843</v>
      </c>
      <c r="D6903" t="str">
        <f>"50843"</f>
        <v>50843</v>
      </c>
      <c r="E6903">
        <v>72</v>
      </c>
    </row>
    <row r="6904" spans="1:5" x14ac:dyDescent="0.2">
      <c r="A6904">
        <v>50845</v>
      </c>
      <c r="B6904" t="s">
        <v>18</v>
      </c>
      <c r="C6904">
        <v>50845</v>
      </c>
      <c r="D6904" t="str">
        <f>"50845"</f>
        <v>50845</v>
      </c>
      <c r="E6904">
        <v>72.41</v>
      </c>
    </row>
    <row r="6905" spans="1:5" x14ac:dyDescent="0.2">
      <c r="A6905">
        <v>50846</v>
      </c>
      <c r="B6905" t="s">
        <v>18</v>
      </c>
      <c r="C6905">
        <v>50846</v>
      </c>
      <c r="D6905" t="str">
        <f>"50846"</f>
        <v>50846</v>
      </c>
      <c r="E6905">
        <v>70.59</v>
      </c>
    </row>
    <row r="6906" spans="1:5" x14ac:dyDescent="0.2">
      <c r="A6906">
        <v>50847</v>
      </c>
      <c r="B6906" t="s">
        <v>18</v>
      </c>
      <c r="C6906">
        <v>50847</v>
      </c>
      <c r="D6906" t="str">
        <f>"50847"</f>
        <v>50847</v>
      </c>
      <c r="E6906" t="s">
        <v>6</v>
      </c>
    </row>
    <row r="6907" spans="1:5" x14ac:dyDescent="0.2">
      <c r="A6907">
        <v>50848</v>
      </c>
      <c r="B6907" t="s">
        <v>18</v>
      </c>
      <c r="C6907">
        <v>50848</v>
      </c>
      <c r="D6907" t="str">
        <f>"50848"</f>
        <v>50848</v>
      </c>
      <c r="E6907">
        <v>75</v>
      </c>
    </row>
    <row r="6908" spans="1:5" x14ac:dyDescent="0.2">
      <c r="A6908">
        <v>50849</v>
      </c>
      <c r="B6908" t="s">
        <v>18</v>
      </c>
      <c r="C6908">
        <v>50849</v>
      </c>
      <c r="D6908" t="str">
        <f>"50849"</f>
        <v>50849</v>
      </c>
      <c r="E6908">
        <v>71.540000000000006</v>
      </c>
    </row>
    <row r="6909" spans="1:5" x14ac:dyDescent="0.2">
      <c r="A6909">
        <v>50851</v>
      </c>
      <c r="B6909" t="s">
        <v>18</v>
      </c>
      <c r="C6909">
        <v>50851</v>
      </c>
      <c r="D6909" t="str">
        <f>"50851"</f>
        <v>50851</v>
      </c>
      <c r="E6909">
        <v>69.66</v>
      </c>
    </row>
    <row r="6910" spans="1:5" x14ac:dyDescent="0.2">
      <c r="A6910">
        <v>50853</v>
      </c>
      <c r="B6910" t="s">
        <v>18</v>
      </c>
      <c r="C6910">
        <v>50853</v>
      </c>
      <c r="D6910" t="str">
        <f>"50853"</f>
        <v>50853</v>
      </c>
      <c r="E6910">
        <v>72.41</v>
      </c>
    </row>
    <row r="6911" spans="1:5" x14ac:dyDescent="0.2">
      <c r="A6911">
        <v>50854</v>
      </c>
      <c r="B6911" t="s">
        <v>18</v>
      </c>
      <c r="C6911">
        <v>50854</v>
      </c>
      <c r="D6911" t="str">
        <f>"50854"</f>
        <v>50854</v>
      </c>
      <c r="E6911">
        <v>65.98</v>
      </c>
    </row>
    <row r="6912" spans="1:5" x14ac:dyDescent="0.2">
      <c r="A6912">
        <v>50857</v>
      </c>
      <c r="B6912" t="s">
        <v>18</v>
      </c>
      <c r="C6912">
        <v>50857</v>
      </c>
      <c r="D6912" t="str">
        <f>"50857"</f>
        <v>50857</v>
      </c>
      <c r="E6912">
        <v>63.64</v>
      </c>
    </row>
    <row r="6913" spans="1:5" x14ac:dyDescent="0.2">
      <c r="A6913">
        <v>50858</v>
      </c>
      <c r="B6913" t="s">
        <v>18</v>
      </c>
      <c r="C6913">
        <v>50858</v>
      </c>
      <c r="D6913" t="str">
        <f>"50858"</f>
        <v>50858</v>
      </c>
      <c r="E6913">
        <v>64.709999999999994</v>
      </c>
    </row>
    <row r="6914" spans="1:5" x14ac:dyDescent="0.2">
      <c r="A6914">
        <v>50859</v>
      </c>
      <c r="B6914" t="s">
        <v>18</v>
      </c>
      <c r="C6914">
        <v>50859</v>
      </c>
      <c r="D6914" t="str">
        <f>"50859"</f>
        <v>50859</v>
      </c>
      <c r="E6914">
        <v>64</v>
      </c>
    </row>
    <row r="6915" spans="1:5" x14ac:dyDescent="0.2">
      <c r="A6915">
        <v>50860</v>
      </c>
      <c r="B6915" t="s">
        <v>18</v>
      </c>
      <c r="C6915">
        <v>50860</v>
      </c>
      <c r="D6915" t="str">
        <f>"50860"</f>
        <v>50860</v>
      </c>
      <c r="E6915">
        <v>60</v>
      </c>
    </row>
    <row r="6916" spans="1:5" x14ac:dyDescent="0.2">
      <c r="A6916">
        <v>50861</v>
      </c>
      <c r="B6916" t="s">
        <v>18</v>
      </c>
      <c r="C6916">
        <v>50861</v>
      </c>
      <c r="D6916" t="str">
        <f>"50861"</f>
        <v>50861</v>
      </c>
      <c r="E6916">
        <v>63.64</v>
      </c>
    </row>
    <row r="6917" spans="1:5" x14ac:dyDescent="0.2">
      <c r="A6917">
        <v>50862</v>
      </c>
      <c r="B6917" t="s">
        <v>18</v>
      </c>
      <c r="C6917">
        <v>50862</v>
      </c>
      <c r="D6917" t="str">
        <f>"50862"</f>
        <v>50862</v>
      </c>
      <c r="E6917" t="s">
        <v>6</v>
      </c>
    </row>
    <row r="6918" spans="1:5" x14ac:dyDescent="0.2">
      <c r="A6918">
        <v>50863</v>
      </c>
      <c r="B6918" t="s">
        <v>18</v>
      </c>
      <c r="C6918">
        <v>50863</v>
      </c>
      <c r="D6918" t="str">
        <f>"50863"</f>
        <v>50863</v>
      </c>
      <c r="E6918" t="s">
        <v>6</v>
      </c>
    </row>
    <row r="6919" spans="1:5" x14ac:dyDescent="0.2">
      <c r="A6919">
        <v>50864</v>
      </c>
      <c r="B6919" t="s">
        <v>18</v>
      </c>
      <c r="C6919">
        <v>50864</v>
      </c>
      <c r="D6919" t="str">
        <f>"50864"</f>
        <v>50864</v>
      </c>
      <c r="E6919">
        <v>70.73</v>
      </c>
    </row>
    <row r="6920" spans="1:5" x14ac:dyDescent="0.2">
      <c r="A6920">
        <v>51001</v>
      </c>
      <c r="B6920" t="s">
        <v>18</v>
      </c>
      <c r="C6920">
        <v>51001</v>
      </c>
      <c r="D6920" t="str">
        <f>"51001"</f>
        <v>51001</v>
      </c>
      <c r="E6920">
        <v>76.84</v>
      </c>
    </row>
    <row r="6921" spans="1:5" x14ac:dyDescent="0.2">
      <c r="A6921">
        <v>51002</v>
      </c>
      <c r="B6921" t="s">
        <v>18</v>
      </c>
      <c r="C6921">
        <v>51002</v>
      </c>
      <c r="D6921" t="str">
        <f>"51002"</f>
        <v>51002</v>
      </c>
      <c r="E6921">
        <v>74.22</v>
      </c>
    </row>
    <row r="6922" spans="1:5" x14ac:dyDescent="0.2">
      <c r="A6922">
        <v>51003</v>
      </c>
      <c r="B6922" t="s">
        <v>18</v>
      </c>
      <c r="C6922">
        <v>51003</v>
      </c>
      <c r="D6922" t="str">
        <f>"51003"</f>
        <v>51003</v>
      </c>
      <c r="E6922">
        <v>78.95</v>
      </c>
    </row>
    <row r="6923" spans="1:5" x14ac:dyDescent="0.2">
      <c r="A6923">
        <v>51004</v>
      </c>
      <c r="B6923" t="s">
        <v>18</v>
      </c>
      <c r="C6923">
        <v>51004</v>
      </c>
      <c r="D6923" t="str">
        <f>"51004"</f>
        <v>51004</v>
      </c>
      <c r="E6923">
        <v>75</v>
      </c>
    </row>
    <row r="6924" spans="1:5" x14ac:dyDescent="0.2">
      <c r="A6924">
        <v>51005</v>
      </c>
      <c r="B6924" t="s">
        <v>18</v>
      </c>
      <c r="C6924">
        <v>51005</v>
      </c>
      <c r="D6924" t="str">
        <f>"51005"</f>
        <v>51005</v>
      </c>
      <c r="E6924">
        <v>75.760000000000005</v>
      </c>
    </row>
    <row r="6925" spans="1:5" x14ac:dyDescent="0.2">
      <c r="A6925">
        <v>51006</v>
      </c>
      <c r="B6925" t="s">
        <v>18</v>
      </c>
      <c r="C6925">
        <v>51006</v>
      </c>
      <c r="D6925" t="str">
        <f>"51006"</f>
        <v>51006</v>
      </c>
      <c r="E6925">
        <v>73.33</v>
      </c>
    </row>
    <row r="6926" spans="1:5" x14ac:dyDescent="0.2">
      <c r="A6926">
        <v>51007</v>
      </c>
      <c r="B6926" t="s">
        <v>18</v>
      </c>
      <c r="C6926">
        <v>51007</v>
      </c>
      <c r="D6926" t="str">
        <f>"51007"</f>
        <v>51007</v>
      </c>
      <c r="E6926">
        <v>88.24</v>
      </c>
    </row>
    <row r="6927" spans="1:5" x14ac:dyDescent="0.2">
      <c r="A6927">
        <v>51008</v>
      </c>
      <c r="B6927" t="s">
        <v>18</v>
      </c>
      <c r="C6927">
        <v>51008</v>
      </c>
      <c r="D6927" t="str">
        <f>"51008"</f>
        <v>51008</v>
      </c>
      <c r="E6927" t="s">
        <v>6</v>
      </c>
    </row>
    <row r="6928" spans="1:5" x14ac:dyDescent="0.2">
      <c r="A6928">
        <v>51009</v>
      </c>
      <c r="B6928" t="s">
        <v>18</v>
      </c>
      <c r="C6928">
        <v>51009</v>
      </c>
      <c r="D6928" t="str">
        <f>"51009"</f>
        <v>51009</v>
      </c>
      <c r="E6928" t="s">
        <v>6</v>
      </c>
    </row>
    <row r="6929" spans="1:5" x14ac:dyDescent="0.2">
      <c r="A6929">
        <v>51010</v>
      </c>
      <c r="B6929" t="s">
        <v>18</v>
      </c>
      <c r="C6929">
        <v>51010</v>
      </c>
      <c r="D6929" t="str">
        <f>"51010"</f>
        <v>51010</v>
      </c>
      <c r="E6929">
        <v>75</v>
      </c>
    </row>
    <row r="6930" spans="1:5" x14ac:dyDescent="0.2">
      <c r="A6930">
        <v>51011</v>
      </c>
      <c r="B6930" t="s">
        <v>18</v>
      </c>
      <c r="C6930">
        <v>51011</v>
      </c>
      <c r="D6930" t="str">
        <f>"51011"</f>
        <v>51011</v>
      </c>
      <c r="E6930" t="s">
        <v>6</v>
      </c>
    </row>
    <row r="6931" spans="1:5" x14ac:dyDescent="0.2">
      <c r="A6931">
        <v>51012</v>
      </c>
      <c r="B6931" t="s">
        <v>18</v>
      </c>
      <c r="C6931">
        <v>51012</v>
      </c>
      <c r="D6931" t="str">
        <f>"51012"</f>
        <v>51012</v>
      </c>
      <c r="E6931">
        <v>72.55</v>
      </c>
    </row>
    <row r="6932" spans="1:5" x14ac:dyDescent="0.2">
      <c r="A6932">
        <v>51014</v>
      </c>
      <c r="B6932" t="s">
        <v>18</v>
      </c>
      <c r="C6932">
        <v>51014</v>
      </c>
      <c r="D6932" t="str">
        <f>"51014"</f>
        <v>51014</v>
      </c>
      <c r="E6932">
        <v>79.17</v>
      </c>
    </row>
    <row r="6933" spans="1:5" x14ac:dyDescent="0.2">
      <c r="A6933">
        <v>51015</v>
      </c>
      <c r="B6933" t="s">
        <v>18</v>
      </c>
      <c r="C6933">
        <v>51015</v>
      </c>
      <c r="D6933" t="str">
        <f>"51015"</f>
        <v>51015</v>
      </c>
      <c r="E6933" t="s">
        <v>6</v>
      </c>
    </row>
    <row r="6934" spans="1:5" x14ac:dyDescent="0.2">
      <c r="A6934">
        <v>51016</v>
      </c>
      <c r="B6934" t="s">
        <v>18</v>
      </c>
      <c r="C6934">
        <v>51016</v>
      </c>
      <c r="D6934" t="str">
        <f>"51016"</f>
        <v>51016</v>
      </c>
      <c r="E6934">
        <v>71.19</v>
      </c>
    </row>
    <row r="6935" spans="1:5" x14ac:dyDescent="0.2">
      <c r="A6935">
        <v>51018</v>
      </c>
      <c r="B6935" t="s">
        <v>18</v>
      </c>
      <c r="C6935">
        <v>51018</v>
      </c>
      <c r="D6935" t="str">
        <f>"51018"</f>
        <v>51018</v>
      </c>
      <c r="E6935">
        <v>68.75</v>
      </c>
    </row>
    <row r="6936" spans="1:5" x14ac:dyDescent="0.2">
      <c r="A6936">
        <v>51019</v>
      </c>
      <c r="B6936" t="s">
        <v>18</v>
      </c>
      <c r="C6936">
        <v>51019</v>
      </c>
      <c r="D6936" t="str">
        <f>"51019"</f>
        <v>51019</v>
      </c>
      <c r="E6936">
        <v>75</v>
      </c>
    </row>
    <row r="6937" spans="1:5" x14ac:dyDescent="0.2">
      <c r="A6937">
        <v>51020</v>
      </c>
      <c r="B6937" t="s">
        <v>18</v>
      </c>
      <c r="C6937">
        <v>51020</v>
      </c>
      <c r="D6937" t="str">
        <f>"51020"</f>
        <v>51020</v>
      </c>
      <c r="E6937">
        <v>72.41</v>
      </c>
    </row>
    <row r="6938" spans="1:5" x14ac:dyDescent="0.2">
      <c r="A6938">
        <v>51022</v>
      </c>
      <c r="B6938" t="s">
        <v>18</v>
      </c>
      <c r="C6938">
        <v>51022</v>
      </c>
      <c r="D6938" t="str">
        <f>"51022"</f>
        <v>51022</v>
      </c>
      <c r="E6938">
        <v>67.569999999999993</v>
      </c>
    </row>
    <row r="6939" spans="1:5" x14ac:dyDescent="0.2">
      <c r="A6939">
        <v>51023</v>
      </c>
      <c r="B6939" t="s">
        <v>18</v>
      </c>
      <c r="C6939">
        <v>51023</v>
      </c>
      <c r="D6939" t="str">
        <f>"51023"</f>
        <v>51023</v>
      </c>
      <c r="E6939">
        <v>69.92</v>
      </c>
    </row>
    <row r="6940" spans="1:5" x14ac:dyDescent="0.2">
      <c r="A6940">
        <v>51024</v>
      </c>
      <c r="B6940" t="s">
        <v>18</v>
      </c>
      <c r="C6940">
        <v>51024</v>
      </c>
      <c r="D6940" t="str">
        <f>"51024"</f>
        <v>51024</v>
      </c>
      <c r="E6940">
        <v>81.25</v>
      </c>
    </row>
    <row r="6941" spans="1:5" x14ac:dyDescent="0.2">
      <c r="A6941">
        <v>51025</v>
      </c>
      <c r="B6941" t="s">
        <v>18</v>
      </c>
      <c r="C6941">
        <v>51025</v>
      </c>
      <c r="D6941" t="str">
        <f>"51025"</f>
        <v>51025</v>
      </c>
      <c r="E6941">
        <v>76.09</v>
      </c>
    </row>
    <row r="6942" spans="1:5" x14ac:dyDescent="0.2">
      <c r="A6942">
        <v>51026</v>
      </c>
      <c r="B6942" t="s">
        <v>18</v>
      </c>
      <c r="C6942">
        <v>51026</v>
      </c>
      <c r="D6942" t="str">
        <f>"51026"</f>
        <v>51026</v>
      </c>
      <c r="E6942">
        <v>75</v>
      </c>
    </row>
    <row r="6943" spans="1:5" x14ac:dyDescent="0.2">
      <c r="A6943">
        <v>51027</v>
      </c>
      <c r="B6943" t="s">
        <v>18</v>
      </c>
      <c r="C6943">
        <v>51027</v>
      </c>
      <c r="D6943" t="str">
        <f>"51027"</f>
        <v>51027</v>
      </c>
      <c r="E6943">
        <v>71.150000000000006</v>
      </c>
    </row>
    <row r="6944" spans="1:5" x14ac:dyDescent="0.2">
      <c r="A6944">
        <v>51028</v>
      </c>
      <c r="B6944" t="s">
        <v>18</v>
      </c>
      <c r="C6944">
        <v>51028</v>
      </c>
      <c r="D6944" t="str">
        <f>"51028"</f>
        <v>51028</v>
      </c>
      <c r="E6944">
        <v>74.739999999999995</v>
      </c>
    </row>
    <row r="6945" spans="1:5" x14ac:dyDescent="0.2">
      <c r="A6945">
        <v>51029</v>
      </c>
      <c r="B6945" t="s">
        <v>18</v>
      </c>
      <c r="C6945">
        <v>51029</v>
      </c>
      <c r="D6945" t="str">
        <f>"51029"</f>
        <v>51029</v>
      </c>
      <c r="E6945">
        <v>76.92</v>
      </c>
    </row>
    <row r="6946" spans="1:5" x14ac:dyDescent="0.2">
      <c r="A6946">
        <v>51030</v>
      </c>
      <c r="B6946" t="s">
        <v>18</v>
      </c>
      <c r="C6946">
        <v>51030</v>
      </c>
      <c r="D6946" t="str">
        <f>"51030"</f>
        <v>51030</v>
      </c>
      <c r="E6946">
        <v>80.25</v>
      </c>
    </row>
    <row r="6947" spans="1:5" x14ac:dyDescent="0.2">
      <c r="A6947">
        <v>51031</v>
      </c>
      <c r="B6947" t="s">
        <v>18</v>
      </c>
      <c r="C6947">
        <v>51031</v>
      </c>
      <c r="D6947" t="str">
        <f>"51031"</f>
        <v>51031</v>
      </c>
      <c r="E6947">
        <v>77.180000000000007</v>
      </c>
    </row>
    <row r="6948" spans="1:5" x14ac:dyDescent="0.2">
      <c r="A6948">
        <v>51033</v>
      </c>
      <c r="B6948" t="s">
        <v>18</v>
      </c>
      <c r="C6948">
        <v>51033</v>
      </c>
      <c r="D6948" t="str">
        <f>"51033"</f>
        <v>51033</v>
      </c>
      <c r="E6948">
        <v>77.27</v>
      </c>
    </row>
    <row r="6949" spans="1:5" x14ac:dyDescent="0.2">
      <c r="A6949">
        <v>51034</v>
      </c>
      <c r="B6949" t="s">
        <v>18</v>
      </c>
      <c r="C6949">
        <v>51034</v>
      </c>
      <c r="D6949" t="str">
        <f>"51034"</f>
        <v>51034</v>
      </c>
      <c r="E6949">
        <v>71.05</v>
      </c>
    </row>
    <row r="6950" spans="1:5" x14ac:dyDescent="0.2">
      <c r="A6950">
        <v>51035</v>
      </c>
      <c r="B6950" t="s">
        <v>18</v>
      </c>
      <c r="C6950">
        <v>51035</v>
      </c>
      <c r="D6950" t="str">
        <f>"51035"</f>
        <v>51035</v>
      </c>
      <c r="E6950">
        <v>76</v>
      </c>
    </row>
    <row r="6951" spans="1:5" x14ac:dyDescent="0.2">
      <c r="A6951">
        <v>51036</v>
      </c>
      <c r="B6951" t="s">
        <v>18</v>
      </c>
      <c r="C6951">
        <v>51036</v>
      </c>
      <c r="D6951" t="str">
        <f>"51036"</f>
        <v>51036</v>
      </c>
      <c r="E6951">
        <v>70</v>
      </c>
    </row>
    <row r="6952" spans="1:5" x14ac:dyDescent="0.2">
      <c r="A6952">
        <v>51037</v>
      </c>
      <c r="B6952" t="s">
        <v>18</v>
      </c>
      <c r="C6952">
        <v>51037</v>
      </c>
      <c r="D6952" t="str">
        <f>"51037"</f>
        <v>51037</v>
      </c>
      <c r="E6952">
        <v>75</v>
      </c>
    </row>
    <row r="6953" spans="1:5" x14ac:dyDescent="0.2">
      <c r="A6953">
        <v>51038</v>
      </c>
      <c r="B6953" t="s">
        <v>18</v>
      </c>
      <c r="C6953">
        <v>51038</v>
      </c>
      <c r="D6953" t="str">
        <f>"51038"</f>
        <v>51038</v>
      </c>
      <c r="E6953">
        <v>78.38</v>
      </c>
    </row>
    <row r="6954" spans="1:5" x14ac:dyDescent="0.2">
      <c r="A6954">
        <v>51039</v>
      </c>
      <c r="B6954" t="s">
        <v>18</v>
      </c>
      <c r="C6954">
        <v>51039</v>
      </c>
      <c r="D6954" t="str">
        <f>"51039"</f>
        <v>51039</v>
      </c>
      <c r="E6954">
        <v>76.27</v>
      </c>
    </row>
    <row r="6955" spans="1:5" x14ac:dyDescent="0.2">
      <c r="A6955">
        <v>51040</v>
      </c>
      <c r="B6955" t="s">
        <v>18</v>
      </c>
      <c r="C6955">
        <v>51040</v>
      </c>
      <c r="D6955" t="str">
        <f>"51040"</f>
        <v>51040</v>
      </c>
      <c r="E6955">
        <v>70.06</v>
      </c>
    </row>
    <row r="6956" spans="1:5" x14ac:dyDescent="0.2">
      <c r="A6956">
        <v>51041</v>
      </c>
      <c r="B6956" t="s">
        <v>18</v>
      </c>
      <c r="C6956">
        <v>51041</v>
      </c>
      <c r="D6956" t="str">
        <f>"51041"</f>
        <v>51041</v>
      </c>
      <c r="E6956">
        <v>74.45</v>
      </c>
    </row>
    <row r="6957" spans="1:5" x14ac:dyDescent="0.2">
      <c r="A6957">
        <v>51044</v>
      </c>
      <c r="B6957" t="s">
        <v>18</v>
      </c>
      <c r="C6957">
        <v>51044</v>
      </c>
      <c r="D6957" t="str">
        <f>"51044"</f>
        <v>51044</v>
      </c>
      <c r="E6957" t="s">
        <v>6</v>
      </c>
    </row>
    <row r="6958" spans="1:5" x14ac:dyDescent="0.2">
      <c r="A6958">
        <v>51045</v>
      </c>
      <c r="B6958" t="s">
        <v>18</v>
      </c>
      <c r="C6958">
        <v>51045</v>
      </c>
      <c r="D6958" t="str">
        <f>"51045"</f>
        <v>51045</v>
      </c>
      <c r="E6958" t="s">
        <v>6</v>
      </c>
    </row>
    <row r="6959" spans="1:5" x14ac:dyDescent="0.2">
      <c r="A6959">
        <v>51046</v>
      </c>
      <c r="B6959" t="s">
        <v>18</v>
      </c>
      <c r="C6959">
        <v>51046</v>
      </c>
      <c r="D6959" t="str">
        <f>"51046"</f>
        <v>51046</v>
      </c>
      <c r="E6959">
        <v>74.319999999999993</v>
      </c>
    </row>
    <row r="6960" spans="1:5" x14ac:dyDescent="0.2">
      <c r="A6960">
        <v>51047</v>
      </c>
      <c r="B6960" t="s">
        <v>18</v>
      </c>
      <c r="C6960">
        <v>51047</v>
      </c>
      <c r="D6960" t="str">
        <f>"51047"</f>
        <v>51047</v>
      </c>
      <c r="E6960">
        <v>77.42</v>
      </c>
    </row>
    <row r="6961" spans="1:5" x14ac:dyDescent="0.2">
      <c r="A6961">
        <v>51048</v>
      </c>
      <c r="B6961" t="s">
        <v>18</v>
      </c>
      <c r="C6961">
        <v>51048</v>
      </c>
      <c r="D6961" t="str">
        <f>"51048"</f>
        <v>51048</v>
      </c>
      <c r="E6961">
        <v>76</v>
      </c>
    </row>
    <row r="6962" spans="1:5" x14ac:dyDescent="0.2">
      <c r="A6962">
        <v>51049</v>
      </c>
      <c r="B6962" t="s">
        <v>18</v>
      </c>
      <c r="C6962">
        <v>51049</v>
      </c>
      <c r="D6962" t="str">
        <f>"51049"</f>
        <v>51049</v>
      </c>
      <c r="E6962">
        <v>72.73</v>
      </c>
    </row>
    <row r="6963" spans="1:5" x14ac:dyDescent="0.2">
      <c r="A6963">
        <v>51050</v>
      </c>
      <c r="B6963" t="s">
        <v>18</v>
      </c>
      <c r="C6963">
        <v>51050</v>
      </c>
      <c r="D6963" t="str">
        <f>"51050"</f>
        <v>51050</v>
      </c>
      <c r="E6963">
        <v>77.69</v>
      </c>
    </row>
    <row r="6964" spans="1:5" x14ac:dyDescent="0.2">
      <c r="A6964">
        <v>51051</v>
      </c>
      <c r="B6964" t="s">
        <v>18</v>
      </c>
      <c r="C6964">
        <v>51051</v>
      </c>
      <c r="D6964" t="str">
        <f>"51051"</f>
        <v>51051</v>
      </c>
      <c r="E6964" t="s">
        <v>6</v>
      </c>
    </row>
    <row r="6965" spans="1:5" x14ac:dyDescent="0.2">
      <c r="A6965">
        <v>51052</v>
      </c>
      <c r="B6965" t="s">
        <v>18</v>
      </c>
      <c r="C6965">
        <v>51052</v>
      </c>
      <c r="D6965" t="str">
        <f>"51052"</f>
        <v>51052</v>
      </c>
      <c r="E6965">
        <v>77.08</v>
      </c>
    </row>
    <row r="6966" spans="1:5" x14ac:dyDescent="0.2">
      <c r="A6966">
        <v>51053</v>
      </c>
      <c r="B6966" t="s">
        <v>18</v>
      </c>
      <c r="C6966">
        <v>51053</v>
      </c>
      <c r="D6966" t="str">
        <f>"51053"</f>
        <v>51053</v>
      </c>
      <c r="E6966">
        <v>72.22</v>
      </c>
    </row>
    <row r="6967" spans="1:5" x14ac:dyDescent="0.2">
      <c r="A6967">
        <v>51054</v>
      </c>
      <c r="B6967" t="s">
        <v>18</v>
      </c>
      <c r="C6967">
        <v>51054</v>
      </c>
      <c r="D6967" t="str">
        <f>"51054"</f>
        <v>51054</v>
      </c>
      <c r="E6967">
        <v>76.17</v>
      </c>
    </row>
    <row r="6968" spans="1:5" x14ac:dyDescent="0.2">
      <c r="A6968">
        <v>51055</v>
      </c>
      <c r="B6968" t="s">
        <v>18</v>
      </c>
      <c r="C6968">
        <v>51055</v>
      </c>
      <c r="D6968" t="str">
        <f>"51055"</f>
        <v>51055</v>
      </c>
      <c r="E6968">
        <v>79.37</v>
      </c>
    </row>
    <row r="6969" spans="1:5" x14ac:dyDescent="0.2">
      <c r="A6969">
        <v>51056</v>
      </c>
      <c r="B6969" t="s">
        <v>18</v>
      </c>
      <c r="C6969">
        <v>51056</v>
      </c>
      <c r="D6969" t="str">
        <f>"51056"</f>
        <v>51056</v>
      </c>
      <c r="E6969">
        <v>71.430000000000007</v>
      </c>
    </row>
    <row r="6970" spans="1:5" x14ac:dyDescent="0.2">
      <c r="A6970">
        <v>51058</v>
      </c>
      <c r="B6970" t="s">
        <v>18</v>
      </c>
      <c r="C6970">
        <v>51058</v>
      </c>
      <c r="D6970" t="str">
        <f>"51058"</f>
        <v>51058</v>
      </c>
      <c r="E6970">
        <v>78.260000000000005</v>
      </c>
    </row>
    <row r="6971" spans="1:5" x14ac:dyDescent="0.2">
      <c r="A6971">
        <v>51060</v>
      </c>
      <c r="B6971" t="s">
        <v>18</v>
      </c>
      <c r="C6971">
        <v>51060</v>
      </c>
      <c r="D6971" t="str">
        <f>"51060"</f>
        <v>51060</v>
      </c>
      <c r="E6971">
        <v>74.069999999999993</v>
      </c>
    </row>
    <row r="6972" spans="1:5" x14ac:dyDescent="0.2">
      <c r="A6972">
        <v>51061</v>
      </c>
      <c r="B6972" t="s">
        <v>18</v>
      </c>
      <c r="C6972">
        <v>51061</v>
      </c>
      <c r="D6972" t="str">
        <f>"51061"</f>
        <v>51061</v>
      </c>
      <c r="E6972">
        <v>66.67</v>
      </c>
    </row>
    <row r="6973" spans="1:5" x14ac:dyDescent="0.2">
      <c r="A6973">
        <v>51062</v>
      </c>
      <c r="B6973" t="s">
        <v>18</v>
      </c>
      <c r="C6973">
        <v>51062</v>
      </c>
      <c r="D6973" t="str">
        <f>"51062"</f>
        <v>51062</v>
      </c>
      <c r="E6973">
        <v>76.92</v>
      </c>
    </row>
    <row r="6974" spans="1:5" x14ac:dyDescent="0.2">
      <c r="A6974">
        <v>51063</v>
      </c>
      <c r="B6974" t="s">
        <v>18</v>
      </c>
      <c r="C6974">
        <v>51063</v>
      </c>
      <c r="D6974" t="str">
        <f>"51063"</f>
        <v>51063</v>
      </c>
      <c r="E6974">
        <v>75.510000000000005</v>
      </c>
    </row>
    <row r="6975" spans="1:5" x14ac:dyDescent="0.2">
      <c r="A6975">
        <v>51101</v>
      </c>
      <c r="B6975" t="s">
        <v>18</v>
      </c>
      <c r="C6975">
        <v>51101</v>
      </c>
      <c r="D6975" t="str">
        <f>"51101"</f>
        <v>51101</v>
      </c>
      <c r="E6975">
        <v>55.56</v>
      </c>
    </row>
    <row r="6976" spans="1:5" x14ac:dyDescent="0.2">
      <c r="A6976">
        <v>51103</v>
      </c>
      <c r="B6976" t="s">
        <v>18</v>
      </c>
      <c r="C6976">
        <v>51103</v>
      </c>
      <c r="D6976" t="str">
        <f>"51103"</f>
        <v>51103</v>
      </c>
      <c r="E6976">
        <v>64.56</v>
      </c>
    </row>
    <row r="6977" spans="1:5" x14ac:dyDescent="0.2">
      <c r="A6977">
        <v>51104</v>
      </c>
      <c r="B6977" t="s">
        <v>18</v>
      </c>
      <c r="C6977">
        <v>51104</v>
      </c>
      <c r="D6977" t="str">
        <f>"51104"</f>
        <v>51104</v>
      </c>
      <c r="E6977">
        <v>72.59</v>
      </c>
    </row>
    <row r="6978" spans="1:5" x14ac:dyDescent="0.2">
      <c r="A6978">
        <v>51105</v>
      </c>
      <c r="B6978" t="s">
        <v>18</v>
      </c>
      <c r="C6978">
        <v>51105</v>
      </c>
      <c r="D6978" t="str">
        <f>"51105"</f>
        <v>51105</v>
      </c>
      <c r="E6978">
        <v>62.25</v>
      </c>
    </row>
    <row r="6979" spans="1:5" x14ac:dyDescent="0.2">
      <c r="A6979">
        <v>51106</v>
      </c>
      <c r="B6979" t="s">
        <v>18</v>
      </c>
      <c r="C6979">
        <v>51106</v>
      </c>
      <c r="D6979" t="str">
        <f>"51106"</f>
        <v>51106</v>
      </c>
      <c r="E6979">
        <v>75.08</v>
      </c>
    </row>
    <row r="6980" spans="1:5" x14ac:dyDescent="0.2">
      <c r="A6980">
        <v>51108</v>
      </c>
      <c r="B6980" t="s">
        <v>18</v>
      </c>
      <c r="C6980">
        <v>51108</v>
      </c>
      <c r="D6980" t="str">
        <f>"51108"</f>
        <v>51108</v>
      </c>
      <c r="E6980">
        <v>73.61</v>
      </c>
    </row>
    <row r="6981" spans="1:5" x14ac:dyDescent="0.2">
      <c r="A6981">
        <v>51109</v>
      </c>
      <c r="B6981" t="s">
        <v>18</v>
      </c>
      <c r="C6981">
        <v>51109</v>
      </c>
      <c r="D6981" t="str">
        <f>"51109"</f>
        <v>51109</v>
      </c>
      <c r="E6981">
        <v>72.22</v>
      </c>
    </row>
    <row r="6982" spans="1:5" x14ac:dyDescent="0.2">
      <c r="A6982">
        <v>51111</v>
      </c>
      <c r="B6982" t="s">
        <v>18</v>
      </c>
      <c r="C6982">
        <v>51111</v>
      </c>
      <c r="D6982" t="str">
        <f>"51111"</f>
        <v>51111</v>
      </c>
      <c r="E6982" t="s">
        <v>6</v>
      </c>
    </row>
    <row r="6983" spans="1:5" x14ac:dyDescent="0.2">
      <c r="A6983">
        <v>51201</v>
      </c>
      <c r="B6983" t="s">
        <v>18</v>
      </c>
      <c r="C6983">
        <v>51201</v>
      </c>
      <c r="D6983" t="str">
        <f>"51201"</f>
        <v>51201</v>
      </c>
      <c r="E6983">
        <v>73.400000000000006</v>
      </c>
    </row>
    <row r="6984" spans="1:5" x14ac:dyDescent="0.2">
      <c r="A6984">
        <v>51230</v>
      </c>
      <c r="B6984" t="s">
        <v>18</v>
      </c>
      <c r="C6984">
        <v>51230</v>
      </c>
      <c r="D6984" t="str">
        <f>"51230"</f>
        <v>51230</v>
      </c>
      <c r="E6984">
        <v>66.67</v>
      </c>
    </row>
    <row r="6985" spans="1:5" x14ac:dyDescent="0.2">
      <c r="A6985">
        <v>51231</v>
      </c>
      <c r="B6985" t="s">
        <v>18</v>
      </c>
      <c r="C6985">
        <v>51231</v>
      </c>
      <c r="D6985" t="str">
        <f>"51231"</f>
        <v>51231</v>
      </c>
      <c r="E6985">
        <v>61.54</v>
      </c>
    </row>
    <row r="6986" spans="1:5" x14ac:dyDescent="0.2">
      <c r="A6986">
        <v>51232</v>
      </c>
      <c r="B6986" t="s">
        <v>18</v>
      </c>
      <c r="C6986">
        <v>51232</v>
      </c>
      <c r="D6986" t="str">
        <f>"51232"</f>
        <v>51232</v>
      </c>
      <c r="E6986">
        <v>70.27</v>
      </c>
    </row>
    <row r="6987" spans="1:5" x14ac:dyDescent="0.2">
      <c r="A6987">
        <v>51234</v>
      </c>
      <c r="B6987" t="s">
        <v>18</v>
      </c>
      <c r="C6987">
        <v>51234</v>
      </c>
      <c r="D6987" t="str">
        <f>"51234"</f>
        <v>51234</v>
      </c>
      <c r="E6987">
        <v>78.569999999999993</v>
      </c>
    </row>
    <row r="6988" spans="1:5" x14ac:dyDescent="0.2">
      <c r="A6988">
        <v>51235</v>
      </c>
      <c r="B6988" t="s">
        <v>18</v>
      </c>
      <c r="C6988">
        <v>51235</v>
      </c>
      <c r="D6988" t="str">
        <f>"51235"</f>
        <v>51235</v>
      </c>
      <c r="E6988">
        <v>75</v>
      </c>
    </row>
    <row r="6989" spans="1:5" x14ac:dyDescent="0.2">
      <c r="A6989">
        <v>51237</v>
      </c>
      <c r="B6989" t="s">
        <v>18</v>
      </c>
      <c r="C6989">
        <v>51237</v>
      </c>
      <c r="D6989" t="str">
        <f>"51237"</f>
        <v>51237</v>
      </c>
      <c r="E6989">
        <v>72.97</v>
      </c>
    </row>
    <row r="6990" spans="1:5" x14ac:dyDescent="0.2">
      <c r="A6990">
        <v>51238</v>
      </c>
      <c r="B6990" t="s">
        <v>18</v>
      </c>
      <c r="C6990">
        <v>51238</v>
      </c>
      <c r="D6990" t="str">
        <f>"51238"</f>
        <v>51238</v>
      </c>
      <c r="E6990">
        <v>80.36</v>
      </c>
    </row>
    <row r="6991" spans="1:5" x14ac:dyDescent="0.2">
      <c r="A6991">
        <v>51239</v>
      </c>
      <c r="B6991" t="s">
        <v>18</v>
      </c>
      <c r="C6991">
        <v>51239</v>
      </c>
      <c r="D6991" t="str">
        <f>"51239"</f>
        <v>51239</v>
      </c>
      <c r="E6991">
        <v>74.650000000000006</v>
      </c>
    </row>
    <row r="6992" spans="1:5" x14ac:dyDescent="0.2">
      <c r="A6992">
        <v>51240</v>
      </c>
      <c r="B6992" t="s">
        <v>18</v>
      </c>
      <c r="C6992">
        <v>51240</v>
      </c>
      <c r="D6992" t="str">
        <f>"51240"</f>
        <v>51240</v>
      </c>
      <c r="E6992">
        <v>71.430000000000007</v>
      </c>
    </row>
    <row r="6993" spans="1:5" x14ac:dyDescent="0.2">
      <c r="A6993">
        <v>51241</v>
      </c>
      <c r="B6993" t="s">
        <v>18</v>
      </c>
      <c r="C6993">
        <v>51241</v>
      </c>
      <c r="D6993" t="str">
        <f>"51241"</f>
        <v>51241</v>
      </c>
      <c r="E6993">
        <v>76.83</v>
      </c>
    </row>
    <row r="6994" spans="1:5" x14ac:dyDescent="0.2">
      <c r="A6994">
        <v>51242</v>
      </c>
      <c r="B6994" t="s">
        <v>18</v>
      </c>
      <c r="C6994">
        <v>51242</v>
      </c>
      <c r="D6994" t="str">
        <f>"51242"</f>
        <v>51242</v>
      </c>
      <c r="E6994" t="s">
        <v>6</v>
      </c>
    </row>
    <row r="6995" spans="1:5" x14ac:dyDescent="0.2">
      <c r="A6995">
        <v>51243</v>
      </c>
      <c r="B6995" t="s">
        <v>18</v>
      </c>
      <c r="C6995">
        <v>51243</v>
      </c>
      <c r="D6995" t="str">
        <f>"51243"</f>
        <v>51243</v>
      </c>
      <c r="E6995">
        <v>72.97</v>
      </c>
    </row>
    <row r="6996" spans="1:5" x14ac:dyDescent="0.2">
      <c r="A6996">
        <v>51244</v>
      </c>
      <c r="B6996" t="s">
        <v>18</v>
      </c>
      <c r="C6996">
        <v>51244</v>
      </c>
      <c r="D6996" t="str">
        <f>"51244"</f>
        <v>51244</v>
      </c>
      <c r="E6996" t="s">
        <v>6</v>
      </c>
    </row>
    <row r="6997" spans="1:5" x14ac:dyDescent="0.2">
      <c r="A6997">
        <v>51245</v>
      </c>
      <c r="B6997" t="s">
        <v>18</v>
      </c>
      <c r="C6997">
        <v>51245</v>
      </c>
      <c r="D6997" t="str">
        <f>"51245"</f>
        <v>51245</v>
      </c>
      <c r="E6997">
        <v>77.59</v>
      </c>
    </row>
    <row r="6998" spans="1:5" x14ac:dyDescent="0.2">
      <c r="A6998">
        <v>51246</v>
      </c>
      <c r="B6998" t="s">
        <v>18</v>
      </c>
      <c r="C6998">
        <v>51246</v>
      </c>
      <c r="D6998" t="str">
        <f>"51246"</f>
        <v>51246</v>
      </c>
      <c r="E6998">
        <v>77.849999999999994</v>
      </c>
    </row>
    <row r="6999" spans="1:5" x14ac:dyDescent="0.2">
      <c r="A6999">
        <v>51247</v>
      </c>
      <c r="B6999" t="s">
        <v>18</v>
      </c>
      <c r="C6999">
        <v>51247</v>
      </c>
      <c r="D6999" t="str">
        <f>"51247"</f>
        <v>51247</v>
      </c>
      <c r="E6999">
        <v>76.36</v>
      </c>
    </row>
    <row r="7000" spans="1:5" x14ac:dyDescent="0.2">
      <c r="A7000">
        <v>51248</v>
      </c>
      <c r="B7000" t="s">
        <v>18</v>
      </c>
      <c r="C7000">
        <v>51248</v>
      </c>
      <c r="D7000" t="str">
        <f>"51248"</f>
        <v>51248</v>
      </c>
      <c r="E7000">
        <v>75.31</v>
      </c>
    </row>
    <row r="7001" spans="1:5" x14ac:dyDescent="0.2">
      <c r="A7001">
        <v>51249</v>
      </c>
      <c r="B7001" t="s">
        <v>18</v>
      </c>
      <c r="C7001">
        <v>51249</v>
      </c>
      <c r="D7001" t="str">
        <f>"51249"</f>
        <v>51249</v>
      </c>
      <c r="E7001">
        <v>71.88</v>
      </c>
    </row>
    <row r="7002" spans="1:5" x14ac:dyDescent="0.2">
      <c r="A7002">
        <v>51250</v>
      </c>
      <c r="B7002" t="s">
        <v>18</v>
      </c>
      <c r="C7002">
        <v>51250</v>
      </c>
      <c r="D7002" t="str">
        <f>"51250"</f>
        <v>51250</v>
      </c>
      <c r="E7002">
        <v>74.64</v>
      </c>
    </row>
    <row r="7003" spans="1:5" x14ac:dyDescent="0.2">
      <c r="A7003">
        <v>51301</v>
      </c>
      <c r="B7003" t="s">
        <v>18</v>
      </c>
      <c r="C7003">
        <v>51301</v>
      </c>
      <c r="D7003" t="str">
        <f>"51301"</f>
        <v>51301</v>
      </c>
      <c r="E7003">
        <v>75.930000000000007</v>
      </c>
    </row>
    <row r="7004" spans="1:5" x14ac:dyDescent="0.2">
      <c r="A7004">
        <v>51331</v>
      </c>
      <c r="B7004" t="s">
        <v>18</v>
      </c>
      <c r="C7004">
        <v>51331</v>
      </c>
      <c r="D7004" t="str">
        <f>"51331"</f>
        <v>51331</v>
      </c>
      <c r="E7004">
        <v>80</v>
      </c>
    </row>
    <row r="7005" spans="1:5" x14ac:dyDescent="0.2">
      <c r="A7005">
        <v>51333</v>
      </c>
      <c r="B7005" t="s">
        <v>18</v>
      </c>
      <c r="C7005">
        <v>51333</v>
      </c>
      <c r="D7005" t="str">
        <f>"51333"</f>
        <v>51333</v>
      </c>
      <c r="E7005">
        <v>72</v>
      </c>
    </row>
    <row r="7006" spans="1:5" x14ac:dyDescent="0.2">
      <c r="A7006">
        <v>51334</v>
      </c>
      <c r="B7006" t="s">
        <v>18</v>
      </c>
      <c r="C7006">
        <v>51334</v>
      </c>
      <c r="D7006" t="str">
        <f>"51334"</f>
        <v>51334</v>
      </c>
      <c r="E7006">
        <v>73.010000000000005</v>
      </c>
    </row>
    <row r="7007" spans="1:5" x14ac:dyDescent="0.2">
      <c r="A7007">
        <v>51338</v>
      </c>
      <c r="B7007" t="s">
        <v>18</v>
      </c>
      <c r="C7007">
        <v>51338</v>
      </c>
      <c r="D7007" t="str">
        <f>"51338"</f>
        <v>51338</v>
      </c>
      <c r="E7007">
        <v>77.78</v>
      </c>
    </row>
    <row r="7008" spans="1:5" x14ac:dyDescent="0.2">
      <c r="A7008">
        <v>51340</v>
      </c>
      <c r="B7008" t="s">
        <v>18</v>
      </c>
      <c r="C7008">
        <v>51340</v>
      </c>
      <c r="D7008" t="str">
        <f>"51340"</f>
        <v>51340</v>
      </c>
      <c r="E7008" t="s">
        <v>6</v>
      </c>
    </row>
    <row r="7009" spans="1:5" x14ac:dyDescent="0.2">
      <c r="A7009">
        <v>51341</v>
      </c>
      <c r="B7009" t="s">
        <v>18</v>
      </c>
      <c r="C7009">
        <v>51341</v>
      </c>
      <c r="D7009" t="str">
        <f>"51341"</f>
        <v>51341</v>
      </c>
      <c r="E7009" t="s">
        <v>6</v>
      </c>
    </row>
    <row r="7010" spans="1:5" x14ac:dyDescent="0.2">
      <c r="A7010">
        <v>51342</v>
      </c>
      <c r="B7010" t="s">
        <v>18</v>
      </c>
      <c r="C7010">
        <v>51342</v>
      </c>
      <c r="D7010" t="str">
        <f>"51342"</f>
        <v>51342</v>
      </c>
      <c r="E7010">
        <v>74.55</v>
      </c>
    </row>
    <row r="7011" spans="1:5" x14ac:dyDescent="0.2">
      <c r="A7011">
        <v>51343</v>
      </c>
      <c r="B7011" t="s">
        <v>18</v>
      </c>
      <c r="C7011">
        <v>51343</v>
      </c>
      <c r="D7011" t="str">
        <f>"51343"</f>
        <v>51343</v>
      </c>
      <c r="E7011">
        <v>69.23</v>
      </c>
    </row>
    <row r="7012" spans="1:5" x14ac:dyDescent="0.2">
      <c r="A7012">
        <v>51345</v>
      </c>
      <c r="B7012" t="s">
        <v>18</v>
      </c>
      <c r="C7012">
        <v>51345</v>
      </c>
      <c r="D7012" t="str">
        <f>"51345"</f>
        <v>51345</v>
      </c>
      <c r="E7012">
        <v>68.75</v>
      </c>
    </row>
    <row r="7013" spans="1:5" x14ac:dyDescent="0.2">
      <c r="A7013">
        <v>51346</v>
      </c>
      <c r="B7013" t="s">
        <v>18</v>
      </c>
      <c r="C7013">
        <v>51346</v>
      </c>
      <c r="D7013" t="str">
        <f>"51346"</f>
        <v>51346</v>
      </c>
      <c r="E7013">
        <v>76.849999999999994</v>
      </c>
    </row>
    <row r="7014" spans="1:5" x14ac:dyDescent="0.2">
      <c r="A7014">
        <v>51347</v>
      </c>
      <c r="B7014" t="s">
        <v>18</v>
      </c>
      <c r="C7014">
        <v>51347</v>
      </c>
      <c r="D7014" t="str">
        <f>"51347"</f>
        <v>51347</v>
      </c>
      <c r="E7014">
        <v>80.819999999999993</v>
      </c>
    </row>
    <row r="7015" spans="1:5" x14ac:dyDescent="0.2">
      <c r="A7015">
        <v>51350</v>
      </c>
      <c r="B7015" t="s">
        <v>18</v>
      </c>
      <c r="C7015">
        <v>51350</v>
      </c>
      <c r="D7015" t="str">
        <f>"51350"</f>
        <v>51350</v>
      </c>
      <c r="E7015">
        <v>73.680000000000007</v>
      </c>
    </row>
    <row r="7016" spans="1:5" x14ac:dyDescent="0.2">
      <c r="A7016">
        <v>51351</v>
      </c>
      <c r="B7016" t="s">
        <v>18</v>
      </c>
      <c r="C7016">
        <v>51351</v>
      </c>
      <c r="D7016" t="str">
        <f>"51351"</f>
        <v>51351</v>
      </c>
      <c r="E7016">
        <v>76.42</v>
      </c>
    </row>
    <row r="7017" spans="1:5" x14ac:dyDescent="0.2">
      <c r="A7017">
        <v>51354</v>
      </c>
      <c r="B7017" t="s">
        <v>18</v>
      </c>
      <c r="C7017">
        <v>51354</v>
      </c>
      <c r="D7017" t="str">
        <f>"51354"</f>
        <v>51354</v>
      </c>
      <c r="E7017">
        <v>78.260000000000005</v>
      </c>
    </row>
    <row r="7018" spans="1:5" x14ac:dyDescent="0.2">
      <c r="A7018">
        <v>51355</v>
      </c>
      <c r="B7018" t="s">
        <v>18</v>
      </c>
      <c r="C7018">
        <v>51355</v>
      </c>
      <c r="D7018" t="str">
        <f>"51355"</f>
        <v>51355</v>
      </c>
      <c r="E7018">
        <v>78.180000000000007</v>
      </c>
    </row>
    <row r="7019" spans="1:5" x14ac:dyDescent="0.2">
      <c r="A7019">
        <v>51357</v>
      </c>
      <c r="B7019" t="s">
        <v>18</v>
      </c>
      <c r="C7019">
        <v>51357</v>
      </c>
      <c r="D7019" t="str">
        <f>"51357"</f>
        <v>51357</v>
      </c>
      <c r="E7019">
        <v>75.86</v>
      </c>
    </row>
    <row r="7020" spans="1:5" x14ac:dyDescent="0.2">
      <c r="A7020">
        <v>51358</v>
      </c>
      <c r="B7020" t="s">
        <v>18</v>
      </c>
      <c r="C7020">
        <v>51358</v>
      </c>
      <c r="D7020" t="str">
        <f>"51358"</f>
        <v>51358</v>
      </c>
      <c r="E7020">
        <v>74.14</v>
      </c>
    </row>
    <row r="7021" spans="1:5" x14ac:dyDescent="0.2">
      <c r="A7021">
        <v>51360</v>
      </c>
      <c r="B7021" t="s">
        <v>18</v>
      </c>
      <c r="C7021">
        <v>51360</v>
      </c>
      <c r="D7021" t="str">
        <f>"51360"</f>
        <v>51360</v>
      </c>
      <c r="E7021">
        <v>78.45</v>
      </c>
    </row>
    <row r="7022" spans="1:5" x14ac:dyDescent="0.2">
      <c r="A7022">
        <v>51363</v>
      </c>
      <c r="B7022" t="s">
        <v>18</v>
      </c>
      <c r="C7022">
        <v>51363</v>
      </c>
      <c r="D7022" t="str">
        <f>"51363"</f>
        <v>51363</v>
      </c>
      <c r="E7022" t="s">
        <v>6</v>
      </c>
    </row>
    <row r="7023" spans="1:5" x14ac:dyDescent="0.2">
      <c r="A7023">
        <v>51364</v>
      </c>
      <c r="B7023" t="s">
        <v>18</v>
      </c>
      <c r="C7023">
        <v>51364</v>
      </c>
      <c r="D7023" t="str">
        <f>"51364"</f>
        <v>51364</v>
      </c>
      <c r="E7023">
        <v>73.33</v>
      </c>
    </row>
    <row r="7024" spans="1:5" x14ac:dyDescent="0.2">
      <c r="A7024">
        <v>51365</v>
      </c>
      <c r="B7024" t="s">
        <v>18</v>
      </c>
      <c r="C7024">
        <v>51365</v>
      </c>
      <c r="D7024" t="str">
        <f>"51365"</f>
        <v>51365</v>
      </c>
      <c r="E7024">
        <v>68.75</v>
      </c>
    </row>
    <row r="7025" spans="1:5" x14ac:dyDescent="0.2">
      <c r="A7025">
        <v>51366</v>
      </c>
      <c r="B7025" t="s">
        <v>18</v>
      </c>
      <c r="C7025">
        <v>51366</v>
      </c>
      <c r="D7025" t="str">
        <f>"51366"</f>
        <v>51366</v>
      </c>
      <c r="E7025">
        <v>76.47</v>
      </c>
    </row>
    <row r="7026" spans="1:5" x14ac:dyDescent="0.2">
      <c r="A7026">
        <v>51401</v>
      </c>
      <c r="B7026" t="s">
        <v>18</v>
      </c>
      <c r="C7026">
        <v>51401</v>
      </c>
      <c r="D7026" t="str">
        <f>"51401"</f>
        <v>51401</v>
      </c>
      <c r="E7026">
        <v>76.28</v>
      </c>
    </row>
    <row r="7027" spans="1:5" x14ac:dyDescent="0.2">
      <c r="A7027">
        <v>51430</v>
      </c>
      <c r="B7027" t="s">
        <v>18</v>
      </c>
      <c r="C7027">
        <v>51430</v>
      </c>
      <c r="D7027" t="str">
        <f>"51430"</f>
        <v>51430</v>
      </c>
      <c r="E7027">
        <v>82.86</v>
      </c>
    </row>
    <row r="7028" spans="1:5" x14ac:dyDescent="0.2">
      <c r="A7028">
        <v>51431</v>
      </c>
      <c r="B7028" t="s">
        <v>18</v>
      </c>
      <c r="C7028">
        <v>51431</v>
      </c>
      <c r="D7028" t="str">
        <f>"51431"</f>
        <v>51431</v>
      </c>
      <c r="E7028">
        <v>77.78</v>
      </c>
    </row>
    <row r="7029" spans="1:5" x14ac:dyDescent="0.2">
      <c r="A7029">
        <v>51432</v>
      </c>
      <c r="B7029" t="s">
        <v>18</v>
      </c>
      <c r="C7029">
        <v>51432</v>
      </c>
      <c r="D7029" t="str">
        <f>"51432"</f>
        <v>51432</v>
      </c>
      <c r="E7029" t="s">
        <v>6</v>
      </c>
    </row>
    <row r="7030" spans="1:5" x14ac:dyDescent="0.2">
      <c r="A7030">
        <v>51433</v>
      </c>
      <c r="B7030" t="s">
        <v>18</v>
      </c>
      <c r="C7030">
        <v>51433</v>
      </c>
      <c r="D7030" t="str">
        <f>"51433"</f>
        <v>51433</v>
      </c>
      <c r="E7030">
        <v>75</v>
      </c>
    </row>
    <row r="7031" spans="1:5" x14ac:dyDescent="0.2">
      <c r="A7031">
        <v>51436</v>
      </c>
      <c r="B7031" t="s">
        <v>18</v>
      </c>
      <c r="C7031">
        <v>51436</v>
      </c>
      <c r="D7031" t="str">
        <f>"51436"</f>
        <v>51436</v>
      </c>
      <c r="E7031">
        <v>74.42</v>
      </c>
    </row>
    <row r="7032" spans="1:5" x14ac:dyDescent="0.2">
      <c r="A7032">
        <v>51439</v>
      </c>
      <c r="B7032" t="s">
        <v>18</v>
      </c>
      <c r="C7032">
        <v>51439</v>
      </c>
      <c r="D7032" t="str">
        <f>"51439"</f>
        <v>51439</v>
      </c>
      <c r="E7032">
        <v>71.790000000000006</v>
      </c>
    </row>
    <row r="7033" spans="1:5" x14ac:dyDescent="0.2">
      <c r="A7033">
        <v>51440</v>
      </c>
      <c r="B7033" t="s">
        <v>18</v>
      </c>
      <c r="C7033">
        <v>51440</v>
      </c>
      <c r="D7033" t="str">
        <f>"51440"</f>
        <v>51440</v>
      </c>
      <c r="E7033">
        <v>68.75</v>
      </c>
    </row>
    <row r="7034" spans="1:5" x14ac:dyDescent="0.2">
      <c r="A7034">
        <v>51441</v>
      </c>
      <c r="B7034" t="s">
        <v>18</v>
      </c>
      <c r="C7034">
        <v>51441</v>
      </c>
      <c r="D7034" t="str">
        <f>"51441"</f>
        <v>51441</v>
      </c>
      <c r="E7034">
        <v>73.33</v>
      </c>
    </row>
    <row r="7035" spans="1:5" x14ac:dyDescent="0.2">
      <c r="A7035">
        <v>51442</v>
      </c>
      <c r="B7035" t="s">
        <v>18</v>
      </c>
      <c r="C7035">
        <v>51442</v>
      </c>
      <c r="D7035" t="str">
        <f>"51442"</f>
        <v>51442</v>
      </c>
      <c r="E7035">
        <v>69.319999999999993</v>
      </c>
    </row>
    <row r="7036" spans="1:5" x14ac:dyDescent="0.2">
      <c r="A7036">
        <v>51443</v>
      </c>
      <c r="B7036" t="s">
        <v>18</v>
      </c>
      <c r="C7036">
        <v>51443</v>
      </c>
      <c r="D7036" t="str">
        <f>"51443"</f>
        <v>51443</v>
      </c>
      <c r="E7036">
        <v>76.83</v>
      </c>
    </row>
    <row r="7037" spans="1:5" x14ac:dyDescent="0.2">
      <c r="A7037">
        <v>51444</v>
      </c>
      <c r="B7037" t="s">
        <v>18</v>
      </c>
      <c r="C7037">
        <v>51444</v>
      </c>
      <c r="D7037" t="str">
        <f>"51444"</f>
        <v>51444</v>
      </c>
      <c r="E7037" t="s">
        <v>6</v>
      </c>
    </row>
    <row r="7038" spans="1:5" x14ac:dyDescent="0.2">
      <c r="A7038">
        <v>51445</v>
      </c>
      <c r="B7038" t="s">
        <v>18</v>
      </c>
      <c r="C7038">
        <v>51445</v>
      </c>
      <c r="D7038" t="str">
        <f>"51445"</f>
        <v>51445</v>
      </c>
      <c r="E7038">
        <v>75.760000000000005</v>
      </c>
    </row>
    <row r="7039" spans="1:5" x14ac:dyDescent="0.2">
      <c r="A7039">
        <v>51446</v>
      </c>
      <c r="B7039" t="s">
        <v>18</v>
      </c>
      <c r="C7039">
        <v>51446</v>
      </c>
      <c r="D7039" t="str">
        <f>"51446"</f>
        <v>51446</v>
      </c>
      <c r="E7039">
        <v>80</v>
      </c>
    </row>
    <row r="7040" spans="1:5" x14ac:dyDescent="0.2">
      <c r="A7040">
        <v>51447</v>
      </c>
      <c r="B7040" t="s">
        <v>18</v>
      </c>
      <c r="C7040">
        <v>51447</v>
      </c>
      <c r="D7040" t="str">
        <f>"51447"</f>
        <v>51447</v>
      </c>
      <c r="E7040" t="s">
        <v>6</v>
      </c>
    </row>
    <row r="7041" spans="1:5" x14ac:dyDescent="0.2">
      <c r="A7041">
        <v>51448</v>
      </c>
      <c r="B7041" t="s">
        <v>18</v>
      </c>
      <c r="C7041">
        <v>51448</v>
      </c>
      <c r="D7041" t="str">
        <f>"51448"</f>
        <v>51448</v>
      </c>
      <c r="E7041">
        <v>68</v>
      </c>
    </row>
    <row r="7042" spans="1:5" x14ac:dyDescent="0.2">
      <c r="A7042">
        <v>51449</v>
      </c>
      <c r="B7042" t="s">
        <v>18</v>
      </c>
      <c r="C7042">
        <v>51449</v>
      </c>
      <c r="D7042" t="str">
        <f>"51449"</f>
        <v>51449</v>
      </c>
      <c r="E7042">
        <v>73.03</v>
      </c>
    </row>
    <row r="7043" spans="1:5" x14ac:dyDescent="0.2">
      <c r="A7043">
        <v>51450</v>
      </c>
      <c r="B7043" t="s">
        <v>18</v>
      </c>
      <c r="C7043">
        <v>51450</v>
      </c>
      <c r="D7043" t="str">
        <f>"51450"</f>
        <v>51450</v>
      </c>
      <c r="E7043">
        <v>73.17</v>
      </c>
    </row>
    <row r="7044" spans="1:5" x14ac:dyDescent="0.2">
      <c r="A7044">
        <v>51451</v>
      </c>
      <c r="B7044" t="s">
        <v>18</v>
      </c>
      <c r="C7044">
        <v>51451</v>
      </c>
      <c r="D7044" t="str">
        <f>"51451"</f>
        <v>51451</v>
      </c>
      <c r="E7044" t="s">
        <v>6</v>
      </c>
    </row>
    <row r="7045" spans="1:5" x14ac:dyDescent="0.2">
      <c r="A7045">
        <v>51452</v>
      </c>
      <c r="B7045" t="s">
        <v>18</v>
      </c>
      <c r="C7045">
        <v>51452</v>
      </c>
      <c r="D7045" t="str">
        <f>"51452"</f>
        <v>51452</v>
      </c>
      <c r="E7045" t="s">
        <v>6</v>
      </c>
    </row>
    <row r="7046" spans="1:5" x14ac:dyDescent="0.2">
      <c r="A7046">
        <v>51453</v>
      </c>
      <c r="B7046" t="s">
        <v>18</v>
      </c>
      <c r="C7046">
        <v>51453</v>
      </c>
      <c r="D7046" t="str">
        <f>"51453"</f>
        <v>51453</v>
      </c>
      <c r="E7046">
        <v>73.33</v>
      </c>
    </row>
    <row r="7047" spans="1:5" x14ac:dyDescent="0.2">
      <c r="A7047">
        <v>51454</v>
      </c>
      <c r="B7047" t="s">
        <v>18</v>
      </c>
      <c r="C7047">
        <v>51454</v>
      </c>
      <c r="D7047" t="str">
        <f>"51454"</f>
        <v>51454</v>
      </c>
      <c r="E7047">
        <v>73.77</v>
      </c>
    </row>
    <row r="7048" spans="1:5" x14ac:dyDescent="0.2">
      <c r="A7048">
        <v>51455</v>
      </c>
      <c r="B7048" t="s">
        <v>18</v>
      </c>
      <c r="C7048">
        <v>51455</v>
      </c>
      <c r="D7048" t="str">
        <f>"51455"</f>
        <v>51455</v>
      </c>
      <c r="E7048">
        <v>73.33</v>
      </c>
    </row>
    <row r="7049" spans="1:5" x14ac:dyDescent="0.2">
      <c r="A7049">
        <v>51458</v>
      </c>
      <c r="B7049" t="s">
        <v>18</v>
      </c>
      <c r="C7049">
        <v>51458</v>
      </c>
      <c r="D7049" t="str">
        <f>"51458"</f>
        <v>51458</v>
      </c>
      <c r="E7049">
        <v>74.19</v>
      </c>
    </row>
    <row r="7050" spans="1:5" x14ac:dyDescent="0.2">
      <c r="A7050">
        <v>51459</v>
      </c>
      <c r="B7050" t="s">
        <v>18</v>
      </c>
      <c r="C7050">
        <v>51459</v>
      </c>
      <c r="D7050" t="str">
        <f>"51459"</f>
        <v>51459</v>
      </c>
      <c r="E7050" t="s">
        <v>6</v>
      </c>
    </row>
    <row r="7051" spans="1:5" x14ac:dyDescent="0.2">
      <c r="A7051">
        <v>51460</v>
      </c>
      <c r="B7051" t="s">
        <v>18</v>
      </c>
      <c r="C7051">
        <v>51460</v>
      </c>
      <c r="D7051" t="str">
        <f>"51460"</f>
        <v>51460</v>
      </c>
      <c r="E7051" t="s">
        <v>6</v>
      </c>
    </row>
    <row r="7052" spans="1:5" x14ac:dyDescent="0.2">
      <c r="A7052">
        <v>51461</v>
      </c>
      <c r="B7052" t="s">
        <v>18</v>
      </c>
      <c r="C7052">
        <v>51461</v>
      </c>
      <c r="D7052" t="str">
        <f>"51461"</f>
        <v>51461</v>
      </c>
      <c r="E7052">
        <v>77.19</v>
      </c>
    </row>
    <row r="7053" spans="1:5" x14ac:dyDescent="0.2">
      <c r="A7053">
        <v>51462</v>
      </c>
      <c r="B7053" t="s">
        <v>18</v>
      </c>
      <c r="C7053">
        <v>51462</v>
      </c>
      <c r="D7053" t="str">
        <f>"51462"</f>
        <v>51462</v>
      </c>
      <c r="E7053">
        <v>71.739999999999995</v>
      </c>
    </row>
    <row r="7054" spans="1:5" x14ac:dyDescent="0.2">
      <c r="A7054">
        <v>51463</v>
      </c>
      <c r="B7054" t="s">
        <v>18</v>
      </c>
      <c r="C7054">
        <v>51463</v>
      </c>
      <c r="D7054" t="str">
        <f>"51463"</f>
        <v>51463</v>
      </c>
      <c r="E7054">
        <v>78.569999999999993</v>
      </c>
    </row>
    <row r="7055" spans="1:5" x14ac:dyDescent="0.2">
      <c r="A7055">
        <v>51465</v>
      </c>
      <c r="B7055" t="s">
        <v>18</v>
      </c>
      <c r="C7055">
        <v>51465</v>
      </c>
      <c r="D7055" t="str">
        <f>"51465"</f>
        <v>51465</v>
      </c>
      <c r="E7055">
        <v>72.73</v>
      </c>
    </row>
    <row r="7056" spans="1:5" x14ac:dyDescent="0.2">
      <c r="A7056">
        <v>51466</v>
      </c>
      <c r="B7056" t="s">
        <v>18</v>
      </c>
      <c r="C7056">
        <v>51466</v>
      </c>
      <c r="D7056" t="str">
        <f>"51466"</f>
        <v>51466</v>
      </c>
      <c r="E7056">
        <v>70.83</v>
      </c>
    </row>
    <row r="7057" spans="1:5" x14ac:dyDescent="0.2">
      <c r="A7057">
        <v>51467</v>
      </c>
      <c r="B7057" t="s">
        <v>18</v>
      </c>
      <c r="C7057">
        <v>51467</v>
      </c>
      <c r="D7057" t="str">
        <f>"51467"</f>
        <v>51467</v>
      </c>
      <c r="E7057">
        <v>75.86</v>
      </c>
    </row>
    <row r="7058" spans="1:5" x14ac:dyDescent="0.2">
      <c r="A7058">
        <v>51501</v>
      </c>
      <c r="B7058" t="s">
        <v>18</v>
      </c>
      <c r="C7058">
        <v>51501</v>
      </c>
      <c r="D7058" t="str">
        <f>"51501"</f>
        <v>51501</v>
      </c>
      <c r="E7058">
        <v>69.97</v>
      </c>
    </row>
    <row r="7059" spans="1:5" x14ac:dyDescent="0.2">
      <c r="A7059">
        <v>51503</v>
      </c>
      <c r="B7059" t="s">
        <v>18</v>
      </c>
      <c r="C7059">
        <v>51503</v>
      </c>
      <c r="D7059" t="str">
        <f>"51503"</f>
        <v>51503</v>
      </c>
      <c r="E7059">
        <v>77.58</v>
      </c>
    </row>
    <row r="7060" spans="1:5" x14ac:dyDescent="0.2">
      <c r="A7060">
        <v>51510</v>
      </c>
      <c r="B7060" t="s">
        <v>18</v>
      </c>
      <c r="C7060">
        <v>51510</v>
      </c>
      <c r="D7060" t="str">
        <f>"51510"</f>
        <v>51510</v>
      </c>
      <c r="E7060">
        <v>71.52</v>
      </c>
    </row>
    <row r="7061" spans="1:5" x14ac:dyDescent="0.2">
      <c r="A7061">
        <v>51520</v>
      </c>
      <c r="B7061" t="s">
        <v>18</v>
      </c>
      <c r="C7061">
        <v>51520</v>
      </c>
      <c r="D7061" t="str">
        <f>"51520"</f>
        <v>51520</v>
      </c>
      <c r="E7061" t="s">
        <v>6</v>
      </c>
    </row>
    <row r="7062" spans="1:5" x14ac:dyDescent="0.2">
      <c r="A7062">
        <v>51521</v>
      </c>
      <c r="B7062" t="s">
        <v>18</v>
      </c>
      <c r="C7062">
        <v>51521</v>
      </c>
      <c r="D7062" t="str">
        <f>"51521"</f>
        <v>51521</v>
      </c>
      <c r="E7062">
        <v>74.260000000000005</v>
      </c>
    </row>
    <row r="7063" spans="1:5" x14ac:dyDescent="0.2">
      <c r="A7063">
        <v>51523</v>
      </c>
      <c r="B7063" t="s">
        <v>18</v>
      </c>
      <c r="C7063">
        <v>51523</v>
      </c>
      <c r="D7063" t="str">
        <f>"51523"</f>
        <v>51523</v>
      </c>
      <c r="E7063">
        <v>80</v>
      </c>
    </row>
    <row r="7064" spans="1:5" x14ac:dyDescent="0.2">
      <c r="A7064">
        <v>51525</v>
      </c>
      <c r="B7064" t="s">
        <v>18</v>
      </c>
      <c r="C7064">
        <v>51525</v>
      </c>
      <c r="D7064" t="str">
        <f>"51525"</f>
        <v>51525</v>
      </c>
      <c r="E7064">
        <v>78.569999999999993</v>
      </c>
    </row>
    <row r="7065" spans="1:5" x14ac:dyDescent="0.2">
      <c r="A7065">
        <v>51526</v>
      </c>
      <c r="B7065" t="s">
        <v>18</v>
      </c>
      <c r="C7065">
        <v>51526</v>
      </c>
      <c r="D7065" t="str">
        <f>"51526"</f>
        <v>51526</v>
      </c>
      <c r="E7065">
        <v>80</v>
      </c>
    </row>
    <row r="7066" spans="1:5" x14ac:dyDescent="0.2">
      <c r="A7066">
        <v>51527</v>
      </c>
      <c r="B7066" t="s">
        <v>18</v>
      </c>
      <c r="C7066">
        <v>51527</v>
      </c>
      <c r="D7066" t="str">
        <f>"51527"</f>
        <v>51527</v>
      </c>
      <c r="E7066">
        <v>77.78</v>
      </c>
    </row>
    <row r="7067" spans="1:5" x14ac:dyDescent="0.2">
      <c r="A7067">
        <v>51528</v>
      </c>
      <c r="B7067" t="s">
        <v>18</v>
      </c>
      <c r="C7067">
        <v>51528</v>
      </c>
      <c r="D7067" t="str">
        <f>"51528"</f>
        <v>51528</v>
      </c>
      <c r="E7067">
        <v>71.790000000000006</v>
      </c>
    </row>
    <row r="7068" spans="1:5" x14ac:dyDescent="0.2">
      <c r="A7068">
        <v>51529</v>
      </c>
      <c r="B7068" t="s">
        <v>18</v>
      </c>
      <c r="C7068">
        <v>51529</v>
      </c>
      <c r="D7068" t="str">
        <f>"51529"</f>
        <v>51529</v>
      </c>
      <c r="E7068">
        <v>76</v>
      </c>
    </row>
    <row r="7069" spans="1:5" x14ac:dyDescent="0.2">
      <c r="A7069">
        <v>51530</v>
      </c>
      <c r="B7069" t="s">
        <v>18</v>
      </c>
      <c r="C7069">
        <v>51530</v>
      </c>
      <c r="D7069" t="str">
        <f>"51530"</f>
        <v>51530</v>
      </c>
      <c r="E7069">
        <v>73.680000000000007</v>
      </c>
    </row>
    <row r="7070" spans="1:5" x14ac:dyDescent="0.2">
      <c r="A7070">
        <v>51531</v>
      </c>
      <c r="B7070" t="s">
        <v>18</v>
      </c>
      <c r="C7070">
        <v>51531</v>
      </c>
      <c r="D7070" t="str">
        <f>"51531"</f>
        <v>51531</v>
      </c>
      <c r="E7070">
        <v>76.47</v>
      </c>
    </row>
    <row r="7071" spans="1:5" x14ac:dyDescent="0.2">
      <c r="A7071">
        <v>51532</v>
      </c>
      <c r="B7071" t="s">
        <v>18</v>
      </c>
      <c r="C7071">
        <v>51532</v>
      </c>
      <c r="D7071" t="str">
        <f>"51532"</f>
        <v>51532</v>
      </c>
      <c r="E7071">
        <v>70.37</v>
      </c>
    </row>
    <row r="7072" spans="1:5" x14ac:dyDescent="0.2">
      <c r="A7072">
        <v>51533</v>
      </c>
      <c r="B7072" t="s">
        <v>18</v>
      </c>
      <c r="C7072">
        <v>51533</v>
      </c>
      <c r="D7072" t="str">
        <f>"51533"</f>
        <v>51533</v>
      </c>
      <c r="E7072">
        <v>74.36</v>
      </c>
    </row>
    <row r="7073" spans="1:5" x14ac:dyDescent="0.2">
      <c r="A7073">
        <v>51534</v>
      </c>
      <c r="B7073" t="s">
        <v>18</v>
      </c>
      <c r="C7073">
        <v>51534</v>
      </c>
      <c r="D7073" t="str">
        <f>"51534"</f>
        <v>51534</v>
      </c>
      <c r="E7073">
        <v>78.569999999999993</v>
      </c>
    </row>
    <row r="7074" spans="1:5" x14ac:dyDescent="0.2">
      <c r="A7074">
        <v>51535</v>
      </c>
      <c r="B7074" t="s">
        <v>18</v>
      </c>
      <c r="C7074">
        <v>51535</v>
      </c>
      <c r="D7074" t="str">
        <f>"51535"</f>
        <v>51535</v>
      </c>
      <c r="E7074">
        <v>71.430000000000007</v>
      </c>
    </row>
    <row r="7075" spans="1:5" x14ac:dyDescent="0.2">
      <c r="A7075">
        <v>51536</v>
      </c>
      <c r="B7075" t="s">
        <v>18</v>
      </c>
      <c r="C7075">
        <v>51536</v>
      </c>
      <c r="D7075" t="str">
        <f>"51536"</f>
        <v>51536</v>
      </c>
      <c r="E7075">
        <v>71.430000000000007</v>
      </c>
    </row>
    <row r="7076" spans="1:5" x14ac:dyDescent="0.2">
      <c r="A7076">
        <v>51537</v>
      </c>
      <c r="B7076" t="s">
        <v>18</v>
      </c>
      <c r="C7076">
        <v>51537</v>
      </c>
      <c r="D7076" t="str">
        <f>"51537"</f>
        <v>51537</v>
      </c>
      <c r="E7076">
        <v>74.36</v>
      </c>
    </row>
    <row r="7077" spans="1:5" x14ac:dyDescent="0.2">
      <c r="A7077">
        <v>51540</v>
      </c>
      <c r="B7077" t="s">
        <v>18</v>
      </c>
      <c r="C7077">
        <v>51540</v>
      </c>
      <c r="D7077" t="str">
        <f>"51540"</f>
        <v>51540</v>
      </c>
      <c r="E7077">
        <v>68.42</v>
      </c>
    </row>
    <row r="7078" spans="1:5" x14ac:dyDescent="0.2">
      <c r="A7078">
        <v>51541</v>
      </c>
      <c r="B7078" t="s">
        <v>18</v>
      </c>
      <c r="C7078">
        <v>51541</v>
      </c>
      <c r="D7078" t="str">
        <f>"51541"</f>
        <v>51541</v>
      </c>
      <c r="E7078">
        <v>75</v>
      </c>
    </row>
    <row r="7079" spans="1:5" x14ac:dyDescent="0.2">
      <c r="A7079">
        <v>51542</v>
      </c>
      <c r="B7079" t="s">
        <v>18</v>
      </c>
      <c r="C7079">
        <v>51542</v>
      </c>
      <c r="D7079" t="str">
        <f>"51542"</f>
        <v>51542</v>
      </c>
      <c r="E7079">
        <v>81.25</v>
      </c>
    </row>
    <row r="7080" spans="1:5" x14ac:dyDescent="0.2">
      <c r="A7080">
        <v>51543</v>
      </c>
      <c r="B7080" t="s">
        <v>18</v>
      </c>
      <c r="C7080">
        <v>51543</v>
      </c>
      <c r="D7080" t="str">
        <f>"51543"</f>
        <v>51543</v>
      </c>
      <c r="E7080">
        <v>72.22</v>
      </c>
    </row>
    <row r="7081" spans="1:5" x14ac:dyDescent="0.2">
      <c r="A7081">
        <v>51544</v>
      </c>
      <c r="B7081" t="s">
        <v>18</v>
      </c>
      <c r="C7081">
        <v>51544</v>
      </c>
      <c r="D7081" t="str">
        <f>"51544"</f>
        <v>51544</v>
      </c>
      <c r="E7081">
        <v>76.67</v>
      </c>
    </row>
    <row r="7082" spans="1:5" x14ac:dyDescent="0.2">
      <c r="A7082">
        <v>51545</v>
      </c>
      <c r="B7082" t="s">
        <v>18</v>
      </c>
      <c r="C7082">
        <v>51545</v>
      </c>
      <c r="D7082" t="str">
        <f>"51545"</f>
        <v>51545</v>
      </c>
      <c r="E7082">
        <v>71.430000000000007</v>
      </c>
    </row>
    <row r="7083" spans="1:5" x14ac:dyDescent="0.2">
      <c r="A7083">
        <v>51546</v>
      </c>
      <c r="B7083" t="s">
        <v>18</v>
      </c>
      <c r="C7083">
        <v>51546</v>
      </c>
      <c r="D7083" t="str">
        <f>"51546"</f>
        <v>51546</v>
      </c>
      <c r="E7083">
        <v>79.67</v>
      </c>
    </row>
    <row r="7084" spans="1:5" x14ac:dyDescent="0.2">
      <c r="A7084">
        <v>51548</v>
      </c>
      <c r="B7084" t="s">
        <v>18</v>
      </c>
      <c r="C7084">
        <v>51548</v>
      </c>
      <c r="D7084" t="str">
        <f>"51548"</f>
        <v>51548</v>
      </c>
      <c r="E7084">
        <v>85</v>
      </c>
    </row>
    <row r="7085" spans="1:5" x14ac:dyDescent="0.2">
      <c r="A7085">
        <v>51549</v>
      </c>
      <c r="B7085" t="s">
        <v>18</v>
      </c>
      <c r="C7085">
        <v>51549</v>
      </c>
      <c r="D7085" t="str">
        <f>"51549"</f>
        <v>51549</v>
      </c>
      <c r="E7085">
        <v>80.95</v>
      </c>
    </row>
    <row r="7086" spans="1:5" x14ac:dyDescent="0.2">
      <c r="A7086">
        <v>51550</v>
      </c>
      <c r="B7086" t="s">
        <v>18</v>
      </c>
      <c r="C7086">
        <v>51550</v>
      </c>
      <c r="D7086" t="str">
        <f>"51550"</f>
        <v>51550</v>
      </c>
      <c r="E7086" t="s">
        <v>6</v>
      </c>
    </row>
    <row r="7087" spans="1:5" x14ac:dyDescent="0.2">
      <c r="A7087">
        <v>51551</v>
      </c>
      <c r="B7087" t="s">
        <v>18</v>
      </c>
      <c r="C7087">
        <v>51551</v>
      </c>
      <c r="D7087" t="str">
        <f>"51551"</f>
        <v>51551</v>
      </c>
      <c r="E7087">
        <v>76.83</v>
      </c>
    </row>
    <row r="7088" spans="1:5" x14ac:dyDescent="0.2">
      <c r="A7088">
        <v>51552</v>
      </c>
      <c r="B7088" t="s">
        <v>18</v>
      </c>
      <c r="C7088">
        <v>51552</v>
      </c>
      <c r="D7088" t="str">
        <f>"51552"</f>
        <v>51552</v>
      </c>
      <c r="E7088">
        <v>69.23</v>
      </c>
    </row>
    <row r="7089" spans="1:5" x14ac:dyDescent="0.2">
      <c r="A7089">
        <v>51553</v>
      </c>
      <c r="B7089" t="s">
        <v>18</v>
      </c>
      <c r="C7089">
        <v>51553</v>
      </c>
      <c r="D7089" t="str">
        <f>"51553"</f>
        <v>51553</v>
      </c>
      <c r="E7089">
        <v>77.27</v>
      </c>
    </row>
    <row r="7090" spans="1:5" x14ac:dyDescent="0.2">
      <c r="A7090">
        <v>51554</v>
      </c>
      <c r="B7090" t="s">
        <v>18</v>
      </c>
      <c r="C7090">
        <v>51554</v>
      </c>
      <c r="D7090" t="str">
        <f>"51554"</f>
        <v>51554</v>
      </c>
      <c r="E7090" t="s">
        <v>6</v>
      </c>
    </row>
    <row r="7091" spans="1:5" x14ac:dyDescent="0.2">
      <c r="A7091">
        <v>51555</v>
      </c>
      <c r="B7091" t="s">
        <v>18</v>
      </c>
      <c r="C7091">
        <v>51555</v>
      </c>
      <c r="D7091" t="str">
        <f>"51555"</f>
        <v>51555</v>
      </c>
      <c r="E7091">
        <v>76.09</v>
      </c>
    </row>
    <row r="7092" spans="1:5" x14ac:dyDescent="0.2">
      <c r="A7092">
        <v>51556</v>
      </c>
      <c r="B7092" t="s">
        <v>18</v>
      </c>
      <c r="C7092">
        <v>51556</v>
      </c>
      <c r="D7092" t="str">
        <f>"51556"</f>
        <v>51556</v>
      </c>
      <c r="E7092">
        <v>73.680000000000007</v>
      </c>
    </row>
    <row r="7093" spans="1:5" x14ac:dyDescent="0.2">
      <c r="A7093">
        <v>51557</v>
      </c>
      <c r="B7093" t="s">
        <v>18</v>
      </c>
      <c r="C7093">
        <v>51557</v>
      </c>
      <c r="D7093" t="str">
        <f>"51557"</f>
        <v>51557</v>
      </c>
      <c r="E7093">
        <v>73.680000000000007</v>
      </c>
    </row>
    <row r="7094" spans="1:5" x14ac:dyDescent="0.2">
      <c r="A7094">
        <v>51558</v>
      </c>
      <c r="B7094" t="s">
        <v>18</v>
      </c>
      <c r="C7094">
        <v>51558</v>
      </c>
      <c r="D7094" t="str">
        <f>"51558"</f>
        <v>51558</v>
      </c>
      <c r="E7094">
        <v>70.83</v>
      </c>
    </row>
    <row r="7095" spans="1:5" x14ac:dyDescent="0.2">
      <c r="A7095">
        <v>51559</v>
      </c>
      <c r="B7095" t="s">
        <v>18</v>
      </c>
      <c r="C7095">
        <v>51559</v>
      </c>
      <c r="D7095" t="str">
        <f>"51559"</f>
        <v>51559</v>
      </c>
      <c r="E7095">
        <v>78.05</v>
      </c>
    </row>
    <row r="7096" spans="1:5" x14ac:dyDescent="0.2">
      <c r="A7096">
        <v>51560</v>
      </c>
      <c r="B7096" t="s">
        <v>18</v>
      </c>
      <c r="C7096">
        <v>51560</v>
      </c>
      <c r="D7096" t="str">
        <f>"51560"</f>
        <v>51560</v>
      </c>
      <c r="E7096">
        <v>75</v>
      </c>
    </row>
    <row r="7097" spans="1:5" x14ac:dyDescent="0.2">
      <c r="A7097">
        <v>51561</v>
      </c>
      <c r="B7097" t="s">
        <v>18</v>
      </c>
      <c r="C7097">
        <v>51561</v>
      </c>
      <c r="D7097" t="str">
        <f>"51561"</f>
        <v>51561</v>
      </c>
      <c r="E7097">
        <v>75</v>
      </c>
    </row>
    <row r="7098" spans="1:5" x14ac:dyDescent="0.2">
      <c r="A7098">
        <v>51562</v>
      </c>
      <c r="B7098" t="s">
        <v>18</v>
      </c>
      <c r="C7098">
        <v>51562</v>
      </c>
      <c r="D7098" t="str">
        <f>"51562"</f>
        <v>51562</v>
      </c>
      <c r="E7098">
        <v>81.819999999999993</v>
      </c>
    </row>
    <row r="7099" spans="1:5" x14ac:dyDescent="0.2">
      <c r="A7099">
        <v>51563</v>
      </c>
      <c r="B7099" t="s">
        <v>18</v>
      </c>
      <c r="C7099">
        <v>51563</v>
      </c>
      <c r="D7099" t="str">
        <f>"51563"</f>
        <v>51563</v>
      </c>
      <c r="E7099">
        <v>71.88</v>
      </c>
    </row>
    <row r="7100" spans="1:5" x14ac:dyDescent="0.2">
      <c r="A7100">
        <v>51564</v>
      </c>
      <c r="B7100" t="s">
        <v>18</v>
      </c>
      <c r="C7100">
        <v>51564</v>
      </c>
      <c r="D7100" t="str">
        <f>"51564"</f>
        <v>51564</v>
      </c>
      <c r="E7100">
        <v>70</v>
      </c>
    </row>
    <row r="7101" spans="1:5" x14ac:dyDescent="0.2">
      <c r="A7101">
        <v>51565</v>
      </c>
      <c r="B7101" t="s">
        <v>18</v>
      </c>
      <c r="C7101">
        <v>51565</v>
      </c>
      <c r="D7101" t="str">
        <f>"51565"</f>
        <v>51565</v>
      </c>
      <c r="E7101">
        <v>75</v>
      </c>
    </row>
    <row r="7102" spans="1:5" x14ac:dyDescent="0.2">
      <c r="A7102">
        <v>51566</v>
      </c>
      <c r="B7102" t="s">
        <v>18</v>
      </c>
      <c r="C7102">
        <v>51566</v>
      </c>
      <c r="D7102" t="str">
        <f>"51566"</f>
        <v>51566</v>
      </c>
      <c r="E7102">
        <v>71</v>
      </c>
    </row>
    <row r="7103" spans="1:5" x14ac:dyDescent="0.2">
      <c r="A7103">
        <v>51570</v>
      </c>
      <c r="B7103" t="s">
        <v>18</v>
      </c>
      <c r="C7103">
        <v>51570</v>
      </c>
      <c r="D7103" t="str">
        <f>"51570"</f>
        <v>51570</v>
      </c>
      <c r="E7103">
        <v>78.430000000000007</v>
      </c>
    </row>
    <row r="7104" spans="1:5" x14ac:dyDescent="0.2">
      <c r="A7104">
        <v>51571</v>
      </c>
      <c r="B7104" t="s">
        <v>18</v>
      </c>
      <c r="C7104">
        <v>51571</v>
      </c>
      <c r="D7104" t="str">
        <f>"51571"</f>
        <v>51571</v>
      </c>
      <c r="E7104">
        <v>79.31</v>
      </c>
    </row>
    <row r="7105" spans="1:5" x14ac:dyDescent="0.2">
      <c r="A7105">
        <v>51572</v>
      </c>
      <c r="B7105" t="s">
        <v>18</v>
      </c>
      <c r="C7105">
        <v>51572</v>
      </c>
      <c r="D7105" t="str">
        <f>"51572"</f>
        <v>51572</v>
      </c>
      <c r="E7105">
        <v>70.59</v>
      </c>
    </row>
    <row r="7106" spans="1:5" x14ac:dyDescent="0.2">
      <c r="A7106">
        <v>51573</v>
      </c>
      <c r="B7106" t="s">
        <v>18</v>
      </c>
      <c r="C7106">
        <v>51573</v>
      </c>
      <c r="D7106" t="str">
        <f>"51573"</f>
        <v>51573</v>
      </c>
      <c r="E7106">
        <v>76</v>
      </c>
    </row>
    <row r="7107" spans="1:5" x14ac:dyDescent="0.2">
      <c r="A7107">
        <v>51575</v>
      </c>
      <c r="B7107" t="s">
        <v>18</v>
      </c>
      <c r="C7107">
        <v>51575</v>
      </c>
      <c r="D7107" t="str">
        <f>"51575"</f>
        <v>51575</v>
      </c>
      <c r="E7107">
        <v>80.25</v>
      </c>
    </row>
    <row r="7108" spans="1:5" x14ac:dyDescent="0.2">
      <c r="A7108">
        <v>51576</v>
      </c>
      <c r="B7108" t="s">
        <v>18</v>
      </c>
      <c r="C7108">
        <v>51576</v>
      </c>
      <c r="D7108" t="str">
        <f>"51576"</f>
        <v>51576</v>
      </c>
      <c r="E7108">
        <v>80.61</v>
      </c>
    </row>
    <row r="7109" spans="1:5" x14ac:dyDescent="0.2">
      <c r="A7109">
        <v>51577</v>
      </c>
      <c r="B7109" t="s">
        <v>18</v>
      </c>
      <c r="C7109">
        <v>51577</v>
      </c>
      <c r="D7109" t="str">
        <f>"51577"</f>
        <v>51577</v>
      </c>
      <c r="E7109">
        <v>70</v>
      </c>
    </row>
    <row r="7110" spans="1:5" x14ac:dyDescent="0.2">
      <c r="A7110">
        <v>51578</v>
      </c>
      <c r="B7110" t="s">
        <v>18</v>
      </c>
      <c r="C7110">
        <v>51578</v>
      </c>
      <c r="D7110" t="str">
        <f>"51578"</f>
        <v>51578</v>
      </c>
      <c r="E7110" t="s">
        <v>6</v>
      </c>
    </row>
    <row r="7111" spans="1:5" x14ac:dyDescent="0.2">
      <c r="A7111">
        <v>51579</v>
      </c>
      <c r="B7111" t="s">
        <v>18</v>
      </c>
      <c r="C7111">
        <v>51579</v>
      </c>
      <c r="D7111" t="str">
        <f>"51579"</f>
        <v>51579</v>
      </c>
      <c r="E7111">
        <v>74</v>
      </c>
    </row>
    <row r="7112" spans="1:5" x14ac:dyDescent="0.2">
      <c r="A7112">
        <v>51601</v>
      </c>
      <c r="B7112" t="s">
        <v>18</v>
      </c>
      <c r="C7112">
        <v>51601</v>
      </c>
      <c r="D7112" t="str">
        <f>"51601"</f>
        <v>51601</v>
      </c>
      <c r="E7112">
        <v>70.61</v>
      </c>
    </row>
    <row r="7113" spans="1:5" x14ac:dyDescent="0.2">
      <c r="A7113">
        <v>51603</v>
      </c>
      <c r="B7113" t="s">
        <v>18</v>
      </c>
      <c r="C7113">
        <v>51603</v>
      </c>
      <c r="D7113" t="str">
        <f>"51603"</f>
        <v>51603</v>
      </c>
      <c r="E7113" t="s">
        <v>6</v>
      </c>
    </row>
    <row r="7114" spans="1:5" x14ac:dyDescent="0.2">
      <c r="A7114">
        <v>51630</v>
      </c>
      <c r="B7114" t="s">
        <v>18</v>
      </c>
      <c r="C7114">
        <v>51630</v>
      </c>
      <c r="D7114" t="str">
        <f>"51630"</f>
        <v>51630</v>
      </c>
      <c r="E7114" t="s">
        <v>6</v>
      </c>
    </row>
    <row r="7115" spans="1:5" x14ac:dyDescent="0.2">
      <c r="A7115">
        <v>51631</v>
      </c>
      <c r="B7115" t="s">
        <v>18</v>
      </c>
      <c r="C7115">
        <v>51631</v>
      </c>
      <c r="D7115" t="str">
        <f>"51631"</f>
        <v>51631</v>
      </c>
      <c r="E7115">
        <v>57.14</v>
      </c>
    </row>
    <row r="7116" spans="1:5" x14ac:dyDescent="0.2">
      <c r="A7116">
        <v>51632</v>
      </c>
      <c r="B7116" t="s">
        <v>18</v>
      </c>
      <c r="C7116">
        <v>51632</v>
      </c>
      <c r="D7116" t="str">
        <f>"51632"</f>
        <v>51632</v>
      </c>
      <c r="E7116">
        <v>74.23</v>
      </c>
    </row>
    <row r="7117" spans="1:5" x14ac:dyDescent="0.2">
      <c r="A7117">
        <v>51636</v>
      </c>
      <c r="B7117" t="s">
        <v>18</v>
      </c>
      <c r="C7117">
        <v>51636</v>
      </c>
      <c r="D7117" t="str">
        <f>"51636"</f>
        <v>51636</v>
      </c>
      <c r="E7117">
        <v>75</v>
      </c>
    </row>
    <row r="7118" spans="1:5" x14ac:dyDescent="0.2">
      <c r="A7118">
        <v>51637</v>
      </c>
      <c r="B7118" t="s">
        <v>18</v>
      </c>
      <c r="C7118">
        <v>51637</v>
      </c>
      <c r="D7118" t="str">
        <f>"51637"</f>
        <v>51637</v>
      </c>
      <c r="E7118" t="s">
        <v>6</v>
      </c>
    </row>
    <row r="7119" spans="1:5" x14ac:dyDescent="0.2">
      <c r="A7119">
        <v>51638</v>
      </c>
      <c r="B7119" t="s">
        <v>18</v>
      </c>
      <c r="C7119">
        <v>51638</v>
      </c>
      <c r="D7119" t="str">
        <f>"51638"</f>
        <v>51638</v>
      </c>
      <c r="E7119">
        <v>73.680000000000007</v>
      </c>
    </row>
    <row r="7120" spans="1:5" x14ac:dyDescent="0.2">
      <c r="A7120">
        <v>51639</v>
      </c>
      <c r="B7120" t="s">
        <v>18</v>
      </c>
      <c r="C7120">
        <v>51639</v>
      </c>
      <c r="D7120" t="str">
        <f>"51639"</f>
        <v>51639</v>
      </c>
      <c r="E7120">
        <v>72.97</v>
      </c>
    </row>
    <row r="7121" spans="1:5" x14ac:dyDescent="0.2">
      <c r="A7121">
        <v>51640</v>
      </c>
      <c r="B7121" t="s">
        <v>18</v>
      </c>
      <c r="C7121">
        <v>51640</v>
      </c>
      <c r="D7121" t="str">
        <f>"51640"</f>
        <v>51640</v>
      </c>
      <c r="E7121">
        <v>72.459999999999994</v>
      </c>
    </row>
    <row r="7122" spans="1:5" x14ac:dyDescent="0.2">
      <c r="A7122">
        <v>51645</v>
      </c>
      <c r="B7122" t="s">
        <v>18</v>
      </c>
      <c r="C7122">
        <v>51645</v>
      </c>
      <c r="D7122" t="str">
        <f>"51645"</f>
        <v>51645</v>
      </c>
      <c r="E7122">
        <v>75</v>
      </c>
    </row>
    <row r="7123" spans="1:5" x14ac:dyDescent="0.2">
      <c r="A7123">
        <v>51646</v>
      </c>
      <c r="B7123" t="s">
        <v>18</v>
      </c>
      <c r="C7123">
        <v>51646</v>
      </c>
      <c r="D7123" t="str">
        <f>"51646"</f>
        <v>51646</v>
      </c>
      <c r="E7123">
        <v>71.430000000000007</v>
      </c>
    </row>
    <row r="7124" spans="1:5" x14ac:dyDescent="0.2">
      <c r="A7124">
        <v>51647</v>
      </c>
      <c r="B7124" t="s">
        <v>18</v>
      </c>
      <c r="C7124">
        <v>51647</v>
      </c>
      <c r="D7124" t="str">
        <f>"51647"</f>
        <v>51647</v>
      </c>
      <c r="E7124" t="s">
        <v>6</v>
      </c>
    </row>
    <row r="7125" spans="1:5" x14ac:dyDescent="0.2">
      <c r="A7125">
        <v>51648</v>
      </c>
      <c r="B7125" t="s">
        <v>18</v>
      </c>
      <c r="C7125">
        <v>51648</v>
      </c>
      <c r="D7125" t="str">
        <f>"51648"</f>
        <v>51648</v>
      </c>
      <c r="E7125" t="s">
        <v>6</v>
      </c>
    </row>
    <row r="7126" spans="1:5" x14ac:dyDescent="0.2">
      <c r="A7126">
        <v>51649</v>
      </c>
      <c r="B7126" t="s">
        <v>18</v>
      </c>
      <c r="C7126">
        <v>51649</v>
      </c>
      <c r="D7126" t="str">
        <f>"51649"</f>
        <v>51649</v>
      </c>
      <c r="E7126">
        <v>66.67</v>
      </c>
    </row>
    <row r="7127" spans="1:5" x14ac:dyDescent="0.2">
      <c r="A7127">
        <v>51650</v>
      </c>
      <c r="B7127" t="s">
        <v>18</v>
      </c>
      <c r="C7127">
        <v>51650</v>
      </c>
      <c r="D7127" t="str">
        <f>"51650"</f>
        <v>51650</v>
      </c>
      <c r="E7127">
        <v>85.71</v>
      </c>
    </row>
    <row r="7128" spans="1:5" x14ac:dyDescent="0.2">
      <c r="A7128">
        <v>51651</v>
      </c>
      <c r="B7128" t="s">
        <v>18</v>
      </c>
      <c r="C7128">
        <v>51651</v>
      </c>
      <c r="D7128" t="str">
        <f>"51651"</f>
        <v>51651</v>
      </c>
      <c r="E7128" t="s">
        <v>6</v>
      </c>
    </row>
    <row r="7129" spans="1:5" x14ac:dyDescent="0.2">
      <c r="A7129">
        <v>51652</v>
      </c>
      <c r="B7129" t="s">
        <v>18</v>
      </c>
      <c r="C7129">
        <v>51652</v>
      </c>
      <c r="D7129" t="str">
        <f>"51652"</f>
        <v>51652</v>
      </c>
      <c r="E7129">
        <v>73.42</v>
      </c>
    </row>
    <row r="7130" spans="1:5" x14ac:dyDescent="0.2">
      <c r="A7130">
        <v>51653</v>
      </c>
      <c r="B7130" t="s">
        <v>18</v>
      </c>
      <c r="C7130">
        <v>51653</v>
      </c>
      <c r="D7130" t="str">
        <f>"51653"</f>
        <v>51653</v>
      </c>
      <c r="E7130">
        <v>72.41</v>
      </c>
    </row>
    <row r="7131" spans="1:5" x14ac:dyDescent="0.2">
      <c r="A7131">
        <v>51654</v>
      </c>
      <c r="B7131" t="s">
        <v>18</v>
      </c>
      <c r="C7131">
        <v>51654</v>
      </c>
      <c r="D7131" t="str">
        <f>"51654"</f>
        <v>51654</v>
      </c>
      <c r="E7131">
        <v>77.27</v>
      </c>
    </row>
    <row r="7132" spans="1:5" x14ac:dyDescent="0.2">
      <c r="A7132">
        <v>51656</v>
      </c>
      <c r="B7132" t="s">
        <v>18</v>
      </c>
      <c r="C7132">
        <v>51656</v>
      </c>
      <c r="D7132" t="str">
        <f>"51656"</f>
        <v>51656</v>
      </c>
      <c r="E7132" t="s">
        <v>6</v>
      </c>
    </row>
    <row r="7133" spans="1:5" x14ac:dyDescent="0.2">
      <c r="A7133">
        <v>52001</v>
      </c>
      <c r="B7133" t="s">
        <v>18</v>
      </c>
      <c r="C7133">
        <v>52001</v>
      </c>
      <c r="D7133" t="str">
        <f>"52001"</f>
        <v>52001</v>
      </c>
      <c r="E7133">
        <v>71.45</v>
      </c>
    </row>
    <row r="7134" spans="1:5" x14ac:dyDescent="0.2">
      <c r="A7134">
        <v>52002</v>
      </c>
      <c r="B7134" t="s">
        <v>18</v>
      </c>
      <c r="C7134">
        <v>52002</v>
      </c>
      <c r="D7134" t="str">
        <f>"52002"</f>
        <v>52002</v>
      </c>
      <c r="E7134">
        <v>78.88</v>
      </c>
    </row>
    <row r="7135" spans="1:5" x14ac:dyDescent="0.2">
      <c r="A7135">
        <v>52003</v>
      </c>
      <c r="B7135" t="s">
        <v>18</v>
      </c>
      <c r="C7135">
        <v>52003</v>
      </c>
      <c r="D7135" t="str">
        <f>"52003"</f>
        <v>52003</v>
      </c>
      <c r="E7135">
        <v>78.41</v>
      </c>
    </row>
    <row r="7136" spans="1:5" x14ac:dyDescent="0.2">
      <c r="A7136">
        <v>52030</v>
      </c>
      <c r="B7136" t="s">
        <v>18</v>
      </c>
      <c r="C7136">
        <v>52030</v>
      </c>
      <c r="D7136" t="str">
        <f>"52030"</f>
        <v>52030</v>
      </c>
      <c r="E7136" t="s">
        <v>6</v>
      </c>
    </row>
    <row r="7137" spans="1:5" x14ac:dyDescent="0.2">
      <c r="A7137">
        <v>52031</v>
      </c>
      <c r="B7137" t="s">
        <v>18</v>
      </c>
      <c r="C7137">
        <v>52031</v>
      </c>
      <c r="D7137" t="str">
        <f>"52031"</f>
        <v>52031</v>
      </c>
      <c r="E7137">
        <v>76.989999999999995</v>
      </c>
    </row>
    <row r="7138" spans="1:5" x14ac:dyDescent="0.2">
      <c r="A7138">
        <v>52032</v>
      </c>
      <c r="B7138" t="s">
        <v>18</v>
      </c>
      <c r="C7138">
        <v>52032</v>
      </c>
      <c r="D7138" t="str">
        <f>"52032"</f>
        <v>52032</v>
      </c>
      <c r="E7138">
        <v>74.63</v>
      </c>
    </row>
    <row r="7139" spans="1:5" x14ac:dyDescent="0.2">
      <c r="A7139">
        <v>52033</v>
      </c>
      <c r="B7139" t="s">
        <v>18</v>
      </c>
      <c r="C7139">
        <v>52033</v>
      </c>
      <c r="D7139" t="str">
        <f>"52033"</f>
        <v>52033</v>
      </c>
      <c r="E7139">
        <v>75.319999999999993</v>
      </c>
    </row>
    <row r="7140" spans="1:5" x14ac:dyDescent="0.2">
      <c r="A7140">
        <v>52035</v>
      </c>
      <c r="B7140" t="s">
        <v>18</v>
      </c>
      <c r="C7140">
        <v>52035</v>
      </c>
      <c r="D7140" t="str">
        <f>"52035"</f>
        <v>52035</v>
      </c>
      <c r="E7140">
        <v>75</v>
      </c>
    </row>
    <row r="7141" spans="1:5" x14ac:dyDescent="0.2">
      <c r="A7141">
        <v>52036</v>
      </c>
      <c r="B7141" t="s">
        <v>18</v>
      </c>
      <c r="C7141">
        <v>52036</v>
      </c>
      <c r="D7141" t="str">
        <f>"52036"</f>
        <v>52036</v>
      </c>
      <c r="E7141" t="s">
        <v>6</v>
      </c>
    </row>
    <row r="7142" spans="1:5" x14ac:dyDescent="0.2">
      <c r="A7142">
        <v>52037</v>
      </c>
      <c r="B7142" t="s">
        <v>18</v>
      </c>
      <c r="C7142">
        <v>52037</v>
      </c>
      <c r="D7142" t="str">
        <f>"52037"</f>
        <v>52037</v>
      </c>
      <c r="E7142">
        <v>78.849999999999994</v>
      </c>
    </row>
    <row r="7143" spans="1:5" x14ac:dyDescent="0.2">
      <c r="A7143">
        <v>52038</v>
      </c>
      <c r="B7143" t="s">
        <v>18</v>
      </c>
      <c r="C7143">
        <v>52038</v>
      </c>
      <c r="D7143" t="str">
        <f>"52038"</f>
        <v>52038</v>
      </c>
      <c r="E7143">
        <v>66.67</v>
      </c>
    </row>
    <row r="7144" spans="1:5" x14ac:dyDescent="0.2">
      <c r="A7144">
        <v>52039</v>
      </c>
      <c r="B7144" t="s">
        <v>18</v>
      </c>
      <c r="C7144">
        <v>52039</v>
      </c>
      <c r="D7144" t="str">
        <f>"52039"</f>
        <v>52039</v>
      </c>
      <c r="E7144">
        <v>76.790000000000006</v>
      </c>
    </row>
    <row r="7145" spans="1:5" x14ac:dyDescent="0.2">
      <c r="A7145">
        <v>52040</v>
      </c>
      <c r="B7145" t="s">
        <v>18</v>
      </c>
      <c r="C7145">
        <v>52040</v>
      </c>
      <c r="D7145" t="str">
        <f>"52040"</f>
        <v>52040</v>
      </c>
      <c r="E7145">
        <v>76.040000000000006</v>
      </c>
    </row>
    <row r="7146" spans="1:5" x14ac:dyDescent="0.2">
      <c r="A7146">
        <v>52041</v>
      </c>
      <c r="B7146" t="s">
        <v>18</v>
      </c>
      <c r="C7146">
        <v>52041</v>
      </c>
      <c r="D7146" t="str">
        <f>"52041"</f>
        <v>52041</v>
      </c>
      <c r="E7146">
        <v>76.47</v>
      </c>
    </row>
    <row r="7147" spans="1:5" x14ac:dyDescent="0.2">
      <c r="A7147">
        <v>52042</v>
      </c>
      <c r="B7147" t="s">
        <v>18</v>
      </c>
      <c r="C7147">
        <v>52042</v>
      </c>
      <c r="D7147" t="str">
        <f>"52042"</f>
        <v>52042</v>
      </c>
      <c r="E7147">
        <v>66.22</v>
      </c>
    </row>
    <row r="7148" spans="1:5" x14ac:dyDescent="0.2">
      <c r="A7148">
        <v>52043</v>
      </c>
      <c r="B7148" t="s">
        <v>18</v>
      </c>
      <c r="C7148">
        <v>52043</v>
      </c>
      <c r="D7148" t="str">
        <f>"52043"</f>
        <v>52043</v>
      </c>
      <c r="E7148">
        <v>75.47</v>
      </c>
    </row>
    <row r="7149" spans="1:5" x14ac:dyDescent="0.2">
      <c r="A7149">
        <v>52044</v>
      </c>
      <c r="B7149" t="s">
        <v>18</v>
      </c>
      <c r="C7149">
        <v>52044</v>
      </c>
      <c r="D7149" t="str">
        <f>"52044"</f>
        <v>52044</v>
      </c>
      <c r="E7149" t="s">
        <v>6</v>
      </c>
    </row>
    <row r="7150" spans="1:5" x14ac:dyDescent="0.2">
      <c r="A7150">
        <v>52045</v>
      </c>
      <c r="B7150" t="s">
        <v>18</v>
      </c>
      <c r="C7150">
        <v>52045</v>
      </c>
      <c r="D7150" t="str">
        <f>"52045"</f>
        <v>52045</v>
      </c>
      <c r="E7150">
        <v>75.42</v>
      </c>
    </row>
    <row r="7151" spans="1:5" x14ac:dyDescent="0.2">
      <c r="A7151">
        <v>52046</v>
      </c>
      <c r="B7151" t="s">
        <v>18</v>
      </c>
      <c r="C7151">
        <v>52046</v>
      </c>
      <c r="D7151" t="str">
        <f>"52046"</f>
        <v>52046</v>
      </c>
      <c r="E7151">
        <v>75.23</v>
      </c>
    </row>
    <row r="7152" spans="1:5" x14ac:dyDescent="0.2">
      <c r="A7152">
        <v>52047</v>
      </c>
      <c r="B7152" t="s">
        <v>18</v>
      </c>
      <c r="C7152">
        <v>52047</v>
      </c>
      <c r="D7152" t="str">
        <f>"52047"</f>
        <v>52047</v>
      </c>
      <c r="E7152">
        <v>67.86</v>
      </c>
    </row>
    <row r="7153" spans="1:5" x14ac:dyDescent="0.2">
      <c r="A7153">
        <v>52048</v>
      </c>
      <c r="B7153" t="s">
        <v>18</v>
      </c>
      <c r="C7153">
        <v>52048</v>
      </c>
      <c r="D7153" t="str">
        <f>"52048"</f>
        <v>52048</v>
      </c>
      <c r="E7153">
        <v>66.67</v>
      </c>
    </row>
    <row r="7154" spans="1:5" x14ac:dyDescent="0.2">
      <c r="A7154">
        <v>52049</v>
      </c>
      <c r="B7154" t="s">
        <v>18</v>
      </c>
      <c r="C7154">
        <v>52049</v>
      </c>
      <c r="D7154" t="str">
        <f>"52049"</f>
        <v>52049</v>
      </c>
      <c r="E7154">
        <v>77.42</v>
      </c>
    </row>
    <row r="7155" spans="1:5" x14ac:dyDescent="0.2">
      <c r="A7155">
        <v>52050</v>
      </c>
      <c r="B7155" t="s">
        <v>18</v>
      </c>
      <c r="C7155">
        <v>52050</v>
      </c>
      <c r="D7155" t="str">
        <f>"52050"</f>
        <v>52050</v>
      </c>
      <c r="E7155">
        <v>62.5</v>
      </c>
    </row>
    <row r="7156" spans="1:5" x14ac:dyDescent="0.2">
      <c r="A7156">
        <v>52052</v>
      </c>
      <c r="B7156" t="s">
        <v>18</v>
      </c>
      <c r="C7156">
        <v>52052</v>
      </c>
      <c r="D7156" t="str">
        <f>"52052"</f>
        <v>52052</v>
      </c>
      <c r="E7156">
        <v>73.569999999999993</v>
      </c>
    </row>
    <row r="7157" spans="1:5" x14ac:dyDescent="0.2">
      <c r="A7157">
        <v>52053</v>
      </c>
      <c r="B7157" t="s">
        <v>18</v>
      </c>
      <c r="C7157">
        <v>52053</v>
      </c>
      <c r="D7157" t="str">
        <f>"52053"</f>
        <v>52053</v>
      </c>
      <c r="E7157">
        <v>68.63</v>
      </c>
    </row>
    <row r="7158" spans="1:5" x14ac:dyDescent="0.2">
      <c r="A7158">
        <v>52054</v>
      </c>
      <c r="B7158" t="s">
        <v>18</v>
      </c>
      <c r="C7158">
        <v>52054</v>
      </c>
      <c r="D7158" t="str">
        <f>"52054"</f>
        <v>52054</v>
      </c>
      <c r="E7158">
        <v>74.47</v>
      </c>
    </row>
    <row r="7159" spans="1:5" x14ac:dyDescent="0.2">
      <c r="A7159">
        <v>52056</v>
      </c>
      <c r="B7159" t="s">
        <v>18</v>
      </c>
      <c r="C7159">
        <v>52056</v>
      </c>
      <c r="D7159" t="str">
        <f>"52056"</f>
        <v>52056</v>
      </c>
      <c r="E7159" t="s">
        <v>6</v>
      </c>
    </row>
    <row r="7160" spans="1:5" x14ac:dyDescent="0.2">
      <c r="A7160">
        <v>52057</v>
      </c>
      <c r="B7160" t="s">
        <v>18</v>
      </c>
      <c r="C7160">
        <v>52057</v>
      </c>
      <c r="D7160" t="str">
        <f>"52057"</f>
        <v>52057</v>
      </c>
      <c r="E7160">
        <v>75.069999999999993</v>
      </c>
    </row>
    <row r="7161" spans="1:5" x14ac:dyDescent="0.2">
      <c r="A7161">
        <v>52060</v>
      </c>
      <c r="B7161" t="s">
        <v>18</v>
      </c>
      <c r="C7161">
        <v>52060</v>
      </c>
      <c r="D7161" t="str">
        <f>"52060"</f>
        <v>52060</v>
      </c>
      <c r="E7161">
        <v>70.180000000000007</v>
      </c>
    </row>
    <row r="7162" spans="1:5" x14ac:dyDescent="0.2">
      <c r="A7162">
        <v>52064</v>
      </c>
      <c r="B7162" t="s">
        <v>18</v>
      </c>
      <c r="C7162">
        <v>52064</v>
      </c>
      <c r="D7162" t="str">
        <f>"52064"</f>
        <v>52064</v>
      </c>
      <c r="E7162">
        <v>74.36</v>
      </c>
    </row>
    <row r="7163" spans="1:5" x14ac:dyDescent="0.2">
      <c r="A7163">
        <v>52065</v>
      </c>
      <c r="B7163" t="s">
        <v>18</v>
      </c>
      <c r="C7163">
        <v>52065</v>
      </c>
      <c r="D7163" t="str">
        <f>"52065"</f>
        <v>52065</v>
      </c>
      <c r="E7163">
        <v>76.739999999999995</v>
      </c>
    </row>
    <row r="7164" spans="1:5" x14ac:dyDescent="0.2">
      <c r="A7164">
        <v>52066</v>
      </c>
      <c r="B7164" t="s">
        <v>18</v>
      </c>
      <c r="C7164">
        <v>52066</v>
      </c>
      <c r="D7164" t="str">
        <f>"52066"</f>
        <v>52066</v>
      </c>
      <c r="E7164" t="s">
        <v>6</v>
      </c>
    </row>
    <row r="7165" spans="1:5" x14ac:dyDescent="0.2">
      <c r="A7165">
        <v>52068</v>
      </c>
      <c r="B7165" t="s">
        <v>18</v>
      </c>
      <c r="C7165">
        <v>52068</v>
      </c>
      <c r="D7165" t="str">
        <f>"52068"</f>
        <v>52068</v>
      </c>
      <c r="E7165">
        <v>80.09</v>
      </c>
    </row>
    <row r="7166" spans="1:5" x14ac:dyDescent="0.2">
      <c r="A7166">
        <v>52069</v>
      </c>
      <c r="B7166" t="s">
        <v>18</v>
      </c>
      <c r="C7166">
        <v>52069</v>
      </c>
      <c r="D7166" t="str">
        <f>"52069"</f>
        <v>52069</v>
      </c>
      <c r="E7166">
        <v>75</v>
      </c>
    </row>
    <row r="7167" spans="1:5" x14ac:dyDescent="0.2">
      <c r="A7167">
        <v>52070</v>
      </c>
      <c r="B7167" t="s">
        <v>18</v>
      </c>
      <c r="C7167">
        <v>52070</v>
      </c>
      <c r="D7167" t="str">
        <f>"52070"</f>
        <v>52070</v>
      </c>
      <c r="E7167">
        <v>77.08</v>
      </c>
    </row>
    <row r="7168" spans="1:5" x14ac:dyDescent="0.2">
      <c r="A7168">
        <v>52071</v>
      </c>
      <c r="B7168" t="s">
        <v>18</v>
      </c>
      <c r="C7168">
        <v>52071</v>
      </c>
      <c r="D7168" t="str">
        <f>"52071"</f>
        <v>52071</v>
      </c>
      <c r="E7168" t="s">
        <v>6</v>
      </c>
    </row>
    <row r="7169" spans="1:5" x14ac:dyDescent="0.2">
      <c r="A7169">
        <v>52072</v>
      </c>
      <c r="B7169" t="s">
        <v>18</v>
      </c>
      <c r="C7169">
        <v>52072</v>
      </c>
      <c r="D7169" t="str">
        <f>"52072"</f>
        <v>52072</v>
      </c>
      <c r="E7169">
        <v>78.95</v>
      </c>
    </row>
    <row r="7170" spans="1:5" x14ac:dyDescent="0.2">
      <c r="A7170">
        <v>52073</v>
      </c>
      <c r="B7170" t="s">
        <v>18</v>
      </c>
      <c r="C7170">
        <v>52073</v>
      </c>
      <c r="D7170" t="str">
        <f>"52073"</f>
        <v>52073</v>
      </c>
      <c r="E7170">
        <v>76.62</v>
      </c>
    </row>
    <row r="7171" spans="1:5" x14ac:dyDescent="0.2">
      <c r="A7171">
        <v>52074</v>
      </c>
      <c r="B7171" t="s">
        <v>18</v>
      </c>
      <c r="C7171">
        <v>52074</v>
      </c>
      <c r="D7171" t="str">
        <f>"52074"</f>
        <v>52074</v>
      </c>
      <c r="E7171">
        <v>83.33</v>
      </c>
    </row>
    <row r="7172" spans="1:5" x14ac:dyDescent="0.2">
      <c r="A7172">
        <v>52075</v>
      </c>
      <c r="B7172" t="s">
        <v>18</v>
      </c>
      <c r="C7172">
        <v>52075</v>
      </c>
      <c r="D7172" t="str">
        <f>"52075"</f>
        <v>52075</v>
      </c>
      <c r="E7172" t="s">
        <v>6</v>
      </c>
    </row>
    <row r="7173" spans="1:5" x14ac:dyDescent="0.2">
      <c r="A7173">
        <v>52076</v>
      </c>
      <c r="B7173" t="s">
        <v>18</v>
      </c>
      <c r="C7173">
        <v>52076</v>
      </c>
      <c r="D7173" t="str">
        <f>"52076"</f>
        <v>52076</v>
      </c>
      <c r="E7173">
        <v>72.92</v>
      </c>
    </row>
    <row r="7174" spans="1:5" x14ac:dyDescent="0.2">
      <c r="A7174">
        <v>52077</v>
      </c>
      <c r="B7174" t="s">
        <v>18</v>
      </c>
      <c r="C7174">
        <v>52077</v>
      </c>
      <c r="D7174" t="str">
        <f>"52077"</f>
        <v>52077</v>
      </c>
      <c r="E7174">
        <v>66.67</v>
      </c>
    </row>
    <row r="7175" spans="1:5" x14ac:dyDescent="0.2">
      <c r="A7175">
        <v>52078</v>
      </c>
      <c r="B7175" t="s">
        <v>18</v>
      </c>
      <c r="C7175">
        <v>52078</v>
      </c>
      <c r="D7175" t="str">
        <f>"52078"</f>
        <v>52078</v>
      </c>
      <c r="E7175">
        <v>77.5</v>
      </c>
    </row>
    <row r="7176" spans="1:5" x14ac:dyDescent="0.2">
      <c r="A7176">
        <v>52079</v>
      </c>
      <c r="B7176" t="s">
        <v>18</v>
      </c>
      <c r="C7176">
        <v>52079</v>
      </c>
      <c r="D7176" t="str">
        <f>"52079"</f>
        <v>52079</v>
      </c>
      <c r="E7176">
        <v>76.47</v>
      </c>
    </row>
    <row r="7177" spans="1:5" x14ac:dyDescent="0.2">
      <c r="A7177">
        <v>52101</v>
      </c>
      <c r="B7177" t="s">
        <v>18</v>
      </c>
      <c r="C7177">
        <v>52101</v>
      </c>
      <c r="D7177" t="str">
        <f>"52101"</f>
        <v>52101</v>
      </c>
      <c r="E7177">
        <v>76.28</v>
      </c>
    </row>
    <row r="7178" spans="1:5" x14ac:dyDescent="0.2">
      <c r="A7178">
        <v>52132</v>
      </c>
      <c r="B7178" t="s">
        <v>18</v>
      </c>
      <c r="C7178">
        <v>52132</v>
      </c>
      <c r="D7178" t="str">
        <f>"52132"</f>
        <v>52132</v>
      </c>
      <c r="E7178">
        <v>76.19</v>
      </c>
    </row>
    <row r="7179" spans="1:5" x14ac:dyDescent="0.2">
      <c r="A7179">
        <v>52133</v>
      </c>
      <c r="B7179" t="s">
        <v>18</v>
      </c>
      <c r="C7179">
        <v>52133</v>
      </c>
      <c r="D7179" t="str">
        <f>"52133"</f>
        <v>52133</v>
      </c>
      <c r="E7179">
        <v>70</v>
      </c>
    </row>
    <row r="7180" spans="1:5" x14ac:dyDescent="0.2">
      <c r="A7180">
        <v>52134</v>
      </c>
      <c r="B7180" t="s">
        <v>18</v>
      </c>
      <c r="C7180">
        <v>52134</v>
      </c>
      <c r="D7180" t="str">
        <f>"52134"</f>
        <v>52134</v>
      </c>
      <c r="E7180">
        <v>69.23</v>
      </c>
    </row>
    <row r="7181" spans="1:5" x14ac:dyDescent="0.2">
      <c r="A7181">
        <v>52135</v>
      </c>
      <c r="B7181" t="s">
        <v>18</v>
      </c>
      <c r="C7181">
        <v>52135</v>
      </c>
      <c r="D7181" t="str">
        <f>"52135"</f>
        <v>52135</v>
      </c>
      <c r="E7181">
        <v>78.38</v>
      </c>
    </row>
    <row r="7182" spans="1:5" x14ac:dyDescent="0.2">
      <c r="A7182">
        <v>52136</v>
      </c>
      <c r="B7182" t="s">
        <v>18</v>
      </c>
      <c r="C7182">
        <v>52136</v>
      </c>
      <c r="D7182" t="str">
        <f>"52136"</f>
        <v>52136</v>
      </c>
      <c r="E7182">
        <v>72.73</v>
      </c>
    </row>
    <row r="7183" spans="1:5" x14ac:dyDescent="0.2">
      <c r="A7183">
        <v>52140</v>
      </c>
      <c r="B7183" t="s">
        <v>18</v>
      </c>
      <c r="C7183">
        <v>52140</v>
      </c>
      <c r="D7183" t="str">
        <f>"52140"</f>
        <v>52140</v>
      </c>
      <c r="E7183">
        <v>73.91</v>
      </c>
    </row>
    <row r="7184" spans="1:5" x14ac:dyDescent="0.2">
      <c r="A7184">
        <v>52141</v>
      </c>
      <c r="B7184" t="s">
        <v>18</v>
      </c>
      <c r="C7184">
        <v>52141</v>
      </c>
      <c r="D7184" t="str">
        <f>"52141"</f>
        <v>52141</v>
      </c>
      <c r="E7184">
        <v>68.75</v>
      </c>
    </row>
    <row r="7185" spans="1:5" x14ac:dyDescent="0.2">
      <c r="A7185">
        <v>52142</v>
      </c>
      <c r="B7185" t="s">
        <v>18</v>
      </c>
      <c r="C7185">
        <v>52142</v>
      </c>
      <c r="D7185" t="str">
        <f>"52142"</f>
        <v>52142</v>
      </c>
      <c r="E7185">
        <v>72.88</v>
      </c>
    </row>
    <row r="7186" spans="1:5" x14ac:dyDescent="0.2">
      <c r="A7186">
        <v>52144</v>
      </c>
      <c r="B7186" t="s">
        <v>18</v>
      </c>
      <c r="C7186">
        <v>52144</v>
      </c>
      <c r="D7186" t="str">
        <f>"52144"</f>
        <v>52144</v>
      </c>
      <c r="E7186">
        <v>74.14</v>
      </c>
    </row>
    <row r="7187" spans="1:5" x14ac:dyDescent="0.2">
      <c r="A7187">
        <v>52146</v>
      </c>
      <c r="B7187" t="s">
        <v>18</v>
      </c>
      <c r="C7187">
        <v>52146</v>
      </c>
      <c r="D7187" t="str">
        <f>"52146"</f>
        <v>52146</v>
      </c>
      <c r="E7187">
        <v>76.739999999999995</v>
      </c>
    </row>
    <row r="7188" spans="1:5" x14ac:dyDescent="0.2">
      <c r="A7188">
        <v>52147</v>
      </c>
      <c r="B7188" t="s">
        <v>18</v>
      </c>
      <c r="C7188">
        <v>52147</v>
      </c>
      <c r="D7188" t="str">
        <f>"52147"</f>
        <v>52147</v>
      </c>
      <c r="E7188">
        <v>75.510000000000005</v>
      </c>
    </row>
    <row r="7189" spans="1:5" x14ac:dyDescent="0.2">
      <c r="A7189">
        <v>52151</v>
      </c>
      <c r="B7189" t="s">
        <v>18</v>
      </c>
      <c r="C7189">
        <v>52151</v>
      </c>
      <c r="D7189" t="str">
        <f>"52151"</f>
        <v>52151</v>
      </c>
      <c r="E7189">
        <v>74</v>
      </c>
    </row>
    <row r="7190" spans="1:5" x14ac:dyDescent="0.2">
      <c r="A7190">
        <v>52154</v>
      </c>
      <c r="B7190" t="s">
        <v>18</v>
      </c>
      <c r="C7190">
        <v>52154</v>
      </c>
      <c r="D7190" t="str">
        <f>"52154"</f>
        <v>52154</v>
      </c>
      <c r="E7190">
        <v>72.92</v>
      </c>
    </row>
    <row r="7191" spans="1:5" x14ac:dyDescent="0.2">
      <c r="A7191">
        <v>52155</v>
      </c>
      <c r="B7191" t="s">
        <v>18</v>
      </c>
      <c r="C7191">
        <v>52155</v>
      </c>
      <c r="D7191" t="str">
        <f>"52155"</f>
        <v>52155</v>
      </c>
      <c r="E7191">
        <v>69.64</v>
      </c>
    </row>
    <row r="7192" spans="1:5" x14ac:dyDescent="0.2">
      <c r="A7192">
        <v>52156</v>
      </c>
      <c r="B7192" t="s">
        <v>18</v>
      </c>
      <c r="C7192">
        <v>52156</v>
      </c>
      <c r="D7192" t="str">
        <f>"52156"</f>
        <v>52156</v>
      </c>
      <c r="E7192">
        <v>71.88</v>
      </c>
    </row>
    <row r="7193" spans="1:5" x14ac:dyDescent="0.2">
      <c r="A7193">
        <v>52157</v>
      </c>
      <c r="B7193" t="s">
        <v>18</v>
      </c>
      <c r="C7193">
        <v>52157</v>
      </c>
      <c r="D7193" t="str">
        <f>"52157"</f>
        <v>52157</v>
      </c>
      <c r="E7193">
        <v>76.25</v>
      </c>
    </row>
    <row r="7194" spans="1:5" x14ac:dyDescent="0.2">
      <c r="A7194">
        <v>52158</v>
      </c>
      <c r="B7194" t="s">
        <v>18</v>
      </c>
      <c r="C7194">
        <v>52158</v>
      </c>
      <c r="D7194" t="str">
        <f>"52158"</f>
        <v>52158</v>
      </c>
      <c r="E7194" t="s">
        <v>6</v>
      </c>
    </row>
    <row r="7195" spans="1:5" x14ac:dyDescent="0.2">
      <c r="A7195">
        <v>52159</v>
      </c>
      <c r="B7195" t="s">
        <v>18</v>
      </c>
      <c r="C7195">
        <v>52159</v>
      </c>
      <c r="D7195" t="str">
        <f>"52159"</f>
        <v>52159</v>
      </c>
      <c r="E7195">
        <v>76.19</v>
      </c>
    </row>
    <row r="7196" spans="1:5" x14ac:dyDescent="0.2">
      <c r="A7196">
        <v>52160</v>
      </c>
      <c r="B7196" t="s">
        <v>18</v>
      </c>
      <c r="C7196">
        <v>52160</v>
      </c>
      <c r="D7196" t="str">
        <f>"52160"</f>
        <v>52160</v>
      </c>
      <c r="E7196">
        <v>76.92</v>
      </c>
    </row>
    <row r="7197" spans="1:5" x14ac:dyDescent="0.2">
      <c r="A7197">
        <v>52161</v>
      </c>
      <c r="B7197" t="s">
        <v>18</v>
      </c>
      <c r="C7197">
        <v>52161</v>
      </c>
      <c r="D7197" t="str">
        <f>"52161"</f>
        <v>52161</v>
      </c>
      <c r="E7197">
        <v>78.13</v>
      </c>
    </row>
    <row r="7198" spans="1:5" x14ac:dyDescent="0.2">
      <c r="A7198">
        <v>52162</v>
      </c>
      <c r="B7198" t="s">
        <v>18</v>
      </c>
      <c r="C7198">
        <v>52162</v>
      </c>
      <c r="D7198" t="str">
        <f>"52162"</f>
        <v>52162</v>
      </c>
      <c r="E7198">
        <v>63.97</v>
      </c>
    </row>
    <row r="7199" spans="1:5" x14ac:dyDescent="0.2">
      <c r="A7199">
        <v>52163</v>
      </c>
      <c r="B7199" t="s">
        <v>18</v>
      </c>
      <c r="C7199">
        <v>52163</v>
      </c>
      <c r="D7199" t="str">
        <f>"52163"</f>
        <v>52163</v>
      </c>
      <c r="E7199" t="s">
        <v>6</v>
      </c>
    </row>
    <row r="7200" spans="1:5" x14ac:dyDescent="0.2">
      <c r="A7200">
        <v>52164</v>
      </c>
      <c r="B7200" t="s">
        <v>18</v>
      </c>
      <c r="C7200">
        <v>52164</v>
      </c>
      <c r="D7200" t="str">
        <f>"52164"</f>
        <v>52164</v>
      </c>
      <c r="E7200">
        <v>60</v>
      </c>
    </row>
    <row r="7201" spans="1:5" x14ac:dyDescent="0.2">
      <c r="A7201">
        <v>52165</v>
      </c>
      <c r="B7201" t="s">
        <v>18</v>
      </c>
      <c r="C7201">
        <v>52165</v>
      </c>
      <c r="D7201" t="str">
        <f>"52165"</f>
        <v>52165</v>
      </c>
      <c r="E7201">
        <v>71.430000000000007</v>
      </c>
    </row>
    <row r="7202" spans="1:5" x14ac:dyDescent="0.2">
      <c r="A7202">
        <v>52166</v>
      </c>
      <c r="B7202" t="s">
        <v>18</v>
      </c>
      <c r="C7202">
        <v>52166</v>
      </c>
      <c r="D7202" t="str">
        <f>"52166"</f>
        <v>52166</v>
      </c>
      <c r="E7202" t="s">
        <v>6</v>
      </c>
    </row>
    <row r="7203" spans="1:5" x14ac:dyDescent="0.2">
      <c r="A7203">
        <v>52168</v>
      </c>
      <c r="B7203" t="s">
        <v>18</v>
      </c>
      <c r="C7203">
        <v>52168</v>
      </c>
      <c r="D7203" t="str">
        <f>"52168"</f>
        <v>52168</v>
      </c>
      <c r="E7203" t="s">
        <v>6</v>
      </c>
    </row>
    <row r="7204" spans="1:5" x14ac:dyDescent="0.2">
      <c r="A7204">
        <v>52169</v>
      </c>
      <c r="B7204" t="s">
        <v>18</v>
      </c>
      <c r="C7204">
        <v>52169</v>
      </c>
      <c r="D7204" t="str">
        <f>"52169"</f>
        <v>52169</v>
      </c>
      <c r="E7204">
        <v>72.22</v>
      </c>
    </row>
    <row r="7205" spans="1:5" x14ac:dyDescent="0.2">
      <c r="A7205">
        <v>52170</v>
      </c>
      <c r="B7205" t="s">
        <v>18</v>
      </c>
      <c r="C7205">
        <v>52170</v>
      </c>
      <c r="D7205" t="str">
        <f>"52170"</f>
        <v>52170</v>
      </c>
      <c r="E7205">
        <v>78.260000000000005</v>
      </c>
    </row>
    <row r="7206" spans="1:5" x14ac:dyDescent="0.2">
      <c r="A7206">
        <v>52171</v>
      </c>
      <c r="B7206" t="s">
        <v>18</v>
      </c>
      <c r="C7206">
        <v>52171</v>
      </c>
      <c r="D7206" t="str">
        <f>"52171"</f>
        <v>52171</v>
      </c>
      <c r="E7206">
        <v>75</v>
      </c>
    </row>
    <row r="7207" spans="1:5" x14ac:dyDescent="0.2">
      <c r="A7207">
        <v>52172</v>
      </c>
      <c r="B7207" t="s">
        <v>18</v>
      </c>
      <c r="C7207">
        <v>52172</v>
      </c>
      <c r="D7207" t="str">
        <f>"52172"</f>
        <v>52172</v>
      </c>
      <c r="E7207">
        <v>72.56</v>
      </c>
    </row>
    <row r="7208" spans="1:5" x14ac:dyDescent="0.2">
      <c r="A7208">
        <v>52175</v>
      </c>
      <c r="B7208" t="s">
        <v>18</v>
      </c>
      <c r="C7208">
        <v>52175</v>
      </c>
      <c r="D7208" t="str">
        <f>"52175"</f>
        <v>52175</v>
      </c>
      <c r="E7208">
        <v>72.900000000000006</v>
      </c>
    </row>
    <row r="7209" spans="1:5" x14ac:dyDescent="0.2">
      <c r="A7209">
        <v>52201</v>
      </c>
      <c r="B7209" t="s">
        <v>18</v>
      </c>
      <c r="C7209">
        <v>52201</v>
      </c>
      <c r="D7209" t="str">
        <f>"52201"</f>
        <v>52201</v>
      </c>
      <c r="E7209">
        <v>75</v>
      </c>
    </row>
    <row r="7210" spans="1:5" x14ac:dyDescent="0.2">
      <c r="A7210">
        <v>52202</v>
      </c>
      <c r="B7210" t="s">
        <v>18</v>
      </c>
      <c r="C7210">
        <v>52202</v>
      </c>
      <c r="D7210" t="str">
        <f>"52202"</f>
        <v>52202</v>
      </c>
      <c r="E7210">
        <v>81.13</v>
      </c>
    </row>
    <row r="7211" spans="1:5" x14ac:dyDescent="0.2">
      <c r="A7211">
        <v>52203</v>
      </c>
      <c r="B7211" t="s">
        <v>18</v>
      </c>
      <c r="C7211">
        <v>52203</v>
      </c>
      <c r="D7211" t="str">
        <f>"52203"</f>
        <v>52203</v>
      </c>
      <c r="E7211">
        <v>81.63</v>
      </c>
    </row>
    <row r="7212" spans="1:5" x14ac:dyDescent="0.2">
      <c r="A7212">
        <v>52204</v>
      </c>
      <c r="B7212" t="s">
        <v>18</v>
      </c>
      <c r="C7212">
        <v>52204</v>
      </c>
      <c r="D7212" t="str">
        <f>"52204"</f>
        <v>52204</v>
      </c>
      <c r="E7212" t="s">
        <v>6</v>
      </c>
    </row>
    <row r="7213" spans="1:5" x14ac:dyDescent="0.2">
      <c r="A7213">
        <v>52205</v>
      </c>
      <c r="B7213" t="s">
        <v>18</v>
      </c>
      <c r="C7213">
        <v>52205</v>
      </c>
      <c r="D7213" t="str">
        <f>"52205"</f>
        <v>52205</v>
      </c>
      <c r="E7213">
        <v>78.06</v>
      </c>
    </row>
    <row r="7214" spans="1:5" x14ac:dyDescent="0.2">
      <c r="A7214">
        <v>52206</v>
      </c>
      <c r="B7214" t="s">
        <v>18</v>
      </c>
      <c r="C7214">
        <v>52206</v>
      </c>
      <c r="D7214" t="str">
        <f>"52206"</f>
        <v>52206</v>
      </c>
      <c r="E7214">
        <v>84.07</v>
      </c>
    </row>
    <row r="7215" spans="1:5" x14ac:dyDescent="0.2">
      <c r="A7215">
        <v>52207</v>
      </c>
      <c r="B7215" t="s">
        <v>18</v>
      </c>
      <c r="C7215">
        <v>52207</v>
      </c>
      <c r="D7215" t="str">
        <f>"52207"</f>
        <v>52207</v>
      </c>
      <c r="E7215">
        <v>63.16</v>
      </c>
    </row>
    <row r="7216" spans="1:5" x14ac:dyDescent="0.2">
      <c r="A7216">
        <v>52208</v>
      </c>
      <c r="B7216" t="s">
        <v>18</v>
      </c>
      <c r="C7216">
        <v>52208</v>
      </c>
      <c r="D7216" t="str">
        <f>"52208"</f>
        <v>52208</v>
      </c>
      <c r="E7216">
        <v>76.64</v>
      </c>
    </row>
    <row r="7217" spans="1:5" x14ac:dyDescent="0.2">
      <c r="A7217">
        <v>52209</v>
      </c>
      <c r="B7217" t="s">
        <v>18</v>
      </c>
      <c r="C7217">
        <v>52209</v>
      </c>
      <c r="D7217" t="str">
        <f>"52209"</f>
        <v>52209</v>
      </c>
      <c r="E7217">
        <v>77.55</v>
      </c>
    </row>
    <row r="7218" spans="1:5" x14ac:dyDescent="0.2">
      <c r="A7218">
        <v>52210</v>
      </c>
      <c r="B7218" t="s">
        <v>18</v>
      </c>
      <c r="C7218">
        <v>52210</v>
      </c>
      <c r="D7218" t="str">
        <f>"52210"</f>
        <v>52210</v>
      </c>
      <c r="E7218">
        <v>70.59</v>
      </c>
    </row>
    <row r="7219" spans="1:5" x14ac:dyDescent="0.2">
      <c r="A7219">
        <v>52211</v>
      </c>
      <c r="B7219" t="s">
        <v>18</v>
      </c>
      <c r="C7219">
        <v>52211</v>
      </c>
      <c r="D7219" t="str">
        <f>"52211"</f>
        <v>52211</v>
      </c>
      <c r="E7219">
        <v>77.52</v>
      </c>
    </row>
    <row r="7220" spans="1:5" x14ac:dyDescent="0.2">
      <c r="A7220">
        <v>52212</v>
      </c>
      <c r="B7220" t="s">
        <v>18</v>
      </c>
      <c r="C7220">
        <v>52212</v>
      </c>
      <c r="D7220" t="str">
        <f>"52212"</f>
        <v>52212</v>
      </c>
      <c r="E7220">
        <v>83.33</v>
      </c>
    </row>
    <row r="7221" spans="1:5" x14ac:dyDescent="0.2">
      <c r="A7221">
        <v>52213</v>
      </c>
      <c r="B7221" t="s">
        <v>18</v>
      </c>
      <c r="C7221">
        <v>52213</v>
      </c>
      <c r="D7221" t="str">
        <f>"52213"</f>
        <v>52213</v>
      </c>
      <c r="E7221">
        <v>79.33</v>
      </c>
    </row>
    <row r="7222" spans="1:5" x14ac:dyDescent="0.2">
      <c r="A7222">
        <v>52214</v>
      </c>
      <c r="B7222" t="s">
        <v>18</v>
      </c>
      <c r="C7222">
        <v>52214</v>
      </c>
      <c r="D7222" t="str">
        <f>"52214"</f>
        <v>52214</v>
      </c>
      <c r="E7222">
        <v>78.17</v>
      </c>
    </row>
    <row r="7223" spans="1:5" x14ac:dyDescent="0.2">
      <c r="A7223">
        <v>52215</v>
      </c>
      <c r="B7223" t="s">
        <v>18</v>
      </c>
      <c r="C7223">
        <v>52215</v>
      </c>
      <c r="D7223" t="str">
        <f>"52215"</f>
        <v>52215</v>
      </c>
      <c r="E7223">
        <v>71.790000000000006</v>
      </c>
    </row>
    <row r="7224" spans="1:5" x14ac:dyDescent="0.2">
      <c r="A7224">
        <v>52216</v>
      </c>
      <c r="B7224" t="s">
        <v>18</v>
      </c>
      <c r="C7224">
        <v>52216</v>
      </c>
      <c r="D7224" t="str">
        <f>"52216"</f>
        <v>52216</v>
      </c>
      <c r="E7224">
        <v>76.12</v>
      </c>
    </row>
    <row r="7225" spans="1:5" x14ac:dyDescent="0.2">
      <c r="A7225">
        <v>52217</v>
      </c>
      <c r="B7225" t="s">
        <v>18</v>
      </c>
      <c r="C7225">
        <v>52217</v>
      </c>
      <c r="D7225" t="str">
        <f>"52217"</f>
        <v>52217</v>
      </c>
      <c r="E7225">
        <v>70.83</v>
      </c>
    </row>
    <row r="7226" spans="1:5" x14ac:dyDescent="0.2">
      <c r="A7226">
        <v>52218</v>
      </c>
      <c r="B7226" t="s">
        <v>18</v>
      </c>
      <c r="C7226">
        <v>52218</v>
      </c>
      <c r="D7226" t="str">
        <f>"52218"</f>
        <v>52218</v>
      </c>
      <c r="E7226">
        <v>78.569999999999993</v>
      </c>
    </row>
    <row r="7227" spans="1:5" x14ac:dyDescent="0.2">
      <c r="A7227">
        <v>52219</v>
      </c>
      <c r="B7227" t="s">
        <v>18</v>
      </c>
      <c r="C7227">
        <v>52219</v>
      </c>
      <c r="D7227" t="str">
        <f>"52219"</f>
        <v>52219</v>
      </c>
      <c r="E7227" t="s">
        <v>6</v>
      </c>
    </row>
    <row r="7228" spans="1:5" x14ac:dyDescent="0.2">
      <c r="A7228">
        <v>52220</v>
      </c>
      <c r="B7228" t="s">
        <v>18</v>
      </c>
      <c r="C7228">
        <v>52220</v>
      </c>
      <c r="D7228" t="str">
        <f>"52220"</f>
        <v>52220</v>
      </c>
      <c r="E7228" t="s">
        <v>6</v>
      </c>
    </row>
    <row r="7229" spans="1:5" x14ac:dyDescent="0.2">
      <c r="A7229">
        <v>52221</v>
      </c>
      <c r="B7229" t="s">
        <v>18</v>
      </c>
      <c r="C7229">
        <v>52221</v>
      </c>
      <c r="D7229" t="str">
        <f>"52221"</f>
        <v>52221</v>
      </c>
      <c r="E7229">
        <v>80</v>
      </c>
    </row>
    <row r="7230" spans="1:5" x14ac:dyDescent="0.2">
      <c r="A7230">
        <v>52222</v>
      </c>
      <c r="B7230" t="s">
        <v>18</v>
      </c>
      <c r="C7230">
        <v>52222</v>
      </c>
      <c r="D7230" t="str">
        <f>"52222"</f>
        <v>52222</v>
      </c>
      <c r="E7230">
        <v>72.41</v>
      </c>
    </row>
    <row r="7231" spans="1:5" x14ac:dyDescent="0.2">
      <c r="A7231">
        <v>52223</v>
      </c>
      <c r="B7231" t="s">
        <v>18</v>
      </c>
      <c r="C7231">
        <v>52223</v>
      </c>
      <c r="D7231" t="str">
        <f>"52223"</f>
        <v>52223</v>
      </c>
      <c r="E7231">
        <v>76.81</v>
      </c>
    </row>
    <row r="7232" spans="1:5" x14ac:dyDescent="0.2">
      <c r="A7232">
        <v>52224</v>
      </c>
      <c r="B7232" t="s">
        <v>18</v>
      </c>
      <c r="C7232">
        <v>52224</v>
      </c>
      <c r="D7232" t="str">
        <f>"52224"</f>
        <v>52224</v>
      </c>
      <c r="E7232">
        <v>75.819999999999993</v>
      </c>
    </row>
    <row r="7233" spans="1:5" x14ac:dyDescent="0.2">
      <c r="A7233">
        <v>52225</v>
      </c>
      <c r="B7233" t="s">
        <v>18</v>
      </c>
      <c r="C7233">
        <v>52225</v>
      </c>
      <c r="D7233" t="str">
        <f>"52225"</f>
        <v>52225</v>
      </c>
      <c r="E7233">
        <v>76.19</v>
      </c>
    </row>
    <row r="7234" spans="1:5" x14ac:dyDescent="0.2">
      <c r="A7234">
        <v>52227</v>
      </c>
      <c r="B7234" t="s">
        <v>18</v>
      </c>
      <c r="C7234">
        <v>52227</v>
      </c>
      <c r="D7234" t="str">
        <f>"52227"</f>
        <v>52227</v>
      </c>
      <c r="E7234">
        <v>83.82</v>
      </c>
    </row>
    <row r="7235" spans="1:5" x14ac:dyDescent="0.2">
      <c r="A7235">
        <v>52228</v>
      </c>
      <c r="B7235" t="s">
        <v>18</v>
      </c>
      <c r="C7235">
        <v>52228</v>
      </c>
      <c r="D7235" t="str">
        <f>"52228"</f>
        <v>52228</v>
      </c>
      <c r="E7235">
        <v>81.599999999999994</v>
      </c>
    </row>
    <row r="7236" spans="1:5" x14ac:dyDescent="0.2">
      <c r="A7236">
        <v>52229</v>
      </c>
      <c r="B7236" t="s">
        <v>18</v>
      </c>
      <c r="C7236">
        <v>52229</v>
      </c>
      <c r="D7236" t="str">
        <f>"52229"</f>
        <v>52229</v>
      </c>
      <c r="E7236">
        <v>72.41</v>
      </c>
    </row>
    <row r="7237" spans="1:5" x14ac:dyDescent="0.2">
      <c r="A7237">
        <v>52231</v>
      </c>
      <c r="B7237" t="s">
        <v>18</v>
      </c>
      <c r="C7237">
        <v>52231</v>
      </c>
      <c r="D7237" t="str">
        <f>"52231"</f>
        <v>52231</v>
      </c>
      <c r="E7237">
        <v>73.33</v>
      </c>
    </row>
    <row r="7238" spans="1:5" x14ac:dyDescent="0.2">
      <c r="A7238">
        <v>52232</v>
      </c>
      <c r="B7238" t="s">
        <v>18</v>
      </c>
      <c r="C7238">
        <v>52232</v>
      </c>
      <c r="D7238" t="str">
        <f>"52232"</f>
        <v>52232</v>
      </c>
      <c r="E7238" t="s">
        <v>6</v>
      </c>
    </row>
    <row r="7239" spans="1:5" x14ac:dyDescent="0.2">
      <c r="A7239">
        <v>52233</v>
      </c>
      <c r="B7239" t="s">
        <v>18</v>
      </c>
      <c r="C7239">
        <v>52233</v>
      </c>
      <c r="D7239" t="str">
        <f>"52233"</f>
        <v>52233</v>
      </c>
      <c r="E7239">
        <v>76.180000000000007</v>
      </c>
    </row>
    <row r="7240" spans="1:5" x14ac:dyDescent="0.2">
      <c r="A7240">
        <v>52235</v>
      </c>
      <c r="B7240" t="s">
        <v>18</v>
      </c>
      <c r="C7240">
        <v>52235</v>
      </c>
      <c r="D7240" t="str">
        <f>"52235"</f>
        <v>52235</v>
      </c>
      <c r="E7240" t="s">
        <v>6</v>
      </c>
    </row>
    <row r="7241" spans="1:5" x14ac:dyDescent="0.2">
      <c r="A7241">
        <v>52236</v>
      </c>
      <c r="B7241" t="s">
        <v>18</v>
      </c>
      <c r="C7241">
        <v>52236</v>
      </c>
      <c r="D7241" t="str">
        <f>"52236"</f>
        <v>52236</v>
      </c>
      <c r="E7241">
        <v>73.91</v>
      </c>
    </row>
    <row r="7242" spans="1:5" x14ac:dyDescent="0.2">
      <c r="A7242">
        <v>52237</v>
      </c>
      <c r="B7242" t="s">
        <v>18</v>
      </c>
      <c r="C7242">
        <v>52237</v>
      </c>
      <c r="D7242" t="str">
        <f>"52237"</f>
        <v>52237</v>
      </c>
      <c r="E7242">
        <v>71.430000000000007</v>
      </c>
    </row>
    <row r="7243" spans="1:5" x14ac:dyDescent="0.2">
      <c r="A7243">
        <v>52240</v>
      </c>
      <c r="B7243" t="s">
        <v>18</v>
      </c>
      <c r="C7243">
        <v>52240</v>
      </c>
      <c r="D7243" t="str">
        <f>"52240"</f>
        <v>52240</v>
      </c>
      <c r="E7243">
        <v>70.14</v>
      </c>
    </row>
    <row r="7244" spans="1:5" x14ac:dyDescent="0.2">
      <c r="A7244">
        <v>52241</v>
      </c>
      <c r="B7244" t="s">
        <v>18</v>
      </c>
      <c r="C7244">
        <v>52241</v>
      </c>
      <c r="D7244" t="str">
        <f>"52241"</f>
        <v>52241</v>
      </c>
      <c r="E7244">
        <v>77.05</v>
      </c>
    </row>
    <row r="7245" spans="1:5" x14ac:dyDescent="0.2">
      <c r="A7245">
        <v>52242</v>
      </c>
      <c r="B7245" t="s">
        <v>18</v>
      </c>
      <c r="C7245">
        <v>52242</v>
      </c>
      <c r="D7245" t="str">
        <f>"52242"</f>
        <v>52242</v>
      </c>
      <c r="E7245">
        <v>27.59</v>
      </c>
    </row>
    <row r="7246" spans="1:5" x14ac:dyDescent="0.2">
      <c r="A7246">
        <v>52245</v>
      </c>
      <c r="B7246" t="s">
        <v>18</v>
      </c>
      <c r="C7246">
        <v>52245</v>
      </c>
      <c r="D7246" t="str">
        <f>"52245"</f>
        <v>52245</v>
      </c>
      <c r="E7246">
        <v>79.709999999999994</v>
      </c>
    </row>
    <row r="7247" spans="1:5" x14ac:dyDescent="0.2">
      <c r="A7247">
        <v>52246</v>
      </c>
      <c r="B7247" t="s">
        <v>18</v>
      </c>
      <c r="C7247">
        <v>52246</v>
      </c>
      <c r="D7247" t="str">
        <f>"52246"</f>
        <v>52246</v>
      </c>
      <c r="E7247">
        <v>72.94</v>
      </c>
    </row>
    <row r="7248" spans="1:5" x14ac:dyDescent="0.2">
      <c r="A7248">
        <v>52247</v>
      </c>
      <c r="B7248" t="s">
        <v>18</v>
      </c>
      <c r="C7248">
        <v>52247</v>
      </c>
      <c r="D7248" t="str">
        <f>"52247"</f>
        <v>52247</v>
      </c>
      <c r="E7248">
        <v>75.099999999999994</v>
      </c>
    </row>
    <row r="7249" spans="1:5" x14ac:dyDescent="0.2">
      <c r="A7249">
        <v>52248</v>
      </c>
      <c r="B7249" t="s">
        <v>18</v>
      </c>
      <c r="C7249">
        <v>52248</v>
      </c>
      <c r="D7249" t="str">
        <f>"52248"</f>
        <v>52248</v>
      </c>
      <c r="E7249">
        <v>72.5</v>
      </c>
    </row>
    <row r="7250" spans="1:5" x14ac:dyDescent="0.2">
      <c r="A7250">
        <v>52249</v>
      </c>
      <c r="B7250" t="s">
        <v>18</v>
      </c>
      <c r="C7250">
        <v>52249</v>
      </c>
      <c r="D7250" t="str">
        <f>"52249"</f>
        <v>52249</v>
      </c>
      <c r="E7250">
        <v>76.739999999999995</v>
      </c>
    </row>
    <row r="7251" spans="1:5" x14ac:dyDescent="0.2">
      <c r="A7251">
        <v>52251</v>
      </c>
      <c r="B7251" t="s">
        <v>18</v>
      </c>
      <c r="C7251">
        <v>52251</v>
      </c>
      <c r="D7251" t="str">
        <f>"52251"</f>
        <v>52251</v>
      </c>
      <c r="E7251">
        <v>79.17</v>
      </c>
    </row>
    <row r="7252" spans="1:5" x14ac:dyDescent="0.2">
      <c r="A7252">
        <v>52252</v>
      </c>
      <c r="B7252" t="s">
        <v>18</v>
      </c>
      <c r="C7252">
        <v>52252</v>
      </c>
      <c r="D7252" t="str">
        <f>"52252"</f>
        <v>52252</v>
      </c>
      <c r="E7252" t="s">
        <v>6</v>
      </c>
    </row>
    <row r="7253" spans="1:5" x14ac:dyDescent="0.2">
      <c r="A7253">
        <v>52253</v>
      </c>
      <c r="B7253" t="s">
        <v>18</v>
      </c>
      <c r="C7253">
        <v>52253</v>
      </c>
      <c r="D7253" t="str">
        <f>"52253"</f>
        <v>52253</v>
      </c>
      <c r="E7253">
        <v>80.41</v>
      </c>
    </row>
    <row r="7254" spans="1:5" x14ac:dyDescent="0.2">
      <c r="A7254">
        <v>52254</v>
      </c>
      <c r="B7254" t="s">
        <v>18</v>
      </c>
      <c r="C7254">
        <v>52254</v>
      </c>
      <c r="D7254" t="str">
        <f>"52254"</f>
        <v>52254</v>
      </c>
      <c r="E7254">
        <v>73.81</v>
      </c>
    </row>
    <row r="7255" spans="1:5" x14ac:dyDescent="0.2">
      <c r="A7255">
        <v>52255</v>
      </c>
      <c r="B7255" t="s">
        <v>18</v>
      </c>
      <c r="C7255">
        <v>52255</v>
      </c>
      <c r="D7255" t="str">
        <f>"52255"</f>
        <v>52255</v>
      </c>
      <c r="E7255">
        <v>78.95</v>
      </c>
    </row>
    <row r="7256" spans="1:5" x14ac:dyDescent="0.2">
      <c r="A7256">
        <v>52257</v>
      </c>
      <c r="B7256" t="s">
        <v>18</v>
      </c>
      <c r="C7256">
        <v>52257</v>
      </c>
      <c r="D7256" t="str">
        <f>"52257"</f>
        <v>52257</v>
      </c>
      <c r="E7256">
        <v>75</v>
      </c>
    </row>
    <row r="7257" spans="1:5" x14ac:dyDescent="0.2">
      <c r="A7257">
        <v>52301</v>
      </c>
      <c r="B7257" t="s">
        <v>18</v>
      </c>
      <c r="C7257">
        <v>52301</v>
      </c>
      <c r="D7257" t="str">
        <f>"52301"</f>
        <v>52301</v>
      </c>
      <c r="E7257">
        <v>77.900000000000006</v>
      </c>
    </row>
    <row r="7258" spans="1:5" x14ac:dyDescent="0.2">
      <c r="A7258">
        <v>52302</v>
      </c>
      <c r="B7258" t="s">
        <v>18</v>
      </c>
      <c r="C7258">
        <v>52302</v>
      </c>
      <c r="D7258" t="str">
        <f>"52302"</f>
        <v>52302</v>
      </c>
      <c r="E7258">
        <v>79.88</v>
      </c>
    </row>
    <row r="7259" spans="1:5" x14ac:dyDescent="0.2">
      <c r="A7259">
        <v>52305</v>
      </c>
      <c r="B7259" t="s">
        <v>18</v>
      </c>
      <c r="C7259">
        <v>52305</v>
      </c>
      <c r="D7259" t="str">
        <f>"52305"</f>
        <v>52305</v>
      </c>
      <c r="E7259">
        <v>77.42</v>
      </c>
    </row>
    <row r="7260" spans="1:5" x14ac:dyDescent="0.2">
      <c r="A7260">
        <v>52306</v>
      </c>
      <c r="B7260" t="s">
        <v>18</v>
      </c>
      <c r="C7260">
        <v>52306</v>
      </c>
      <c r="D7260" t="str">
        <f>"52306"</f>
        <v>52306</v>
      </c>
      <c r="E7260">
        <v>77.22</v>
      </c>
    </row>
    <row r="7261" spans="1:5" x14ac:dyDescent="0.2">
      <c r="A7261">
        <v>52307</v>
      </c>
      <c r="B7261" t="s">
        <v>18</v>
      </c>
      <c r="C7261">
        <v>52307</v>
      </c>
      <c r="D7261" t="str">
        <f>"52307"</f>
        <v>52307</v>
      </c>
      <c r="E7261" t="s">
        <v>6</v>
      </c>
    </row>
    <row r="7262" spans="1:5" x14ac:dyDescent="0.2">
      <c r="A7262">
        <v>52308</v>
      </c>
      <c r="B7262" t="s">
        <v>18</v>
      </c>
      <c r="C7262">
        <v>52308</v>
      </c>
      <c r="D7262" t="str">
        <f>"52308"</f>
        <v>52308</v>
      </c>
      <c r="E7262" t="s">
        <v>6</v>
      </c>
    </row>
    <row r="7263" spans="1:5" x14ac:dyDescent="0.2">
      <c r="A7263">
        <v>52309</v>
      </c>
      <c r="B7263" t="s">
        <v>18</v>
      </c>
      <c r="C7263">
        <v>52309</v>
      </c>
      <c r="D7263" t="str">
        <f>"52309"</f>
        <v>52309</v>
      </c>
      <c r="E7263">
        <v>70.59</v>
      </c>
    </row>
    <row r="7264" spans="1:5" x14ac:dyDescent="0.2">
      <c r="A7264">
        <v>52310</v>
      </c>
      <c r="B7264" t="s">
        <v>18</v>
      </c>
      <c r="C7264">
        <v>52310</v>
      </c>
      <c r="D7264" t="str">
        <f>"52310"</f>
        <v>52310</v>
      </c>
      <c r="E7264">
        <v>74.66</v>
      </c>
    </row>
    <row r="7265" spans="1:5" x14ac:dyDescent="0.2">
      <c r="A7265">
        <v>52312</v>
      </c>
      <c r="B7265" t="s">
        <v>18</v>
      </c>
      <c r="C7265">
        <v>52312</v>
      </c>
      <c r="D7265" t="str">
        <f>"52312"</f>
        <v>52312</v>
      </c>
      <c r="E7265" t="s">
        <v>6</v>
      </c>
    </row>
    <row r="7266" spans="1:5" x14ac:dyDescent="0.2">
      <c r="A7266">
        <v>52313</v>
      </c>
      <c r="B7266" t="s">
        <v>18</v>
      </c>
      <c r="C7266">
        <v>52313</v>
      </c>
      <c r="D7266" t="str">
        <f>"52313"</f>
        <v>52313</v>
      </c>
      <c r="E7266">
        <v>83.33</v>
      </c>
    </row>
    <row r="7267" spans="1:5" x14ac:dyDescent="0.2">
      <c r="A7267">
        <v>52314</v>
      </c>
      <c r="B7267" t="s">
        <v>18</v>
      </c>
      <c r="C7267">
        <v>52314</v>
      </c>
      <c r="D7267" t="str">
        <f>"52314"</f>
        <v>52314</v>
      </c>
      <c r="E7267">
        <v>76.95</v>
      </c>
    </row>
    <row r="7268" spans="1:5" x14ac:dyDescent="0.2">
      <c r="A7268">
        <v>52315</v>
      </c>
      <c r="B7268" t="s">
        <v>18</v>
      </c>
      <c r="C7268">
        <v>52315</v>
      </c>
      <c r="D7268" t="str">
        <f>"52315"</f>
        <v>52315</v>
      </c>
      <c r="E7268">
        <v>78.95</v>
      </c>
    </row>
    <row r="7269" spans="1:5" x14ac:dyDescent="0.2">
      <c r="A7269">
        <v>52316</v>
      </c>
      <c r="B7269" t="s">
        <v>18</v>
      </c>
      <c r="C7269">
        <v>52316</v>
      </c>
      <c r="D7269" t="str">
        <f>"52316"</f>
        <v>52316</v>
      </c>
      <c r="E7269">
        <v>73.97</v>
      </c>
    </row>
    <row r="7270" spans="1:5" x14ac:dyDescent="0.2">
      <c r="A7270">
        <v>52317</v>
      </c>
      <c r="B7270" t="s">
        <v>18</v>
      </c>
      <c r="C7270">
        <v>52317</v>
      </c>
      <c r="D7270" t="str">
        <f>"52317"</f>
        <v>52317</v>
      </c>
      <c r="E7270">
        <v>82.52</v>
      </c>
    </row>
    <row r="7271" spans="1:5" x14ac:dyDescent="0.2">
      <c r="A7271">
        <v>52318</v>
      </c>
      <c r="B7271" t="s">
        <v>18</v>
      </c>
      <c r="C7271">
        <v>52318</v>
      </c>
      <c r="D7271" t="str">
        <f>"52318"</f>
        <v>52318</v>
      </c>
      <c r="E7271">
        <v>78.72</v>
      </c>
    </row>
    <row r="7272" spans="1:5" x14ac:dyDescent="0.2">
      <c r="A7272">
        <v>52320</v>
      </c>
      <c r="B7272" t="s">
        <v>18</v>
      </c>
      <c r="C7272">
        <v>52320</v>
      </c>
      <c r="D7272" t="str">
        <f>"52320"</f>
        <v>52320</v>
      </c>
      <c r="E7272">
        <v>72.92</v>
      </c>
    </row>
    <row r="7273" spans="1:5" x14ac:dyDescent="0.2">
      <c r="A7273">
        <v>52321</v>
      </c>
      <c r="B7273" t="s">
        <v>18</v>
      </c>
      <c r="C7273">
        <v>52321</v>
      </c>
      <c r="D7273" t="str">
        <f>"52321"</f>
        <v>52321</v>
      </c>
      <c r="E7273">
        <v>73.680000000000007</v>
      </c>
    </row>
    <row r="7274" spans="1:5" x14ac:dyDescent="0.2">
      <c r="A7274">
        <v>52322</v>
      </c>
      <c r="B7274" t="s">
        <v>18</v>
      </c>
      <c r="C7274">
        <v>52322</v>
      </c>
      <c r="D7274" t="str">
        <f>"52322"</f>
        <v>52322</v>
      </c>
      <c r="E7274">
        <v>80.17</v>
      </c>
    </row>
    <row r="7275" spans="1:5" x14ac:dyDescent="0.2">
      <c r="A7275">
        <v>52323</v>
      </c>
      <c r="B7275" t="s">
        <v>18</v>
      </c>
      <c r="C7275">
        <v>52323</v>
      </c>
      <c r="D7275" t="str">
        <f>"52323"</f>
        <v>52323</v>
      </c>
      <c r="E7275">
        <v>70.59</v>
      </c>
    </row>
    <row r="7276" spans="1:5" x14ac:dyDescent="0.2">
      <c r="A7276">
        <v>52324</v>
      </c>
      <c r="B7276" t="s">
        <v>18</v>
      </c>
      <c r="C7276">
        <v>52324</v>
      </c>
      <c r="D7276" t="str">
        <f>"52324"</f>
        <v>52324</v>
      </c>
      <c r="E7276">
        <v>85.05</v>
      </c>
    </row>
    <row r="7277" spans="1:5" x14ac:dyDescent="0.2">
      <c r="A7277">
        <v>52325</v>
      </c>
      <c r="B7277" t="s">
        <v>18</v>
      </c>
      <c r="C7277">
        <v>52325</v>
      </c>
      <c r="D7277" t="str">
        <f>"52325"</f>
        <v>52325</v>
      </c>
      <c r="E7277">
        <v>78.38</v>
      </c>
    </row>
    <row r="7278" spans="1:5" x14ac:dyDescent="0.2">
      <c r="A7278">
        <v>52326</v>
      </c>
      <c r="B7278" t="s">
        <v>18</v>
      </c>
      <c r="C7278">
        <v>52326</v>
      </c>
      <c r="D7278" t="str">
        <f>"52326"</f>
        <v>52326</v>
      </c>
      <c r="E7278">
        <v>79.17</v>
      </c>
    </row>
    <row r="7279" spans="1:5" x14ac:dyDescent="0.2">
      <c r="A7279">
        <v>52327</v>
      </c>
      <c r="B7279" t="s">
        <v>18</v>
      </c>
      <c r="C7279">
        <v>52327</v>
      </c>
      <c r="D7279" t="str">
        <f>"52327"</f>
        <v>52327</v>
      </c>
      <c r="E7279">
        <v>83.33</v>
      </c>
    </row>
    <row r="7280" spans="1:5" x14ac:dyDescent="0.2">
      <c r="A7280">
        <v>52328</v>
      </c>
      <c r="B7280" t="s">
        <v>18</v>
      </c>
      <c r="C7280">
        <v>52328</v>
      </c>
      <c r="D7280" t="str">
        <f>"52328"</f>
        <v>52328</v>
      </c>
      <c r="E7280">
        <v>85.42</v>
      </c>
    </row>
    <row r="7281" spans="1:5" x14ac:dyDescent="0.2">
      <c r="A7281">
        <v>52329</v>
      </c>
      <c r="B7281" t="s">
        <v>18</v>
      </c>
      <c r="C7281">
        <v>52329</v>
      </c>
      <c r="D7281" t="str">
        <f>"52329"</f>
        <v>52329</v>
      </c>
      <c r="E7281">
        <v>77.14</v>
      </c>
    </row>
    <row r="7282" spans="1:5" x14ac:dyDescent="0.2">
      <c r="A7282">
        <v>52330</v>
      </c>
      <c r="B7282" t="s">
        <v>18</v>
      </c>
      <c r="C7282">
        <v>52330</v>
      </c>
      <c r="D7282" t="str">
        <f>"52330"</f>
        <v>52330</v>
      </c>
      <c r="E7282">
        <v>72.97</v>
      </c>
    </row>
    <row r="7283" spans="1:5" x14ac:dyDescent="0.2">
      <c r="A7283">
        <v>52332</v>
      </c>
      <c r="B7283" t="s">
        <v>18</v>
      </c>
      <c r="C7283">
        <v>52332</v>
      </c>
      <c r="D7283" t="str">
        <f>"52332"</f>
        <v>52332</v>
      </c>
      <c r="E7283">
        <v>78.650000000000006</v>
      </c>
    </row>
    <row r="7284" spans="1:5" x14ac:dyDescent="0.2">
      <c r="A7284">
        <v>52333</v>
      </c>
      <c r="B7284" t="s">
        <v>18</v>
      </c>
      <c r="C7284">
        <v>52333</v>
      </c>
      <c r="D7284" t="str">
        <f>"52333"</f>
        <v>52333</v>
      </c>
      <c r="E7284">
        <v>84.12</v>
      </c>
    </row>
    <row r="7285" spans="1:5" x14ac:dyDescent="0.2">
      <c r="A7285">
        <v>52334</v>
      </c>
      <c r="B7285" t="s">
        <v>18</v>
      </c>
      <c r="C7285">
        <v>52334</v>
      </c>
      <c r="D7285" t="str">
        <f>"52334"</f>
        <v>52334</v>
      </c>
      <c r="E7285">
        <v>84.21</v>
      </c>
    </row>
    <row r="7286" spans="1:5" x14ac:dyDescent="0.2">
      <c r="A7286">
        <v>52335</v>
      </c>
      <c r="B7286" t="s">
        <v>18</v>
      </c>
      <c r="C7286">
        <v>52335</v>
      </c>
      <c r="D7286" t="str">
        <f>"52335"</f>
        <v>52335</v>
      </c>
      <c r="E7286">
        <v>68.97</v>
      </c>
    </row>
    <row r="7287" spans="1:5" x14ac:dyDescent="0.2">
      <c r="A7287">
        <v>52336</v>
      </c>
      <c r="B7287" t="s">
        <v>18</v>
      </c>
      <c r="C7287">
        <v>52336</v>
      </c>
      <c r="D7287" t="str">
        <f>"52336"</f>
        <v>52336</v>
      </c>
      <c r="E7287">
        <v>77.59</v>
      </c>
    </row>
    <row r="7288" spans="1:5" x14ac:dyDescent="0.2">
      <c r="A7288">
        <v>52337</v>
      </c>
      <c r="B7288" t="s">
        <v>18</v>
      </c>
      <c r="C7288">
        <v>52337</v>
      </c>
      <c r="D7288" t="str">
        <f>"52337"</f>
        <v>52337</v>
      </c>
      <c r="E7288">
        <v>71.790000000000006</v>
      </c>
    </row>
    <row r="7289" spans="1:5" x14ac:dyDescent="0.2">
      <c r="A7289">
        <v>52338</v>
      </c>
      <c r="B7289" t="s">
        <v>18</v>
      </c>
      <c r="C7289">
        <v>52338</v>
      </c>
      <c r="D7289" t="str">
        <f>"52338"</f>
        <v>52338</v>
      </c>
      <c r="E7289">
        <v>86.23</v>
      </c>
    </row>
    <row r="7290" spans="1:5" x14ac:dyDescent="0.2">
      <c r="A7290">
        <v>52339</v>
      </c>
      <c r="B7290" t="s">
        <v>18</v>
      </c>
      <c r="C7290">
        <v>52339</v>
      </c>
      <c r="D7290" t="str">
        <f>"52339"</f>
        <v>52339</v>
      </c>
      <c r="E7290">
        <v>69.680000000000007</v>
      </c>
    </row>
    <row r="7291" spans="1:5" x14ac:dyDescent="0.2">
      <c r="A7291">
        <v>52340</v>
      </c>
      <c r="B7291" t="s">
        <v>18</v>
      </c>
      <c r="C7291">
        <v>52340</v>
      </c>
      <c r="D7291" t="str">
        <f>"52340"</f>
        <v>52340</v>
      </c>
      <c r="E7291">
        <v>82.67</v>
      </c>
    </row>
    <row r="7292" spans="1:5" x14ac:dyDescent="0.2">
      <c r="A7292">
        <v>52341</v>
      </c>
      <c r="B7292" t="s">
        <v>18</v>
      </c>
      <c r="C7292">
        <v>52341</v>
      </c>
      <c r="D7292" t="str">
        <f>"52341"</f>
        <v>52341</v>
      </c>
      <c r="E7292">
        <v>83.64</v>
      </c>
    </row>
    <row r="7293" spans="1:5" x14ac:dyDescent="0.2">
      <c r="A7293">
        <v>52342</v>
      </c>
      <c r="B7293" t="s">
        <v>18</v>
      </c>
      <c r="C7293">
        <v>52342</v>
      </c>
      <c r="D7293" t="str">
        <f>"52342"</f>
        <v>52342</v>
      </c>
      <c r="E7293">
        <v>73.03</v>
      </c>
    </row>
    <row r="7294" spans="1:5" x14ac:dyDescent="0.2">
      <c r="A7294">
        <v>52345</v>
      </c>
      <c r="B7294" t="s">
        <v>18</v>
      </c>
      <c r="C7294">
        <v>52345</v>
      </c>
      <c r="D7294" t="str">
        <f>"52345"</f>
        <v>52345</v>
      </c>
      <c r="E7294">
        <v>86.36</v>
      </c>
    </row>
    <row r="7295" spans="1:5" x14ac:dyDescent="0.2">
      <c r="A7295">
        <v>52346</v>
      </c>
      <c r="B7295" t="s">
        <v>18</v>
      </c>
      <c r="C7295">
        <v>52346</v>
      </c>
      <c r="D7295" t="str">
        <f>"52346"</f>
        <v>52346</v>
      </c>
      <c r="E7295">
        <v>77.36</v>
      </c>
    </row>
    <row r="7296" spans="1:5" x14ac:dyDescent="0.2">
      <c r="A7296">
        <v>52347</v>
      </c>
      <c r="B7296" t="s">
        <v>18</v>
      </c>
      <c r="C7296">
        <v>52347</v>
      </c>
      <c r="D7296" t="str">
        <f>"52347"</f>
        <v>52347</v>
      </c>
      <c r="E7296">
        <v>79.41</v>
      </c>
    </row>
    <row r="7297" spans="1:5" x14ac:dyDescent="0.2">
      <c r="A7297">
        <v>52348</v>
      </c>
      <c r="B7297" t="s">
        <v>18</v>
      </c>
      <c r="C7297">
        <v>52348</v>
      </c>
      <c r="D7297" t="str">
        <f>"52348"</f>
        <v>52348</v>
      </c>
      <c r="E7297" t="s">
        <v>6</v>
      </c>
    </row>
    <row r="7298" spans="1:5" x14ac:dyDescent="0.2">
      <c r="A7298">
        <v>52349</v>
      </c>
      <c r="B7298" t="s">
        <v>18</v>
      </c>
      <c r="C7298">
        <v>52349</v>
      </c>
      <c r="D7298" t="str">
        <f>"52349"</f>
        <v>52349</v>
      </c>
      <c r="E7298">
        <v>75</v>
      </c>
    </row>
    <row r="7299" spans="1:5" x14ac:dyDescent="0.2">
      <c r="A7299">
        <v>52351</v>
      </c>
      <c r="B7299" t="s">
        <v>18</v>
      </c>
      <c r="C7299">
        <v>52351</v>
      </c>
      <c r="D7299" t="str">
        <f>"52351"</f>
        <v>52351</v>
      </c>
      <c r="E7299">
        <v>85.07</v>
      </c>
    </row>
    <row r="7300" spans="1:5" x14ac:dyDescent="0.2">
      <c r="A7300">
        <v>52352</v>
      </c>
      <c r="B7300" t="s">
        <v>18</v>
      </c>
      <c r="C7300">
        <v>52352</v>
      </c>
      <c r="D7300" t="str">
        <f>"52352"</f>
        <v>52352</v>
      </c>
      <c r="E7300">
        <v>78.89</v>
      </c>
    </row>
    <row r="7301" spans="1:5" x14ac:dyDescent="0.2">
      <c r="A7301">
        <v>52353</v>
      </c>
      <c r="B7301" t="s">
        <v>18</v>
      </c>
      <c r="C7301">
        <v>52353</v>
      </c>
      <c r="D7301" t="str">
        <f>"52353"</f>
        <v>52353</v>
      </c>
      <c r="E7301">
        <v>71.59</v>
      </c>
    </row>
    <row r="7302" spans="1:5" x14ac:dyDescent="0.2">
      <c r="A7302">
        <v>52354</v>
      </c>
      <c r="B7302" t="s">
        <v>18</v>
      </c>
      <c r="C7302">
        <v>52354</v>
      </c>
      <c r="D7302" t="str">
        <f>"52354"</f>
        <v>52354</v>
      </c>
      <c r="E7302">
        <v>94.44</v>
      </c>
    </row>
    <row r="7303" spans="1:5" x14ac:dyDescent="0.2">
      <c r="A7303">
        <v>52355</v>
      </c>
      <c r="B7303" t="s">
        <v>18</v>
      </c>
      <c r="C7303">
        <v>52355</v>
      </c>
      <c r="D7303" t="str">
        <f>"52355"</f>
        <v>52355</v>
      </c>
      <c r="E7303">
        <v>66.67</v>
      </c>
    </row>
    <row r="7304" spans="1:5" x14ac:dyDescent="0.2">
      <c r="A7304">
        <v>52356</v>
      </c>
      <c r="B7304" t="s">
        <v>18</v>
      </c>
      <c r="C7304">
        <v>52356</v>
      </c>
      <c r="D7304" t="str">
        <f>"52356"</f>
        <v>52356</v>
      </c>
      <c r="E7304">
        <v>73.73</v>
      </c>
    </row>
    <row r="7305" spans="1:5" x14ac:dyDescent="0.2">
      <c r="A7305">
        <v>52358</v>
      </c>
      <c r="B7305" t="s">
        <v>18</v>
      </c>
      <c r="C7305">
        <v>52358</v>
      </c>
      <c r="D7305" t="str">
        <f>"52358"</f>
        <v>52358</v>
      </c>
      <c r="E7305">
        <v>82.32</v>
      </c>
    </row>
    <row r="7306" spans="1:5" x14ac:dyDescent="0.2">
      <c r="A7306">
        <v>52359</v>
      </c>
      <c r="B7306" t="s">
        <v>18</v>
      </c>
      <c r="C7306">
        <v>52359</v>
      </c>
      <c r="D7306" t="str">
        <f>"52359"</f>
        <v>52359</v>
      </c>
      <c r="E7306">
        <v>72.73</v>
      </c>
    </row>
    <row r="7307" spans="1:5" x14ac:dyDescent="0.2">
      <c r="A7307">
        <v>52361</v>
      </c>
      <c r="B7307" t="s">
        <v>18</v>
      </c>
      <c r="C7307">
        <v>52361</v>
      </c>
      <c r="D7307" t="str">
        <f>"52361"</f>
        <v>52361</v>
      </c>
      <c r="E7307">
        <v>77.78</v>
      </c>
    </row>
    <row r="7308" spans="1:5" x14ac:dyDescent="0.2">
      <c r="A7308">
        <v>52362</v>
      </c>
      <c r="B7308" t="s">
        <v>18</v>
      </c>
      <c r="C7308">
        <v>52362</v>
      </c>
      <c r="D7308" t="str">
        <f>"52362"</f>
        <v>52362</v>
      </c>
      <c r="E7308">
        <v>72.73</v>
      </c>
    </row>
    <row r="7309" spans="1:5" x14ac:dyDescent="0.2">
      <c r="A7309">
        <v>52401</v>
      </c>
      <c r="B7309" t="s">
        <v>18</v>
      </c>
      <c r="C7309">
        <v>52401</v>
      </c>
      <c r="D7309" t="str">
        <f>"52401"</f>
        <v>52401</v>
      </c>
      <c r="E7309">
        <v>70.45</v>
      </c>
    </row>
    <row r="7310" spans="1:5" x14ac:dyDescent="0.2">
      <c r="A7310">
        <v>52402</v>
      </c>
      <c r="B7310" t="s">
        <v>18</v>
      </c>
      <c r="C7310">
        <v>52402</v>
      </c>
      <c r="D7310" t="str">
        <f>"52402"</f>
        <v>52402</v>
      </c>
      <c r="E7310">
        <v>77.2</v>
      </c>
    </row>
    <row r="7311" spans="1:5" x14ac:dyDescent="0.2">
      <c r="A7311">
        <v>52403</v>
      </c>
      <c r="B7311" t="s">
        <v>18</v>
      </c>
      <c r="C7311">
        <v>52403</v>
      </c>
      <c r="D7311" t="str">
        <f>"52403"</f>
        <v>52403</v>
      </c>
      <c r="E7311">
        <v>76.2</v>
      </c>
    </row>
    <row r="7312" spans="1:5" x14ac:dyDescent="0.2">
      <c r="A7312">
        <v>52404</v>
      </c>
      <c r="B7312" t="s">
        <v>18</v>
      </c>
      <c r="C7312">
        <v>52404</v>
      </c>
      <c r="D7312" t="str">
        <f>"52404"</f>
        <v>52404</v>
      </c>
      <c r="E7312">
        <v>71.88</v>
      </c>
    </row>
    <row r="7313" spans="1:5" x14ac:dyDescent="0.2">
      <c r="A7313">
        <v>52405</v>
      </c>
      <c r="B7313" t="s">
        <v>18</v>
      </c>
      <c r="C7313">
        <v>52405</v>
      </c>
      <c r="D7313" t="str">
        <f>"52405"</f>
        <v>52405</v>
      </c>
      <c r="E7313">
        <v>77.459999999999994</v>
      </c>
    </row>
    <row r="7314" spans="1:5" x14ac:dyDescent="0.2">
      <c r="A7314">
        <v>52411</v>
      </c>
      <c r="B7314" t="s">
        <v>18</v>
      </c>
      <c r="C7314">
        <v>52411</v>
      </c>
      <c r="D7314" t="str">
        <f>"52411"</f>
        <v>52411</v>
      </c>
      <c r="E7314">
        <v>83.24</v>
      </c>
    </row>
    <row r="7315" spans="1:5" x14ac:dyDescent="0.2">
      <c r="A7315">
        <v>52498</v>
      </c>
      <c r="B7315" t="s">
        <v>18</v>
      </c>
      <c r="C7315">
        <v>52498</v>
      </c>
      <c r="D7315" t="str">
        <f>"52498"</f>
        <v>52498</v>
      </c>
      <c r="E7315" t="s">
        <v>6</v>
      </c>
    </row>
    <row r="7316" spans="1:5" x14ac:dyDescent="0.2">
      <c r="A7316">
        <v>52501</v>
      </c>
      <c r="B7316" t="s">
        <v>18</v>
      </c>
      <c r="C7316">
        <v>52501</v>
      </c>
      <c r="D7316" t="str">
        <f>"52501"</f>
        <v>52501</v>
      </c>
      <c r="E7316">
        <v>68.760000000000005</v>
      </c>
    </row>
    <row r="7317" spans="1:5" x14ac:dyDescent="0.2">
      <c r="A7317">
        <v>52530</v>
      </c>
      <c r="B7317" t="s">
        <v>18</v>
      </c>
      <c r="C7317">
        <v>52530</v>
      </c>
      <c r="D7317" t="str">
        <f>"52530"</f>
        <v>52530</v>
      </c>
      <c r="E7317">
        <v>76.599999999999994</v>
      </c>
    </row>
    <row r="7318" spans="1:5" x14ac:dyDescent="0.2">
      <c r="A7318">
        <v>52531</v>
      </c>
      <c r="B7318" t="s">
        <v>18</v>
      </c>
      <c r="C7318">
        <v>52531</v>
      </c>
      <c r="D7318" t="str">
        <f>"52531"</f>
        <v>52531</v>
      </c>
      <c r="E7318">
        <v>72.44</v>
      </c>
    </row>
    <row r="7319" spans="1:5" x14ac:dyDescent="0.2">
      <c r="A7319">
        <v>52533</v>
      </c>
      <c r="B7319" t="s">
        <v>18</v>
      </c>
      <c r="C7319">
        <v>52533</v>
      </c>
      <c r="D7319" t="str">
        <f>"52533"</f>
        <v>52533</v>
      </c>
      <c r="E7319">
        <v>75</v>
      </c>
    </row>
    <row r="7320" spans="1:5" x14ac:dyDescent="0.2">
      <c r="A7320">
        <v>52534</v>
      </c>
      <c r="B7320" t="s">
        <v>18</v>
      </c>
      <c r="C7320">
        <v>52534</v>
      </c>
      <c r="D7320" t="str">
        <f>"52534"</f>
        <v>52534</v>
      </c>
      <c r="E7320">
        <v>78.569999999999993</v>
      </c>
    </row>
    <row r="7321" spans="1:5" x14ac:dyDescent="0.2">
      <c r="A7321">
        <v>52535</v>
      </c>
      <c r="B7321" t="s">
        <v>18</v>
      </c>
      <c r="C7321">
        <v>52535</v>
      </c>
      <c r="D7321" t="str">
        <f>"52535"</f>
        <v>52535</v>
      </c>
      <c r="E7321">
        <v>63.89</v>
      </c>
    </row>
    <row r="7322" spans="1:5" x14ac:dyDescent="0.2">
      <c r="A7322">
        <v>52536</v>
      </c>
      <c r="B7322" t="s">
        <v>18</v>
      </c>
      <c r="C7322">
        <v>52536</v>
      </c>
      <c r="D7322" t="str">
        <f>"52536"</f>
        <v>52536</v>
      </c>
      <c r="E7322">
        <v>75</v>
      </c>
    </row>
    <row r="7323" spans="1:5" x14ac:dyDescent="0.2">
      <c r="A7323">
        <v>52537</v>
      </c>
      <c r="B7323" t="s">
        <v>18</v>
      </c>
      <c r="C7323">
        <v>52537</v>
      </c>
      <c r="D7323" t="str">
        <f>"52537"</f>
        <v>52537</v>
      </c>
      <c r="E7323">
        <v>69.489999999999995</v>
      </c>
    </row>
    <row r="7324" spans="1:5" x14ac:dyDescent="0.2">
      <c r="A7324">
        <v>52540</v>
      </c>
      <c r="B7324" t="s">
        <v>18</v>
      </c>
      <c r="C7324">
        <v>52540</v>
      </c>
      <c r="D7324" t="str">
        <f>"52540"</f>
        <v>52540</v>
      </c>
      <c r="E7324">
        <v>67.209999999999994</v>
      </c>
    </row>
    <row r="7325" spans="1:5" x14ac:dyDescent="0.2">
      <c r="A7325">
        <v>52542</v>
      </c>
      <c r="B7325" t="s">
        <v>18</v>
      </c>
      <c r="C7325">
        <v>52542</v>
      </c>
      <c r="D7325" t="str">
        <f>"52542"</f>
        <v>52542</v>
      </c>
      <c r="E7325">
        <v>66.67</v>
      </c>
    </row>
    <row r="7326" spans="1:5" x14ac:dyDescent="0.2">
      <c r="A7326">
        <v>52543</v>
      </c>
      <c r="B7326" t="s">
        <v>18</v>
      </c>
      <c r="C7326">
        <v>52543</v>
      </c>
      <c r="D7326" t="str">
        <f>"52543"</f>
        <v>52543</v>
      </c>
      <c r="E7326">
        <v>80</v>
      </c>
    </row>
    <row r="7327" spans="1:5" x14ac:dyDescent="0.2">
      <c r="A7327">
        <v>52544</v>
      </c>
      <c r="B7327" t="s">
        <v>18</v>
      </c>
      <c r="C7327">
        <v>52544</v>
      </c>
      <c r="D7327" t="str">
        <f>"52544"</f>
        <v>52544</v>
      </c>
      <c r="E7327">
        <v>67.599999999999994</v>
      </c>
    </row>
    <row r="7328" spans="1:5" x14ac:dyDescent="0.2">
      <c r="A7328">
        <v>52548</v>
      </c>
      <c r="B7328" t="s">
        <v>18</v>
      </c>
      <c r="C7328">
        <v>52548</v>
      </c>
      <c r="D7328" t="str">
        <f>"52548"</f>
        <v>52548</v>
      </c>
      <c r="E7328" t="s">
        <v>6</v>
      </c>
    </row>
    <row r="7329" spans="1:5" x14ac:dyDescent="0.2">
      <c r="A7329">
        <v>52549</v>
      </c>
      <c r="B7329" t="s">
        <v>18</v>
      </c>
      <c r="C7329">
        <v>52549</v>
      </c>
      <c r="D7329" t="str">
        <f>"52549"</f>
        <v>52549</v>
      </c>
      <c r="E7329">
        <v>60.71</v>
      </c>
    </row>
    <row r="7330" spans="1:5" x14ac:dyDescent="0.2">
      <c r="A7330">
        <v>52550</v>
      </c>
      <c r="B7330" t="s">
        <v>18</v>
      </c>
      <c r="C7330">
        <v>52550</v>
      </c>
      <c r="D7330" t="str">
        <f>"52550"</f>
        <v>52550</v>
      </c>
      <c r="E7330">
        <v>66.67</v>
      </c>
    </row>
    <row r="7331" spans="1:5" x14ac:dyDescent="0.2">
      <c r="A7331">
        <v>52551</v>
      </c>
      <c r="B7331" t="s">
        <v>18</v>
      </c>
      <c r="C7331">
        <v>52551</v>
      </c>
      <c r="D7331" t="str">
        <f>"52551"</f>
        <v>52551</v>
      </c>
      <c r="E7331">
        <v>72.41</v>
      </c>
    </row>
    <row r="7332" spans="1:5" x14ac:dyDescent="0.2">
      <c r="A7332">
        <v>52552</v>
      </c>
      <c r="B7332" t="s">
        <v>18</v>
      </c>
      <c r="C7332">
        <v>52552</v>
      </c>
      <c r="D7332" t="str">
        <f>"52552"</f>
        <v>52552</v>
      </c>
      <c r="E7332">
        <v>71.430000000000007</v>
      </c>
    </row>
    <row r="7333" spans="1:5" x14ac:dyDescent="0.2">
      <c r="A7333">
        <v>52553</v>
      </c>
      <c r="B7333" t="s">
        <v>18</v>
      </c>
      <c r="C7333">
        <v>52553</v>
      </c>
      <c r="D7333" t="str">
        <f>"52553"</f>
        <v>52553</v>
      </c>
      <c r="E7333">
        <v>74.319999999999993</v>
      </c>
    </row>
    <row r="7334" spans="1:5" x14ac:dyDescent="0.2">
      <c r="A7334">
        <v>52554</v>
      </c>
      <c r="B7334" t="s">
        <v>18</v>
      </c>
      <c r="C7334">
        <v>52554</v>
      </c>
      <c r="D7334" t="str">
        <f>"52554"</f>
        <v>52554</v>
      </c>
      <c r="E7334">
        <v>70.180000000000007</v>
      </c>
    </row>
    <row r="7335" spans="1:5" x14ac:dyDescent="0.2">
      <c r="A7335">
        <v>52555</v>
      </c>
      <c r="B7335" t="s">
        <v>18</v>
      </c>
      <c r="C7335">
        <v>52555</v>
      </c>
      <c r="D7335" t="str">
        <f>"52555"</f>
        <v>52555</v>
      </c>
      <c r="E7335">
        <v>61.54</v>
      </c>
    </row>
    <row r="7336" spans="1:5" x14ac:dyDescent="0.2">
      <c r="A7336">
        <v>52556</v>
      </c>
      <c r="B7336" t="s">
        <v>18</v>
      </c>
      <c r="C7336">
        <v>52556</v>
      </c>
      <c r="D7336" t="str">
        <f>"52556"</f>
        <v>52556</v>
      </c>
      <c r="E7336">
        <v>67.53</v>
      </c>
    </row>
    <row r="7337" spans="1:5" x14ac:dyDescent="0.2">
      <c r="A7337">
        <v>52557</v>
      </c>
      <c r="B7337" t="s">
        <v>18</v>
      </c>
      <c r="C7337">
        <v>52557</v>
      </c>
      <c r="D7337" t="str">
        <f>"52557"</f>
        <v>52557</v>
      </c>
      <c r="E7337" t="s">
        <v>6</v>
      </c>
    </row>
    <row r="7338" spans="1:5" x14ac:dyDescent="0.2">
      <c r="A7338">
        <v>52560</v>
      </c>
      <c r="B7338" t="s">
        <v>18</v>
      </c>
      <c r="C7338">
        <v>52560</v>
      </c>
      <c r="D7338" t="str">
        <f>"52560"</f>
        <v>52560</v>
      </c>
      <c r="E7338">
        <v>70.59</v>
      </c>
    </row>
    <row r="7339" spans="1:5" x14ac:dyDescent="0.2">
      <c r="A7339">
        <v>52561</v>
      </c>
      <c r="B7339" t="s">
        <v>18</v>
      </c>
      <c r="C7339">
        <v>52561</v>
      </c>
      <c r="D7339" t="str">
        <f>"52561"</f>
        <v>52561</v>
      </c>
      <c r="E7339">
        <v>73.17</v>
      </c>
    </row>
    <row r="7340" spans="1:5" x14ac:dyDescent="0.2">
      <c r="A7340">
        <v>52562</v>
      </c>
      <c r="B7340" t="s">
        <v>18</v>
      </c>
      <c r="C7340">
        <v>52562</v>
      </c>
      <c r="D7340" t="str">
        <f>"52562"</f>
        <v>52562</v>
      </c>
      <c r="E7340" t="s">
        <v>6</v>
      </c>
    </row>
    <row r="7341" spans="1:5" x14ac:dyDescent="0.2">
      <c r="A7341">
        <v>52563</v>
      </c>
      <c r="B7341" t="s">
        <v>18</v>
      </c>
      <c r="C7341">
        <v>52563</v>
      </c>
      <c r="D7341" t="str">
        <f>"52563"</f>
        <v>52563</v>
      </c>
      <c r="E7341">
        <v>76.67</v>
      </c>
    </row>
    <row r="7342" spans="1:5" x14ac:dyDescent="0.2">
      <c r="A7342">
        <v>52565</v>
      </c>
      <c r="B7342" t="s">
        <v>18</v>
      </c>
      <c r="C7342">
        <v>52565</v>
      </c>
      <c r="D7342" t="str">
        <f>"52565"</f>
        <v>52565</v>
      </c>
      <c r="E7342">
        <v>75.900000000000006</v>
      </c>
    </row>
    <row r="7343" spans="1:5" x14ac:dyDescent="0.2">
      <c r="A7343">
        <v>52566</v>
      </c>
      <c r="B7343" t="s">
        <v>18</v>
      </c>
      <c r="C7343">
        <v>52566</v>
      </c>
      <c r="D7343" t="str">
        <f>"52566"</f>
        <v>52566</v>
      </c>
      <c r="E7343" t="s">
        <v>6</v>
      </c>
    </row>
    <row r="7344" spans="1:5" x14ac:dyDescent="0.2">
      <c r="A7344">
        <v>52567</v>
      </c>
      <c r="B7344" t="s">
        <v>18</v>
      </c>
      <c r="C7344">
        <v>52567</v>
      </c>
      <c r="D7344" t="str">
        <f>"52567"</f>
        <v>52567</v>
      </c>
      <c r="E7344">
        <v>70.37</v>
      </c>
    </row>
    <row r="7345" spans="1:5" x14ac:dyDescent="0.2">
      <c r="A7345">
        <v>52568</v>
      </c>
      <c r="B7345" t="s">
        <v>18</v>
      </c>
      <c r="C7345">
        <v>52568</v>
      </c>
      <c r="D7345" t="str">
        <f>"52568"</f>
        <v>52568</v>
      </c>
      <c r="E7345" t="s">
        <v>6</v>
      </c>
    </row>
    <row r="7346" spans="1:5" x14ac:dyDescent="0.2">
      <c r="A7346">
        <v>52569</v>
      </c>
      <c r="B7346" t="s">
        <v>18</v>
      </c>
      <c r="C7346">
        <v>52569</v>
      </c>
      <c r="D7346" t="str">
        <f>"52569"</f>
        <v>52569</v>
      </c>
      <c r="E7346">
        <v>69.23</v>
      </c>
    </row>
    <row r="7347" spans="1:5" x14ac:dyDescent="0.2">
      <c r="A7347">
        <v>52570</v>
      </c>
      <c r="B7347" t="s">
        <v>18</v>
      </c>
      <c r="C7347">
        <v>52570</v>
      </c>
      <c r="D7347" t="str">
        <f>"52570"</f>
        <v>52570</v>
      </c>
      <c r="E7347">
        <v>57.58</v>
      </c>
    </row>
    <row r="7348" spans="1:5" x14ac:dyDescent="0.2">
      <c r="A7348">
        <v>52571</v>
      </c>
      <c r="B7348" t="s">
        <v>18</v>
      </c>
      <c r="C7348">
        <v>52571</v>
      </c>
      <c r="D7348" t="str">
        <f>"52571"</f>
        <v>52571</v>
      </c>
      <c r="E7348">
        <v>74.239999999999995</v>
      </c>
    </row>
    <row r="7349" spans="1:5" x14ac:dyDescent="0.2">
      <c r="A7349">
        <v>52572</v>
      </c>
      <c r="B7349" t="s">
        <v>18</v>
      </c>
      <c r="C7349">
        <v>52572</v>
      </c>
      <c r="D7349" t="str">
        <f>"52572"</f>
        <v>52572</v>
      </c>
      <c r="E7349">
        <v>60.98</v>
      </c>
    </row>
    <row r="7350" spans="1:5" x14ac:dyDescent="0.2">
      <c r="A7350">
        <v>52573</v>
      </c>
      <c r="B7350" t="s">
        <v>18</v>
      </c>
      <c r="C7350">
        <v>52573</v>
      </c>
      <c r="D7350" t="str">
        <f>"52573"</f>
        <v>52573</v>
      </c>
      <c r="E7350" t="s">
        <v>6</v>
      </c>
    </row>
    <row r="7351" spans="1:5" x14ac:dyDescent="0.2">
      <c r="A7351">
        <v>52574</v>
      </c>
      <c r="B7351" t="s">
        <v>18</v>
      </c>
      <c r="C7351">
        <v>52574</v>
      </c>
      <c r="D7351" t="str">
        <f>"52574"</f>
        <v>52574</v>
      </c>
      <c r="E7351">
        <v>65.63</v>
      </c>
    </row>
    <row r="7352" spans="1:5" x14ac:dyDescent="0.2">
      <c r="A7352">
        <v>52576</v>
      </c>
      <c r="B7352" t="s">
        <v>18</v>
      </c>
      <c r="C7352">
        <v>52576</v>
      </c>
      <c r="D7352" t="str">
        <f>"52576"</f>
        <v>52576</v>
      </c>
      <c r="E7352">
        <v>73.91</v>
      </c>
    </row>
    <row r="7353" spans="1:5" x14ac:dyDescent="0.2">
      <c r="A7353">
        <v>52577</v>
      </c>
      <c r="B7353" t="s">
        <v>18</v>
      </c>
      <c r="C7353">
        <v>52577</v>
      </c>
      <c r="D7353" t="str">
        <f>"52577"</f>
        <v>52577</v>
      </c>
      <c r="E7353">
        <v>73.66</v>
      </c>
    </row>
    <row r="7354" spans="1:5" x14ac:dyDescent="0.2">
      <c r="A7354">
        <v>52580</v>
      </c>
      <c r="B7354" t="s">
        <v>18</v>
      </c>
      <c r="C7354">
        <v>52580</v>
      </c>
      <c r="D7354" t="str">
        <f>"52580"</f>
        <v>52580</v>
      </c>
      <c r="E7354">
        <v>71.430000000000007</v>
      </c>
    </row>
    <row r="7355" spans="1:5" x14ac:dyDescent="0.2">
      <c r="A7355">
        <v>52581</v>
      </c>
      <c r="B7355" t="s">
        <v>18</v>
      </c>
      <c r="C7355">
        <v>52581</v>
      </c>
      <c r="D7355" t="str">
        <f>"52581"</f>
        <v>52581</v>
      </c>
      <c r="E7355">
        <v>53.85</v>
      </c>
    </row>
    <row r="7356" spans="1:5" x14ac:dyDescent="0.2">
      <c r="A7356">
        <v>52583</v>
      </c>
      <c r="B7356" t="s">
        <v>18</v>
      </c>
      <c r="C7356">
        <v>52583</v>
      </c>
      <c r="D7356" t="str">
        <f>"52583"</f>
        <v>52583</v>
      </c>
      <c r="E7356">
        <v>64.290000000000006</v>
      </c>
    </row>
    <row r="7357" spans="1:5" x14ac:dyDescent="0.2">
      <c r="A7357">
        <v>52584</v>
      </c>
      <c r="B7357" t="s">
        <v>18</v>
      </c>
      <c r="C7357">
        <v>52584</v>
      </c>
      <c r="D7357" t="str">
        <f>"52584"</f>
        <v>52584</v>
      </c>
      <c r="E7357">
        <v>58.82</v>
      </c>
    </row>
    <row r="7358" spans="1:5" x14ac:dyDescent="0.2">
      <c r="A7358">
        <v>52585</v>
      </c>
      <c r="B7358" t="s">
        <v>18</v>
      </c>
      <c r="C7358">
        <v>52585</v>
      </c>
      <c r="D7358" t="str">
        <f>"52585"</f>
        <v>52585</v>
      </c>
      <c r="E7358">
        <v>72.5</v>
      </c>
    </row>
    <row r="7359" spans="1:5" x14ac:dyDescent="0.2">
      <c r="A7359">
        <v>52586</v>
      </c>
      <c r="B7359" t="s">
        <v>18</v>
      </c>
      <c r="C7359">
        <v>52586</v>
      </c>
      <c r="D7359" t="str">
        <f>"52586"</f>
        <v>52586</v>
      </c>
      <c r="E7359">
        <v>65.22</v>
      </c>
    </row>
    <row r="7360" spans="1:5" x14ac:dyDescent="0.2">
      <c r="A7360">
        <v>52588</v>
      </c>
      <c r="B7360" t="s">
        <v>18</v>
      </c>
      <c r="C7360">
        <v>52588</v>
      </c>
      <c r="D7360" t="str">
        <f>"52588"</f>
        <v>52588</v>
      </c>
      <c r="E7360" t="s">
        <v>6</v>
      </c>
    </row>
    <row r="7361" spans="1:5" x14ac:dyDescent="0.2">
      <c r="A7361">
        <v>52590</v>
      </c>
      <c r="B7361" t="s">
        <v>18</v>
      </c>
      <c r="C7361">
        <v>52590</v>
      </c>
      <c r="D7361" t="str">
        <f>"52590"</f>
        <v>52590</v>
      </c>
      <c r="E7361">
        <v>51.06</v>
      </c>
    </row>
    <row r="7362" spans="1:5" x14ac:dyDescent="0.2">
      <c r="A7362">
        <v>52591</v>
      </c>
      <c r="B7362" t="s">
        <v>18</v>
      </c>
      <c r="C7362">
        <v>52591</v>
      </c>
      <c r="D7362" t="str">
        <f>"52591"</f>
        <v>52591</v>
      </c>
      <c r="E7362">
        <v>72.58</v>
      </c>
    </row>
    <row r="7363" spans="1:5" x14ac:dyDescent="0.2">
      <c r="A7363">
        <v>52593</v>
      </c>
      <c r="B7363" t="s">
        <v>18</v>
      </c>
      <c r="C7363">
        <v>52593</v>
      </c>
      <c r="D7363" t="str">
        <f>"52593"</f>
        <v>52593</v>
      </c>
      <c r="E7363" t="s">
        <v>6</v>
      </c>
    </row>
    <row r="7364" spans="1:5" x14ac:dyDescent="0.2">
      <c r="A7364">
        <v>52594</v>
      </c>
      <c r="B7364" t="s">
        <v>18</v>
      </c>
      <c r="C7364">
        <v>52594</v>
      </c>
      <c r="D7364" t="str">
        <f>"52594"</f>
        <v>52594</v>
      </c>
      <c r="E7364">
        <v>62.5</v>
      </c>
    </row>
    <row r="7365" spans="1:5" x14ac:dyDescent="0.2">
      <c r="A7365">
        <v>52595</v>
      </c>
      <c r="B7365" t="s">
        <v>18</v>
      </c>
      <c r="C7365">
        <v>52595</v>
      </c>
      <c r="D7365" t="str">
        <f>"52595"</f>
        <v>52595</v>
      </c>
      <c r="E7365" t="s">
        <v>6</v>
      </c>
    </row>
    <row r="7366" spans="1:5" x14ac:dyDescent="0.2">
      <c r="A7366">
        <v>52601</v>
      </c>
      <c r="B7366" t="s">
        <v>18</v>
      </c>
      <c r="C7366">
        <v>52601</v>
      </c>
      <c r="D7366" t="str">
        <f>"52601"</f>
        <v>52601</v>
      </c>
      <c r="E7366">
        <v>71.41</v>
      </c>
    </row>
    <row r="7367" spans="1:5" x14ac:dyDescent="0.2">
      <c r="A7367">
        <v>52619</v>
      </c>
      <c r="B7367" t="s">
        <v>18</v>
      </c>
      <c r="C7367">
        <v>52619</v>
      </c>
      <c r="D7367" t="str">
        <f>"52619"</f>
        <v>52619</v>
      </c>
      <c r="E7367">
        <v>67.86</v>
      </c>
    </row>
    <row r="7368" spans="1:5" x14ac:dyDescent="0.2">
      <c r="A7368">
        <v>52620</v>
      </c>
      <c r="B7368" t="s">
        <v>18</v>
      </c>
      <c r="C7368">
        <v>52620</v>
      </c>
      <c r="D7368" t="str">
        <f>"52620"</f>
        <v>52620</v>
      </c>
      <c r="E7368">
        <v>71.430000000000007</v>
      </c>
    </row>
    <row r="7369" spans="1:5" x14ac:dyDescent="0.2">
      <c r="A7369">
        <v>52621</v>
      </c>
      <c r="B7369" t="s">
        <v>18</v>
      </c>
      <c r="C7369">
        <v>52621</v>
      </c>
      <c r="D7369" t="str">
        <f>"52621"</f>
        <v>52621</v>
      </c>
      <c r="E7369">
        <v>74.290000000000006</v>
      </c>
    </row>
    <row r="7370" spans="1:5" x14ac:dyDescent="0.2">
      <c r="A7370">
        <v>52623</v>
      </c>
      <c r="B7370" t="s">
        <v>18</v>
      </c>
      <c r="C7370">
        <v>52623</v>
      </c>
      <c r="D7370" t="str">
        <f>"52623"</f>
        <v>52623</v>
      </c>
      <c r="E7370">
        <v>74.19</v>
      </c>
    </row>
    <row r="7371" spans="1:5" x14ac:dyDescent="0.2">
      <c r="A7371">
        <v>52625</v>
      </c>
      <c r="B7371" t="s">
        <v>18</v>
      </c>
      <c r="C7371">
        <v>52625</v>
      </c>
      <c r="D7371" t="str">
        <f>"52625"</f>
        <v>52625</v>
      </c>
      <c r="E7371">
        <v>77.05</v>
      </c>
    </row>
    <row r="7372" spans="1:5" x14ac:dyDescent="0.2">
      <c r="A7372">
        <v>52626</v>
      </c>
      <c r="B7372" t="s">
        <v>18</v>
      </c>
      <c r="C7372">
        <v>52626</v>
      </c>
      <c r="D7372" t="str">
        <f>"52626"</f>
        <v>52626</v>
      </c>
      <c r="E7372">
        <v>65.38</v>
      </c>
    </row>
    <row r="7373" spans="1:5" x14ac:dyDescent="0.2">
      <c r="A7373">
        <v>52627</v>
      </c>
      <c r="B7373" t="s">
        <v>18</v>
      </c>
      <c r="C7373">
        <v>52627</v>
      </c>
      <c r="D7373" t="str">
        <f>"52627"</f>
        <v>52627</v>
      </c>
      <c r="E7373">
        <v>71.66</v>
      </c>
    </row>
    <row r="7374" spans="1:5" x14ac:dyDescent="0.2">
      <c r="A7374">
        <v>52630</v>
      </c>
      <c r="B7374" t="s">
        <v>18</v>
      </c>
      <c r="C7374">
        <v>52630</v>
      </c>
      <c r="D7374" t="str">
        <f>"52630"</f>
        <v>52630</v>
      </c>
      <c r="E7374">
        <v>66.67</v>
      </c>
    </row>
    <row r="7375" spans="1:5" x14ac:dyDescent="0.2">
      <c r="A7375">
        <v>52632</v>
      </c>
      <c r="B7375" t="s">
        <v>18</v>
      </c>
      <c r="C7375">
        <v>52632</v>
      </c>
      <c r="D7375" t="str">
        <f>"52632"</f>
        <v>52632</v>
      </c>
      <c r="E7375">
        <v>67.739999999999995</v>
      </c>
    </row>
    <row r="7376" spans="1:5" x14ac:dyDescent="0.2">
      <c r="A7376">
        <v>52635</v>
      </c>
      <c r="B7376" t="s">
        <v>18</v>
      </c>
      <c r="C7376">
        <v>52635</v>
      </c>
      <c r="D7376" t="str">
        <f>"52635"</f>
        <v>52635</v>
      </c>
      <c r="E7376">
        <v>72.41</v>
      </c>
    </row>
    <row r="7377" spans="1:5" x14ac:dyDescent="0.2">
      <c r="A7377">
        <v>52637</v>
      </c>
      <c r="B7377" t="s">
        <v>18</v>
      </c>
      <c r="C7377">
        <v>52637</v>
      </c>
      <c r="D7377" t="str">
        <f>"52637"</f>
        <v>52637</v>
      </c>
      <c r="E7377">
        <v>76.67</v>
      </c>
    </row>
    <row r="7378" spans="1:5" x14ac:dyDescent="0.2">
      <c r="A7378">
        <v>52638</v>
      </c>
      <c r="B7378" t="s">
        <v>18</v>
      </c>
      <c r="C7378">
        <v>52638</v>
      </c>
      <c r="D7378" t="str">
        <f>"52638"</f>
        <v>52638</v>
      </c>
      <c r="E7378">
        <v>76.92</v>
      </c>
    </row>
    <row r="7379" spans="1:5" x14ac:dyDescent="0.2">
      <c r="A7379">
        <v>52639</v>
      </c>
      <c r="B7379" t="s">
        <v>18</v>
      </c>
      <c r="C7379">
        <v>52639</v>
      </c>
      <c r="D7379" t="str">
        <f>"52639"</f>
        <v>52639</v>
      </c>
      <c r="E7379">
        <v>73.03</v>
      </c>
    </row>
    <row r="7380" spans="1:5" x14ac:dyDescent="0.2">
      <c r="A7380">
        <v>52640</v>
      </c>
      <c r="B7380" t="s">
        <v>18</v>
      </c>
      <c r="C7380">
        <v>52640</v>
      </c>
      <c r="D7380" t="str">
        <f>"52640"</f>
        <v>52640</v>
      </c>
      <c r="E7380">
        <v>72.13</v>
      </c>
    </row>
    <row r="7381" spans="1:5" x14ac:dyDescent="0.2">
      <c r="A7381">
        <v>52641</v>
      </c>
      <c r="B7381" t="s">
        <v>18</v>
      </c>
      <c r="C7381">
        <v>52641</v>
      </c>
      <c r="D7381" t="str">
        <f>"52641"</f>
        <v>52641</v>
      </c>
      <c r="E7381">
        <v>72.52</v>
      </c>
    </row>
    <row r="7382" spans="1:5" x14ac:dyDescent="0.2">
      <c r="A7382">
        <v>52644</v>
      </c>
      <c r="B7382" t="s">
        <v>18</v>
      </c>
      <c r="C7382">
        <v>52644</v>
      </c>
      <c r="D7382" t="str">
        <f>"52644"</f>
        <v>52644</v>
      </c>
      <c r="E7382">
        <v>83.33</v>
      </c>
    </row>
    <row r="7383" spans="1:5" x14ac:dyDescent="0.2">
      <c r="A7383">
        <v>52645</v>
      </c>
      <c r="B7383" t="s">
        <v>18</v>
      </c>
      <c r="C7383">
        <v>52645</v>
      </c>
      <c r="D7383" t="str">
        <f>"52645"</f>
        <v>52645</v>
      </c>
      <c r="E7383">
        <v>74.83</v>
      </c>
    </row>
    <row r="7384" spans="1:5" x14ac:dyDescent="0.2">
      <c r="A7384">
        <v>52646</v>
      </c>
      <c r="B7384" t="s">
        <v>18</v>
      </c>
      <c r="C7384">
        <v>52646</v>
      </c>
      <c r="D7384" t="str">
        <f>"52646"</f>
        <v>52646</v>
      </c>
      <c r="E7384">
        <v>76.47</v>
      </c>
    </row>
    <row r="7385" spans="1:5" x14ac:dyDescent="0.2">
      <c r="A7385">
        <v>52647</v>
      </c>
      <c r="B7385" t="s">
        <v>18</v>
      </c>
      <c r="C7385">
        <v>52647</v>
      </c>
      <c r="D7385" t="str">
        <f>"52647"</f>
        <v>52647</v>
      </c>
      <c r="E7385" t="s">
        <v>6</v>
      </c>
    </row>
    <row r="7386" spans="1:5" x14ac:dyDescent="0.2">
      <c r="A7386">
        <v>52648</v>
      </c>
      <c r="B7386" t="s">
        <v>18</v>
      </c>
      <c r="C7386">
        <v>52648</v>
      </c>
      <c r="D7386" t="str">
        <f>"52648"</f>
        <v>52648</v>
      </c>
      <c r="E7386" t="s">
        <v>6</v>
      </c>
    </row>
    <row r="7387" spans="1:5" x14ac:dyDescent="0.2">
      <c r="A7387">
        <v>52649</v>
      </c>
      <c r="B7387" t="s">
        <v>18</v>
      </c>
      <c r="C7387">
        <v>52649</v>
      </c>
      <c r="D7387" t="str">
        <f>"52649"</f>
        <v>52649</v>
      </c>
      <c r="E7387">
        <v>72.09</v>
      </c>
    </row>
    <row r="7388" spans="1:5" x14ac:dyDescent="0.2">
      <c r="A7388">
        <v>52650</v>
      </c>
      <c r="B7388" t="s">
        <v>18</v>
      </c>
      <c r="C7388">
        <v>52650</v>
      </c>
      <c r="D7388" t="str">
        <f>"52650"</f>
        <v>52650</v>
      </c>
      <c r="E7388">
        <v>83.33</v>
      </c>
    </row>
    <row r="7389" spans="1:5" x14ac:dyDescent="0.2">
      <c r="A7389">
        <v>52651</v>
      </c>
      <c r="B7389" t="s">
        <v>18</v>
      </c>
      <c r="C7389">
        <v>52651</v>
      </c>
      <c r="D7389" t="str">
        <f>"52651"</f>
        <v>52651</v>
      </c>
      <c r="E7389">
        <v>66.67</v>
      </c>
    </row>
    <row r="7390" spans="1:5" x14ac:dyDescent="0.2">
      <c r="A7390">
        <v>52652</v>
      </c>
      <c r="B7390" t="s">
        <v>18</v>
      </c>
      <c r="C7390">
        <v>52652</v>
      </c>
      <c r="D7390" t="str">
        <f>"52652"</f>
        <v>52652</v>
      </c>
      <c r="E7390" t="s">
        <v>6</v>
      </c>
    </row>
    <row r="7391" spans="1:5" x14ac:dyDescent="0.2">
      <c r="A7391">
        <v>52653</v>
      </c>
      <c r="B7391" t="s">
        <v>18</v>
      </c>
      <c r="C7391">
        <v>52653</v>
      </c>
      <c r="D7391" t="str">
        <f>"52653"</f>
        <v>52653</v>
      </c>
      <c r="E7391">
        <v>73.03</v>
      </c>
    </row>
    <row r="7392" spans="1:5" x14ac:dyDescent="0.2">
      <c r="A7392">
        <v>52654</v>
      </c>
      <c r="B7392" t="s">
        <v>18</v>
      </c>
      <c r="C7392">
        <v>52654</v>
      </c>
      <c r="D7392" t="str">
        <f>"52654"</f>
        <v>52654</v>
      </c>
      <c r="E7392">
        <v>70.42</v>
      </c>
    </row>
    <row r="7393" spans="1:5" x14ac:dyDescent="0.2">
      <c r="A7393">
        <v>52655</v>
      </c>
      <c r="B7393" t="s">
        <v>18</v>
      </c>
      <c r="C7393">
        <v>52655</v>
      </c>
      <c r="D7393" t="str">
        <f>"52655"</f>
        <v>52655</v>
      </c>
      <c r="E7393">
        <v>72.459999999999994</v>
      </c>
    </row>
    <row r="7394" spans="1:5" x14ac:dyDescent="0.2">
      <c r="A7394">
        <v>52656</v>
      </c>
      <c r="B7394" t="s">
        <v>18</v>
      </c>
      <c r="C7394">
        <v>52656</v>
      </c>
      <c r="D7394" t="str">
        <f>"52656"</f>
        <v>52656</v>
      </c>
      <c r="E7394">
        <v>77.98</v>
      </c>
    </row>
    <row r="7395" spans="1:5" x14ac:dyDescent="0.2">
      <c r="A7395">
        <v>52657</v>
      </c>
      <c r="B7395" t="s">
        <v>18</v>
      </c>
      <c r="C7395">
        <v>52657</v>
      </c>
      <c r="D7395" t="str">
        <f>"52657"</f>
        <v>52657</v>
      </c>
      <c r="E7395" t="s">
        <v>6</v>
      </c>
    </row>
    <row r="7396" spans="1:5" x14ac:dyDescent="0.2">
      <c r="A7396">
        <v>52658</v>
      </c>
      <c r="B7396" t="s">
        <v>18</v>
      </c>
      <c r="C7396">
        <v>52658</v>
      </c>
      <c r="D7396" t="str">
        <f>"52658"</f>
        <v>52658</v>
      </c>
      <c r="E7396">
        <v>78</v>
      </c>
    </row>
    <row r="7397" spans="1:5" x14ac:dyDescent="0.2">
      <c r="A7397">
        <v>52659</v>
      </c>
      <c r="B7397" t="s">
        <v>18</v>
      </c>
      <c r="C7397">
        <v>52659</v>
      </c>
      <c r="D7397" t="str">
        <f>"52659"</f>
        <v>52659</v>
      </c>
      <c r="E7397">
        <v>70.77</v>
      </c>
    </row>
    <row r="7398" spans="1:5" x14ac:dyDescent="0.2">
      <c r="A7398">
        <v>52660</v>
      </c>
      <c r="B7398" t="s">
        <v>18</v>
      </c>
      <c r="C7398">
        <v>52660</v>
      </c>
      <c r="D7398" t="str">
        <f>"52660"</f>
        <v>52660</v>
      </c>
      <c r="E7398">
        <v>81.819999999999993</v>
      </c>
    </row>
    <row r="7399" spans="1:5" x14ac:dyDescent="0.2">
      <c r="A7399">
        <v>52701</v>
      </c>
      <c r="B7399" t="s">
        <v>18</v>
      </c>
      <c r="C7399">
        <v>52701</v>
      </c>
      <c r="D7399" t="str">
        <f>"52701"</f>
        <v>52701</v>
      </c>
      <c r="E7399" t="s">
        <v>6</v>
      </c>
    </row>
    <row r="7400" spans="1:5" x14ac:dyDescent="0.2">
      <c r="A7400">
        <v>52720</v>
      </c>
      <c r="B7400" t="s">
        <v>18</v>
      </c>
      <c r="C7400">
        <v>52720</v>
      </c>
      <c r="D7400" t="str">
        <f>"52720"</f>
        <v>52720</v>
      </c>
      <c r="E7400">
        <v>77.27</v>
      </c>
    </row>
    <row r="7401" spans="1:5" x14ac:dyDescent="0.2">
      <c r="A7401">
        <v>52721</v>
      </c>
      <c r="B7401" t="s">
        <v>18</v>
      </c>
      <c r="C7401">
        <v>52721</v>
      </c>
      <c r="D7401" t="str">
        <f>"52721"</f>
        <v>52721</v>
      </c>
      <c r="E7401">
        <v>80.56</v>
      </c>
    </row>
    <row r="7402" spans="1:5" x14ac:dyDescent="0.2">
      <c r="A7402">
        <v>52722</v>
      </c>
      <c r="B7402" t="s">
        <v>18</v>
      </c>
      <c r="C7402">
        <v>52722</v>
      </c>
      <c r="D7402" t="str">
        <f>"52722"</f>
        <v>52722</v>
      </c>
      <c r="E7402">
        <v>80.08</v>
      </c>
    </row>
    <row r="7403" spans="1:5" x14ac:dyDescent="0.2">
      <c r="A7403">
        <v>52726</v>
      </c>
      <c r="B7403" t="s">
        <v>18</v>
      </c>
      <c r="C7403">
        <v>52726</v>
      </c>
      <c r="D7403" t="str">
        <f>"52726"</f>
        <v>52726</v>
      </c>
      <c r="E7403">
        <v>84.16</v>
      </c>
    </row>
    <row r="7404" spans="1:5" x14ac:dyDescent="0.2">
      <c r="A7404">
        <v>52727</v>
      </c>
      <c r="B7404" t="s">
        <v>18</v>
      </c>
      <c r="C7404">
        <v>52727</v>
      </c>
      <c r="D7404" t="str">
        <f>"52727"</f>
        <v>52727</v>
      </c>
      <c r="E7404">
        <v>75</v>
      </c>
    </row>
    <row r="7405" spans="1:5" x14ac:dyDescent="0.2">
      <c r="A7405">
        <v>52728</v>
      </c>
      <c r="B7405" t="s">
        <v>18</v>
      </c>
      <c r="C7405">
        <v>52728</v>
      </c>
      <c r="D7405" t="str">
        <f>"52728"</f>
        <v>52728</v>
      </c>
      <c r="E7405" t="s">
        <v>6</v>
      </c>
    </row>
    <row r="7406" spans="1:5" x14ac:dyDescent="0.2">
      <c r="A7406">
        <v>52729</v>
      </c>
      <c r="B7406" t="s">
        <v>18</v>
      </c>
      <c r="C7406">
        <v>52729</v>
      </c>
      <c r="D7406" t="str">
        <f>"52729"</f>
        <v>52729</v>
      </c>
      <c r="E7406">
        <v>75.61</v>
      </c>
    </row>
    <row r="7407" spans="1:5" x14ac:dyDescent="0.2">
      <c r="A7407">
        <v>52730</v>
      </c>
      <c r="B7407" t="s">
        <v>18</v>
      </c>
      <c r="C7407">
        <v>52730</v>
      </c>
      <c r="D7407" t="str">
        <f>"52730"</f>
        <v>52730</v>
      </c>
      <c r="E7407">
        <v>77.92</v>
      </c>
    </row>
    <row r="7408" spans="1:5" x14ac:dyDescent="0.2">
      <c r="A7408">
        <v>52731</v>
      </c>
      <c r="B7408" t="s">
        <v>18</v>
      </c>
      <c r="C7408">
        <v>52731</v>
      </c>
      <c r="D7408" t="str">
        <f>"52731"</f>
        <v>52731</v>
      </c>
      <c r="E7408">
        <v>75.680000000000007</v>
      </c>
    </row>
    <row r="7409" spans="1:5" x14ac:dyDescent="0.2">
      <c r="A7409">
        <v>52732</v>
      </c>
      <c r="B7409" t="s">
        <v>18</v>
      </c>
      <c r="C7409">
        <v>52732</v>
      </c>
      <c r="D7409" t="str">
        <f>"52732"</f>
        <v>52732</v>
      </c>
      <c r="E7409">
        <v>70.69</v>
      </c>
    </row>
    <row r="7410" spans="1:5" x14ac:dyDescent="0.2">
      <c r="A7410">
        <v>52737</v>
      </c>
      <c r="B7410" t="s">
        <v>18</v>
      </c>
      <c r="C7410">
        <v>52737</v>
      </c>
      <c r="D7410" t="str">
        <f>"52737"</f>
        <v>52737</v>
      </c>
      <c r="E7410">
        <v>77.78</v>
      </c>
    </row>
    <row r="7411" spans="1:5" x14ac:dyDescent="0.2">
      <c r="A7411">
        <v>52738</v>
      </c>
      <c r="B7411" t="s">
        <v>18</v>
      </c>
      <c r="C7411">
        <v>52738</v>
      </c>
      <c r="D7411" t="str">
        <f>"52738"</f>
        <v>52738</v>
      </c>
      <c r="E7411">
        <v>74.84</v>
      </c>
    </row>
    <row r="7412" spans="1:5" x14ac:dyDescent="0.2">
      <c r="A7412">
        <v>52739</v>
      </c>
      <c r="B7412" t="s">
        <v>18</v>
      </c>
      <c r="C7412">
        <v>52739</v>
      </c>
      <c r="D7412" t="str">
        <f>"52739"</f>
        <v>52739</v>
      </c>
      <c r="E7412">
        <v>69.7</v>
      </c>
    </row>
    <row r="7413" spans="1:5" x14ac:dyDescent="0.2">
      <c r="A7413">
        <v>52742</v>
      </c>
      <c r="B7413" t="s">
        <v>18</v>
      </c>
      <c r="C7413">
        <v>52742</v>
      </c>
      <c r="D7413" t="str">
        <f>"52742"</f>
        <v>52742</v>
      </c>
      <c r="E7413">
        <v>78.709999999999994</v>
      </c>
    </row>
    <row r="7414" spans="1:5" x14ac:dyDescent="0.2">
      <c r="A7414">
        <v>52745</v>
      </c>
      <c r="B7414" t="s">
        <v>18</v>
      </c>
      <c r="C7414">
        <v>52745</v>
      </c>
      <c r="D7414" t="str">
        <f>"52745"</f>
        <v>52745</v>
      </c>
      <c r="E7414">
        <v>80.650000000000006</v>
      </c>
    </row>
    <row r="7415" spans="1:5" x14ac:dyDescent="0.2">
      <c r="A7415">
        <v>52746</v>
      </c>
      <c r="B7415" t="s">
        <v>18</v>
      </c>
      <c r="C7415">
        <v>52746</v>
      </c>
      <c r="D7415" t="str">
        <f>"52746"</f>
        <v>52746</v>
      </c>
      <c r="E7415">
        <v>79.55</v>
      </c>
    </row>
    <row r="7416" spans="1:5" x14ac:dyDescent="0.2">
      <c r="A7416">
        <v>52747</v>
      </c>
      <c r="B7416" t="s">
        <v>18</v>
      </c>
      <c r="C7416">
        <v>52747</v>
      </c>
      <c r="D7416" t="str">
        <f>"52747"</f>
        <v>52747</v>
      </c>
      <c r="E7416">
        <v>80.91</v>
      </c>
    </row>
    <row r="7417" spans="1:5" x14ac:dyDescent="0.2">
      <c r="A7417">
        <v>52748</v>
      </c>
      <c r="B7417" t="s">
        <v>18</v>
      </c>
      <c r="C7417">
        <v>52748</v>
      </c>
      <c r="D7417" t="str">
        <f>"52748"</f>
        <v>52748</v>
      </c>
      <c r="E7417">
        <v>79.64</v>
      </c>
    </row>
    <row r="7418" spans="1:5" x14ac:dyDescent="0.2">
      <c r="A7418">
        <v>52749</v>
      </c>
      <c r="B7418" t="s">
        <v>18</v>
      </c>
      <c r="C7418">
        <v>52749</v>
      </c>
      <c r="D7418" t="str">
        <f>"52749"</f>
        <v>52749</v>
      </c>
      <c r="E7418">
        <v>82.98</v>
      </c>
    </row>
    <row r="7419" spans="1:5" x14ac:dyDescent="0.2">
      <c r="A7419">
        <v>52750</v>
      </c>
      <c r="B7419" t="s">
        <v>18</v>
      </c>
      <c r="C7419">
        <v>52750</v>
      </c>
      <c r="D7419" t="str">
        <f>"52750"</f>
        <v>52750</v>
      </c>
      <c r="E7419">
        <v>74.069999999999993</v>
      </c>
    </row>
    <row r="7420" spans="1:5" x14ac:dyDescent="0.2">
      <c r="A7420">
        <v>52751</v>
      </c>
      <c r="B7420" t="s">
        <v>18</v>
      </c>
      <c r="C7420">
        <v>52751</v>
      </c>
      <c r="D7420" t="str">
        <f>"52751"</f>
        <v>52751</v>
      </c>
      <c r="E7420">
        <v>80.77</v>
      </c>
    </row>
    <row r="7421" spans="1:5" x14ac:dyDescent="0.2">
      <c r="A7421">
        <v>52752</v>
      </c>
      <c r="B7421" t="s">
        <v>18</v>
      </c>
      <c r="C7421">
        <v>52752</v>
      </c>
      <c r="D7421" t="str">
        <f>"52752"</f>
        <v>52752</v>
      </c>
      <c r="E7421" t="s">
        <v>6</v>
      </c>
    </row>
    <row r="7422" spans="1:5" x14ac:dyDescent="0.2">
      <c r="A7422">
        <v>52753</v>
      </c>
      <c r="B7422" t="s">
        <v>18</v>
      </c>
      <c r="C7422">
        <v>52753</v>
      </c>
      <c r="D7422" t="str">
        <f>"52753"</f>
        <v>52753</v>
      </c>
      <c r="E7422">
        <v>82.01</v>
      </c>
    </row>
    <row r="7423" spans="1:5" x14ac:dyDescent="0.2">
      <c r="A7423">
        <v>52754</v>
      </c>
      <c r="B7423" t="s">
        <v>18</v>
      </c>
      <c r="C7423">
        <v>52754</v>
      </c>
      <c r="D7423" t="str">
        <f>"52754"</f>
        <v>52754</v>
      </c>
      <c r="E7423">
        <v>81.36</v>
      </c>
    </row>
    <row r="7424" spans="1:5" x14ac:dyDescent="0.2">
      <c r="A7424">
        <v>52755</v>
      </c>
      <c r="B7424" t="s">
        <v>18</v>
      </c>
      <c r="C7424">
        <v>52755</v>
      </c>
      <c r="D7424" t="str">
        <f>"52755"</f>
        <v>52755</v>
      </c>
      <c r="E7424">
        <v>76.290000000000006</v>
      </c>
    </row>
    <row r="7425" spans="1:5" x14ac:dyDescent="0.2">
      <c r="A7425">
        <v>52756</v>
      </c>
      <c r="B7425" t="s">
        <v>18</v>
      </c>
      <c r="C7425">
        <v>52756</v>
      </c>
      <c r="D7425" t="str">
        <f>"52756"</f>
        <v>52756</v>
      </c>
      <c r="E7425">
        <v>82.35</v>
      </c>
    </row>
    <row r="7426" spans="1:5" x14ac:dyDescent="0.2">
      <c r="A7426">
        <v>52757</v>
      </c>
      <c r="B7426" t="s">
        <v>18</v>
      </c>
      <c r="C7426">
        <v>52757</v>
      </c>
      <c r="D7426" t="str">
        <f>"52757"</f>
        <v>52757</v>
      </c>
      <c r="E7426" t="s">
        <v>6</v>
      </c>
    </row>
    <row r="7427" spans="1:5" x14ac:dyDescent="0.2">
      <c r="A7427">
        <v>52758</v>
      </c>
      <c r="B7427" t="s">
        <v>18</v>
      </c>
      <c r="C7427">
        <v>52758</v>
      </c>
      <c r="D7427" t="str">
        <f>"52758"</f>
        <v>52758</v>
      </c>
      <c r="E7427" t="s">
        <v>6</v>
      </c>
    </row>
    <row r="7428" spans="1:5" x14ac:dyDescent="0.2">
      <c r="A7428">
        <v>52759</v>
      </c>
      <c r="B7428" t="s">
        <v>18</v>
      </c>
      <c r="C7428">
        <v>52759</v>
      </c>
      <c r="D7428" t="str">
        <f>"52759"</f>
        <v>52759</v>
      </c>
      <c r="E7428" t="s">
        <v>6</v>
      </c>
    </row>
    <row r="7429" spans="1:5" x14ac:dyDescent="0.2">
      <c r="A7429">
        <v>52760</v>
      </c>
      <c r="B7429" t="s">
        <v>18</v>
      </c>
      <c r="C7429">
        <v>52760</v>
      </c>
      <c r="D7429" t="str">
        <f>"52760"</f>
        <v>52760</v>
      </c>
      <c r="E7429">
        <v>79.31</v>
      </c>
    </row>
    <row r="7430" spans="1:5" x14ac:dyDescent="0.2">
      <c r="A7430">
        <v>52761</v>
      </c>
      <c r="B7430" t="s">
        <v>18</v>
      </c>
      <c r="C7430">
        <v>52761</v>
      </c>
      <c r="D7430" t="str">
        <f>"52761"</f>
        <v>52761</v>
      </c>
      <c r="E7430">
        <v>73.72</v>
      </c>
    </row>
    <row r="7431" spans="1:5" x14ac:dyDescent="0.2">
      <c r="A7431">
        <v>52765</v>
      </c>
      <c r="B7431" t="s">
        <v>18</v>
      </c>
      <c r="C7431">
        <v>52765</v>
      </c>
      <c r="D7431" t="str">
        <f>"52765"</f>
        <v>52765</v>
      </c>
      <c r="E7431">
        <v>80</v>
      </c>
    </row>
    <row r="7432" spans="1:5" x14ac:dyDescent="0.2">
      <c r="A7432">
        <v>52766</v>
      </c>
      <c r="B7432" t="s">
        <v>18</v>
      </c>
      <c r="C7432">
        <v>52766</v>
      </c>
      <c r="D7432" t="str">
        <f>"52766"</f>
        <v>52766</v>
      </c>
      <c r="E7432">
        <v>76.319999999999993</v>
      </c>
    </row>
    <row r="7433" spans="1:5" x14ac:dyDescent="0.2">
      <c r="A7433">
        <v>52767</v>
      </c>
      <c r="B7433" t="s">
        <v>18</v>
      </c>
      <c r="C7433">
        <v>52767</v>
      </c>
      <c r="D7433" t="str">
        <f>"52767"</f>
        <v>52767</v>
      </c>
      <c r="E7433" t="s">
        <v>6</v>
      </c>
    </row>
    <row r="7434" spans="1:5" x14ac:dyDescent="0.2">
      <c r="A7434">
        <v>52768</v>
      </c>
      <c r="B7434" t="s">
        <v>18</v>
      </c>
      <c r="C7434">
        <v>52768</v>
      </c>
      <c r="D7434" t="str">
        <f>"52768"</f>
        <v>52768</v>
      </c>
      <c r="E7434">
        <v>82.61</v>
      </c>
    </row>
    <row r="7435" spans="1:5" x14ac:dyDescent="0.2">
      <c r="A7435">
        <v>52769</v>
      </c>
      <c r="B7435" t="s">
        <v>18</v>
      </c>
      <c r="C7435">
        <v>52769</v>
      </c>
      <c r="D7435" t="str">
        <f>"52769"</f>
        <v>52769</v>
      </c>
      <c r="E7435">
        <v>74.069999999999993</v>
      </c>
    </row>
    <row r="7436" spans="1:5" x14ac:dyDescent="0.2">
      <c r="A7436">
        <v>52771</v>
      </c>
      <c r="B7436" t="s">
        <v>18</v>
      </c>
      <c r="C7436">
        <v>52771</v>
      </c>
      <c r="D7436" t="str">
        <f>"52771"</f>
        <v>52771</v>
      </c>
      <c r="E7436" t="s">
        <v>6</v>
      </c>
    </row>
    <row r="7437" spans="1:5" x14ac:dyDescent="0.2">
      <c r="A7437">
        <v>52772</v>
      </c>
      <c r="B7437" t="s">
        <v>18</v>
      </c>
      <c r="C7437">
        <v>52772</v>
      </c>
      <c r="D7437" t="str">
        <f>"52772"</f>
        <v>52772</v>
      </c>
      <c r="E7437">
        <v>77.97</v>
      </c>
    </row>
    <row r="7438" spans="1:5" x14ac:dyDescent="0.2">
      <c r="A7438">
        <v>52773</v>
      </c>
      <c r="B7438" t="s">
        <v>18</v>
      </c>
      <c r="C7438">
        <v>52773</v>
      </c>
      <c r="D7438" t="str">
        <f>"52773"</f>
        <v>52773</v>
      </c>
      <c r="E7438">
        <v>79.459999999999994</v>
      </c>
    </row>
    <row r="7439" spans="1:5" x14ac:dyDescent="0.2">
      <c r="A7439">
        <v>52774</v>
      </c>
      <c r="B7439" t="s">
        <v>18</v>
      </c>
      <c r="C7439">
        <v>52774</v>
      </c>
      <c r="D7439" t="str">
        <f>"52774"</f>
        <v>52774</v>
      </c>
      <c r="E7439" t="s">
        <v>6</v>
      </c>
    </row>
    <row r="7440" spans="1:5" x14ac:dyDescent="0.2">
      <c r="A7440">
        <v>52776</v>
      </c>
      <c r="B7440" t="s">
        <v>18</v>
      </c>
      <c r="C7440">
        <v>52776</v>
      </c>
      <c r="D7440" t="str">
        <f>"52776"</f>
        <v>52776</v>
      </c>
      <c r="E7440">
        <v>72.290000000000006</v>
      </c>
    </row>
    <row r="7441" spans="1:5" x14ac:dyDescent="0.2">
      <c r="A7441">
        <v>52777</v>
      </c>
      <c r="B7441" t="s">
        <v>18</v>
      </c>
      <c r="C7441">
        <v>52777</v>
      </c>
      <c r="D7441" t="str">
        <f>"52777"</f>
        <v>52777</v>
      </c>
      <c r="E7441">
        <v>75.41</v>
      </c>
    </row>
    <row r="7442" spans="1:5" x14ac:dyDescent="0.2">
      <c r="A7442">
        <v>52778</v>
      </c>
      <c r="B7442" t="s">
        <v>18</v>
      </c>
      <c r="C7442">
        <v>52778</v>
      </c>
      <c r="D7442" t="str">
        <f>"52778"</f>
        <v>52778</v>
      </c>
      <c r="E7442">
        <v>79.569999999999993</v>
      </c>
    </row>
    <row r="7443" spans="1:5" x14ac:dyDescent="0.2">
      <c r="A7443">
        <v>52801</v>
      </c>
      <c r="B7443" t="s">
        <v>18</v>
      </c>
      <c r="C7443">
        <v>52801</v>
      </c>
      <c r="D7443" t="str">
        <f>"52801"</f>
        <v>52801</v>
      </c>
      <c r="E7443">
        <v>70.31</v>
      </c>
    </row>
    <row r="7444" spans="1:5" x14ac:dyDescent="0.2">
      <c r="A7444">
        <v>52802</v>
      </c>
      <c r="B7444" t="s">
        <v>18</v>
      </c>
      <c r="C7444">
        <v>52802</v>
      </c>
      <c r="D7444" t="str">
        <f>"52802"</f>
        <v>52802</v>
      </c>
      <c r="E7444">
        <v>61.66</v>
      </c>
    </row>
    <row r="7445" spans="1:5" x14ac:dyDescent="0.2">
      <c r="A7445">
        <v>52803</v>
      </c>
      <c r="B7445" t="s">
        <v>18</v>
      </c>
      <c r="C7445">
        <v>52803</v>
      </c>
      <c r="D7445" t="str">
        <f>"52803"</f>
        <v>52803</v>
      </c>
      <c r="E7445">
        <v>71.14</v>
      </c>
    </row>
    <row r="7446" spans="1:5" x14ac:dyDescent="0.2">
      <c r="A7446">
        <v>52804</v>
      </c>
      <c r="B7446" t="s">
        <v>18</v>
      </c>
      <c r="C7446">
        <v>52804</v>
      </c>
      <c r="D7446" t="str">
        <f>"52804"</f>
        <v>52804</v>
      </c>
      <c r="E7446">
        <v>71.95</v>
      </c>
    </row>
    <row r="7447" spans="1:5" x14ac:dyDescent="0.2">
      <c r="A7447">
        <v>52806</v>
      </c>
      <c r="B7447" t="s">
        <v>18</v>
      </c>
      <c r="C7447">
        <v>52806</v>
      </c>
      <c r="D7447" t="str">
        <f>"52806"</f>
        <v>52806</v>
      </c>
      <c r="E7447">
        <v>72.81</v>
      </c>
    </row>
    <row r="7448" spans="1:5" x14ac:dyDescent="0.2">
      <c r="A7448">
        <v>52807</v>
      </c>
      <c r="B7448" t="s">
        <v>18</v>
      </c>
      <c r="C7448">
        <v>52807</v>
      </c>
      <c r="D7448" t="str">
        <f>"52807"</f>
        <v>52807</v>
      </c>
      <c r="E7448">
        <v>78.53</v>
      </c>
    </row>
    <row r="7449" spans="1:5" x14ac:dyDescent="0.2">
      <c r="A7449">
        <v>83201</v>
      </c>
      <c r="B7449" t="s">
        <v>19</v>
      </c>
      <c r="C7449">
        <v>83201</v>
      </c>
      <c r="D7449" t="str">
        <f>"83201"</f>
        <v>83201</v>
      </c>
      <c r="E7449">
        <v>67.459999999999994</v>
      </c>
    </row>
    <row r="7450" spans="1:5" x14ac:dyDescent="0.2">
      <c r="A7450">
        <v>83202</v>
      </c>
      <c r="B7450" t="s">
        <v>19</v>
      </c>
      <c r="C7450">
        <v>83202</v>
      </c>
      <c r="D7450" t="str">
        <f>"83202"</f>
        <v>83202</v>
      </c>
      <c r="E7450">
        <v>68.349999999999994</v>
      </c>
    </row>
    <row r="7451" spans="1:5" x14ac:dyDescent="0.2">
      <c r="A7451">
        <v>83204</v>
      </c>
      <c r="B7451" t="s">
        <v>19</v>
      </c>
      <c r="C7451">
        <v>83204</v>
      </c>
      <c r="D7451" t="str">
        <f>"83204"</f>
        <v>83204</v>
      </c>
      <c r="E7451">
        <v>68.319999999999993</v>
      </c>
    </row>
    <row r="7452" spans="1:5" x14ac:dyDescent="0.2">
      <c r="A7452">
        <v>83209</v>
      </c>
      <c r="B7452" t="s">
        <v>19</v>
      </c>
      <c r="C7452">
        <v>83209</v>
      </c>
      <c r="D7452" t="str">
        <f>"83209"</f>
        <v>83209</v>
      </c>
      <c r="E7452" t="s">
        <v>6</v>
      </c>
    </row>
    <row r="7453" spans="1:5" x14ac:dyDescent="0.2">
      <c r="A7453">
        <v>83210</v>
      </c>
      <c r="B7453" t="s">
        <v>19</v>
      </c>
      <c r="C7453">
        <v>83210</v>
      </c>
      <c r="D7453" t="str">
        <f>"83210"</f>
        <v>83210</v>
      </c>
      <c r="E7453">
        <v>60</v>
      </c>
    </row>
    <row r="7454" spans="1:5" x14ac:dyDescent="0.2">
      <c r="A7454">
        <v>83211</v>
      </c>
      <c r="B7454" t="s">
        <v>19</v>
      </c>
      <c r="C7454">
        <v>83211</v>
      </c>
      <c r="D7454" t="str">
        <f>"83211"</f>
        <v>83211</v>
      </c>
      <c r="E7454">
        <v>61.63</v>
      </c>
    </row>
    <row r="7455" spans="1:5" x14ac:dyDescent="0.2">
      <c r="A7455">
        <v>83212</v>
      </c>
      <c r="B7455" t="s">
        <v>19</v>
      </c>
      <c r="C7455">
        <v>83212</v>
      </c>
      <c r="D7455" t="str">
        <f>"83212"</f>
        <v>83212</v>
      </c>
      <c r="E7455" t="s">
        <v>6</v>
      </c>
    </row>
    <row r="7456" spans="1:5" x14ac:dyDescent="0.2">
      <c r="A7456">
        <v>83213</v>
      </c>
      <c r="B7456" t="s">
        <v>19</v>
      </c>
      <c r="C7456">
        <v>83213</v>
      </c>
      <c r="D7456" t="str">
        <f>"83213"</f>
        <v>83213</v>
      </c>
      <c r="E7456">
        <v>71.150000000000006</v>
      </c>
    </row>
    <row r="7457" spans="1:5" x14ac:dyDescent="0.2">
      <c r="A7457">
        <v>83214</v>
      </c>
      <c r="B7457" t="s">
        <v>19</v>
      </c>
      <c r="C7457">
        <v>83214</v>
      </c>
      <c r="D7457" t="str">
        <f>"83214"</f>
        <v>83214</v>
      </c>
      <c r="E7457">
        <v>61.54</v>
      </c>
    </row>
    <row r="7458" spans="1:5" x14ac:dyDescent="0.2">
      <c r="A7458">
        <v>83215</v>
      </c>
      <c r="B7458" t="s">
        <v>19</v>
      </c>
      <c r="C7458">
        <v>83215</v>
      </c>
      <c r="D7458" t="str">
        <f>"83215"</f>
        <v>83215</v>
      </c>
      <c r="E7458" t="s">
        <v>6</v>
      </c>
    </row>
    <row r="7459" spans="1:5" x14ac:dyDescent="0.2">
      <c r="A7459">
        <v>83217</v>
      </c>
      <c r="B7459" t="s">
        <v>19</v>
      </c>
      <c r="C7459">
        <v>83217</v>
      </c>
      <c r="D7459" t="str">
        <f>"83217"</f>
        <v>83217</v>
      </c>
      <c r="E7459">
        <v>65.63</v>
      </c>
    </row>
    <row r="7460" spans="1:5" x14ac:dyDescent="0.2">
      <c r="A7460">
        <v>83218</v>
      </c>
      <c r="B7460" t="s">
        <v>19</v>
      </c>
      <c r="C7460">
        <v>83218</v>
      </c>
      <c r="D7460" t="str">
        <f>"83218"</f>
        <v>83218</v>
      </c>
      <c r="E7460" t="s">
        <v>6</v>
      </c>
    </row>
    <row r="7461" spans="1:5" x14ac:dyDescent="0.2">
      <c r="A7461">
        <v>83220</v>
      </c>
      <c r="B7461" t="s">
        <v>19</v>
      </c>
      <c r="C7461">
        <v>83220</v>
      </c>
      <c r="D7461" t="str">
        <f>"83220"</f>
        <v>83220</v>
      </c>
      <c r="E7461" t="s">
        <v>6</v>
      </c>
    </row>
    <row r="7462" spans="1:5" x14ac:dyDescent="0.2">
      <c r="A7462">
        <v>83221</v>
      </c>
      <c r="B7462" t="s">
        <v>19</v>
      </c>
      <c r="C7462">
        <v>83221</v>
      </c>
      <c r="D7462" t="str">
        <f>"83221"</f>
        <v>83221</v>
      </c>
      <c r="E7462">
        <v>65</v>
      </c>
    </row>
    <row r="7463" spans="1:5" x14ac:dyDescent="0.2">
      <c r="A7463">
        <v>83223</v>
      </c>
      <c r="B7463" t="s">
        <v>19</v>
      </c>
      <c r="C7463">
        <v>83223</v>
      </c>
      <c r="D7463" t="str">
        <f>"83223"</f>
        <v>83223</v>
      </c>
      <c r="E7463" t="s">
        <v>6</v>
      </c>
    </row>
    <row r="7464" spans="1:5" x14ac:dyDescent="0.2">
      <c r="A7464">
        <v>83226</v>
      </c>
      <c r="B7464" t="s">
        <v>19</v>
      </c>
      <c r="C7464">
        <v>83226</v>
      </c>
      <c r="D7464" t="str">
        <f>"83226"</f>
        <v>83226</v>
      </c>
      <c r="E7464">
        <v>62.86</v>
      </c>
    </row>
    <row r="7465" spans="1:5" x14ac:dyDescent="0.2">
      <c r="A7465">
        <v>83227</v>
      </c>
      <c r="B7465" t="s">
        <v>19</v>
      </c>
      <c r="C7465">
        <v>83227</v>
      </c>
      <c r="D7465" t="str">
        <f>"83227"</f>
        <v>83227</v>
      </c>
      <c r="E7465" t="s">
        <v>6</v>
      </c>
    </row>
    <row r="7466" spans="1:5" x14ac:dyDescent="0.2">
      <c r="A7466">
        <v>83228</v>
      </c>
      <c r="B7466" t="s">
        <v>19</v>
      </c>
      <c r="C7466">
        <v>83228</v>
      </c>
      <c r="D7466" t="str">
        <f>"83228"</f>
        <v>83228</v>
      </c>
      <c r="E7466">
        <v>47.83</v>
      </c>
    </row>
    <row r="7467" spans="1:5" x14ac:dyDescent="0.2">
      <c r="A7467">
        <v>83229</v>
      </c>
      <c r="B7467" t="s">
        <v>19</v>
      </c>
      <c r="C7467">
        <v>83229</v>
      </c>
      <c r="D7467" t="str">
        <f>"83229"</f>
        <v>83229</v>
      </c>
      <c r="E7467" t="s">
        <v>6</v>
      </c>
    </row>
    <row r="7468" spans="1:5" x14ac:dyDescent="0.2">
      <c r="A7468">
        <v>83232</v>
      </c>
      <c r="B7468" t="s">
        <v>19</v>
      </c>
      <c r="C7468">
        <v>83232</v>
      </c>
      <c r="D7468" t="str">
        <f>"83232"</f>
        <v>83232</v>
      </c>
      <c r="E7468">
        <v>61.9</v>
      </c>
    </row>
    <row r="7469" spans="1:5" x14ac:dyDescent="0.2">
      <c r="A7469">
        <v>83233</v>
      </c>
      <c r="B7469" t="s">
        <v>19</v>
      </c>
      <c r="C7469">
        <v>83233</v>
      </c>
      <c r="D7469" t="str">
        <f>"83233"</f>
        <v>83233</v>
      </c>
      <c r="E7469" t="s">
        <v>6</v>
      </c>
    </row>
    <row r="7470" spans="1:5" x14ac:dyDescent="0.2">
      <c r="A7470">
        <v>83234</v>
      </c>
      <c r="B7470" t="s">
        <v>19</v>
      </c>
      <c r="C7470">
        <v>83234</v>
      </c>
      <c r="D7470" t="str">
        <f>"83234"</f>
        <v>83234</v>
      </c>
      <c r="E7470">
        <v>62.22</v>
      </c>
    </row>
    <row r="7471" spans="1:5" x14ac:dyDescent="0.2">
      <c r="A7471">
        <v>83235</v>
      </c>
      <c r="B7471" t="s">
        <v>19</v>
      </c>
      <c r="C7471">
        <v>83235</v>
      </c>
      <c r="D7471" t="str">
        <f>"83235"</f>
        <v>83235</v>
      </c>
      <c r="E7471" t="s">
        <v>6</v>
      </c>
    </row>
    <row r="7472" spans="1:5" x14ac:dyDescent="0.2">
      <c r="A7472">
        <v>83236</v>
      </c>
      <c r="B7472" t="s">
        <v>19</v>
      </c>
      <c r="C7472">
        <v>83236</v>
      </c>
      <c r="D7472" t="str">
        <f>"83236"</f>
        <v>83236</v>
      </c>
      <c r="E7472">
        <v>65.260000000000005</v>
      </c>
    </row>
    <row r="7473" spans="1:5" x14ac:dyDescent="0.2">
      <c r="A7473">
        <v>83237</v>
      </c>
      <c r="B7473" t="s">
        <v>19</v>
      </c>
      <c r="C7473">
        <v>83237</v>
      </c>
      <c r="D7473" t="str">
        <f>"83237"</f>
        <v>83237</v>
      </c>
      <c r="E7473">
        <v>69.09</v>
      </c>
    </row>
    <row r="7474" spans="1:5" x14ac:dyDescent="0.2">
      <c r="A7474">
        <v>83238</v>
      </c>
      <c r="B7474" t="s">
        <v>19</v>
      </c>
      <c r="C7474">
        <v>83238</v>
      </c>
      <c r="D7474" t="str">
        <f>"83238"</f>
        <v>83238</v>
      </c>
      <c r="E7474" t="s">
        <v>6</v>
      </c>
    </row>
    <row r="7475" spans="1:5" x14ac:dyDescent="0.2">
      <c r="A7475">
        <v>83239</v>
      </c>
      <c r="B7475" t="s">
        <v>19</v>
      </c>
      <c r="C7475">
        <v>83239</v>
      </c>
      <c r="D7475" t="str">
        <f>"83239"</f>
        <v>83239</v>
      </c>
      <c r="E7475" t="s">
        <v>6</v>
      </c>
    </row>
    <row r="7476" spans="1:5" x14ac:dyDescent="0.2">
      <c r="A7476">
        <v>83241</v>
      </c>
      <c r="B7476" t="s">
        <v>19</v>
      </c>
      <c r="C7476">
        <v>83241</v>
      </c>
      <c r="D7476" t="str">
        <f>"83241"</f>
        <v>83241</v>
      </c>
      <c r="E7476">
        <v>64.47</v>
      </c>
    </row>
    <row r="7477" spans="1:5" x14ac:dyDescent="0.2">
      <c r="A7477">
        <v>83243</v>
      </c>
      <c r="B7477" t="s">
        <v>19</v>
      </c>
      <c r="C7477">
        <v>83243</v>
      </c>
      <c r="D7477" t="str">
        <f>"83243"</f>
        <v>83243</v>
      </c>
      <c r="E7477" t="s">
        <v>6</v>
      </c>
    </row>
    <row r="7478" spans="1:5" x14ac:dyDescent="0.2">
      <c r="A7478">
        <v>83244</v>
      </c>
      <c r="B7478" t="s">
        <v>19</v>
      </c>
      <c r="C7478">
        <v>83244</v>
      </c>
      <c r="D7478" t="str">
        <f>"83244"</f>
        <v>83244</v>
      </c>
      <c r="E7478">
        <v>58.33</v>
      </c>
    </row>
    <row r="7479" spans="1:5" x14ac:dyDescent="0.2">
      <c r="A7479">
        <v>83245</v>
      </c>
      <c r="B7479" t="s">
        <v>19</v>
      </c>
      <c r="C7479">
        <v>83245</v>
      </c>
      <c r="D7479" t="str">
        <f>"83245"</f>
        <v>83245</v>
      </c>
      <c r="E7479">
        <v>71.13</v>
      </c>
    </row>
    <row r="7480" spans="1:5" x14ac:dyDescent="0.2">
      <c r="A7480">
        <v>83246</v>
      </c>
      <c r="B7480" t="s">
        <v>19</v>
      </c>
      <c r="C7480">
        <v>83246</v>
      </c>
      <c r="D7480" t="str">
        <f>"83246"</f>
        <v>83246</v>
      </c>
      <c r="E7480">
        <v>75.510000000000005</v>
      </c>
    </row>
    <row r="7481" spans="1:5" x14ac:dyDescent="0.2">
      <c r="A7481">
        <v>83250</v>
      </c>
      <c r="B7481" t="s">
        <v>19</v>
      </c>
      <c r="C7481">
        <v>83250</v>
      </c>
      <c r="D7481" t="str">
        <f>"83250"</f>
        <v>83250</v>
      </c>
      <c r="E7481">
        <v>66.67</v>
      </c>
    </row>
    <row r="7482" spans="1:5" x14ac:dyDescent="0.2">
      <c r="A7482">
        <v>83251</v>
      </c>
      <c r="B7482" t="s">
        <v>19</v>
      </c>
      <c r="C7482">
        <v>83251</v>
      </c>
      <c r="D7482" t="str">
        <f>"83251"</f>
        <v>83251</v>
      </c>
      <c r="E7482">
        <v>64.709999999999994</v>
      </c>
    </row>
    <row r="7483" spans="1:5" x14ac:dyDescent="0.2">
      <c r="A7483">
        <v>83252</v>
      </c>
      <c r="B7483" t="s">
        <v>19</v>
      </c>
      <c r="C7483">
        <v>83252</v>
      </c>
      <c r="D7483" t="str">
        <f>"83252"</f>
        <v>83252</v>
      </c>
      <c r="E7483">
        <v>65.12</v>
      </c>
    </row>
    <row r="7484" spans="1:5" x14ac:dyDescent="0.2">
      <c r="A7484">
        <v>83253</v>
      </c>
      <c r="B7484" t="s">
        <v>19</v>
      </c>
      <c r="C7484">
        <v>83253</v>
      </c>
      <c r="D7484" t="str">
        <f>"83253"</f>
        <v>83253</v>
      </c>
      <c r="E7484" t="s">
        <v>6</v>
      </c>
    </row>
    <row r="7485" spans="1:5" x14ac:dyDescent="0.2">
      <c r="A7485">
        <v>83254</v>
      </c>
      <c r="B7485" t="s">
        <v>19</v>
      </c>
      <c r="C7485">
        <v>83254</v>
      </c>
      <c r="D7485" t="str">
        <f>"83254"</f>
        <v>83254</v>
      </c>
      <c r="E7485">
        <v>64.900000000000006</v>
      </c>
    </row>
    <row r="7486" spans="1:5" x14ac:dyDescent="0.2">
      <c r="A7486">
        <v>83255</v>
      </c>
      <c r="B7486" t="s">
        <v>19</v>
      </c>
      <c r="C7486">
        <v>83255</v>
      </c>
      <c r="D7486" t="str">
        <f>"83255"</f>
        <v>83255</v>
      </c>
      <c r="E7486">
        <v>72.5</v>
      </c>
    </row>
    <row r="7487" spans="1:5" x14ac:dyDescent="0.2">
      <c r="A7487">
        <v>83256</v>
      </c>
      <c r="B7487" t="s">
        <v>19</v>
      </c>
      <c r="C7487">
        <v>83256</v>
      </c>
      <c r="D7487" t="str">
        <f>"83256"</f>
        <v>83256</v>
      </c>
      <c r="E7487" t="s">
        <v>6</v>
      </c>
    </row>
    <row r="7488" spans="1:5" x14ac:dyDescent="0.2">
      <c r="A7488">
        <v>83261</v>
      </c>
      <c r="B7488" t="s">
        <v>19</v>
      </c>
      <c r="C7488">
        <v>83261</v>
      </c>
      <c r="D7488" t="str">
        <f>"83261"</f>
        <v>83261</v>
      </c>
      <c r="E7488" t="s">
        <v>6</v>
      </c>
    </row>
    <row r="7489" spans="1:5" x14ac:dyDescent="0.2">
      <c r="A7489">
        <v>83262</v>
      </c>
      <c r="B7489" t="s">
        <v>19</v>
      </c>
      <c r="C7489">
        <v>83262</v>
      </c>
      <c r="D7489" t="str">
        <f>"83262"</f>
        <v>83262</v>
      </c>
      <c r="E7489">
        <v>62.5</v>
      </c>
    </row>
    <row r="7490" spans="1:5" x14ac:dyDescent="0.2">
      <c r="A7490">
        <v>83263</v>
      </c>
      <c r="B7490" t="s">
        <v>19</v>
      </c>
      <c r="C7490">
        <v>83263</v>
      </c>
      <c r="D7490" t="str">
        <f>"83263"</f>
        <v>83263</v>
      </c>
      <c r="E7490">
        <v>66.150000000000006</v>
      </c>
    </row>
    <row r="7491" spans="1:5" x14ac:dyDescent="0.2">
      <c r="A7491">
        <v>83271</v>
      </c>
      <c r="B7491" t="s">
        <v>19</v>
      </c>
      <c r="C7491">
        <v>83271</v>
      </c>
      <c r="D7491" t="str">
        <f>"83271"</f>
        <v>83271</v>
      </c>
      <c r="E7491">
        <v>63.16</v>
      </c>
    </row>
    <row r="7492" spans="1:5" x14ac:dyDescent="0.2">
      <c r="A7492">
        <v>83272</v>
      </c>
      <c r="B7492" t="s">
        <v>19</v>
      </c>
      <c r="C7492">
        <v>83272</v>
      </c>
      <c r="D7492" t="str">
        <f>"83272"</f>
        <v>83272</v>
      </c>
      <c r="E7492">
        <v>60</v>
      </c>
    </row>
    <row r="7493" spans="1:5" x14ac:dyDescent="0.2">
      <c r="A7493">
        <v>83274</v>
      </c>
      <c r="B7493" t="s">
        <v>19</v>
      </c>
      <c r="C7493">
        <v>83274</v>
      </c>
      <c r="D7493" t="str">
        <f>"83274"</f>
        <v>83274</v>
      </c>
      <c r="E7493">
        <v>65.69</v>
      </c>
    </row>
    <row r="7494" spans="1:5" x14ac:dyDescent="0.2">
      <c r="A7494">
        <v>83276</v>
      </c>
      <c r="B7494" t="s">
        <v>19</v>
      </c>
      <c r="C7494">
        <v>83276</v>
      </c>
      <c r="D7494" t="str">
        <f>"83276"</f>
        <v>83276</v>
      </c>
      <c r="E7494">
        <v>73.84</v>
      </c>
    </row>
    <row r="7495" spans="1:5" x14ac:dyDescent="0.2">
      <c r="A7495">
        <v>83277</v>
      </c>
      <c r="B7495" t="s">
        <v>19</v>
      </c>
      <c r="C7495">
        <v>83277</v>
      </c>
      <c r="D7495" t="str">
        <f>"83277"</f>
        <v>83277</v>
      </c>
      <c r="E7495" t="s">
        <v>6</v>
      </c>
    </row>
    <row r="7496" spans="1:5" x14ac:dyDescent="0.2">
      <c r="A7496">
        <v>83278</v>
      </c>
      <c r="B7496" t="s">
        <v>19</v>
      </c>
      <c r="C7496">
        <v>83278</v>
      </c>
      <c r="D7496" t="str">
        <f>"83278"</f>
        <v>83278</v>
      </c>
      <c r="E7496">
        <v>77.78</v>
      </c>
    </row>
    <row r="7497" spans="1:5" x14ac:dyDescent="0.2">
      <c r="A7497">
        <v>83281</v>
      </c>
      <c r="B7497" t="s">
        <v>19</v>
      </c>
      <c r="C7497">
        <v>83281</v>
      </c>
      <c r="D7497" t="str">
        <f>"83281"</f>
        <v>83281</v>
      </c>
      <c r="E7497" t="s">
        <v>6</v>
      </c>
    </row>
    <row r="7498" spans="1:5" x14ac:dyDescent="0.2">
      <c r="A7498">
        <v>83283</v>
      </c>
      <c r="B7498" t="s">
        <v>19</v>
      </c>
      <c r="C7498">
        <v>83283</v>
      </c>
      <c r="D7498" t="str">
        <f>"83283"</f>
        <v>83283</v>
      </c>
      <c r="E7498" t="s">
        <v>6</v>
      </c>
    </row>
    <row r="7499" spans="1:5" x14ac:dyDescent="0.2">
      <c r="A7499">
        <v>83285</v>
      </c>
      <c r="B7499" t="s">
        <v>19</v>
      </c>
      <c r="C7499">
        <v>83285</v>
      </c>
      <c r="D7499" t="str">
        <f>"83285"</f>
        <v>83285</v>
      </c>
      <c r="E7499" t="s">
        <v>6</v>
      </c>
    </row>
    <row r="7500" spans="1:5" x14ac:dyDescent="0.2">
      <c r="A7500">
        <v>83286</v>
      </c>
      <c r="B7500" t="s">
        <v>19</v>
      </c>
      <c r="C7500">
        <v>83286</v>
      </c>
      <c r="D7500" t="str">
        <f>"83286"</f>
        <v>83286</v>
      </c>
      <c r="E7500">
        <v>62</v>
      </c>
    </row>
    <row r="7501" spans="1:5" x14ac:dyDescent="0.2">
      <c r="A7501">
        <v>83287</v>
      </c>
      <c r="B7501" t="s">
        <v>19</v>
      </c>
      <c r="C7501">
        <v>83287</v>
      </c>
      <c r="D7501" t="str">
        <f>"83287"</f>
        <v>83287</v>
      </c>
      <c r="E7501">
        <v>63.64</v>
      </c>
    </row>
    <row r="7502" spans="1:5" x14ac:dyDescent="0.2">
      <c r="A7502">
        <v>83301</v>
      </c>
      <c r="B7502" t="s">
        <v>19</v>
      </c>
      <c r="C7502">
        <v>83301</v>
      </c>
      <c r="D7502" t="str">
        <f>"83301"</f>
        <v>83301</v>
      </c>
      <c r="E7502">
        <v>67.81</v>
      </c>
    </row>
    <row r="7503" spans="1:5" x14ac:dyDescent="0.2">
      <c r="A7503">
        <v>83302</v>
      </c>
      <c r="B7503" t="s">
        <v>19</v>
      </c>
      <c r="C7503">
        <v>83302</v>
      </c>
      <c r="D7503" t="str">
        <f>"83302"</f>
        <v>83302</v>
      </c>
      <c r="E7503" t="s">
        <v>6</v>
      </c>
    </row>
    <row r="7504" spans="1:5" x14ac:dyDescent="0.2">
      <c r="A7504">
        <v>83311</v>
      </c>
      <c r="B7504" t="s">
        <v>19</v>
      </c>
      <c r="C7504">
        <v>83311</v>
      </c>
      <c r="D7504" t="str">
        <f>"83311"</f>
        <v>83311</v>
      </c>
      <c r="E7504">
        <v>73.91</v>
      </c>
    </row>
    <row r="7505" spans="1:5" x14ac:dyDescent="0.2">
      <c r="A7505">
        <v>83312</v>
      </c>
      <c r="B7505" t="s">
        <v>19</v>
      </c>
      <c r="C7505">
        <v>83312</v>
      </c>
      <c r="D7505" t="str">
        <f>"83312"</f>
        <v>83312</v>
      </c>
      <c r="E7505" t="s">
        <v>6</v>
      </c>
    </row>
    <row r="7506" spans="1:5" x14ac:dyDescent="0.2">
      <c r="A7506">
        <v>83313</v>
      </c>
      <c r="B7506" t="s">
        <v>19</v>
      </c>
      <c r="C7506">
        <v>83313</v>
      </c>
      <c r="D7506" t="str">
        <f>"83313"</f>
        <v>83313</v>
      </c>
      <c r="E7506">
        <v>72.73</v>
      </c>
    </row>
    <row r="7507" spans="1:5" x14ac:dyDescent="0.2">
      <c r="A7507">
        <v>83314</v>
      </c>
      <c r="B7507" t="s">
        <v>19</v>
      </c>
      <c r="C7507">
        <v>83314</v>
      </c>
      <c r="D7507" t="str">
        <f>"83314"</f>
        <v>83314</v>
      </c>
      <c r="E7507">
        <v>60.61</v>
      </c>
    </row>
    <row r="7508" spans="1:5" x14ac:dyDescent="0.2">
      <c r="A7508">
        <v>83316</v>
      </c>
      <c r="B7508" t="s">
        <v>19</v>
      </c>
      <c r="C7508">
        <v>83316</v>
      </c>
      <c r="D7508" t="str">
        <f>"83316"</f>
        <v>83316</v>
      </c>
      <c r="E7508">
        <v>65.650000000000006</v>
      </c>
    </row>
    <row r="7509" spans="1:5" x14ac:dyDescent="0.2">
      <c r="A7509">
        <v>83318</v>
      </c>
      <c r="B7509" t="s">
        <v>19</v>
      </c>
      <c r="C7509">
        <v>83318</v>
      </c>
      <c r="D7509" t="str">
        <f>"83318"</f>
        <v>83318</v>
      </c>
      <c r="E7509">
        <v>63.97</v>
      </c>
    </row>
    <row r="7510" spans="1:5" x14ac:dyDescent="0.2">
      <c r="A7510">
        <v>83320</v>
      </c>
      <c r="B7510" t="s">
        <v>19</v>
      </c>
      <c r="C7510">
        <v>83320</v>
      </c>
      <c r="D7510" t="str">
        <f>"83320"</f>
        <v>83320</v>
      </c>
      <c r="E7510">
        <v>71.790000000000006</v>
      </c>
    </row>
    <row r="7511" spans="1:5" x14ac:dyDescent="0.2">
      <c r="A7511">
        <v>83321</v>
      </c>
      <c r="B7511" t="s">
        <v>19</v>
      </c>
      <c r="C7511">
        <v>83321</v>
      </c>
      <c r="D7511" t="str">
        <f>"83321"</f>
        <v>83321</v>
      </c>
      <c r="E7511">
        <v>59.09</v>
      </c>
    </row>
    <row r="7512" spans="1:5" x14ac:dyDescent="0.2">
      <c r="A7512">
        <v>83322</v>
      </c>
      <c r="B7512" t="s">
        <v>19</v>
      </c>
      <c r="C7512">
        <v>83322</v>
      </c>
      <c r="D7512" t="str">
        <f>"83322"</f>
        <v>83322</v>
      </c>
      <c r="E7512" t="s">
        <v>6</v>
      </c>
    </row>
    <row r="7513" spans="1:5" x14ac:dyDescent="0.2">
      <c r="A7513">
        <v>83323</v>
      </c>
      <c r="B7513" t="s">
        <v>19</v>
      </c>
      <c r="C7513">
        <v>83323</v>
      </c>
      <c r="D7513" t="str">
        <f>"83323"</f>
        <v>83323</v>
      </c>
      <c r="E7513">
        <v>62.67</v>
      </c>
    </row>
    <row r="7514" spans="1:5" x14ac:dyDescent="0.2">
      <c r="A7514">
        <v>83324</v>
      </c>
      <c r="B7514" t="s">
        <v>19</v>
      </c>
      <c r="C7514">
        <v>83324</v>
      </c>
      <c r="D7514" t="str">
        <f>"83324"</f>
        <v>83324</v>
      </c>
      <c r="E7514">
        <v>43.48</v>
      </c>
    </row>
    <row r="7515" spans="1:5" x14ac:dyDescent="0.2">
      <c r="A7515">
        <v>83325</v>
      </c>
      <c r="B7515" t="s">
        <v>19</v>
      </c>
      <c r="C7515">
        <v>83325</v>
      </c>
      <c r="D7515" t="str">
        <f>"83325"</f>
        <v>83325</v>
      </c>
      <c r="E7515">
        <v>65.790000000000006</v>
      </c>
    </row>
    <row r="7516" spans="1:5" x14ac:dyDescent="0.2">
      <c r="A7516">
        <v>83327</v>
      </c>
      <c r="B7516" t="s">
        <v>19</v>
      </c>
      <c r="C7516">
        <v>83327</v>
      </c>
      <c r="D7516" t="str">
        <f>"83327"</f>
        <v>83327</v>
      </c>
      <c r="E7516">
        <v>73.17</v>
      </c>
    </row>
    <row r="7517" spans="1:5" x14ac:dyDescent="0.2">
      <c r="A7517">
        <v>83328</v>
      </c>
      <c r="B7517" t="s">
        <v>19</v>
      </c>
      <c r="C7517">
        <v>83328</v>
      </c>
      <c r="D7517" t="str">
        <f>"83328"</f>
        <v>83328</v>
      </c>
      <c r="E7517">
        <v>68.44</v>
      </c>
    </row>
    <row r="7518" spans="1:5" x14ac:dyDescent="0.2">
      <c r="A7518">
        <v>83330</v>
      </c>
      <c r="B7518" t="s">
        <v>19</v>
      </c>
      <c r="C7518">
        <v>83330</v>
      </c>
      <c r="D7518" t="str">
        <f>"83330"</f>
        <v>83330</v>
      </c>
      <c r="E7518">
        <v>65.92</v>
      </c>
    </row>
    <row r="7519" spans="1:5" x14ac:dyDescent="0.2">
      <c r="A7519">
        <v>83332</v>
      </c>
      <c r="B7519" t="s">
        <v>19</v>
      </c>
      <c r="C7519">
        <v>83332</v>
      </c>
      <c r="D7519" t="str">
        <f>"83332"</f>
        <v>83332</v>
      </c>
      <c r="E7519">
        <v>67.680000000000007</v>
      </c>
    </row>
    <row r="7520" spans="1:5" x14ac:dyDescent="0.2">
      <c r="A7520">
        <v>83333</v>
      </c>
      <c r="B7520" t="s">
        <v>19</v>
      </c>
      <c r="C7520">
        <v>83333</v>
      </c>
      <c r="D7520" t="str">
        <f>"83333"</f>
        <v>83333</v>
      </c>
      <c r="E7520">
        <v>75.94</v>
      </c>
    </row>
    <row r="7521" spans="1:5" x14ac:dyDescent="0.2">
      <c r="A7521">
        <v>83334</v>
      </c>
      <c r="B7521" t="s">
        <v>19</v>
      </c>
      <c r="C7521">
        <v>83334</v>
      </c>
      <c r="D7521" t="str">
        <f>"83334"</f>
        <v>83334</v>
      </c>
      <c r="E7521">
        <v>65.819999999999993</v>
      </c>
    </row>
    <row r="7522" spans="1:5" x14ac:dyDescent="0.2">
      <c r="A7522">
        <v>83335</v>
      </c>
      <c r="B7522" t="s">
        <v>19</v>
      </c>
      <c r="C7522">
        <v>83335</v>
      </c>
      <c r="D7522" t="str">
        <f>"83335"</f>
        <v>83335</v>
      </c>
      <c r="E7522">
        <v>66.67</v>
      </c>
    </row>
    <row r="7523" spans="1:5" x14ac:dyDescent="0.2">
      <c r="A7523">
        <v>83336</v>
      </c>
      <c r="B7523" t="s">
        <v>19</v>
      </c>
      <c r="C7523">
        <v>83336</v>
      </c>
      <c r="D7523" t="str">
        <f>"83336"</f>
        <v>83336</v>
      </c>
      <c r="E7523">
        <v>64</v>
      </c>
    </row>
    <row r="7524" spans="1:5" x14ac:dyDescent="0.2">
      <c r="A7524">
        <v>83337</v>
      </c>
      <c r="B7524" t="s">
        <v>19</v>
      </c>
      <c r="C7524">
        <v>83337</v>
      </c>
      <c r="D7524" t="str">
        <f>"83337"</f>
        <v>83337</v>
      </c>
      <c r="E7524" t="s">
        <v>6</v>
      </c>
    </row>
    <row r="7525" spans="1:5" x14ac:dyDescent="0.2">
      <c r="A7525">
        <v>83338</v>
      </c>
      <c r="B7525" t="s">
        <v>19</v>
      </c>
      <c r="C7525">
        <v>83338</v>
      </c>
      <c r="D7525" t="str">
        <f>"83338"</f>
        <v>83338</v>
      </c>
      <c r="E7525">
        <v>64.430000000000007</v>
      </c>
    </row>
    <row r="7526" spans="1:5" x14ac:dyDescent="0.2">
      <c r="A7526">
        <v>83340</v>
      </c>
      <c r="B7526" t="s">
        <v>19</v>
      </c>
      <c r="C7526">
        <v>83340</v>
      </c>
      <c r="D7526" t="str">
        <f>"83340"</f>
        <v>83340</v>
      </c>
      <c r="E7526">
        <v>78.92</v>
      </c>
    </row>
    <row r="7527" spans="1:5" x14ac:dyDescent="0.2">
      <c r="A7527">
        <v>83341</v>
      </c>
      <c r="B7527" t="s">
        <v>19</v>
      </c>
      <c r="C7527">
        <v>83341</v>
      </c>
      <c r="D7527" t="str">
        <f>"83341"</f>
        <v>83341</v>
      </c>
      <c r="E7527">
        <v>70.95</v>
      </c>
    </row>
    <row r="7528" spans="1:5" x14ac:dyDescent="0.2">
      <c r="A7528">
        <v>83342</v>
      </c>
      <c r="B7528" t="s">
        <v>19</v>
      </c>
      <c r="C7528">
        <v>83342</v>
      </c>
      <c r="D7528" t="str">
        <f>"83342"</f>
        <v>83342</v>
      </c>
      <c r="E7528">
        <v>57.89</v>
      </c>
    </row>
    <row r="7529" spans="1:5" x14ac:dyDescent="0.2">
      <c r="A7529">
        <v>83343</v>
      </c>
      <c r="B7529" t="s">
        <v>19</v>
      </c>
      <c r="C7529">
        <v>83343</v>
      </c>
      <c r="D7529" t="str">
        <f>"83343"</f>
        <v>83343</v>
      </c>
      <c r="E7529" t="s">
        <v>6</v>
      </c>
    </row>
    <row r="7530" spans="1:5" x14ac:dyDescent="0.2">
      <c r="A7530">
        <v>83344</v>
      </c>
      <c r="B7530" t="s">
        <v>19</v>
      </c>
      <c r="C7530">
        <v>83344</v>
      </c>
      <c r="D7530" t="str">
        <f>"83344"</f>
        <v>83344</v>
      </c>
      <c r="E7530">
        <v>57.78</v>
      </c>
    </row>
    <row r="7531" spans="1:5" x14ac:dyDescent="0.2">
      <c r="A7531">
        <v>83346</v>
      </c>
      <c r="B7531" t="s">
        <v>19</v>
      </c>
      <c r="C7531">
        <v>83346</v>
      </c>
      <c r="D7531" t="str">
        <f>"83346"</f>
        <v>83346</v>
      </c>
      <c r="E7531">
        <v>47.22</v>
      </c>
    </row>
    <row r="7532" spans="1:5" x14ac:dyDescent="0.2">
      <c r="A7532">
        <v>83347</v>
      </c>
      <c r="B7532" t="s">
        <v>19</v>
      </c>
      <c r="C7532">
        <v>83347</v>
      </c>
      <c r="D7532" t="str">
        <f>"83347"</f>
        <v>83347</v>
      </c>
      <c r="E7532">
        <v>69.12</v>
      </c>
    </row>
    <row r="7533" spans="1:5" x14ac:dyDescent="0.2">
      <c r="A7533">
        <v>83348</v>
      </c>
      <c r="B7533" t="s">
        <v>19</v>
      </c>
      <c r="C7533">
        <v>83348</v>
      </c>
      <c r="D7533" t="str">
        <f>"83348"</f>
        <v>83348</v>
      </c>
      <c r="E7533" t="s">
        <v>6</v>
      </c>
    </row>
    <row r="7534" spans="1:5" x14ac:dyDescent="0.2">
      <c r="A7534">
        <v>83349</v>
      </c>
      <c r="B7534" t="s">
        <v>19</v>
      </c>
      <c r="C7534">
        <v>83349</v>
      </c>
      <c r="D7534" t="str">
        <f>"83349"</f>
        <v>83349</v>
      </c>
      <c r="E7534">
        <v>66.67</v>
      </c>
    </row>
    <row r="7535" spans="1:5" x14ac:dyDescent="0.2">
      <c r="A7535">
        <v>83350</v>
      </c>
      <c r="B7535" t="s">
        <v>19</v>
      </c>
      <c r="C7535">
        <v>83350</v>
      </c>
      <c r="D7535" t="str">
        <f>"83350"</f>
        <v>83350</v>
      </c>
      <c r="E7535">
        <v>65.510000000000005</v>
      </c>
    </row>
    <row r="7536" spans="1:5" x14ac:dyDescent="0.2">
      <c r="A7536">
        <v>83352</v>
      </c>
      <c r="B7536" t="s">
        <v>19</v>
      </c>
      <c r="C7536">
        <v>83352</v>
      </c>
      <c r="D7536" t="str">
        <f>"83352"</f>
        <v>83352</v>
      </c>
      <c r="E7536">
        <v>66.67</v>
      </c>
    </row>
    <row r="7537" spans="1:5" x14ac:dyDescent="0.2">
      <c r="A7537">
        <v>83353</v>
      </c>
      <c r="B7537" t="s">
        <v>19</v>
      </c>
      <c r="C7537">
        <v>83353</v>
      </c>
      <c r="D7537" t="str">
        <f>"83353"</f>
        <v>83353</v>
      </c>
      <c r="E7537" t="s">
        <v>6</v>
      </c>
    </row>
    <row r="7538" spans="1:5" x14ac:dyDescent="0.2">
      <c r="A7538">
        <v>83354</v>
      </c>
      <c r="B7538" t="s">
        <v>19</v>
      </c>
      <c r="C7538">
        <v>83354</v>
      </c>
      <c r="D7538" t="str">
        <f>"83354"</f>
        <v>83354</v>
      </c>
      <c r="E7538" t="s">
        <v>6</v>
      </c>
    </row>
    <row r="7539" spans="1:5" x14ac:dyDescent="0.2">
      <c r="A7539">
        <v>83355</v>
      </c>
      <c r="B7539" t="s">
        <v>19</v>
      </c>
      <c r="C7539">
        <v>83355</v>
      </c>
      <c r="D7539" t="str">
        <f>"83355"</f>
        <v>83355</v>
      </c>
      <c r="E7539">
        <v>61.76</v>
      </c>
    </row>
    <row r="7540" spans="1:5" x14ac:dyDescent="0.2">
      <c r="A7540">
        <v>83401</v>
      </c>
      <c r="B7540" t="s">
        <v>19</v>
      </c>
      <c r="C7540">
        <v>83401</v>
      </c>
      <c r="D7540" t="str">
        <f>"83401"</f>
        <v>83401</v>
      </c>
      <c r="E7540">
        <v>65.31</v>
      </c>
    </row>
    <row r="7541" spans="1:5" x14ac:dyDescent="0.2">
      <c r="A7541">
        <v>83402</v>
      </c>
      <c r="B7541" t="s">
        <v>19</v>
      </c>
      <c r="C7541">
        <v>83402</v>
      </c>
      <c r="D7541" t="str">
        <f>"83402"</f>
        <v>83402</v>
      </c>
      <c r="E7541">
        <v>66.150000000000006</v>
      </c>
    </row>
    <row r="7542" spans="1:5" x14ac:dyDescent="0.2">
      <c r="A7542">
        <v>83404</v>
      </c>
      <c r="B7542" t="s">
        <v>19</v>
      </c>
      <c r="C7542">
        <v>83404</v>
      </c>
      <c r="D7542" t="str">
        <f>"83404"</f>
        <v>83404</v>
      </c>
      <c r="E7542">
        <v>72.45</v>
      </c>
    </row>
    <row r="7543" spans="1:5" x14ac:dyDescent="0.2">
      <c r="A7543">
        <v>83406</v>
      </c>
      <c r="B7543" t="s">
        <v>19</v>
      </c>
      <c r="C7543">
        <v>83406</v>
      </c>
      <c r="D7543" t="str">
        <f>"83406"</f>
        <v>83406</v>
      </c>
      <c r="E7543">
        <v>68.44</v>
      </c>
    </row>
    <row r="7544" spans="1:5" x14ac:dyDescent="0.2">
      <c r="A7544">
        <v>83420</v>
      </c>
      <c r="B7544" t="s">
        <v>19</v>
      </c>
      <c r="C7544">
        <v>83420</v>
      </c>
      <c r="D7544" t="str">
        <f>"83420"</f>
        <v>83420</v>
      </c>
      <c r="E7544">
        <v>59.82</v>
      </c>
    </row>
    <row r="7545" spans="1:5" x14ac:dyDescent="0.2">
      <c r="A7545">
        <v>83421</v>
      </c>
      <c r="B7545" t="s">
        <v>19</v>
      </c>
      <c r="C7545">
        <v>83421</v>
      </c>
      <c r="D7545" t="str">
        <f>"83421"</f>
        <v>83421</v>
      </c>
      <c r="E7545" t="s">
        <v>6</v>
      </c>
    </row>
    <row r="7546" spans="1:5" x14ac:dyDescent="0.2">
      <c r="A7546">
        <v>83422</v>
      </c>
      <c r="B7546" t="s">
        <v>19</v>
      </c>
      <c r="C7546">
        <v>83422</v>
      </c>
      <c r="D7546" t="str">
        <f>"83422"</f>
        <v>83422</v>
      </c>
      <c r="E7546">
        <v>71.92</v>
      </c>
    </row>
    <row r="7547" spans="1:5" x14ac:dyDescent="0.2">
      <c r="A7547">
        <v>83423</v>
      </c>
      <c r="B7547" t="s">
        <v>19</v>
      </c>
      <c r="C7547">
        <v>83423</v>
      </c>
      <c r="D7547" t="str">
        <f>"83423"</f>
        <v>83423</v>
      </c>
      <c r="E7547">
        <v>63.33</v>
      </c>
    </row>
    <row r="7548" spans="1:5" x14ac:dyDescent="0.2">
      <c r="A7548">
        <v>83424</v>
      </c>
      <c r="B7548" t="s">
        <v>19</v>
      </c>
      <c r="C7548">
        <v>83424</v>
      </c>
      <c r="D7548" t="str">
        <f>"83424"</f>
        <v>83424</v>
      </c>
      <c r="E7548" t="s">
        <v>6</v>
      </c>
    </row>
    <row r="7549" spans="1:5" x14ac:dyDescent="0.2">
      <c r="A7549">
        <v>83425</v>
      </c>
      <c r="B7549" t="s">
        <v>19</v>
      </c>
      <c r="C7549">
        <v>83425</v>
      </c>
      <c r="D7549" t="str">
        <f>"83425"</f>
        <v>83425</v>
      </c>
      <c r="E7549">
        <v>50</v>
      </c>
    </row>
    <row r="7550" spans="1:5" x14ac:dyDescent="0.2">
      <c r="A7550">
        <v>83427</v>
      </c>
      <c r="B7550" t="s">
        <v>19</v>
      </c>
      <c r="C7550">
        <v>83427</v>
      </c>
      <c r="D7550" t="str">
        <f>"83427"</f>
        <v>83427</v>
      </c>
      <c r="E7550">
        <v>70.83</v>
      </c>
    </row>
    <row r="7551" spans="1:5" x14ac:dyDescent="0.2">
      <c r="A7551">
        <v>83428</v>
      </c>
      <c r="B7551" t="s">
        <v>19</v>
      </c>
      <c r="C7551">
        <v>83428</v>
      </c>
      <c r="D7551" t="str">
        <f>"83428"</f>
        <v>83428</v>
      </c>
      <c r="E7551">
        <v>65</v>
      </c>
    </row>
    <row r="7552" spans="1:5" x14ac:dyDescent="0.2">
      <c r="A7552">
        <v>83429</v>
      </c>
      <c r="B7552" t="s">
        <v>19</v>
      </c>
      <c r="C7552">
        <v>83429</v>
      </c>
      <c r="D7552" t="str">
        <f>"83429"</f>
        <v>83429</v>
      </c>
      <c r="E7552">
        <v>78.569999999999993</v>
      </c>
    </row>
    <row r="7553" spans="1:5" x14ac:dyDescent="0.2">
      <c r="A7553">
        <v>83431</v>
      </c>
      <c r="B7553" t="s">
        <v>19</v>
      </c>
      <c r="C7553">
        <v>83431</v>
      </c>
      <c r="D7553" t="str">
        <f>"83431"</f>
        <v>83431</v>
      </c>
      <c r="E7553">
        <v>66.67</v>
      </c>
    </row>
    <row r="7554" spans="1:5" x14ac:dyDescent="0.2">
      <c r="A7554">
        <v>83433</v>
      </c>
      <c r="B7554" t="s">
        <v>19</v>
      </c>
      <c r="C7554">
        <v>83433</v>
      </c>
      <c r="D7554" t="str">
        <f>"83433"</f>
        <v>83433</v>
      </c>
      <c r="E7554" t="s">
        <v>6</v>
      </c>
    </row>
    <row r="7555" spans="1:5" x14ac:dyDescent="0.2">
      <c r="A7555">
        <v>83434</v>
      </c>
      <c r="B7555" t="s">
        <v>19</v>
      </c>
      <c r="C7555">
        <v>83434</v>
      </c>
      <c r="D7555" t="str">
        <f>"83434"</f>
        <v>83434</v>
      </c>
      <c r="E7555">
        <v>64.290000000000006</v>
      </c>
    </row>
    <row r="7556" spans="1:5" x14ac:dyDescent="0.2">
      <c r="A7556">
        <v>83435</v>
      </c>
      <c r="B7556" t="s">
        <v>19</v>
      </c>
      <c r="C7556">
        <v>83435</v>
      </c>
      <c r="D7556" t="str">
        <f>"83435"</f>
        <v>83435</v>
      </c>
      <c r="E7556">
        <v>50</v>
      </c>
    </row>
    <row r="7557" spans="1:5" x14ac:dyDescent="0.2">
      <c r="A7557">
        <v>83436</v>
      </c>
      <c r="B7557" t="s">
        <v>19</v>
      </c>
      <c r="C7557">
        <v>83436</v>
      </c>
      <c r="D7557" t="str">
        <f>"83436"</f>
        <v>83436</v>
      </c>
      <c r="E7557">
        <v>53.85</v>
      </c>
    </row>
    <row r="7558" spans="1:5" x14ac:dyDescent="0.2">
      <c r="A7558">
        <v>83438</v>
      </c>
      <c r="B7558" t="s">
        <v>19</v>
      </c>
      <c r="C7558">
        <v>83438</v>
      </c>
      <c r="D7558" t="str">
        <f>"83438"</f>
        <v>83438</v>
      </c>
      <c r="E7558" t="s">
        <v>6</v>
      </c>
    </row>
    <row r="7559" spans="1:5" x14ac:dyDescent="0.2">
      <c r="A7559">
        <v>83440</v>
      </c>
      <c r="B7559" t="s">
        <v>19</v>
      </c>
      <c r="C7559">
        <v>83440</v>
      </c>
      <c r="D7559" t="str">
        <f>"83440"</f>
        <v>83440</v>
      </c>
      <c r="E7559">
        <v>48.86</v>
      </c>
    </row>
    <row r="7560" spans="1:5" x14ac:dyDescent="0.2">
      <c r="A7560">
        <v>83442</v>
      </c>
      <c r="B7560" t="s">
        <v>19</v>
      </c>
      <c r="C7560">
        <v>83442</v>
      </c>
      <c r="D7560" t="str">
        <f>"83442"</f>
        <v>83442</v>
      </c>
      <c r="E7560">
        <v>66.180000000000007</v>
      </c>
    </row>
    <row r="7561" spans="1:5" x14ac:dyDescent="0.2">
      <c r="A7561">
        <v>83443</v>
      </c>
      <c r="B7561" t="s">
        <v>19</v>
      </c>
      <c r="C7561">
        <v>83443</v>
      </c>
      <c r="D7561" t="str">
        <f>"83443"</f>
        <v>83443</v>
      </c>
      <c r="E7561">
        <v>57.89</v>
      </c>
    </row>
    <row r="7562" spans="1:5" x14ac:dyDescent="0.2">
      <c r="A7562">
        <v>83444</v>
      </c>
      <c r="B7562" t="s">
        <v>19</v>
      </c>
      <c r="C7562">
        <v>83444</v>
      </c>
      <c r="D7562" t="str">
        <f>"83444"</f>
        <v>83444</v>
      </c>
      <c r="E7562">
        <v>56.86</v>
      </c>
    </row>
    <row r="7563" spans="1:5" x14ac:dyDescent="0.2">
      <c r="A7563">
        <v>83445</v>
      </c>
      <c r="B7563" t="s">
        <v>19</v>
      </c>
      <c r="C7563">
        <v>83445</v>
      </c>
      <c r="D7563" t="str">
        <f>"83445"</f>
        <v>83445</v>
      </c>
      <c r="E7563">
        <v>60.14</v>
      </c>
    </row>
    <row r="7564" spans="1:5" x14ac:dyDescent="0.2">
      <c r="A7564">
        <v>83446</v>
      </c>
      <c r="B7564" t="s">
        <v>19</v>
      </c>
      <c r="C7564">
        <v>83446</v>
      </c>
      <c r="D7564" t="str">
        <f>"83446"</f>
        <v>83446</v>
      </c>
      <c r="E7564" t="s">
        <v>6</v>
      </c>
    </row>
    <row r="7565" spans="1:5" x14ac:dyDescent="0.2">
      <c r="A7565">
        <v>83448</v>
      </c>
      <c r="B7565" t="s">
        <v>19</v>
      </c>
      <c r="C7565">
        <v>83448</v>
      </c>
      <c r="D7565" t="str">
        <f>"83448"</f>
        <v>83448</v>
      </c>
      <c r="E7565">
        <v>60</v>
      </c>
    </row>
    <row r="7566" spans="1:5" x14ac:dyDescent="0.2">
      <c r="A7566">
        <v>83449</v>
      </c>
      <c r="B7566" t="s">
        <v>19</v>
      </c>
      <c r="C7566">
        <v>83449</v>
      </c>
      <c r="D7566" t="str">
        <f>"83449"</f>
        <v>83449</v>
      </c>
      <c r="E7566">
        <v>76.47</v>
      </c>
    </row>
    <row r="7567" spans="1:5" x14ac:dyDescent="0.2">
      <c r="A7567">
        <v>83450</v>
      </c>
      <c r="B7567" t="s">
        <v>19</v>
      </c>
      <c r="C7567">
        <v>83450</v>
      </c>
      <c r="D7567" t="str">
        <f>"83450"</f>
        <v>83450</v>
      </c>
      <c r="E7567">
        <v>59.09</v>
      </c>
    </row>
    <row r="7568" spans="1:5" x14ac:dyDescent="0.2">
      <c r="A7568">
        <v>83451</v>
      </c>
      <c r="B7568" t="s">
        <v>19</v>
      </c>
      <c r="C7568">
        <v>83451</v>
      </c>
      <c r="D7568" t="str">
        <f>"83451"</f>
        <v>83451</v>
      </c>
      <c r="E7568">
        <v>60</v>
      </c>
    </row>
    <row r="7569" spans="1:5" x14ac:dyDescent="0.2">
      <c r="A7569">
        <v>83452</v>
      </c>
      <c r="B7569" t="s">
        <v>19</v>
      </c>
      <c r="C7569">
        <v>83452</v>
      </c>
      <c r="D7569" t="str">
        <f>"83452"</f>
        <v>83452</v>
      </c>
      <c r="E7569">
        <v>71.209999999999994</v>
      </c>
    </row>
    <row r="7570" spans="1:5" x14ac:dyDescent="0.2">
      <c r="A7570">
        <v>83455</v>
      </c>
      <c r="B7570" t="s">
        <v>19</v>
      </c>
      <c r="C7570">
        <v>83455</v>
      </c>
      <c r="D7570" t="str">
        <f>"83455"</f>
        <v>83455</v>
      </c>
      <c r="E7570">
        <v>73.97</v>
      </c>
    </row>
    <row r="7571" spans="1:5" x14ac:dyDescent="0.2">
      <c r="A7571">
        <v>83460</v>
      </c>
      <c r="B7571" t="s">
        <v>19</v>
      </c>
      <c r="C7571">
        <v>83460</v>
      </c>
      <c r="D7571" t="str">
        <f>"83460"</f>
        <v>83460</v>
      </c>
      <c r="E7571" t="s">
        <v>6</v>
      </c>
    </row>
    <row r="7572" spans="1:5" x14ac:dyDescent="0.2">
      <c r="A7572">
        <v>83462</v>
      </c>
      <c r="B7572" t="s">
        <v>19</v>
      </c>
      <c r="C7572">
        <v>83462</v>
      </c>
      <c r="D7572" t="str">
        <f>"83462"</f>
        <v>83462</v>
      </c>
      <c r="E7572">
        <v>61.9</v>
      </c>
    </row>
    <row r="7573" spans="1:5" x14ac:dyDescent="0.2">
      <c r="A7573">
        <v>83463</v>
      </c>
      <c r="B7573" t="s">
        <v>19</v>
      </c>
      <c r="C7573">
        <v>83463</v>
      </c>
      <c r="D7573" t="str">
        <f>"83463"</f>
        <v>83463</v>
      </c>
      <c r="E7573" t="s">
        <v>6</v>
      </c>
    </row>
    <row r="7574" spans="1:5" x14ac:dyDescent="0.2">
      <c r="A7574">
        <v>83464</v>
      </c>
      <c r="B7574" t="s">
        <v>19</v>
      </c>
      <c r="C7574">
        <v>83464</v>
      </c>
      <c r="D7574" t="str">
        <f>"83464"</f>
        <v>83464</v>
      </c>
      <c r="E7574">
        <v>54.55</v>
      </c>
    </row>
    <row r="7575" spans="1:5" x14ac:dyDescent="0.2">
      <c r="A7575">
        <v>83465</v>
      </c>
      <c r="B7575" t="s">
        <v>19</v>
      </c>
      <c r="C7575">
        <v>83465</v>
      </c>
      <c r="D7575" t="str">
        <f>"83465"</f>
        <v>83465</v>
      </c>
      <c r="E7575" t="s">
        <v>6</v>
      </c>
    </row>
    <row r="7576" spans="1:5" x14ac:dyDescent="0.2">
      <c r="A7576">
        <v>83466</v>
      </c>
      <c r="B7576" t="s">
        <v>19</v>
      </c>
      <c r="C7576">
        <v>83466</v>
      </c>
      <c r="D7576" t="str">
        <f>"83466"</f>
        <v>83466</v>
      </c>
      <c r="E7576">
        <v>80</v>
      </c>
    </row>
    <row r="7577" spans="1:5" x14ac:dyDescent="0.2">
      <c r="A7577">
        <v>83467</v>
      </c>
      <c r="B7577" t="s">
        <v>19</v>
      </c>
      <c r="C7577">
        <v>83467</v>
      </c>
      <c r="D7577" t="str">
        <f>"83467"</f>
        <v>83467</v>
      </c>
      <c r="E7577">
        <v>65.12</v>
      </c>
    </row>
    <row r="7578" spans="1:5" x14ac:dyDescent="0.2">
      <c r="A7578">
        <v>83468</v>
      </c>
      <c r="B7578" t="s">
        <v>19</v>
      </c>
      <c r="C7578">
        <v>83468</v>
      </c>
      <c r="D7578" t="str">
        <f>"83468"</f>
        <v>83468</v>
      </c>
      <c r="E7578" t="s">
        <v>6</v>
      </c>
    </row>
    <row r="7579" spans="1:5" x14ac:dyDescent="0.2">
      <c r="A7579">
        <v>83469</v>
      </c>
      <c r="B7579" t="s">
        <v>19</v>
      </c>
      <c r="C7579">
        <v>83469</v>
      </c>
      <c r="D7579" t="str">
        <f>"83469"</f>
        <v>83469</v>
      </c>
      <c r="E7579" t="s">
        <v>6</v>
      </c>
    </row>
    <row r="7580" spans="1:5" x14ac:dyDescent="0.2">
      <c r="A7580">
        <v>83501</v>
      </c>
      <c r="B7580" t="s">
        <v>19</v>
      </c>
      <c r="C7580">
        <v>83501</v>
      </c>
      <c r="D7580" t="str">
        <f>"83501"</f>
        <v>83501</v>
      </c>
      <c r="E7580">
        <v>75.31</v>
      </c>
    </row>
    <row r="7581" spans="1:5" x14ac:dyDescent="0.2">
      <c r="A7581">
        <v>83520</v>
      </c>
      <c r="B7581" t="s">
        <v>19</v>
      </c>
      <c r="C7581">
        <v>83520</v>
      </c>
      <c r="D7581" t="str">
        <f>"83520"</f>
        <v>83520</v>
      </c>
      <c r="E7581">
        <v>63.64</v>
      </c>
    </row>
    <row r="7582" spans="1:5" x14ac:dyDescent="0.2">
      <c r="A7582">
        <v>83522</v>
      </c>
      <c r="B7582" t="s">
        <v>19</v>
      </c>
      <c r="C7582">
        <v>83522</v>
      </c>
      <c r="D7582" t="str">
        <f>"83522"</f>
        <v>83522</v>
      </c>
      <c r="E7582">
        <v>70.59</v>
      </c>
    </row>
    <row r="7583" spans="1:5" x14ac:dyDescent="0.2">
      <c r="A7583">
        <v>83523</v>
      </c>
      <c r="B7583" t="s">
        <v>19</v>
      </c>
      <c r="C7583">
        <v>83523</v>
      </c>
      <c r="D7583" t="str">
        <f>"83523"</f>
        <v>83523</v>
      </c>
      <c r="E7583">
        <v>64.52</v>
      </c>
    </row>
    <row r="7584" spans="1:5" x14ac:dyDescent="0.2">
      <c r="A7584">
        <v>83524</v>
      </c>
      <c r="B7584" t="s">
        <v>19</v>
      </c>
      <c r="C7584">
        <v>83524</v>
      </c>
      <c r="D7584" t="str">
        <f>"83524"</f>
        <v>83524</v>
      </c>
      <c r="E7584">
        <v>71.739999999999995</v>
      </c>
    </row>
    <row r="7585" spans="1:5" x14ac:dyDescent="0.2">
      <c r="A7585">
        <v>83525</v>
      </c>
      <c r="B7585" t="s">
        <v>19</v>
      </c>
      <c r="C7585">
        <v>83525</v>
      </c>
      <c r="D7585" t="str">
        <f>"83525"</f>
        <v>83525</v>
      </c>
      <c r="E7585">
        <v>66.67</v>
      </c>
    </row>
    <row r="7586" spans="1:5" x14ac:dyDescent="0.2">
      <c r="A7586">
        <v>83526</v>
      </c>
      <c r="B7586" t="s">
        <v>19</v>
      </c>
      <c r="C7586">
        <v>83526</v>
      </c>
      <c r="D7586" t="str">
        <f>"83526"</f>
        <v>83526</v>
      </c>
      <c r="E7586">
        <v>69.23</v>
      </c>
    </row>
    <row r="7587" spans="1:5" x14ac:dyDescent="0.2">
      <c r="A7587">
        <v>83530</v>
      </c>
      <c r="B7587" t="s">
        <v>19</v>
      </c>
      <c r="C7587">
        <v>83530</v>
      </c>
      <c r="D7587" t="str">
        <f>"83530"</f>
        <v>83530</v>
      </c>
      <c r="E7587">
        <v>69.92</v>
      </c>
    </row>
    <row r="7588" spans="1:5" x14ac:dyDescent="0.2">
      <c r="A7588">
        <v>83533</v>
      </c>
      <c r="B7588" t="s">
        <v>19</v>
      </c>
      <c r="C7588">
        <v>83533</v>
      </c>
      <c r="D7588" t="str">
        <f>"83533"</f>
        <v>83533</v>
      </c>
      <c r="E7588" t="s">
        <v>6</v>
      </c>
    </row>
    <row r="7589" spans="1:5" x14ac:dyDescent="0.2">
      <c r="A7589">
        <v>83535</v>
      </c>
      <c r="B7589" t="s">
        <v>19</v>
      </c>
      <c r="C7589">
        <v>83535</v>
      </c>
      <c r="D7589" t="str">
        <f>"83535"</f>
        <v>83535</v>
      </c>
      <c r="E7589">
        <v>72.55</v>
      </c>
    </row>
    <row r="7590" spans="1:5" x14ac:dyDescent="0.2">
      <c r="A7590">
        <v>83536</v>
      </c>
      <c r="B7590" t="s">
        <v>19</v>
      </c>
      <c r="C7590">
        <v>83536</v>
      </c>
      <c r="D7590" t="str">
        <f>"83536"</f>
        <v>83536</v>
      </c>
      <c r="E7590">
        <v>63.76</v>
      </c>
    </row>
    <row r="7591" spans="1:5" x14ac:dyDescent="0.2">
      <c r="A7591">
        <v>83537</v>
      </c>
      <c r="B7591" t="s">
        <v>19</v>
      </c>
      <c r="C7591">
        <v>83537</v>
      </c>
      <c r="D7591" t="str">
        <f>"83537"</f>
        <v>83537</v>
      </c>
      <c r="E7591">
        <v>75</v>
      </c>
    </row>
    <row r="7592" spans="1:5" x14ac:dyDescent="0.2">
      <c r="A7592">
        <v>83539</v>
      </c>
      <c r="B7592" t="s">
        <v>19</v>
      </c>
      <c r="C7592">
        <v>83539</v>
      </c>
      <c r="D7592" t="str">
        <f>"83539"</f>
        <v>83539</v>
      </c>
      <c r="E7592">
        <v>64.38</v>
      </c>
    </row>
    <row r="7593" spans="1:5" x14ac:dyDescent="0.2">
      <c r="A7593">
        <v>83540</v>
      </c>
      <c r="B7593" t="s">
        <v>19</v>
      </c>
      <c r="C7593">
        <v>83540</v>
      </c>
      <c r="D7593" t="str">
        <f>"83540"</f>
        <v>83540</v>
      </c>
      <c r="E7593">
        <v>60.67</v>
      </c>
    </row>
    <row r="7594" spans="1:5" x14ac:dyDescent="0.2">
      <c r="A7594">
        <v>83541</v>
      </c>
      <c r="B7594" t="s">
        <v>19</v>
      </c>
      <c r="C7594">
        <v>83541</v>
      </c>
      <c r="D7594" t="str">
        <f>"83541"</f>
        <v>83541</v>
      </c>
      <c r="E7594">
        <v>77.78</v>
      </c>
    </row>
    <row r="7595" spans="1:5" x14ac:dyDescent="0.2">
      <c r="A7595">
        <v>83542</v>
      </c>
      <c r="B7595" t="s">
        <v>19</v>
      </c>
      <c r="C7595">
        <v>83542</v>
      </c>
      <c r="D7595" t="str">
        <f>"83542"</f>
        <v>83542</v>
      </c>
      <c r="E7595" t="s">
        <v>6</v>
      </c>
    </row>
    <row r="7596" spans="1:5" x14ac:dyDescent="0.2">
      <c r="A7596">
        <v>83543</v>
      </c>
      <c r="B7596" t="s">
        <v>19</v>
      </c>
      <c r="C7596">
        <v>83543</v>
      </c>
      <c r="D7596" t="str">
        <f>"83543"</f>
        <v>83543</v>
      </c>
      <c r="E7596">
        <v>68.97</v>
      </c>
    </row>
    <row r="7597" spans="1:5" x14ac:dyDescent="0.2">
      <c r="A7597">
        <v>83544</v>
      </c>
      <c r="B7597" t="s">
        <v>19</v>
      </c>
      <c r="C7597">
        <v>83544</v>
      </c>
      <c r="D7597" t="str">
        <f>"83544"</f>
        <v>83544</v>
      </c>
      <c r="E7597">
        <v>71.489999999999995</v>
      </c>
    </row>
    <row r="7598" spans="1:5" x14ac:dyDescent="0.2">
      <c r="A7598">
        <v>83545</v>
      </c>
      <c r="B7598" t="s">
        <v>19</v>
      </c>
      <c r="C7598">
        <v>83545</v>
      </c>
      <c r="D7598" t="str">
        <f>"83545"</f>
        <v>83545</v>
      </c>
      <c r="E7598">
        <v>66.67</v>
      </c>
    </row>
    <row r="7599" spans="1:5" x14ac:dyDescent="0.2">
      <c r="A7599">
        <v>83546</v>
      </c>
      <c r="B7599" t="s">
        <v>19</v>
      </c>
      <c r="C7599">
        <v>83546</v>
      </c>
      <c r="D7599" t="str">
        <f>"83546"</f>
        <v>83546</v>
      </c>
      <c r="E7599">
        <v>68.180000000000007</v>
      </c>
    </row>
    <row r="7600" spans="1:5" x14ac:dyDescent="0.2">
      <c r="A7600">
        <v>83547</v>
      </c>
      <c r="B7600" t="s">
        <v>19</v>
      </c>
      <c r="C7600">
        <v>83547</v>
      </c>
      <c r="D7600" t="str">
        <f>"83547"</f>
        <v>83547</v>
      </c>
      <c r="E7600">
        <v>60</v>
      </c>
    </row>
    <row r="7601" spans="1:5" x14ac:dyDescent="0.2">
      <c r="A7601">
        <v>83548</v>
      </c>
      <c r="B7601" t="s">
        <v>19</v>
      </c>
      <c r="C7601">
        <v>83548</v>
      </c>
      <c r="D7601" t="str">
        <f>"83548"</f>
        <v>83548</v>
      </c>
      <c r="E7601" t="s">
        <v>6</v>
      </c>
    </row>
    <row r="7602" spans="1:5" x14ac:dyDescent="0.2">
      <c r="A7602">
        <v>83549</v>
      </c>
      <c r="B7602" t="s">
        <v>19</v>
      </c>
      <c r="C7602">
        <v>83549</v>
      </c>
      <c r="D7602" t="str">
        <f>"83549"</f>
        <v>83549</v>
      </c>
      <c r="E7602">
        <v>69.23</v>
      </c>
    </row>
    <row r="7603" spans="1:5" x14ac:dyDescent="0.2">
      <c r="A7603">
        <v>83552</v>
      </c>
      <c r="B7603" t="s">
        <v>19</v>
      </c>
      <c r="C7603">
        <v>83552</v>
      </c>
      <c r="D7603" t="str">
        <f>"83552"</f>
        <v>83552</v>
      </c>
      <c r="E7603">
        <v>64.290000000000006</v>
      </c>
    </row>
    <row r="7604" spans="1:5" x14ac:dyDescent="0.2">
      <c r="A7604">
        <v>83553</v>
      </c>
      <c r="B7604" t="s">
        <v>19</v>
      </c>
      <c r="C7604">
        <v>83553</v>
      </c>
      <c r="D7604" t="str">
        <f>"83553"</f>
        <v>83553</v>
      </c>
      <c r="E7604">
        <v>63.41</v>
      </c>
    </row>
    <row r="7605" spans="1:5" x14ac:dyDescent="0.2">
      <c r="A7605">
        <v>83554</v>
      </c>
      <c r="B7605" t="s">
        <v>19</v>
      </c>
      <c r="C7605">
        <v>83554</v>
      </c>
      <c r="D7605" t="str">
        <f>"83554"</f>
        <v>83554</v>
      </c>
      <c r="E7605">
        <v>66.67</v>
      </c>
    </row>
    <row r="7606" spans="1:5" x14ac:dyDescent="0.2">
      <c r="A7606">
        <v>83555</v>
      </c>
      <c r="B7606" t="s">
        <v>19</v>
      </c>
      <c r="C7606">
        <v>83555</v>
      </c>
      <c r="D7606" t="str">
        <f>"83555"</f>
        <v>83555</v>
      </c>
      <c r="E7606">
        <v>68.42</v>
      </c>
    </row>
    <row r="7607" spans="1:5" x14ac:dyDescent="0.2">
      <c r="A7607">
        <v>83602</v>
      </c>
      <c r="B7607" t="s">
        <v>19</v>
      </c>
      <c r="C7607">
        <v>83602</v>
      </c>
      <c r="D7607" t="str">
        <f>"83602"</f>
        <v>83602</v>
      </c>
      <c r="E7607" t="s">
        <v>6</v>
      </c>
    </row>
    <row r="7608" spans="1:5" x14ac:dyDescent="0.2">
      <c r="A7608">
        <v>83604</v>
      </c>
      <c r="B7608" t="s">
        <v>19</v>
      </c>
      <c r="C7608">
        <v>83604</v>
      </c>
      <c r="D7608" t="str">
        <f>"83604"</f>
        <v>83604</v>
      </c>
      <c r="E7608">
        <v>57.14</v>
      </c>
    </row>
    <row r="7609" spans="1:5" x14ac:dyDescent="0.2">
      <c r="A7609">
        <v>83605</v>
      </c>
      <c r="B7609" t="s">
        <v>19</v>
      </c>
      <c r="C7609">
        <v>83605</v>
      </c>
      <c r="D7609" t="str">
        <f>"83605"</f>
        <v>83605</v>
      </c>
      <c r="E7609">
        <v>61.04</v>
      </c>
    </row>
    <row r="7610" spans="1:5" x14ac:dyDescent="0.2">
      <c r="A7610">
        <v>83607</v>
      </c>
      <c r="B7610" t="s">
        <v>19</v>
      </c>
      <c r="C7610">
        <v>83607</v>
      </c>
      <c r="D7610" t="str">
        <f>"83607"</f>
        <v>83607</v>
      </c>
      <c r="E7610">
        <v>66.77</v>
      </c>
    </row>
    <row r="7611" spans="1:5" x14ac:dyDescent="0.2">
      <c r="A7611">
        <v>83610</v>
      </c>
      <c r="B7611" t="s">
        <v>19</v>
      </c>
      <c r="C7611">
        <v>83610</v>
      </c>
      <c r="D7611" t="str">
        <f>"83610"</f>
        <v>83610</v>
      </c>
      <c r="E7611">
        <v>65.12</v>
      </c>
    </row>
    <row r="7612" spans="1:5" x14ac:dyDescent="0.2">
      <c r="A7612">
        <v>83611</v>
      </c>
      <c r="B7612" t="s">
        <v>19</v>
      </c>
      <c r="C7612">
        <v>83611</v>
      </c>
      <c r="D7612" t="str">
        <f>"83611"</f>
        <v>83611</v>
      </c>
      <c r="E7612">
        <v>71.680000000000007</v>
      </c>
    </row>
    <row r="7613" spans="1:5" x14ac:dyDescent="0.2">
      <c r="A7613">
        <v>83612</v>
      </c>
      <c r="B7613" t="s">
        <v>19</v>
      </c>
      <c r="C7613">
        <v>83612</v>
      </c>
      <c r="D7613" t="str">
        <f>"83612"</f>
        <v>83612</v>
      </c>
      <c r="E7613">
        <v>65.430000000000007</v>
      </c>
    </row>
    <row r="7614" spans="1:5" x14ac:dyDescent="0.2">
      <c r="A7614">
        <v>83615</v>
      </c>
      <c r="B7614" t="s">
        <v>19</v>
      </c>
      <c r="C7614">
        <v>83615</v>
      </c>
      <c r="D7614" t="str">
        <f>"83615"</f>
        <v>83615</v>
      </c>
      <c r="E7614">
        <v>71.430000000000007</v>
      </c>
    </row>
    <row r="7615" spans="1:5" x14ac:dyDescent="0.2">
      <c r="A7615">
        <v>83616</v>
      </c>
      <c r="B7615" t="s">
        <v>19</v>
      </c>
      <c r="C7615">
        <v>83616</v>
      </c>
      <c r="D7615" t="str">
        <f>"83616"</f>
        <v>83616</v>
      </c>
      <c r="E7615">
        <v>79.38</v>
      </c>
    </row>
    <row r="7616" spans="1:5" x14ac:dyDescent="0.2">
      <c r="A7616">
        <v>83617</v>
      </c>
      <c r="B7616" t="s">
        <v>19</v>
      </c>
      <c r="C7616">
        <v>83617</v>
      </c>
      <c r="D7616" t="str">
        <f>"83617"</f>
        <v>83617</v>
      </c>
      <c r="E7616">
        <v>68.22</v>
      </c>
    </row>
    <row r="7617" spans="1:5" x14ac:dyDescent="0.2">
      <c r="A7617">
        <v>83619</v>
      </c>
      <c r="B7617" t="s">
        <v>19</v>
      </c>
      <c r="C7617">
        <v>83619</v>
      </c>
      <c r="D7617" t="str">
        <f>"83619"</f>
        <v>83619</v>
      </c>
      <c r="E7617">
        <v>69.64</v>
      </c>
    </row>
    <row r="7618" spans="1:5" x14ac:dyDescent="0.2">
      <c r="A7618">
        <v>83622</v>
      </c>
      <c r="B7618" t="s">
        <v>19</v>
      </c>
      <c r="C7618">
        <v>83622</v>
      </c>
      <c r="D7618" t="str">
        <f>"83622"</f>
        <v>83622</v>
      </c>
      <c r="E7618">
        <v>70.790000000000006</v>
      </c>
    </row>
    <row r="7619" spans="1:5" x14ac:dyDescent="0.2">
      <c r="A7619">
        <v>83623</v>
      </c>
      <c r="B7619" t="s">
        <v>19</v>
      </c>
      <c r="C7619">
        <v>83623</v>
      </c>
      <c r="D7619" t="str">
        <f>"83623"</f>
        <v>83623</v>
      </c>
      <c r="E7619">
        <v>55.07</v>
      </c>
    </row>
    <row r="7620" spans="1:5" x14ac:dyDescent="0.2">
      <c r="A7620">
        <v>83624</v>
      </c>
      <c r="B7620" t="s">
        <v>19</v>
      </c>
      <c r="C7620">
        <v>83624</v>
      </c>
      <c r="D7620" t="str">
        <f>"83624"</f>
        <v>83624</v>
      </c>
      <c r="E7620">
        <v>64.58</v>
      </c>
    </row>
    <row r="7621" spans="1:5" x14ac:dyDescent="0.2">
      <c r="A7621">
        <v>83626</v>
      </c>
      <c r="B7621" t="s">
        <v>19</v>
      </c>
      <c r="C7621">
        <v>83626</v>
      </c>
      <c r="D7621" t="str">
        <f>"83626"</f>
        <v>83626</v>
      </c>
      <c r="E7621">
        <v>67.86</v>
      </c>
    </row>
    <row r="7622" spans="1:5" x14ac:dyDescent="0.2">
      <c r="A7622">
        <v>83627</v>
      </c>
      <c r="B7622" t="s">
        <v>19</v>
      </c>
      <c r="C7622">
        <v>83627</v>
      </c>
      <c r="D7622" t="str">
        <f>"83627"</f>
        <v>83627</v>
      </c>
      <c r="E7622">
        <v>57.14</v>
      </c>
    </row>
    <row r="7623" spans="1:5" x14ac:dyDescent="0.2">
      <c r="A7623">
        <v>83628</v>
      </c>
      <c r="B7623" t="s">
        <v>19</v>
      </c>
      <c r="C7623">
        <v>83628</v>
      </c>
      <c r="D7623" t="str">
        <f>"83628"</f>
        <v>83628</v>
      </c>
      <c r="E7623">
        <v>61.5</v>
      </c>
    </row>
    <row r="7624" spans="1:5" x14ac:dyDescent="0.2">
      <c r="A7624">
        <v>83629</v>
      </c>
      <c r="B7624" t="s">
        <v>19</v>
      </c>
      <c r="C7624">
        <v>83629</v>
      </c>
      <c r="D7624" t="str">
        <f>"83629"</f>
        <v>83629</v>
      </c>
      <c r="E7624">
        <v>70.73</v>
      </c>
    </row>
    <row r="7625" spans="1:5" x14ac:dyDescent="0.2">
      <c r="A7625">
        <v>83631</v>
      </c>
      <c r="B7625" t="s">
        <v>19</v>
      </c>
      <c r="C7625">
        <v>83631</v>
      </c>
      <c r="D7625" t="str">
        <f>"83631"</f>
        <v>83631</v>
      </c>
      <c r="E7625">
        <v>69.81</v>
      </c>
    </row>
    <row r="7626" spans="1:5" x14ac:dyDescent="0.2">
      <c r="A7626">
        <v>83632</v>
      </c>
      <c r="B7626" t="s">
        <v>19</v>
      </c>
      <c r="C7626">
        <v>83632</v>
      </c>
      <c r="D7626" t="str">
        <f>"83632"</f>
        <v>83632</v>
      </c>
      <c r="E7626">
        <v>57.14</v>
      </c>
    </row>
    <row r="7627" spans="1:5" x14ac:dyDescent="0.2">
      <c r="A7627">
        <v>83633</v>
      </c>
      <c r="B7627" t="s">
        <v>19</v>
      </c>
      <c r="C7627">
        <v>83633</v>
      </c>
      <c r="D7627" t="str">
        <f>"83633"</f>
        <v>83633</v>
      </c>
      <c r="E7627">
        <v>66.67</v>
      </c>
    </row>
    <row r="7628" spans="1:5" x14ac:dyDescent="0.2">
      <c r="A7628">
        <v>83634</v>
      </c>
      <c r="B7628" t="s">
        <v>19</v>
      </c>
      <c r="C7628">
        <v>83634</v>
      </c>
      <c r="D7628" t="str">
        <f>"83634"</f>
        <v>83634</v>
      </c>
      <c r="E7628">
        <v>73.59</v>
      </c>
    </row>
    <row r="7629" spans="1:5" x14ac:dyDescent="0.2">
      <c r="A7629">
        <v>83637</v>
      </c>
      <c r="B7629" t="s">
        <v>19</v>
      </c>
      <c r="C7629">
        <v>83637</v>
      </c>
      <c r="D7629" t="str">
        <f>"83637"</f>
        <v>83637</v>
      </c>
      <c r="E7629">
        <v>63.64</v>
      </c>
    </row>
    <row r="7630" spans="1:5" x14ac:dyDescent="0.2">
      <c r="A7630">
        <v>83638</v>
      </c>
      <c r="B7630" t="s">
        <v>19</v>
      </c>
      <c r="C7630">
        <v>83638</v>
      </c>
      <c r="D7630" t="str">
        <f>"83638"</f>
        <v>83638</v>
      </c>
      <c r="E7630">
        <v>77.91</v>
      </c>
    </row>
    <row r="7631" spans="1:5" x14ac:dyDescent="0.2">
      <c r="A7631">
        <v>83639</v>
      </c>
      <c r="B7631" t="s">
        <v>19</v>
      </c>
      <c r="C7631">
        <v>83639</v>
      </c>
      <c r="D7631" t="str">
        <f>"83639"</f>
        <v>83639</v>
      </c>
      <c r="E7631">
        <v>61.31</v>
      </c>
    </row>
    <row r="7632" spans="1:5" x14ac:dyDescent="0.2">
      <c r="A7632">
        <v>83641</v>
      </c>
      <c r="B7632" t="s">
        <v>19</v>
      </c>
      <c r="C7632">
        <v>83641</v>
      </c>
      <c r="D7632" t="str">
        <f>"83641"</f>
        <v>83641</v>
      </c>
      <c r="E7632">
        <v>67.14</v>
      </c>
    </row>
    <row r="7633" spans="1:5" x14ac:dyDescent="0.2">
      <c r="A7633">
        <v>83642</v>
      </c>
      <c r="B7633" t="s">
        <v>19</v>
      </c>
      <c r="C7633">
        <v>83642</v>
      </c>
      <c r="D7633" t="str">
        <f>"83642"</f>
        <v>83642</v>
      </c>
      <c r="E7633">
        <v>76.41</v>
      </c>
    </row>
    <row r="7634" spans="1:5" x14ac:dyDescent="0.2">
      <c r="A7634">
        <v>83643</v>
      </c>
      <c r="B7634" t="s">
        <v>19</v>
      </c>
      <c r="C7634">
        <v>83643</v>
      </c>
      <c r="D7634" t="str">
        <f>"83643"</f>
        <v>83643</v>
      </c>
      <c r="E7634" t="s">
        <v>6</v>
      </c>
    </row>
    <row r="7635" spans="1:5" x14ac:dyDescent="0.2">
      <c r="A7635">
        <v>83644</v>
      </c>
      <c r="B7635" t="s">
        <v>19</v>
      </c>
      <c r="C7635">
        <v>83644</v>
      </c>
      <c r="D7635" t="str">
        <f>"83644"</f>
        <v>83644</v>
      </c>
      <c r="E7635">
        <v>71.66</v>
      </c>
    </row>
    <row r="7636" spans="1:5" x14ac:dyDescent="0.2">
      <c r="A7636">
        <v>83645</v>
      </c>
      <c r="B7636" t="s">
        <v>19</v>
      </c>
      <c r="C7636">
        <v>83645</v>
      </c>
      <c r="D7636" t="str">
        <f>"83645"</f>
        <v>83645</v>
      </c>
      <c r="E7636">
        <v>50</v>
      </c>
    </row>
    <row r="7637" spans="1:5" x14ac:dyDescent="0.2">
      <c r="A7637">
        <v>83646</v>
      </c>
      <c r="B7637" t="s">
        <v>19</v>
      </c>
      <c r="C7637">
        <v>83646</v>
      </c>
      <c r="D7637" t="str">
        <f>"83646"</f>
        <v>83646</v>
      </c>
      <c r="E7637">
        <v>77.22</v>
      </c>
    </row>
    <row r="7638" spans="1:5" x14ac:dyDescent="0.2">
      <c r="A7638">
        <v>83647</v>
      </c>
      <c r="B7638" t="s">
        <v>19</v>
      </c>
      <c r="C7638">
        <v>83647</v>
      </c>
      <c r="D7638" t="str">
        <f>"83647"</f>
        <v>83647</v>
      </c>
      <c r="E7638">
        <v>68.33</v>
      </c>
    </row>
    <row r="7639" spans="1:5" x14ac:dyDescent="0.2">
      <c r="A7639">
        <v>83648</v>
      </c>
      <c r="B7639" t="s">
        <v>19</v>
      </c>
      <c r="C7639">
        <v>83648</v>
      </c>
      <c r="D7639" t="str">
        <f>"83648"</f>
        <v>83648</v>
      </c>
      <c r="E7639">
        <v>66.06</v>
      </c>
    </row>
    <row r="7640" spans="1:5" x14ac:dyDescent="0.2">
      <c r="A7640">
        <v>83650</v>
      </c>
      <c r="B7640" t="s">
        <v>19</v>
      </c>
      <c r="C7640">
        <v>83650</v>
      </c>
      <c r="D7640" t="str">
        <f>"83650"</f>
        <v>83650</v>
      </c>
      <c r="E7640">
        <v>62.5</v>
      </c>
    </row>
    <row r="7641" spans="1:5" x14ac:dyDescent="0.2">
      <c r="A7641">
        <v>83651</v>
      </c>
      <c r="B7641" t="s">
        <v>19</v>
      </c>
      <c r="C7641">
        <v>83651</v>
      </c>
      <c r="D7641" t="str">
        <f>"83651"</f>
        <v>83651</v>
      </c>
      <c r="E7641">
        <v>64.36</v>
      </c>
    </row>
    <row r="7642" spans="1:5" x14ac:dyDescent="0.2">
      <c r="A7642">
        <v>83654</v>
      </c>
      <c r="B7642" t="s">
        <v>19</v>
      </c>
      <c r="C7642">
        <v>83654</v>
      </c>
      <c r="D7642" t="str">
        <f>"83654"</f>
        <v>83654</v>
      </c>
      <c r="E7642">
        <v>74.36</v>
      </c>
    </row>
    <row r="7643" spans="1:5" x14ac:dyDescent="0.2">
      <c r="A7643">
        <v>83655</v>
      </c>
      <c r="B7643" t="s">
        <v>19</v>
      </c>
      <c r="C7643">
        <v>83655</v>
      </c>
      <c r="D7643" t="str">
        <f>"83655"</f>
        <v>83655</v>
      </c>
      <c r="E7643">
        <v>68.42</v>
      </c>
    </row>
    <row r="7644" spans="1:5" x14ac:dyDescent="0.2">
      <c r="A7644">
        <v>83656</v>
      </c>
      <c r="B7644" t="s">
        <v>19</v>
      </c>
      <c r="C7644">
        <v>83656</v>
      </c>
      <c r="D7644" t="str">
        <f>"83656"</f>
        <v>83656</v>
      </c>
      <c r="E7644" t="s">
        <v>6</v>
      </c>
    </row>
    <row r="7645" spans="1:5" x14ac:dyDescent="0.2">
      <c r="A7645">
        <v>83657</v>
      </c>
      <c r="B7645" t="s">
        <v>19</v>
      </c>
      <c r="C7645">
        <v>83657</v>
      </c>
      <c r="D7645" t="str">
        <f>"83657"</f>
        <v>83657</v>
      </c>
      <c r="E7645" t="s">
        <v>6</v>
      </c>
    </row>
    <row r="7646" spans="1:5" x14ac:dyDescent="0.2">
      <c r="A7646">
        <v>83660</v>
      </c>
      <c r="B7646" t="s">
        <v>19</v>
      </c>
      <c r="C7646">
        <v>83660</v>
      </c>
      <c r="D7646" t="str">
        <f>"83660"</f>
        <v>83660</v>
      </c>
      <c r="E7646">
        <v>66.12</v>
      </c>
    </row>
    <row r="7647" spans="1:5" x14ac:dyDescent="0.2">
      <c r="A7647">
        <v>83661</v>
      </c>
      <c r="B7647" t="s">
        <v>19</v>
      </c>
      <c r="C7647">
        <v>83661</v>
      </c>
      <c r="D7647" t="str">
        <f>"83661"</f>
        <v>83661</v>
      </c>
      <c r="E7647">
        <v>64.08</v>
      </c>
    </row>
    <row r="7648" spans="1:5" x14ac:dyDescent="0.2">
      <c r="A7648">
        <v>83666</v>
      </c>
      <c r="B7648" t="s">
        <v>19</v>
      </c>
      <c r="C7648">
        <v>83666</v>
      </c>
      <c r="D7648" t="str">
        <f>"83666"</f>
        <v>83666</v>
      </c>
      <c r="E7648" t="s">
        <v>6</v>
      </c>
    </row>
    <row r="7649" spans="1:5" x14ac:dyDescent="0.2">
      <c r="A7649">
        <v>83669</v>
      </c>
      <c r="B7649" t="s">
        <v>19</v>
      </c>
      <c r="C7649">
        <v>83669</v>
      </c>
      <c r="D7649" t="str">
        <f>"83669"</f>
        <v>83669</v>
      </c>
      <c r="E7649">
        <v>76.34</v>
      </c>
    </row>
    <row r="7650" spans="1:5" x14ac:dyDescent="0.2">
      <c r="A7650">
        <v>83670</v>
      </c>
      <c r="B7650" t="s">
        <v>19</v>
      </c>
      <c r="C7650">
        <v>83670</v>
      </c>
      <c r="D7650" t="str">
        <f>"83670"</f>
        <v>83670</v>
      </c>
      <c r="E7650">
        <v>65.22</v>
      </c>
    </row>
    <row r="7651" spans="1:5" x14ac:dyDescent="0.2">
      <c r="A7651">
        <v>83671</v>
      </c>
      <c r="B7651" t="s">
        <v>19</v>
      </c>
      <c r="C7651">
        <v>83671</v>
      </c>
      <c r="D7651" t="str">
        <f>"83671"</f>
        <v>83671</v>
      </c>
      <c r="E7651" t="s">
        <v>6</v>
      </c>
    </row>
    <row r="7652" spans="1:5" x14ac:dyDescent="0.2">
      <c r="A7652">
        <v>83672</v>
      </c>
      <c r="B7652" t="s">
        <v>19</v>
      </c>
      <c r="C7652">
        <v>83672</v>
      </c>
      <c r="D7652" t="str">
        <f>"83672"</f>
        <v>83672</v>
      </c>
      <c r="E7652">
        <v>64.900000000000006</v>
      </c>
    </row>
    <row r="7653" spans="1:5" x14ac:dyDescent="0.2">
      <c r="A7653">
        <v>83676</v>
      </c>
      <c r="B7653" t="s">
        <v>19</v>
      </c>
      <c r="C7653">
        <v>83676</v>
      </c>
      <c r="D7653" t="str">
        <f>"83676"</f>
        <v>83676</v>
      </c>
      <c r="E7653">
        <v>65.83</v>
      </c>
    </row>
    <row r="7654" spans="1:5" x14ac:dyDescent="0.2">
      <c r="A7654">
        <v>83677</v>
      </c>
      <c r="B7654" t="s">
        <v>19</v>
      </c>
      <c r="C7654">
        <v>83677</v>
      </c>
      <c r="D7654" t="str">
        <f>"83677"</f>
        <v>83677</v>
      </c>
      <c r="E7654" t="s">
        <v>6</v>
      </c>
    </row>
    <row r="7655" spans="1:5" x14ac:dyDescent="0.2">
      <c r="A7655">
        <v>83686</v>
      </c>
      <c r="B7655" t="s">
        <v>19</v>
      </c>
      <c r="C7655">
        <v>83686</v>
      </c>
      <c r="D7655" t="str">
        <f>"83686"</f>
        <v>83686</v>
      </c>
      <c r="E7655">
        <v>69.849999999999994</v>
      </c>
    </row>
    <row r="7656" spans="1:5" x14ac:dyDescent="0.2">
      <c r="A7656">
        <v>83687</v>
      </c>
      <c r="B7656" t="s">
        <v>19</v>
      </c>
      <c r="C7656">
        <v>83687</v>
      </c>
      <c r="D7656" t="str">
        <f>"83687"</f>
        <v>83687</v>
      </c>
      <c r="E7656">
        <v>68.38</v>
      </c>
    </row>
    <row r="7657" spans="1:5" x14ac:dyDescent="0.2">
      <c r="A7657">
        <v>83702</v>
      </c>
      <c r="B7657" t="s">
        <v>19</v>
      </c>
      <c r="C7657">
        <v>83702</v>
      </c>
      <c r="D7657" t="str">
        <f>"83702"</f>
        <v>83702</v>
      </c>
      <c r="E7657">
        <v>81.52</v>
      </c>
    </row>
    <row r="7658" spans="1:5" x14ac:dyDescent="0.2">
      <c r="A7658">
        <v>83703</v>
      </c>
      <c r="B7658" t="s">
        <v>19</v>
      </c>
      <c r="C7658">
        <v>83703</v>
      </c>
      <c r="D7658" t="str">
        <f>"83703"</f>
        <v>83703</v>
      </c>
      <c r="E7658">
        <v>76.5</v>
      </c>
    </row>
    <row r="7659" spans="1:5" x14ac:dyDescent="0.2">
      <c r="A7659">
        <v>83704</v>
      </c>
      <c r="B7659" t="s">
        <v>19</v>
      </c>
      <c r="C7659">
        <v>83704</v>
      </c>
      <c r="D7659" t="str">
        <f>"83704"</f>
        <v>83704</v>
      </c>
      <c r="E7659">
        <v>72.34</v>
      </c>
    </row>
    <row r="7660" spans="1:5" x14ac:dyDescent="0.2">
      <c r="A7660">
        <v>83705</v>
      </c>
      <c r="B7660" t="s">
        <v>19</v>
      </c>
      <c r="C7660">
        <v>83705</v>
      </c>
      <c r="D7660" t="str">
        <f>"83705"</f>
        <v>83705</v>
      </c>
      <c r="E7660">
        <v>72.19</v>
      </c>
    </row>
    <row r="7661" spans="1:5" x14ac:dyDescent="0.2">
      <c r="A7661">
        <v>83706</v>
      </c>
      <c r="B7661" t="s">
        <v>19</v>
      </c>
      <c r="C7661">
        <v>83706</v>
      </c>
      <c r="D7661" t="str">
        <f>"83706"</f>
        <v>83706</v>
      </c>
      <c r="E7661">
        <v>77.459999999999994</v>
      </c>
    </row>
    <row r="7662" spans="1:5" x14ac:dyDescent="0.2">
      <c r="A7662">
        <v>83709</v>
      </c>
      <c r="B7662" t="s">
        <v>19</v>
      </c>
      <c r="C7662">
        <v>83709</v>
      </c>
      <c r="D7662" t="str">
        <f>"83709"</f>
        <v>83709</v>
      </c>
      <c r="E7662">
        <v>76.959999999999994</v>
      </c>
    </row>
    <row r="7663" spans="1:5" x14ac:dyDescent="0.2">
      <c r="A7663">
        <v>83712</v>
      </c>
      <c r="B7663" t="s">
        <v>19</v>
      </c>
      <c r="C7663">
        <v>83712</v>
      </c>
      <c r="D7663" t="str">
        <f>"83712"</f>
        <v>83712</v>
      </c>
      <c r="E7663">
        <v>81.459999999999994</v>
      </c>
    </row>
    <row r="7664" spans="1:5" x14ac:dyDescent="0.2">
      <c r="A7664">
        <v>83713</v>
      </c>
      <c r="B7664" t="s">
        <v>19</v>
      </c>
      <c r="C7664">
        <v>83713</v>
      </c>
      <c r="D7664" t="str">
        <f>"83713"</f>
        <v>83713</v>
      </c>
      <c r="E7664">
        <v>73.680000000000007</v>
      </c>
    </row>
    <row r="7665" spans="1:5" x14ac:dyDescent="0.2">
      <c r="A7665">
        <v>83714</v>
      </c>
      <c r="B7665" t="s">
        <v>19</v>
      </c>
      <c r="C7665">
        <v>83714</v>
      </c>
      <c r="D7665" t="str">
        <f>"83714"</f>
        <v>83714</v>
      </c>
      <c r="E7665">
        <v>75.63</v>
      </c>
    </row>
    <row r="7666" spans="1:5" x14ac:dyDescent="0.2">
      <c r="A7666">
        <v>83716</v>
      </c>
      <c r="B7666" t="s">
        <v>19</v>
      </c>
      <c r="C7666">
        <v>83716</v>
      </c>
      <c r="D7666" t="str">
        <f>"83716"</f>
        <v>83716</v>
      </c>
      <c r="E7666">
        <v>82.6</v>
      </c>
    </row>
    <row r="7667" spans="1:5" x14ac:dyDescent="0.2">
      <c r="A7667">
        <v>83720</v>
      </c>
      <c r="B7667" t="s">
        <v>19</v>
      </c>
      <c r="C7667">
        <v>83720</v>
      </c>
      <c r="D7667" t="str">
        <f>"83720"</f>
        <v>83720</v>
      </c>
      <c r="E7667" t="s">
        <v>6</v>
      </c>
    </row>
    <row r="7668" spans="1:5" x14ac:dyDescent="0.2">
      <c r="A7668">
        <v>83724</v>
      </c>
      <c r="B7668" t="s">
        <v>19</v>
      </c>
      <c r="C7668">
        <v>83724</v>
      </c>
      <c r="D7668" t="str">
        <f>"83724"</f>
        <v>83724</v>
      </c>
      <c r="E7668" t="s">
        <v>6</v>
      </c>
    </row>
    <row r="7669" spans="1:5" x14ac:dyDescent="0.2">
      <c r="A7669">
        <v>83801</v>
      </c>
      <c r="B7669" t="s">
        <v>19</v>
      </c>
      <c r="C7669">
        <v>83801</v>
      </c>
      <c r="D7669" t="str">
        <f>"83801"</f>
        <v>83801</v>
      </c>
      <c r="E7669">
        <v>71.430000000000007</v>
      </c>
    </row>
    <row r="7670" spans="1:5" x14ac:dyDescent="0.2">
      <c r="A7670">
        <v>83802</v>
      </c>
      <c r="B7670" t="s">
        <v>19</v>
      </c>
      <c r="C7670">
        <v>83802</v>
      </c>
      <c r="D7670" t="str">
        <f>"83802"</f>
        <v>83802</v>
      </c>
      <c r="E7670" t="s">
        <v>6</v>
      </c>
    </row>
    <row r="7671" spans="1:5" x14ac:dyDescent="0.2">
      <c r="A7671">
        <v>83803</v>
      </c>
      <c r="B7671" t="s">
        <v>19</v>
      </c>
      <c r="C7671">
        <v>83803</v>
      </c>
      <c r="D7671" t="str">
        <f>"83803"</f>
        <v>83803</v>
      </c>
      <c r="E7671">
        <v>72.97</v>
      </c>
    </row>
    <row r="7672" spans="1:5" x14ac:dyDescent="0.2">
      <c r="A7672">
        <v>83804</v>
      </c>
      <c r="B7672" t="s">
        <v>19</v>
      </c>
      <c r="C7672">
        <v>83804</v>
      </c>
      <c r="D7672" t="str">
        <f>"83804"</f>
        <v>83804</v>
      </c>
      <c r="E7672">
        <v>70.489999999999995</v>
      </c>
    </row>
    <row r="7673" spans="1:5" x14ac:dyDescent="0.2">
      <c r="A7673">
        <v>83805</v>
      </c>
      <c r="B7673" t="s">
        <v>19</v>
      </c>
      <c r="C7673">
        <v>83805</v>
      </c>
      <c r="D7673" t="str">
        <f>"83805"</f>
        <v>83805</v>
      </c>
      <c r="E7673">
        <v>66.12</v>
      </c>
    </row>
    <row r="7674" spans="1:5" x14ac:dyDescent="0.2">
      <c r="A7674">
        <v>83806</v>
      </c>
      <c r="B7674" t="s">
        <v>19</v>
      </c>
      <c r="C7674">
        <v>83806</v>
      </c>
      <c r="D7674" t="str">
        <f>"83806"</f>
        <v>83806</v>
      </c>
      <c r="E7674" t="s">
        <v>6</v>
      </c>
    </row>
    <row r="7675" spans="1:5" x14ac:dyDescent="0.2">
      <c r="A7675">
        <v>83808</v>
      </c>
      <c r="B7675" t="s">
        <v>19</v>
      </c>
      <c r="C7675">
        <v>83808</v>
      </c>
      <c r="D7675" t="str">
        <f>"83808"</f>
        <v>83808</v>
      </c>
      <c r="E7675" t="s">
        <v>6</v>
      </c>
    </row>
    <row r="7676" spans="1:5" x14ac:dyDescent="0.2">
      <c r="A7676">
        <v>83809</v>
      </c>
      <c r="B7676" t="s">
        <v>19</v>
      </c>
      <c r="C7676">
        <v>83809</v>
      </c>
      <c r="D7676" t="str">
        <f>"83809"</f>
        <v>83809</v>
      </c>
      <c r="E7676">
        <v>71.430000000000007</v>
      </c>
    </row>
    <row r="7677" spans="1:5" x14ac:dyDescent="0.2">
      <c r="A7677">
        <v>83810</v>
      </c>
      <c r="B7677" t="s">
        <v>19</v>
      </c>
      <c r="C7677">
        <v>83810</v>
      </c>
      <c r="D7677" t="str">
        <f>"83810"</f>
        <v>83810</v>
      </c>
      <c r="E7677">
        <v>70</v>
      </c>
    </row>
    <row r="7678" spans="1:5" x14ac:dyDescent="0.2">
      <c r="A7678">
        <v>83811</v>
      </c>
      <c r="B7678" t="s">
        <v>19</v>
      </c>
      <c r="C7678">
        <v>83811</v>
      </c>
      <c r="D7678" t="str">
        <f>"83811"</f>
        <v>83811</v>
      </c>
      <c r="E7678">
        <v>66.099999999999994</v>
      </c>
    </row>
    <row r="7679" spans="1:5" x14ac:dyDescent="0.2">
      <c r="A7679">
        <v>83812</v>
      </c>
      <c r="B7679" t="s">
        <v>19</v>
      </c>
      <c r="C7679">
        <v>83812</v>
      </c>
      <c r="D7679" t="str">
        <f>"83812"</f>
        <v>83812</v>
      </c>
      <c r="E7679" t="s">
        <v>6</v>
      </c>
    </row>
    <row r="7680" spans="1:5" x14ac:dyDescent="0.2">
      <c r="A7680">
        <v>83813</v>
      </c>
      <c r="B7680" t="s">
        <v>19</v>
      </c>
      <c r="C7680">
        <v>83813</v>
      </c>
      <c r="D7680" t="str">
        <f>"83813"</f>
        <v>83813</v>
      </c>
      <c r="E7680">
        <v>71.19</v>
      </c>
    </row>
    <row r="7681" spans="1:5" x14ac:dyDescent="0.2">
      <c r="A7681">
        <v>83814</v>
      </c>
      <c r="B7681" t="s">
        <v>19</v>
      </c>
      <c r="C7681">
        <v>83814</v>
      </c>
      <c r="D7681" t="str">
        <f>"83814"</f>
        <v>83814</v>
      </c>
      <c r="E7681">
        <v>73.08</v>
      </c>
    </row>
    <row r="7682" spans="1:5" x14ac:dyDescent="0.2">
      <c r="A7682">
        <v>83815</v>
      </c>
      <c r="B7682" t="s">
        <v>19</v>
      </c>
      <c r="C7682">
        <v>83815</v>
      </c>
      <c r="D7682" t="str">
        <f>"83815"</f>
        <v>83815</v>
      </c>
      <c r="E7682">
        <v>72.900000000000006</v>
      </c>
    </row>
    <row r="7683" spans="1:5" x14ac:dyDescent="0.2">
      <c r="A7683">
        <v>83821</v>
      </c>
      <c r="B7683" t="s">
        <v>19</v>
      </c>
      <c r="C7683">
        <v>83821</v>
      </c>
      <c r="D7683" t="str">
        <f>"83821"</f>
        <v>83821</v>
      </c>
      <c r="E7683">
        <v>80</v>
      </c>
    </row>
    <row r="7684" spans="1:5" x14ac:dyDescent="0.2">
      <c r="A7684">
        <v>83822</v>
      </c>
      <c r="B7684" t="s">
        <v>19</v>
      </c>
      <c r="C7684">
        <v>83822</v>
      </c>
      <c r="D7684" t="str">
        <f>"83822"</f>
        <v>83822</v>
      </c>
      <c r="E7684">
        <v>66.180000000000007</v>
      </c>
    </row>
    <row r="7685" spans="1:5" x14ac:dyDescent="0.2">
      <c r="A7685">
        <v>83823</v>
      </c>
      <c r="B7685" t="s">
        <v>19</v>
      </c>
      <c r="C7685">
        <v>83823</v>
      </c>
      <c r="D7685" t="str">
        <f>"83823"</f>
        <v>83823</v>
      </c>
      <c r="E7685">
        <v>72.58</v>
      </c>
    </row>
    <row r="7686" spans="1:5" x14ac:dyDescent="0.2">
      <c r="A7686">
        <v>83824</v>
      </c>
      <c r="B7686" t="s">
        <v>19</v>
      </c>
      <c r="C7686">
        <v>83824</v>
      </c>
      <c r="D7686" t="str">
        <f>"83824"</f>
        <v>83824</v>
      </c>
      <c r="E7686">
        <v>50</v>
      </c>
    </row>
    <row r="7687" spans="1:5" x14ac:dyDescent="0.2">
      <c r="A7687">
        <v>83825</v>
      </c>
      <c r="B7687" t="s">
        <v>19</v>
      </c>
      <c r="C7687">
        <v>83825</v>
      </c>
      <c r="D7687" t="str">
        <f>"83825"</f>
        <v>83825</v>
      </c>
      <c r="E7687" t="s">
        <v>6</v>
      </c>
    </row>
    <row r="7688" spans="1:5" x14ac:dyDescent="0.2">
      <c r="A7688">
        <v>83826</v>
      </c>
      <c r="B7688" t="s">
        <v>19</v>
      </c>
      <c r="C7688">
        <v>83826</v>
      </c>
      <c r="D7688" t="str">
        <f>"83826"</f>
        <v>83826</v>
      </c>
      <c r="E7688" t="s">
        <v>6</v>
      </c>
    </row>
    <row r="7689" spans="1:5" x14ac:dyDescent="0.2">
      <c r="A7689">
        <v>83827</v>
      </c>
      <c r="B7689" t="s">
        <v>19</v>
      </c>
      <c r="C7689">
        <v>83827</v>
      </c>
      <c r="D7689" t="str">
        <f>"83827"</f>
        <v>83827</v>
      </c>
      <c r="E7689" t="s">
        <v>6</v>
      </c>
    </row>
    <row r="7690" spans="1:5" x14ac:dyDescent="0.2">
      <c r="A7690">
        <v>83830</v>
      </c>
      <c r="B7690" t="s">
        <v>19</v>
      </c>
      <c r="C7690">
        <v>83830</v>
      </c>
      <c r="D7690" t="str">
        <f>"83830"</f>
        <v>83830</v>
      </c>
      <c r="E7690">
        <v>57.14</v>
      </c>
    </row>
    <row r="7691" spans="1:5" x14ac:dyDescent="0.2">
      <c r="A7691">
        <v>83832</v>
      </c>
      <c r="B7691" t="s">
        <v>19</v>
      </c>
      <c r="C7691">
        <v>83832</v>
      </c>
      <c r="D7691" t="str">
        <f>"83832"</f>
        <v>83832</v>
      </c>
      <c r="E7691">
        <v>78.08</v>
      </c>
    </row>
    <row r="7692" spans="1:5" x14ac:dyDescent="0.2">
      <c r="A7692">
        <v>83833</v>
      </c>
      <c r="B7692" t="s">
        <v>19</v>
      </c>
      <c r="C7692">
        <v>83833</v>
      </c>
      <c r="D7692" t="str">
        <f>"83833"</f>
        <v>83833</v>
      </c>
      <c r="E7692">
        <v>77.78</v>
      </c>
    </row>
    <row r="7693" spans="1:5" x14ac:dyDescent="0.2">
      <c r="A7693">
        <v>83834</v>
      </c>
      <c r="B7693" t="s">
        <v>19</v>
      </c>
      <c r="C7693">
        <v>83834</v>
      </c>
      <c r="D7693" t="str">
        <f>"83834"</f>
        <v>83834</v>
      </c>
      <c r="E7693" t="s">
        <v>6</v>
      </c>
    </row>
    <row r="7694" spans="1:5" x14ac:dyDescent="0.2">
      <c r="A7694">
        <v>83835</v>
      </c>
      <c r="B7694" t="s">
        <v>19</v>
      </c>
      <c r="C7694">
        <v>83835</v>
      </c>
      <c r="D7694" t="str">
        <f>"83835"</f>
        <v>83835</v>
      </c>
      <c r="E7694">
        <v>74.09</v>
      </c>
    </row>
    <row r="7695" spans="1:5" x14ac:dyDescent="0.2">
      <c r="A7695">
        <v>83836</v>
      </c>
      <c r="B7695" t="s">
        <v>19</v>
      </c>
      <c r="C7695">
        <v>83836</v>
      </c>
      <c r="D7695" t="str">
        <f>"83836"</f>
        <v>83836</v>
      </c>
      <c r="E7695">
        <v>74</v>
      </c>
    </row>
    <row r="7696" spans="1:5" x14ac:dyDescent="0.2">
      <c r="A7696">
        <v>83837</v>
      </c>
      <c r="B7696" t="s">
        <v>19</v>
      </c>
      <c r="C7696">
        <v>83837</v>
      </c>
      <c r="D7696" t="str">
        <f>"83837"</f>
        <v>83837</v>
      </c>
      <c r="E7696">
        <v>63.7</v>
      </c>
    </row>
    <row r="7697" spans="1:5" x14ac:dyDescent="0.2">
      <c r="A7697">
        <v>83839</v>
      </c>
      <c r="B7697" t="s">
        <v>19</v>
      </c>
      <c r="C7697">
        <v>83839</v>
      </c>
      <c r="D7697" t="str">
        <f>"83839"</f>
        <v>83839</v>
      </c>
      <c r="E7697">
        <v>68.52</v>
      </c>
    </row>
    <row r="7698" spans="1:5" x14ac:dyDescent="0.2">
      <c r="A7698">
        <v>83840</v>
      </c>
      <c r="B7698" t="s">
        <v>19</v>
      </c>
      <c r="C7698">
        <v>83840</v>
      </c>
      <c r="D7698" t="str">
        <f>"83840"</f>
        <v>83840</v>
      </c>
      <c r="E7698" t="s">
        <v>6</v>
      </c>
    </row>
    <row r="7699" spans="1:5" x14ac:dyDescent="0.2">
      <c r="A7699">
        <v>83841</v>
      </c>
      <c r="B7699" t="s">
        <v>19</v>
      </c>
      <c r="C7699">
        <v>83841</v>
      </c>
      <c r="D7699" t="str">
        <f>"83841"</f>
        <v>83841</v>
      </c>
      <c r="E7699" t="s">
        <v>6</v>
      </c>
    </row>
    <row r="7700" spans="1:5" x14ac:dyDescent="0.2">
      <c r="A7700">
        <v>83842</v>
      </c>
      <c r="B7700" t="s">
        <v>19</v>
      </c>
      <c r="C7700">
        <v>83842</v>
      </c>
      <c r="D7700" t="str">
        <f>"83842"</f>
        <v>83842</v>
      </c>
      <c r="E7700" t="s">
        <v>6</v>
      </c>
    </row>
    <row r="7701" spans="1:5" x14ac:dyDescent="0.2">
      <c r="A7701">
        <v>83843</v>
      </c>
      <c r="B7701" t="s">
        <v>19</v>
      </c>
      <c r="C7701">
        <v>83843</v>
      </c>
      <c r="D7701" t="str">
        <f>"83843"</f>
        <v>83843</v>
      </c>
      <c r="E7701">
        <v>72.459999999999994</v>
      </c>
    </row>
    <row r="7702" spans="1:5" x14ac:dyDescent="0.2">
      <c r="A7702">
        <v>83844</v>
      </c>
      <c r="B7702" t="s">
        <v>19</v>
      </c>
      <c r="C7702">
        <v>83844</v>
      </c>
      <c r="D7702" t="str">
        <f>"83844"</f>
        <v>83844</v>
      </c>
      <c r="E7702" t="s">
        <v>6</v>
      </c>
    </row>
    <row r="7703" spans="1:5" x14ac:dyDescent="0.2">
      <c r="A7703">
        <v>83845</v>
      </c>
      <c r="B7703" t="s">
        <v>19</v>
      </c>
      <c r="C7703">
        <v>83845</v>
      </c>
      <c r="D7703" t="str">
        <f>"83845"</f>
        <v>83845</v>
      </c>
      <c r="E7703">
        <v>61.29</v>
      </c>
    </row>
    <row r="7704" spans="1:5" x14ac:dyDescent="0.2">
      <c r="A7704">
        <v>83846</v>
      </c>
      <c r="B7704" t="s">
        <v>19</v>
      </c>
      <c r="C7704">
        <v>83846</v>
      </c>
      <c r="D7704" t="str">
        <f>"83846"</f>
        <v>83846</v>
      </c>
      <c r="E7704">
        <v>66.67</v>
      </c>
    </row>
    <row r="7705" spans="1:5" x14ac:dyDescent="0.2">
      <c r="A7705">
        <v>83847</v>
      </c>
      <c r="B7705" t="s">
        <v>19</v>
      </c>
      <c r="C7705">
        <v>83847</v>
      </c>
      <c r="D7705" t="str">
        <f>"83847"</f>
        <v>83847</v>
      </c>
      <c r="E7705">
        <v>68.569999999999993</v>
      </c>
    </row>
    <row r="7706" spans="1:5" x14ac:dyDescent="0.2">
      <c r="A7706">
        <v>83848</v>
      </c>
      <c r="B7706" t="s">
        <v>19</v>
      </c>
      <c r="C7706">
        <v>83848</v>
      </c>
      <c r="D7706" t="str">
        <f>"83848"</f>
        <v>83848</v>
      </c>
      <c r="E7706">
        <v>61.54</v>
      </c>
    </row>
    <row r="7707" spans="1:5" x14ac:dyDescent="0.2">
      <c r="A7707">
        <v>83849</v>
      </c>
      <c r="B7707" t="s">
        <v>19</v>
      </c>
      <c r="C7707">
        <v>83849</v>
      </c>
      <c r="D7707" t="str">
        <f>"83849"</f>
        <v>83849</v>
      </c>
      <c r="E7707" t="s">
        <v>6</v>
      </c>
    </row>
    <row r="7708" spans="1:5" x14ac:dyDescent="0.2">
      <c r="A7708">
        <v>83850</v>
      </c>
      <c r="B7708" t="s">
        <v>19</v>
      </c>
      <c r="C7708">
        <v>83850</v>
      </c>
      <c r="D7708" t="str">
        <f>"83850"</f>
        <v>83850</v>
      </c>
      <c r="E7708">
        <v>66.989999999999995</v>
      </c>
    </row>
    <row r="7709" spans="1:5" x14ac:dyDescent="0.2">
      <c r="A7709">
        <v>83851</v>
      </c>
      <c r="B7709" t="s">
        <v>19</v>
      </c>
      <c r="C7709">
        <v>83851</v>
      </c>
      <c r="D7709" t="str">
        <f>"83851"</f>
        <v>83851</v>
      </c>
      <c r="E7709">
        <v>60</v>
      </c>
    </row>
    <row r="7710" spans="1:5" x14ac:dyDescent="0.2">
      <c r="A7710">
        <v>83852</v>
      </c>
      <c r="B7710" t="s">
        <v>19</v>
      </c>
      <c r="C7710">
        <v>83852</v>
      </c>
      <c r="D7710" t="str">
        <f>"83852"</f>
        <v>83852</v>
      </c>
      <c r="E7710">
        <v>68.75</v>
      </c>
    </row>
    <row r="7711" spans="1:5" x14ac:dyDescent="0.2">
      <c r="A7711">
        <v>83854</v>
      </c>
      <c r="B7711" t="s">
        <v>19</v>
      </c>
      <c r="C7711">
        <v>83854</v>
      </c>
      <c r="D7711" t="str">
        <f>"83854"</f>
        <v>83854</v>
      </c>
      <c r="E7711">
        <v>72.34</v>
      </c>
    </row>
    <row r="7712" spans="1:5" x14ac:dyDescent="0.2">
      <c r="A7712">
        <v>83855</v>
      </c>
      <c r="B7712" t="s">
        <v>19</v>
      </c>
      <c r="C7712">
        <v>83855</v>
      </c>
      <c r="D7712" t="str">
        <f>"83855"</f>
        <v>83855</v>
      </c>
      <c r="E7712">
        <v>75.790000000000006</v>
      </c>
    </row>
    <row r="7713" spans="1:5" x14ac:dyDescent="0.2">
      <c r="A7713">
        <v>83856</v>
      </c>
      <c r="B7713" t="s">
        <v>19</v>
      </c>
      <c r="C7713">
        <v>83856</v>
      </c>
      <c r="D7713" t="str">
        <f>"83856"</f>
        <v>83856</v>
      </c>
      <c r="E7713">
        <v>68.459999999999994</v>
      </c>
    </row>
    <row r="7714" spans="1:5" x14ac:dyDescent="0.2">
      <c r="A7714">
        <v>83857</v>
      </c>
      <c r="B7714" t="s">
        <v>19</v>
      </c>
      <c r="C7714">
        <v>83857</v>
      </c>
      <c r="D7714" t="str">
        <f>"83857"</f>
        <v>83857</v>
      </c>
      <c r="E7714">
        <v>75.680000000000007</v>
      </c>
    </row>
    <row r="7715" spans="1:5" x14ac:dyDescent="0.2">
      <c r="A7715">
        <v>83858</v>
      </c>
      <c r="B7715" t="s">
        <v>19</v>
      </c>
      <c r="C7715">
        <v>83858</v>
      </c>
      <c r="D7715" t="str">
        <f>"83858"</f>
        <v>83858</v>
      </c>
      <c r="E7715">
        <v>73.42</v>
      </c>
    </row>
    <row r="7716" spans="1:5" x14ac:dyDescent="0.2">
      <c r="A7716">
        <v>83860</v>
      </c>
      <c r="B7716" t="s">
        <v>19</v>
      </c>
      <c r="C7716">
        <v>83860</v>
      </c>
      <c r="D7716" t="str">
        <f>"83860"</f>
        <v>83860</v>
      </c>
      <c r="E7716">
        <v>74.06</v>
      </c>
    </row>
    <row r="7717" spans="1:5" x14ac:dyDescent="0.2">
      <c r="A7717">
        <v>83861</v>
      </c>
      <c r="B7717" t="s">
        <v>19</v>
      </c>
      <c r="C7717">
        <v>83861</v>
      </c>
      <c r="D7717" t="str">
        <f>"83861"</f>
        <v>83861</v>
      </c>
      <c r="E7717">
        <v>68.86</v>
      </c>
    </row>
    <row r="7718" spans="1:5" x14ac:dyDescent="0.2">
      <c r="A7718">
        <v>83864</v>
      </c>
      <c r="B7718" t="s">
        <v>19</v>
      </c>
      <c r="C7718">
        <v>83864</v>
      </c>
      <c r="D7718" t="str">
        <f>"83864"</f>
        <v>83864</v>
      </c>
      <c r="E7718">
        <v>71.08</v>
      </c>
    </row>
    <row r="7719" spans="1:5" x14ac:dyDescent="0.2">
      <c r="A7719">
        <v>83865</v>
      </c>
      <c r="B7719" t="s">
        <v>19</v>
      </c>
      <c r="C7719">
        <v>83865</v>
      </c>
      <c r="D7719" t="str">
        <f>"83865"</f>
        <v>83865</v>
      </c>
      <c r="E7719" t="s">
        <v>6</v>
      </c>
    </row>
    <row r="7720" spans="1:5" x14ac:dyDescent="0.2">
      <c r="A7720">
        <v>83867</v>
      </c>
      <c r="B7720" t="s">
        <v>19</v>
      </c>
      <c r="C7720">
        <v>83867</v>
      </c>
      <c r="D7720" t="str">
        <f>"83867"</f>
        <v>83867</v>
      </c>
      <c r="E7720" t="s">
        <v>6</v>
      </c>
    </row>
    <row r="7721" spans="1:5" x14ac:dyDescent="0.2">
      <c r="A7721">
        <v>83868</v>
      </c>
      <c r="B7721" t="s">
        <v>19</v>
      </c>
      <c r="C7721">
        <v>83868</v>
      </c>
      <c r="D7721" t="str">
        <f>"83868"</f>
        <v>83868</v>
      </c>
      <c r="E7721">
        <v>58.33</v>
      </c>
    </row>
    <row r="7722" spans="1:5" x14ac:dyDescent="0.2">
      <c r="A7722">
        <v>83869</v>
      </c>
      <c r="B7722" t="s">
        <v>19</v>
      </c>
      <c r="C7722">
        <v>83869</v>
      </c>
      <c r="D7722" t="str">
        <f>"83869"</f>
        <v>83869</v>
      </c>
      <c r="E7722">
        <v>71.239999999999995</v>
      </c>
    </row>
    <row r="7723" spans="1:5" x14ac:dyDescent="0.2">
      <c r="A7723">
        <v>83870</v>
      </c>
      <c r="B7723" t="s">
        <v>19</v>
      </c>
      <c r="C7723">
        <v>83870</v>
      </c>
      <c r="D7723" t="str">
        <f>"83870"</f>
        <v>83870</v>
      </c>
      <c r="E7723">
        <v>64.290000000000006</v>
      </c>
    </row>
    <row r="7724" spans="1:5" x14ac:dyDescent="0.2">
      <c r="A7724">
        <v>83871</v>
      </c>
      <c r="B7724" t="s">
        <v>19</v>
      </c>
      <c r="C7724">
        <v>83871</v>
      </c>
      <c r="D7724" t="str">
        <f>"83871"</f>
        <v>83871</v>
      </c>
      <c r="E7724">
        <v>78.72</v>
      </c>
    </row>
    <row r="7725" spans="1:5" x14ac:dyDescent="0.2">
      <c r="A7725">
        <v>83872</v>
      </c>
      <c r="B7725" t="s">
        <v>19</v>
      </c>
      <c r="C7725">
        <v>83872</v>
      </c>
      <c r="D7725" t="str">
        <f>"83872"</f>
        <v>83872</v>
      </c>
      <c r="E7725">
        <v>82.35</v>
      </c>
    </row>
    <row r="7726" spans="1:5" x14ac:dyDescent="0.2">
      <c r="A7726">
        <v>83873</v>
      </c>
      <c r="B7726" t="s">
        <v>19</v>
      </c>
      <c r="C7726">
        <v>83873</v>
      </c>
      <c r="D7726" t="str">
        <f>"83873"</f>
        <v>83873</v>
      </c>
      <c r="E7726">
        <v>71.67</v>
      </c>
    </row>
    <row r="7727" spans="1:5" x14ac:dyDescent="0.2">
      <c r="A7727">
        <v>83874</v>
      </c>
      <c r="B7727" t="s">
        <v>19</v>
      </c>
      <c r="C7727">
        <v>83874</v>
      </c>
      <c r="D7727" t="str">
        <f>"83874"</f>
        <v>83874</v>
      </c>
      <c r="E7727" t="s">
        <v>6</v>
      </c>
    </row>
    <row r="7728" spans="1:5" x14ac:dyDescent="0.2">
      <c r="A7728">
        <v>83876</v>
      </c>
      <c r="B7728" t="s">
        <v>19</v>
      </c>
      <c r="C7728">
        <v>83876</v>
      </c>
      <c r="D7728" t="str">
        <f>"83876"</f>
        <v>83876</v>
      </c>
      <c r="E7728">
        <v>72.06</v>
      </c>
    </row>
    <row r="7729" spans="1:5" x14ac:dyDescent="0.2">
      <c r="A7729">
        <v>60002</v>
      </c>
      <c r="B7729" t="s">
        <v>20</v>
      </c>
      <c r="C7729">
        <v>60002</v>
      </c>
      <c r="D7729" t="str">
        <f>"60002"</f>
        <v>60002</v>
      </c>
      <c r="E7729">
        <v>77.92</v>
      </c>
    </row>
    <row r="7730" spans="1:5" x14ac:dyDescent="0.2">
      <c r="A7730">
        <v>60004</v>
      </c>
      <c r="B7730" t="s">
        <v>20</v>
      </c>
      <c r="C7730">
        <v>60004</v>
      </c>
      <c r="D7730" t="str">
        <f>"60004"</f>
        <v>60004</v>
      </c>
      <c r="E7730">
        <v>79.489999999999995</v>
      </c>
    </row>
    <row r="7731" spans="1:5" x14ac:dyDescent="0.2">
      <c r="A7731">
        <v>60005</v>
      </c>
      <c r="B7731" t="s">
        <v>20</v>
      </c>
      <c r="C7731">
        <v>60005</v>
      </c>
      <c r="D7731" t="str">
        <f>"60005"</f>
        <v>60005</v>
      </c>
      <c r="E7731">
        <v>77.64</v>
      </c>
    </row>
    <row r="7732" spans="1:5" x14ac:dyDescent="0.2">
      <c r="A7732">
        <v>60007</v>
      </c>
      <c r="B7732" t="s">
        <v>20</v>
      </c>
      <c r="C7732">
        <v>60007</v>
      </c>
      <c r="D7732" t="str">
        <f>"60007"</f>
        <v>60007</v>
      </c>
      <c r="E7732">
        <v>78.900000000000006</v>
      </c>
    </row>
    <row r="7733" spans="1:5" x14ac:dyDescent="0.2">
      <c r="A7733">
        <v>60008</v>
      </c>
      <c r="B7733" t="s">
        <v>20</v>
      </c>
      <c r="C7733">
        <v>60008</v>
      </c>
      <c r="D7733" t="str">
        <f>"60008"</f>
        <v>60008</v>
      </c>
      <c r="E7733">
        <v>74.62</v>
      </c>
    </row>
    <row r="7734" spans="1:5" x14ac:dyDescent="0.2">
      <c r="A7734">
        <v>60010</v>
      </c>
      <c r="B7734" t="s">
        <v>20</v>
      </c>
      <c r="C7734">
        <v>60010</v>
      </c>
      <c r="D7734" t="str">
        <f>"60010"</f>
        <v>60010</v>
      </c>
      <c r="E7734">
        <v>80.650000000000006</v>
      </c>
    </row>
    <row r="7735" spans="1:5" x14ac:dyDescent="0.2">
      <c r="A7735">
        <v>60012</v>
      </c>
      <c r="B7735" t="s">
        <v>20</v>
      </c>
      <c r="C7735">
        <v>60012</v>
      </c>
      <c r="D7735" t="str">
        <f>"60012"</f>
        <v>60012</v>
      </c>
      <c r="E7735">
        <v>78.5</v>
      </c>
    </row>
    <row r="7736" spans="1:5" x14ac:dyDescent="0.2">
      <c r="A7736">
        <v>60013</v>
      </c>
      <c r="B7736" t="s">
        <v>20</v>
      </c>
      <c r="C7736">
        <v>60013</v>
      </c>
      <c r="D7736" t="str">
        <f>"60013"</f>
        <v>60013</v>
      </c>
      <c r="E7736">
        <v>77.84</v>
      </c>
    </row>
    <row r="7737" spans="1:5" x14ac:dyDescent="0.2">
      <c r="A7737">
        <v>60014</v>
      </c>
      <c r="B7737" t="s">
        <v>20</v>
      </c>
      <c r="C7737">
        <v>60014</v>
      </c>
      <c r="D7737" t="str">
        <f>"60014"</f>
        <v>60014</v>
      </c>
      <c r="E7737">
        <v>76.12</v>
      </c>
    </row>
    <row r="7738" spans="1:5" x14ac:dyDescent="0.2">
      <c r="A7738">
        <v>60015</v>
      </c>
      <c r="B7738" t="s">
        <v>20</v>
      </c>
      <c r="C7738">
        <v>60015</v>
      </c>
      <c r="D7738" t="str">
        <f>"60015"</f>
        <v>60015</v>
      </c>
      <c r="E7738">
        <v>78.13</v>
      </c>
    </row>
    <row r="7739" spans="1:5" x14ac:dyDescent="0.2">
      <c r="A7739">
        <v>60016</v>
      </c>
      <c r="B7739" t="s">
        <v>20</v>
      </c>
      <c r="C7739">
        <v>60016</v>
      </c>
      <c r="D7739" t="str">
        <f>"60016"</f>
        <v>60016</v>
      </c>
      <c r="E7739">
        <v>72.55</v>
      </c>
    </row>
    <row r="7740" spans="1:5" x14ac:dyDescent="0.2">
      <c r="A7740">
        <v>60018</v>
      </c>
      <c r="B7740" t="s">
        <v>20</v>
      </c>
      <c r="C7740">
        <v>60018</v>
      </c>
      <c r="D7740" t="str">
        <f>"60018"</f>
        <v>60018</v>
      </c>
      <c r="E7740">
        <v>68.510000000000005</v>
      </c>
    </row>
    <row r="7741" spans="1:5" x14ac:dyDescent="0.2">
      <c r="A7741">
        <v>60020</v>
      </c>
      <c r="B7741" t="s">
        <v>20</v>
      </c>
      <c r="C7741">
        <v>60020</v>
      </c>
      <c r="D7741" t="str">
        <f>"60020"</f>
        <v>60020</v>
      </c>
      <c r="E7741">
        <v>76.81</v>
      </c>
    </row>
    <row r="7742" spans="1:5" x14ac:dyDescent="0.2">
      <c r="A7742">
        <v>60021</v>
      </c>
      <c r="B7742" t="s">
        <v>20</v>
      </c>
      <c r="C7742">
        <v>60021</v>
      </c>
      <c r="D7742" t="str">
        <f>"60021"</f>
        <v>60021</v>
      </c>
      <c r="E7742">
        <v>78.25</v>
      </c>
    </row>
    <row r="7743" spans="1:5" x14ac:dyDescent="0.2">
      <c r="A7743">
        <v>60022</v>
      </c>
      <c r="B7743" t="s">
        <v>20</v>
      </c>
      <c r="C7743">
        <v>60022</v>
      </c>
      <c r="D7743" t="str">
        <f>"60022"</f>
        <v>60022</v>
      </c>
      <c r="E7743">
        <v>80.52</v>
      </c>
    </row>
    <row r="7744" spans="1:5" x14ac:dyDescent="0.2">
      <c r="A7744">
        <v>60025</v>
      </c>
      <c r="B7744" t="s">
        <v>20</v>
      </c>
      <c r="C7744">
        <v>60025</v>
      </c>
      <c r="D7744" t="str">
        <f>"60025"</f>
        <v>60025</v>
      </c>
      <c r="E7744">
        <v>77.23</v>
      </c>
    </row>
    <row r="7745" spans="1:5" x14ac:dyDescent="0.2">
      <c r="A7745">
        <v>60026</v>
      </c>
      <c r="B7745" t="s">
        <v>20</v>
      </c>
      <c r="C7745">
        <v>60026</v>
      </c>
      <c r="D7745" t="str">
        <f>"60026"</f>
        <v>60026</v>
      </c>
      <c r="E7745">
        <v>79.510000000000005</v>
      </c>
    </row>
    <row r="7746" spans="1:5" x14ac:dyDescent="0.2">
      <c r="A7746">
        <v>60029</v>
      </c>
      <c r="B7746" t="s">
        <v>20</v>
      </c>
      <c r="C7746">
        <v>60029</v>
      </c>
      <c r="D7746" t="str">
        <f>"60029"</f>
        <v>60029</v>
      </c>
      <c r="E7746" t="s">
        <v>6</v>
      </c>
    </row>
    <row r="7747" spans="1:5" x14ac:dyDescent="0.2">
      <c r="A7747">
        <v>60030</v>
      </c>
      <c r="B7747" t="s">
        <v>20</v>
      </c>
      <c r="C7747">
        <v>60030</v>
      </c>
      <c r="D7747" t="str">
        <f>"60030"</f>
        <v>60030</v>
      </c>
      <c r="E7747">
        <v>78.58</v>
      </c>
    </row>
    <row r="7748" spans="1:5" x14ac:dyDescent="0.2">
      <c r="A7748">
        <v>60031</v>
      </c>
      <c r="B7748" t="s">
        <v>20</v>
      </c>
      <c r="C7748">
        <v>60031</v>
      </c>
      <c r="D7748" t="str">
        <f>"60031"</f>
        <v>60031</v>
      </c>
      <c r="E7748">
        <v>77.05</v>
      </c>
    </row>
    <row r="7749" spans="1:5" x14ac:dyDescent="0.2">
      <c r="A7749">
        <v>60033</v>
      </c>
      <c r="B7749" t="s">
        <v>20</v>
      </c>
      <c r="C7749">
        <v>60033</v>
      </c>
      <c r="D7749" t="str">
        <f>"60033"</f>
        <v>60033</v>
      </c>
      <c r="E7749">
        <v>67.52</v>
      </c>
    </row>
    <row r="7750" spans="1:5" x14ac:dyDescent="0.2">
      <c r="A7750">
        <v>60034</v>
      </c>
      <c r="B7750" t="s">
        <v>20</v>
      </c>
      <c r="C7750">
        <v>60034</v>
      </c>
      <c r="D7750" t="str">
        <f>"60034"</f>
        <v>60034</v>
      </c>
      <c r="E7750">
        <v>73</v>
      </c>
    </row>
    <row r="7751" spans="1:5" x14ac:dyDescent="0.2">
      <c r="A7751">
        <v>60035</v>
      </c>
      <c r="B7751" t="s">
        <v>20</v>
      </c>
      <c r="C7751">
        <v>60035</v>
      </c>
      <c r="D7751" t="str">
        <f>"60035"</f>
        <v>60035</v>
      </c>
      <c r="E7751">
        <v>78.66</v>
      </c>
    </row>
    <row r="7752" spans="1:5" x14ac:dyDescent="0.2">
      <c r="A7752">
        <v>60040</v>
      </c>
      <c r="B7752" t="s">
        <v>20</v>
      </c>
      <c r="C7752">
        <v>60040</v>
      </c>
      <c r="D7752" t="str">
        <f>"60040"</f>
        <v>60040</v>
      </c>
      <c r="E7752">
        <v>65.42</v>
      </c>
    </row>
    <row r="7753" spans="1:5" x14ac:dyDescent="0.2">
      <c r="A7753">
        <v>60041</v>
      </c>
      <c r="B7753" t="s">
        <v>20</v>
      </c>
      <c r="C7753">
        <v>60041</v>
      </c>
      <c r="D7753" t="str">
        <f>"60041"</f>
        <v>60041</v>
      </c>
      <c r="E7753">
        <v>74.69</v>
      </c>
    </row>
    <row r="7754" spans="1:5" x14ac:dyDescent="0.2">
      <c r="A7754">
        <v>60042</v>
      </c>
      <c r="B7754" t="s">
        <v>20</v>
      </c>
      <c r="C7754">
        <v>60042</v>
      </c>
      <c r="D7754" t="str">
        <f>"60042"</f>
        <v>60042</v>
      </c>
      <c r="E7754">
        <v>76.64</v>
      </c>
    </row>
    <row r="7755" spans="1:5" x14ac:dyDescent="0.2">
      <c r="A7755">
        <v>60043</v>
      </c>
      <c r="B7755" t="s">
        <v>20</v>
      </c>
      <c r="C7755">
        <v>60043</v>
      </c>
      <c r="D7755" t="str">
        <f>"60043"</f>
        <v>60043</v>
      </c>
      <c r="E7755">
        <v>80.17</v>
      </c>
    </row>
    <row r="7756" spans="1:5" x14ac:dyDescent="0.2">
      <c r="A7756">
        <v>60044</v>
      </c>
      <c r="B7756" t="s">
        <v>20</v>
      </c>
      <c r="C7756">
        <v>60044</v>
      </c>
      <c r="D7756" t="str">
        <f>"60044"</f>
        <v>60044</v>
      </c>
      <c r="E7756">
        <v>79.08</v>
      </c>
    </row>
    <row r="7757" spans="1:5" x14ac:dyDescent="0.2">
      <c r="A7757">
        <v>60045</v>
      </c>
      <c r="B7757" t="s">
        <v>20</v>
      </c>
      <c r="C7757">
        <v>60045</v>
      </c>
      <c r="D7757" t="str">
        <f>"60045"</f>
        <v>60045</v>
      </c>
      <c r="E7757">
        <v>79.540000000000006</v>
      </c>
    </row>
    <row r="7758" spans="1:5" x14ac:dyDescent="0.2">
      <c r="A7758">
        <v>60046</v>
      </c>
      <c r="B7758" t="s">
        <v>20</v>
      </c>
      <c r="C7758">
        <v>60046</v>
      </c>
      <c r="D7758" t="str">
        <f>"60046"</f>
        <v>60046</v>
      </c>
      <c r="E7758">
        <v>78.599999999999994</v>
      </c>
    </row>
    <row r="7759" spans="1:5" x14ac:dyDescent="0.2">
      <c r="A7759">
        <v>60047</v>
      </c>
      <c r="B7759" t="s">
        <v>20</v>
      </c>
      <c r="C7759">
        <v>60047</v>
      </c>
      <c r="D7759" t="str">
        <f>"60047"</f>
        <v>60047</v>
      </c>
      <c r="E7759">
        <v>79.510000000000005</v>
      </c>
    </row>
    <row r="7760" spans="1:5" x14ac:dyDescent="0.2">
      <c r="A7760">
        <v>60048</v>
      </c>
      <c r="B7760" t="s">
        <v>20</v>
      </c>
      <c r="C7760">
        <v>60048</v>
      </c>
      <c r="D7760" t="str">
        <f>"60048"</f>
        <v>60048</v>
      </c>
      <c r="E7760">
        <v>79.66</v>
      </c>
    </row>
    <row r="7761" spans="1:5" x14ac:dyDescent="0.2">
      <c r="A7761">
        <v>60050</v>
      </c>
      <c r="B7761" t="s">
        <v>20</v>
      </c>
      <c r="C7761">
        <v>60050</v>
      </c>
      <c r="D7761" t="str">
        <f>"60050"</f>
        <v>60050</v>
      </c>
      <c r="E7761">
        <v>75.36</v>
      </c>
    </row>
    <row r="7762" spans="1:5" x14ac:dyDescent="0.2">
      <c r="A7762">
        <v>60051</v>
      </c>
      <c r="B7762" t="s">
        <v>20</v>
      </c>
      <c r="C7762">
        <v>60051</v>
      </c>
      <c r="D7762" t="str">
        <f>"60051"</f>
        <v>60051</v>
      </c>
      <c r="E7762">
        <v>78.47</v>
      </c>
    </row>
    <row r="7763" spans="1:5" x14ac:dyDescent="0.2">
      <c r="A7763">
        <v>60053</v>
      </c>
      <c r="B7763" t="s">
        <v>20</v>
      </c>
      <c r="C7763">
        <v>60053</v>
      </c>
      <c r="D7763" t="str">
        <f>"60053"</f>
        <v>60053</v>
      </c>
      <c r="E7763">
        <v>75.180000000000007</v>
      </c>
    </row>
    <row r="7764" spans="1:5" x14ac:dyDescent="0.2">
      <c r="A7764">
        <v>60056</v>
      </c>
      <c r="B7764" t="s">
        <v>20</v>
      </c>
      <c r="C7764">
        <v>60056</v>
      </c>
      <c r="D7764" t="str">
        <f>"60056"</f>
        <v>60056</v>
      </c>
      <c r="E7764">
        <v>73.959999999999994</v>
      </c>
    </row>
    <row r="7765" spans="1:5" x14ac:dyDescent="0.2">
      <c r="A7765">
        <v>60060</v>
      </c>
      <c r="B7765" t="s">
        <v>20</v>
      </c>
      <c r="C7765">
        <v>60060</v>
      </c>
      <c r="D7765" t="str">
        <f>"60060"</f>
        <v>60060</v>
      </c>
      <c r="E7765">
        <v>75.03</v>
      </c>
    </row>
    <row r="7766" spans="1:5" x14ac:dyDescent="0.2">
      <c r="A7766">
        <v>60061</v>
      </c>
      <c r="B7766" t="s">
        <v>20</v>
      </c>
      <c r="C7766">
        <v>60061</v>
      </c>
      <c r="D7766" t="str">
        <f>"60061"</f>
        <v>60061</v>
      </c>
      <c r="E7766">
        <v>77.62</v>
      </c>
    </row>
    <row r="7767" spans="1:5" x14ac:dyDescent="0.2">
      <c r="A7767">
        <v>60062</v>
      </c>
      <c r="B7767" t="s">
        <v>20</v>
      </c>
      <c r="C7767">
        <v>60062</v>
      </c>
      <c r="D7767" t="str">
        <f>"60062"</f>
        <v>60062</v>
      </c>
      <c r="E7767">
        <v>79.459999999999994</v>
      </c>
    </row>
    <row r="7768" spans="1:5" x14ac:dyDescent="0.2">
      <c r="A7768">
        <v>60064</v>
      </c>
      <c r="B7768" t="s">
        <v>20</v>
      </c>
      <c r="C7768">
        <v>60064</v>
      </c>
      <c r="D7768" t="str">
        <f>"60064"</f>
        <v>60064</v>
      </c>
      <c r="E7768">
        <v>50.16</v>
      </c>
    </row>
    <row r="7769" spans="1:5" x14ac:dyDescent="0.2">
      <c r="A7769">
        <v>60067</v>
      </c>
      <c r="B7769" t="s">
        <v>20</v>
      </c>
      <c r="C7769">
        <v>60067</v>
      </c>
      <c r="D7769" t="str">
        <f>"60067"</f>
        <v>60067</v>
      </c>
      <c r="E7769">
        <v>81.12</v>
      </c>
    </row>
    <row r="7770" spans="1:5" x14ac:dyDescent="0.2">
      <c r="A7770">
        <v>60068</v>
      </c>
      <c r="B7770" t="s">
        <v>20</v>
      </c>
      <c r="C7770">
        <v>60068</v>
      </c>
      <c r="D7770" t="str">
        <f>"60068"</f>
        <v>60068</v>
      </c>
      <c r="E7770">
        <v>79.709999999999994</v>
      </c>
    </row>
    <row r="7771" spans="1:5" x14ac:dyDescent="0.2">
      <c r="A7771">
        <v>60069</v>
      </c>
      <c r="B7771" t="s">
        <v>20</v>
      </c>
      <c r="C7771">
        <v>60069</v>
      </c>
      <c r="D7771" t="str">
        <f>"60069"</f>
        <v>60069</v>
      </c>
      <c r="E7771">
        <v>81.349999999999994</v>
      </c>
    </row>
    <row r="7772" spans="1:5" x14ac:dyDescent="0.2">
      <c r="A7772">
        <v>60070</v>
      </c>
      <c r="B7772" t="s">
        <v>20</v>
      </c>
      <c r="C7772">
        <v>60070</v>
      </c>
      <c r="D7772" t="str">
        <f>"60070"</f>
        <v>60070</v>
      </c>
      <c r="E7772">
        <v>71.27</v>
      </c>
    </row>
    <row r="7773" spans="1:5" x14ac:dyDescent="0.2">
      <c r="A7773">
        <v>60071</v>
      </c>
      <c r="B7773" t="s">
        <v>20</v>
      </c>
      <c r="C7773">
        <v>60071</v>
      </c>
      <c r="D7773" t="str">
        <f>"60071"</f>
        <v>60071</v>
      </c>
      <c r="E7773">
        <v>76.77</v>
      </c>
    </row>
    <row r="7774" spans="1:5" x14ac:dyDescent="0.2">
      <c r="A7774">
        <v>60072</v>
      </c>
      <c r="B7774" t="s">
        <v>20</v>
      </c>
      <c r="C7774">
        <v>60072</v>
      </c>
      <c r="D7774" t="str">
        <f>"60072"</f>
        <v>60072</v>
      </c>
      <c r="E7774">
        <v>78.430000000000007</v>
      </c>
    </row>
    <row r="7775" spans="1:5" x14ac:dyDescent="0.2">
      <c r="A7775">
        <v>60073</v>
      </c>
      <c r="B7775" t="s">
        <v>20</v>
      </c>
      <c r="C7775">
        <v>60073</v>
      </c>
      <c r="D7775" t="str">
        <f>"60073"</f>
        <v>60073</v>
      </c>
      <c r="E7775">
        <v>69.17</v>
      </c>
    </row>
    <row r="7776" spans="1:5" x14ac:dyDescent="0.2">
      <c r="A7776">
        <v>60074</v>
      </c>
      <c r="B7776" t="s">
        <v>20</v>
      </c>
      <c r="C7776">
        <v>60074</v>
      </c>
      <c r="D7776" t="str">
        <f>"60074"</f>
        <v>60074</v>
      </c>
      <c r="E7776">
        <v>72.2</v>
      </c>
    </row>
    <row r="7777" spans="1:5" x14ac:dyDescent="0.2">
      <c r="A7777">
        <v>60076</v>
      </c>
      <c r="B7777" t="s">
        <v>20</v>
      </c>
      <c r="C7777">
        <v>60076</v>
      </c>
      <c r="D7777" t="str">
        <f>"60076"</f>
        <v>60076</v>
      </c>
      <c r="E7777">
        <v>70.55</v>
      </c>
    </row>
    <row r="7778" spans="1:5" x14ac:dyDescent="0.2">
      <c r="A7778">
        <v>60077</v>
      </c>
      <c r="B7778" t="s">
        <v>20</v>
      </c>
      <c r="C7778">
        <v>60077</v>
      </c>
      <c r="D7778" t="str">
        <f>"60077"</f>
        <v>60077</v>
      </c>
      <c r="E7778">
        <v>69.540000000000006</v>
      </c>
    </row>
    <row r="7779" spans="1:5" x14ac:dyDescent="0.2">
      <c r="A7779">
        <v>60081</v>
      </c>
      <c r="B7779" t="s">
        <v>20</v>
      </c>
      <c r="C7779">
        <v>60081</v>
      </c>
      <c r="D7779" t="str">
        <f>"60081"</f>
        <v>60081</v>
      </c>
      <c r="E7779">
        <v>79.5</v>
      </c>
    </row>
    <row r="7780" spans="1:5" x14ac:dyDescent="0.2">
      <c r="A7780">
        <v>60082</v>
      </c>
      <c r="B7780" t="s">
        <v>20</v>
      </c>
      <c r="C7780">
        <v>60082</v>
      </c>
      <c r="D7780" t="str">
        <f>"60082"</f>
        <v>60082</v>
      </c>
      <c r="E7780" t="s">
        <v>6</v>
      </c>
    </row>
    <row r="7781" spans="1:5" x14ac:dyDescent="0.2">
      <c r="A7781">
        <v>60083</v>
      </c>
      <c r="B7781" t="s">
        <v>20</v>
      </c>
      <c r="C7781">
        <v>60083</v>
      </c>
      <c r="D7781" t="str">
        <f>"60083"</f>
        <v>60083</v>
      </c>
      <c r="E7781">
        <v>78.739999999999995</v>
      </c>
    </row>
    <row r="7782" spans="1:5" x14ac:dyDescent="0.2">
      <c r="A7782">
        <v>60084</v>
      </c>
      <c r="B7782" t="s">
        <v>20</v>
      </c>
      <c r="C7782">
        <v>60084</v>
      </c>
      <c r="D7782" t="str">
        <f>"60084"</f>
        <v>60084</v>
      </c>
      <c r="E7782">
        <v>76.55</v>
      </c>
    </row>
    <row r="7783" spans="1:5" x14ac:dyDescent="0.2">
      <c r="A7783">
        <v>60085</v>
      </c>
      <c r="B7783" t="s">
        <v>20</v>
      </c>
      <c r="C7783">
        <v>60085</v>
      </c>
      <c r="D7783" t="str">
        <f>"60085"</f>
        <v>60085</v>
      </c>
      <c r="E7783">
        <v>56.33</v>
      </c>
    </row>
    <row r="7784" spans="1:5" x14ac:dyDescent="0.2">
      <c r="A7784">
        <v>60087</v>
      </c>
      <c r="B7784" t="s">
        <v>20</v>
      </c>
      <c r="C7784">
        <v>60087</v>
      </c>
      <c r="D7784" t="str">
        <f>"60087"</f>
        <v>60087</v>
      </c>
      <c r="E7784">
        <v>66.010000000000005</v>
      </c>
    </row>
    <row r="7785" spans="1:5" x14ac:dyDescent="0.2">
      <c r="A7785">
        <v>60088</v>
      </c>
      <c r="B7785" t="s">
        <v>20</v>
      </c>
      <c r="C7785">
        <v>60088</v>
      </c>
      <c r="D7785" t="str">
        <f>"60088"</f>
        <v>60088</v>
      </c>
      <c r="E7785">
        <v>66.47</v>
      </c>
    </row>
    <row r="7786" spans="1:5" x14ac:dyDescent="0.2">
      <c r="A7786">
        <v>60089</v>
      </c>
      <c r="B7786" t="s">
        <v>20</v>
      </c>
      <c r="C7786">
        <v>60089</v>
      </c>
      <c r="D7786" t="str">
        <f>"60089"</f>
        <v>60089</v>
      </c>
      <c r="E7786">
        <v>79.48</v>
      </c>
    </row>
    <row r="7787" spans="1:5" x14ac:dyDescent="0.2">
      <c r="A7787">
        <v>60090</v>
      </c>
      <c r="B7787" t="s">
        <v>20</v>
      </c>
      <c r="C7787">
        <v>60090</v>
      </c>
      <c r="D7787" t="str">
        <f>"60090"</f>
        <v>60090</v>
      </c>
      <c r="E7787">
        <v>72.19</v>
      </c>
    </row>
    <row r="7788" spans="1:5" x14ac:dyDescent="0.2">
      <c r="A7788">
        <v>60091</v>
      </c>
      <c r="B7788" t="s">
        <v>20</v>
      </c>
      <c r="C7788">
        <v>60091</v>
      </c>
      <c r="D7788" t="str">
        <f>"60091"</f>
        <v>60091</v>
      </c>
      <c r="E7788">
        <v>79.14</v>
      </c>
    </row>
    <row r="7789" spans="1:5" x14ac:dyDescent="0.2">
      <c r="A7789">
        <v>60093</v>
      </c>
      <c r="B7789" t="s">
        <v>20</v>
      </c>
      <c r="C7789">
        <v>60093</v>
      </c>
      <c r="D7789" t="str">
        <f>"60093"</f>
        <v>60093</v>
      </c>
      <c r="E7789">
        <v>78.67</v>
      </c>
    </row>
    <row r="7790" spans="1:5" x14ac:dyDescent="0.2">
      <c r="A7790">
        <v>60096</v>
      </c>
      <c r="B7790" t="s">
        <v>20</v>
      </c>
      <c r="C7790">
        <v>60096</v>
      </c>
      <c r="D7790" t="str">
        <f>"60096"</f>
        <v>60096</v>
      </c>
      <c r="E7790">
        <v>78.39</v>
      </c>
    </row>
    <row r="7791" spans="1:5" x14ac:dyDescent="0.2">
      <c r="A7791">
        <v>60097</v>
      </c>
      <c r="B7791" t="s">
        <v>20</v>
      </c>
      <c r="C7791">
        <v>60097</v>
      </c>
      <c r="D7791" t="str">
        <f>"60097"</f>
        <v>60097</v>
      </c>
      <c r="E7791">
        <v>76.3</v>
      </c>
    </row>
    <row r="7792" spans="1:5" x14ac:dyDescent="0.2">
      <c r="A7792">
        <v>60098</v>
      </c>
      <c r="B7792" t="s">
        <v>20</v>
      </c>
      <c r="C7792">
        <v>60098</v>
      </c>
      <c r="D7792" t="str">
        <f>"60098"</f>
        <v>60098</v>
      </c>
      <c r="E7792">
        <v>74.3</v>
      </c>
    </row>
    <row r="7793" spans="1:5" x14ac:dyDescent="0.2">
      <c r="A7793">
        <v>60099</v>
      </c>
      <c r="B7793" t="s">
        <v>20</v>
      </c>
      <c r="C7793">
        <v>60099</v>
      </c>
      <c r="D7793" t="str">
        <f>"60099"</f>
        <v>60099</v>
      </c>
      <c r="E7793">
        <v>62.43</v>
      </c>
    </row>
    <row r="7794" spans="1:5" x14ac:dyDescent="0.2">
      <c r="A7794">
        <v>60101</v>
      </c>
      <c r="B7794" t="s">
        <v>20</v>
      </c>
      <c r="C7794">
        <v>60101</v>
      </c>
      <c r="D7794" t="str">
        <f>"60101"</f>
        <v>60101</v>
      </c>
      <c r="E7794">
        <v>69.28</v>
      </c>
    </row>
    <row r="7795" spans="1:5" x14ac:dyDescent="0.2">
      <c r="A7795">
        <v>60102</v>
      </c>
      <c r="B7795" t="s">
        <v>20</v>
      </c>
      <c r="C7795">
        <v>60102</v>
      </c>
      <c r="D7795" t="str">
        <f>"60102"</f>
        <v>60102</v>
      </c>
      <c r="E7795">
        <v>79.2</v>
      </c>
    </row>
    <row r="7796" spans="1:5" x14ac:dyDescent="0.2">
      <c r="A7796">
        <v>60103</v>
      </c>
      <c r="B7796" t="s">
        <v>20</v>
      </c>
      <c r="C7796">
        <v>60103</v>
      </c>
      <c r="D7796" t="str">
        <f>"60103"</f>
        <v>60103</v>
      </c>
      <c r="E7796">
        <v>79.099999999999994</v>
      </c>
    </row>
    <row r="7797" spans="1:5" x14ac:dyDescent="0.2">
      <c r="A7797">
        <v>60104</v>
      </c>
      <c r="B7797" t="s">
        <v>20</v>
      </c>
      <c r="C7797">
        <v>60104</v>
      </c>
      <c r="D7797" t="str">
        <f>"60104"</f>
        <v>60104</v>
      </c>
      <c r="E7797">
        <v>63.51</v>
      </c>
    </row>
    <row r="7798" spans="1:5" x14ac:dyDescent="0.2">
      <c r="A7798">
        <v>60106</v>
      </c>
      <c r="B7798" t="s">
        <v>20</v>
      </c>
      <c r="C7798">
        <v>60106</v>
      </c>
      <c r="D7798" t="str">
        <f>"60106"</f>
        <v>60106</v>
      </c>
      <c r="E7798">
        <v>68.959999999999994</v>
      </c>
    </row>
    <row r="7799" spans="1:5" x14ac:dyDescent="0.2">
      <c r="A7799">
        <v>60107</v>
      </c>
      <c r="B7799" t="s">
        <v>20</v>
      </c>
      <c r="C7799">
        <v>60107</v>
      </c>
      <c r="D7799" t="str">
        <f>"60107"</f>
        <v>60107</v>
      </c>
      <c r="E7799">
        <v>74.3</v>
      </c>
    </row>
    <row r="7800" spans="1:5" x14ac:dyDescent="0.2">
      <c r="A7800">
        <v>60108</v>
      </c>
      <c r="B7800" t="s">
        <v>20</v>
      </c>
      <c r="C7800">
        <v>60108</v>
      </c>
      <c r="D7800" t="str">
        <f>"60108"</f>
        <v>60108</v>
      </c>
      <c r="E7800">
        <v>79.069999999999993</v>
      </c>
    </row>
    <row r="7801" spans="1:5" x14ac:dyDescent="0.2">
      <c r="A7801">
        <v>60109</v>
      </c>
      <c r="B7801" t="s">
        <v>20</v>
      </c>
      <c r="C7801">
        <v>60109</v>
      </c>
      <c r="D7801" t="str">
        <f>"60109"</f>
        <v>60109</v>
      </c>
      <c r="E7801" t="s">
        <v>6</v>
      </c>
    </row>
    <row r="7802" spans="1:5" x14ac:dyDescent="0.2">
      <c r="A7802">
        <v>60110</v>
      </c>
      <c r="B7802" t="s">
        <v>20</v>
      </c>
      <c r="C7802">
        <v>60110</v>
      </c>
      <c r="D7802" t="str">
        <f>"60110"</f>
        <v>60110</v>
      </c>
      <c r="E7802">
        <v>65.03</v>
      </c>
    </row>
    <row r="7803" spans="1:5" x14ac:dyDescent="0.2">
      <c r="A7803">
        <v>60111</v>
      </c>
      <c r="B7803" t="s">
        <v>20</v>
      </c>
      <c r="C7803">
        <v>60111</v>
      </c>
      <c r="D7803" t="str">
        <f>"60111"</f>
        <v>60111</v>
      </c>
      <c r="E7803">
        <v>76.92</v>
      </c>
    </row>
    <row r="7804" spans="1:5" x14ac:dyDescent="0.2">
      <c r="A7804">
        <v>60112</v>
      </c>
      <c r="B7804" t="s">
        <v>20</v>
      </c>
      <c r="C7804">
        <v>60112</v>
      </c>
      <c r="D7804" t="str">
        <f>"60112"</f>
        <v>60112</v>
      </c>
      <c r="E7804">
        <v>74.650000000000006</v>
      </c>
    </row>
    <row r="7805" spans="1:5" x14ac:dyDescent="0.2">
      <c r="A7805">
        <v>60113</v>
      </c>
      <c r="B7805" t="s">
        <v>20</v>
      </c>
      <c r="C7805">
        <v>60113</v>
      </c>
      <c r="D7805" t="str">
        <f>"60113"</f>
        <v>60113</v>
      </c>
      <c r="E7805" t="s">
        <v>6</v>
      </c>
    </row>
    <row r="7806" spans="1:5" x14ac:dyDescent="0.2">
      <c r="A7806">
        <v>60115</v>
      </c>
      <c r="B7806" t="s">
        <v>20</v>
      </c>
      <c r="C7806">
        <v>60115</v>
      </c>
      <c r="D7806" t="str">
        <f>"60115"</f>
        <v>60115</v>
      </c>
      <c r="E7806">
        <v>66.72</v>
      </c>
    </row>
    <row r="7807" spans="1:5" x14ac:dyDescent="0.2">
      <c r="A7807">
        <v>60117</v>
      </c>
      <c r="B7807" t="s">
        <v>20</v>
      </c>
      <c r="C7807">
        <v>60117</v>
      </c>
      <c r="D7807" t="str">
        <f>"60117"</f>
        <v>60117</v>
      </c>
      <c r="E7807" t="s">
        <v>6</v>
      </c>
    </row>
    <row r="7808" spans="1:5" x14ac:dyDescent="0.2">
      <c r="A7808">
        <v>60118</v>
      </c>
      <c r="B7808" t="s">
        <v>20</v>
      </c>
      <c r="C7808">
        <v>60118</v>
      </c>
      <c r="D7808" t="str">
        <f>"60118"</f>
        <v>60118</v>
      </c>
      <c r="E7808">
        <v>78.709999999999994</v>
      </c>
    </row>
    <row r="7809" spans="1:5" x14ac:dyDescent="0.2">
      <c r="A7809">
        <v>60119</v>
      </c>
      <c r="B7809" t="s">
        <v>20</v>
      </c>
      <c r="C7809">
        <v>60119</v>
      </c>
      <c r="D7809" t="str">
        <f>"60119"</f>
        <v>60119</v>
      </c>
      <c r="E7809">
        <v>81.7</v>
      </c>
    </row>
    <row r="7810" spans="1:5" x14ac:dyDescent="0.2">
      <c r="A7810">
        <v>60120</v>
      </c>
      <c r="B7810" t="s">
        <v>20</v>
      </c>
      <c r="C7810">
        <v>60120</v>
      </c>
      <c r="D7810" t="str">
        <f>"60120"</f>
        <v>60120</v>
      </c>
      <c r="E7810">
        <v>65.239999999999995</v>
      </c>
    </row>
    <row r="7811" spans="1:5" x14ac:dyDescent="0.2">
      <c r="A7811">
        <v>60123</v>
      </c>
      <c r="B7811" t="s">
        <v>20</v>
      </c>
      <c r="C7811">
        <v>60123</v>
      </c>
      <c r="D7811" t="str">
        <f>"60123"</f>
        <v>60123</v>
      </c>
      <c r="E7811">
        <v>68.66</v>
      </c>
    </row>
    <row r="7812" spans="1:5" x14ac:dyDescent="0.2">
      <c r="A7812">
        <v>60124</v>
      </c>
      <c r="B7812" t="s">
        <v>20</v>
      </c>
      <c r="C7812">
        <v>60124</v>
      </c>
      <c r="D7812" t="str">
        <f>"60124"</f>
        <v>60124</v>
      </c>
      <c r="E7812">
        <v>82.03</v>
      </c>
    </row>
    <row r="7813" spans="1:5" x14ac:dyDescent="0.2">
      <c r="A7813">
        <v>60126</v>
      </c>
      <c r="B7813" t="s">
        <v>20</v>
      </c>
      <c r="C7813">
        <v>60126</v>
      </c>
      <c r="D7813" t="str">
        <f>"60126"</f>
        <v>60126</v>
      </c>
      <c r="E7813">
        <v>80.5</v>
      </c>
    </row>
    <row r="7814" spans="1:5" x14ac:dyDescent="0.2">
      <c r="A7814">
        <v>60129</v>
      </c>
      <c r="B7814" t="s">
        <v>20</v>
      </c>
      <c r="C7814">
        <v>60129</v>
      </c>
      <c r="D7814" t="str">
        <f>"60129"</f>
        <v>60129</v>
      </c>
      <c r="E7814">
        <v>83.33</v>
      </c>
    </row>
    <row r="7815" spans="1:5" x14ac:dyDescent="0.2">
      <c r="A7815">
        <v>60130</v>
      </c>
      <c r="B7815" t="s">
        <v>20</v>
      </c>
      <c r="C7815">
        <v>60130</v>
      </c>
      <c r="D7815" t="str">
        <f>"60130"</f>
        <v>60130</v>
      </c>
      <c r="E7815">
        <v>78.48</v>
      </c>
    </row>
    <row r="7816" spans="1:5" x14ac:dyDescent="0.2">
      <c r="A7816">
        <v>60131</v>
      </c>
      <c r="B7816" t="s">
        <v>20</v>
      </c>
      <c r="C7816">
        <v>60131</v>
      </c>
      <c r="D7816" t="str">
        <f>"60131"</f>
        <v>60131</v>
      </c>
      <c r="E7816">
        <v>70.239999999999995</v>
      </c>
    </row>
    <row r="7817" spans="1:5" x14ac:dyDescent="0.2">
      <c r="A7817">
        <v>60133</v>
      </c>
      <c r="B7817" t="s">
        <v>20</v>
      </c>
      <c r="C7817">
        <v>60133</v>
      </c>
      <c r="D7817" t="str">
        <f>"60133"</f>
        <v>60133</v>
      </c>
      <c r="E7817">
        <v>68.67</v>
      </c>
    </row>
    <row r="7818" spans="1:5" x14ac:dyDescent="0.2">
      <c r="A7818">
        <v>60134</v>
      </c>
      <c r="B7818" t="s">
        <v>20</v>
      </c>
      <c r="C7818">
        <v>60134</v>
      </c>
      <c r="D7818" t="str">
        <f>"60134"</f>
        <v>60134</v>
      </c>
      <c r="E7818">
        <v>80.19</v>
      </c>
    </row>
    <row r="7819" spans="1:5" x14ac:dyDescent="0.2">
      <c r="A7819">
        <v>60135</v>
      </c>
      <c r="B7819" t="s">
        <v>20</v>
      </c>
      <c r="C7819">
        <v>60135</v>
      </c>
      <c r="D7819" t="str">
        <f>"60135"</f>
        <v>60135</v>
      </c>
      <c r="E7819">
        <v>75.34</v>
      </c>
    </row>
    <row r="7820" spans="1:5" x14ac:dyDescent="0.2">
      <c r="A7820">
        <v>60136</v>
      </c>
      <c r="B7820" t="s">
        <v>20</v>
      </c>
      <c r="C7820">
        <v>60136</v>
      </c>
      <c r="D7820" t="str">
        <f>"60136"</f>
        <v>60136</v>
      </c>
      <c r="E7820">
        <v>81.08</v>
      </c>
    </row>
    <row r="7821" spans="1:5" x14ac:dyDescent="0.2">
      <c r="A7821">
        <v>60137</v>
      </c>
      <c r="B7821" t="s">
        <v>20</v>
      </c>
      <c r="C7821">
        <v>60137</v>
      </c>
      <c r="D7821" t="str">
        <f>"60137"</f>
        <v>60137</v>
      </c>
      <c r="E7821">
        <v>78.709999999999994</v>
      </c>
    </row>
    <row r="7822" spans="1:5" x14ac:dyDescent="0.2">
      <c r="A7822">
        <v>60139</v>
      </c>
      <c r="B7822" t="s">
        <v>20</v>
      </c>
      <c r="C7822">
        <v>60139</v>
      </c>
      <c r="D7822" t="str">
        <f>"60139"</f>
        <v>60139</v>
      </c>
      <c r="E7822">
        <v>70.03</v>
      </c>
    </row>
    <row r="7823" spans="1:5" x14ac:dyDescent="0.2">
      <c r="A7823">
        <v>60140</v>
      </c>
      <c r="B7823" t="s">
        <v>20</v>
      </c>
      <c r="C7823">
        <v>60140</v>
      </c>
      <c r="D7823" t="str">
        <f>"60140"</f>
        <v>60140</v>
      </c>
      <c r="E7823">
        <v>80</v>
      </c>
    </row>
    <row r="7824" spans="1:5" x14ac:dyDescent="0.2">
      <c r="A7824">
        <v>60141</v>
      </c>
      <c r="B7824" t="s">
        <v>20</v>
      </c>
      <c r="C7824">
        <v>60141</v>
      </c>
      <c r="D7824" t="str">
        <f>"60141"</f>
        <v>60141</v>
      </c>
      <c r="E7824" t="s">
        <v>6</v>
      </c>
    </row>
    <row r="7825" spans="1:5" x14ac:dyDescent="0.2">
      <c r="A7825">
        <v>60142</v>
      </c>
      <c r="B7825" t="s">
        <v>20</v>
      </c>
      <c r="C7825">
        <v>60142</v>
      </c>
      <c r="D7825" t="str">
        <f>"60142"</f>
        <v>60142</v>
      </c>
      <c r="E7825">
        <v>78.94</v>
      </c>
    </row>
    <row r="7826" spans="1:5" x14ac:dyDescent="0.2">
      <c r="A7826">
        <v>60143</v>
      </c>
      <c r="B7826" t="s">
        <v>20</v>
      </c>
      <c r="C7826">
        <v>60143</v>
      </c>
      <c r="D7826" t="str">
        <f>"60143"</f>
        <v>60143</v>
      </c>
      <c r="E7826">
        <v>80.069999999999993</v>
      </c>
    </row>
    <row r="7827" spans="1:5" x14ac:dyDescent="0.2">
      <c r="A7827">
        <v>60144</v>
      </c>
      <c r="B7827" t="s">
        <v>20</v>
      </c>
      <c r="C7827">
        <v>60144</v>
      </c>
      <c r="D7827" t="str">
        <f>"60144"</f>
        <v>60144</v>
      </c>
      <c r="E7827" t="s">
        <v>6</v>
      </c>
    </row>
    <row r="7828" spans="1:5" x14ac:dyDescent="0.2">
      <c r="A7828">
        <v>60145</v>
      </c>
      <c r="B7828" t="s">
        <v>20</v>
      </c>
      <c r="C7828">
        <v>60145</v>
      </c>
      <c r="D7828" t="str">
        <f>"60145"</f>
        <v>60145</v>
      </c>
      <c r="E7828">
        <v>77.97</v>
      </c>
    </row>
    <row r="7829" spans="1:5" x14ac:dyDescent="0.2">
      <c r="A7829">
        <v>60146</v>
      </c>
      <c r="B7829" t="s">
        <v>20</v>
      </c>
      <c r="C7829">
        <v>60146</v>
      </c>
      <c r="D7829" t="str">
        <f>"60146"</f>
        <v>60146</v>
      </c>
      <c r="E7829">
        <v>75.400000000000006</v>
      </c>
    </row>
    <row r="7830" spans="1:5" x14ac:dyDescent="0.2">
      <c r="A7830">
        <v>60148</v>
      </c>
      <c r="B7830" t="s">
        <v>20</v>
      </c>
      <c r="C7830">
        <v>60148</v>
      </c>
      <c r="D7830" t="str">
        <f>"60148"</f>
        <v>60148</v>
      </c>
      <c r="E7830">
        <v>79.11</v>
      </c>
    </row>
    <row r="7831" spans="1:5" x14ac:dyDescent="0.2">
      <c r="A7831">
        <v>60150</v>
      </c>
      <c r="B7831" t="s">
        <v>20</v>
      </c>
      <c r="C7831">
        <v>60150</v>
      </c>
      <c r="D7831" t="str">
        <f>"60150"</f>
        <v>60150</v>
      </c>
      <c r="E7831">
        <v>74.069999999999993</v>
      </c>
    </row>
    <row r="7832" spans="1:5" x14ac:dyDescent="0.2">
      <c r="A7832">
        <v>60151</v>
      </c>
      <c r="B7832" t="s">
        <v>20</v>
      </c>
      <c r="C7832">
        <v>60151</v>
      </c>
      <c r="D7832" t="str">
        <f>"60151"</f>
        <v>60151</v>
      </c>
      <c r="E7832">
        <v>80.69</v>
      </c>
    </row>
    <row r="7833" spans="1:5" x14ac:dyDescent="0.2">
      <c r="A7833">
        <v>60152</v>
      </c>
      <c r="B7833" t="s">
        <v>20</v>
      </c>
      <c r="C7833">
        <v>60152</v>
      </c>
      <c r="D7833" t="str">
        <f>"60152"</f>
        <v>60152</v>
      </c>
      <c r="E7833">
        <v>75.78</v>
      </c>
    </row>
    <row r="7834" spans="1:5" x14ac:dyDescent="0.2">
      <c r="A7834">
        <v>60153</v>
      </c>
      <c r="B7834" t="s">
        <v>20</v>
      </c>
      <c r="C7834">
        <v>60153</v>
      </c>
      <c r="D7834" t="str">
        <f>"60153"</f>
        <v>60153</v>
      </c>
      <c r="E7834">
        <v>57.01</v>
      </c>
    </row>
    <row r="7835" spans="1:5" x14ac:dyDescent="0.2">
      <c r="A7835">
        <v>60154</v>
      </c>
      <c r="B7835" t="s">
        <v>20</v>
      </c>
      <c r="C7835">
        <v>60154</v>
      </c>
      <c r="D7835" t="str">
        <f>"60154"</f>
        <v>60154</v>
      </c>
      <c r="E7835">
        <v>78.92</v>
      </c>
    </row>
    <row r="7836" spans="1:5" x14ac:dyDescent="0.2">
      <c r="A7836">
        <v>60155</v>
      </c>
      <c r="B7836" t="s">
        <v>20</v>
      </c>
      <c r="C7836">
        <v>60155</v>
      </c>
      <c r="D7836" t="str">
        <f>"60155"</f>
        <v>60155</v>
      </c>
      <c r="E7836">
        <v>67.349999999999994</v>
      </c>
    </row>
    <row r="7837" spans="1:5" x14ac:dyDescent="0.2">
      <c r="A7837">
        <v>60156</v>
      </c>
      <c r="B7837" t="s">
        <v>20</v>
      </c>
      <c r="C7837">
        <v>60156</v>
      </c>
      <c r="D7837" t="str">
        <f>"60156"</f>
        <v>60156</v>
      </c>
      <c r="E7837">
        <v>78.41</v>
      </c>
    </row>
    <row r="7838" spans="1:5" x14ac:dyDescent="0.2">
      <c r="A7838">
        <v>60157</v>
      </c>
      <c r="B7838" t="s">
        <v>20</v>
      </c>
      <c r="C7838">
        <v>60157</v>
      </c>
      <c r="D7838" t="str">
        <f>"60157"</f>
        <v>60157</v>
      </c>
      <c r="E7838">
        <v>77.37</v>
      </c>
    </row>
    <row r="7839" spans="1:5" x14ac:dyDescent="0.2">
      <c r="A7839">
        <v>60160</v>
      </c>
      <c r="B7839" t="s">
        <v>20</v>
      </c>
      <c r="C7839">
        <v>60160</v>
      </c>
      <c r="D7839" t="str">
        <f>"60160"</f>
        <v>60160</v>
      </c>
      <c r="E7839">
        <v>63.33</v>
      </c>
    </row>
    <row r="7840" spans="1:5" x14ac:dyDescent="0.2">
      <c r="A7840">
        <v>60162</v>
      </c>
      <c r="B7840" t="s">
        <v>20</v>
      </c>
      <c r="C7840">
        <v>60162</v>
      </c>
      <c r="D7840" t="str">
        <f>"60162"</f>
        <v>60162</v>
      </c>
      <c r="E7840">
        <v>69.569999999999993</v>
      </c>
    </row>
    <row r="7841" spans="1:5" x14ac:dyDescent="0.2">
      <c r="A7841">
        <v>60163</v>
      </c>
      <c r="B7841" t="s">
        <v>20</v>
      </c>
      <c r="C7841">
        <v>60163</v>
      </c>
      <c r="D7841" t="str">
        <f>"60163"</f>
        <v>60163</v>
      </c>
      <c r="E7841">
        <v>71.680000000000007</v>
      </c>
    </row>
    <row r="7842" spans="1:5" x14ac:dyDescent="0.2">
      <c r="A7842">
        <v>60164</v>
      </c>
      <c r="B7842" t="s">
        <v>20</v>
      </c>
      <c r="C7842">
        <v>60164</v>
      </c>
      <c r="D7842" t="str">
        <f>"60164"</f>
        <v>60164</v>
      </c>
      <c r="E7842">
        <v>68.599999999999994</v>
      </c>
    </row>
    <row r="7843" spans="1:5" x14ac:dyDescent="0.2">
      <c r="A7843">
        <v>60165</v>
      </c>
      <c r="B7843" t="s">
        <v>20</v>
      </c>
      <c r="C7843">
        <v>60165</v>
      </c>
      <c r="D7843" t="str">
        <f>"60165"</f>
        <v>60165</v>
      </c>
      <c r="E7843">
        <v>59.59</v>
      </c>
    </row>
    <row r="7844" spans="1:5" x14ac:dyDescent="0.2">
      <c r="A7844">
        <v>60169</v>
      </c>
      <c r="B7844" t="s">
        <v>20</v>
      </c>
      <c r="C7844">
        <v>60169</v>
      </c>
      <c r="D7844" t="str">
        <f>"60169"</f>
        <v>60169</v>
      </c>
      <c r="E7844">
        <v>73.569999999999993</v>
      </c>
    </row>
    <row r="7845" spans="1:5" x14ac:dyDescent="0.2">
      <c r="A7845">
        <v>60171</v>
      </c>
      <c r="B7845" t="s">
        <v>20</v>
      </c>
      <c r="C7845">
        <v>60171</v>
      </c>
      <c r="D7845" t="str">
        <f>"60171"</f>
        <v>60171</v>
      </c>
      <c r="E7845">
        <v>69.12</v>
      </c>
    </row>
    <row r="7846" spans="1:5" x14ac:dyDescent="0.2">
      <c r="A7846">
        <v>60172</v>
      </c>
      <c r="B7846" t="s">
        <v>20</v>
      </c>
      <c r="C7846">
        <v>60172</v>
      </c>
      <c r="D7846" t="str">
        <f>"60172"</f>
        <v>60172</v>
      </c>
      <c r="E7846">
        <v>77.56</v>
      </c>
    </row>
    <row r="7847" spans="1:5" x14ac:dyDescent="0.2">
      <c r="A7847">
        <v>60173</v>
      </c>
      <c r="B7847" t="s">
        <v>20</v>
      </c>
      <c r="C7847">
        <v>60173</v>
      </c>
      <c r="D7847" t="str">
        <f>"60173"</f>
        <v>60173</v>
      </c>
      <c r="E7847">
        <v>82.37</v>
      </c>
    </row>
    <row r="7848" spans="1:5" x14ac:dyDescent="0.2">
      <c r="A7848">
        <v>60174</v>
      </c>
      <c r="B7848" t="s">
        <v>20</v>
      </c>
      <c r="C7848">
        <v>60174</v>
      </c>
      <c r="D7848" t="str">
        <f>"60174"</f>
        <v>60174</v>
      </c>
      <c r="E7848">
        <v>78.599999999999994</v>
      </c>
    </row>
    <row r="7849" spans="1:5" x14ac:dyDescent="0.2">
      <c r="A7849">
        <v>60175</v>
      </c>
      <c r="B7849" t="s">
        <v>20</v>
      </c>
      <c r="C7849">
        <v>60175</v>
      </c>
      <c r="D7849" t="str">
        <f>"60175"</f>
        <v>60175</v>
      </c>
      <c r="E7849">
        <v>80.53</v>
      </c>
    </row>
    <row r="7850" spans="1:5" x14ac:dyDescent="0.2">
      <c r="A7850">
        <v>60176</v>
      </c>
      <c r="B7850" t="s">
        <v>20</v>
      </c>
      <c r="C7850">
        <v>60176</v>
      </c>
      <c r="D7850" t="str">
        <f>"60176"</f>
        <v>60176</v>
      </c>
      <c r="E7850">
        <v>67.16</v>
      </c>
    </row>
    <row r="7851" spans="1:5" x14ac:dyDescent="0.2">
      <c r="A7851">
        <v>60177</v>
      </c>
      <c r="B7851" t="s">
        <v>20</v>
      </c>
      <c r="C7851">
        <v>60177</v>
      </c>
      <c r="D7851" t="str">
        <f>"60177"</f>
        <v>60177</v>
      </c>
      <c r="E7851">
        <v>78.150000000000006</v>
      </c>
    </row>
    <row r="7852" spans="1:5" x14ac:dyDescent="0.2">
      <c r="A7852">
        <v>60178</v>
      </c>
      <c r="B7852" t="s">
        <v>20</v>
      </c>
      <c r="C7852">
        <v>60178</v>
      </c>
      <c r="D7852" t="str">
        <f>"60178"</f>
        <v>60178</v>
      </c>
      <c r="E7852">
        <v>77.260000000000005</v>
      </c>
    </row>
    <row r="7853" spans="1:5" x14ac:dyDescent="0.2">
      <c r="A7853">
        <v>60179</v>
      </c>
      <c r="B7853" t="s">
        <v>20</v>
      </c>
      <c r="C7853">
        <v>60179</v>
      </c>
      <c r="D7853" t="str">
        <f>"60179"</f>
        <v>60179</v>
      </c>
      <c r="E7853" t="s">
        <v>6</v>
      </c>
    </row>
    <row r="7854" spans="1:5" x14ac:dyDescent="0.2">
      <c r="A7854">
        <v>60180</v>
      </c>
      <c r="B7854" t="s">
        <v>20</v>
      </c>
      <c r="C7854">
        <v>60180</v>
      </c>
      <c r="D7854" t="str">
        <f>"60180"</f>
        <v>60180</v>
      </c>
      <c r="E7854">
        <v>78.75</v>
      </c>
    </row>
    <row r="7855" spans="1:5" x14ac:dyDescent="0.2">
      <c r="A7855">
        <v>60181</v>
      </c>
      <c r="B7855" t="s">
        <v>20</v>
      </c>
      <c r="C7855">
        <v>60181</v>
      </c>
      <c r="D7855" t="str">
        <f>"60181"</f>
        <v>60181</v>
      </c>
      <c r="E7855">
        <v>74.849999999999994</v>
      </c>
    </row>
    <row r="7856" spans="1:5" x14ac:dyDescent="0.2">
      <c r="A7856">
        <v>60183</v>
      </c>
      <c r="B7856" t="s">
        <v>20</v>
      </c>
      <c r="C7856">
        <v>60183</v>
      </c>
      <c r="D7856" t="str">
        <f>"60183"</f>
        <v>60183</v>
      </c>
      <c r="E7856" t="s">
        <v>6</v>
      </c>
    </row>
    <row r="7857" spans="1:5" x14ac:dyDescent="0.2">
      <c r="A7857">
        <v>60184</v>
      </c>
      <c r="B7857" t="s">
        <v>20</v>
      </c>
      <c r="C7857">
        <v>60184</v>
      </c>
      <c r="D7857" t="str">
        <f>"60184"</f>
        <v>60184</v>
      </c>
      <c r="E7857">
        <v>80.47</v>
      </c>
    </row>
    <row r="7858" spans="1:5" x14ac:dyDescent="0.2">
      <c r="A7858">
        <v>60185</v>
      </c>
      <c r="B7858" t="s">
        <v>20</v>
      </c>
      <c r="C7858">
        <v>60185</v>
      </c>
      <c r="D7858" t="str">
        <f>"60185"</f>
        <v>60185</v>
      </c>
      <c r="E7858">
        <v>68.27</v>
      </c>
    </row>
    <row r="7859" spans="1:5" x14ac:dyDescent="0.2">
      <c r="A7859">
        <v>60187</v>
      </c>
      <c r="B7859" t="s">
        <v>20</v>
      </c>
      <c r="C7859">
        <v>60187</v>
      </c>
      <c r="D7859" t="str">
        <f>"60187"</f>
        <v>60187</v>
      </c>
      <c r="E7859">
        <v>78.040000000000006</v>
      </c>
    </row>
    <row r="7860" spans="1:5" x14ac:dyDescent="0.2">
      <c r="A7860">
        <v>60188</v>
      </c>
      <c r="B7860" t="s">
        <v>20</v>
      </c>
      <c r="C7860">
        <v>60188</v>
      </c>
      <c r="D7860" t="str">
        <f>"60188"</f>
        <v>60188</v>
      </c>
      <c r="E7860">
        <v>74.59</v>
      </c>
    </row>
    <row r="7861" spans="1:5" x14ac:dyDescent="0.2">
      <c r="A7861">
        <v>60189</v>
      </c>
      <c r="B7861" t="s">
        <v>20</v>
      </c>
      <c r="C7861">
        <v>60189</v>
      </c>
      <c r="D7861" t="str">
        <f>"60189"</f>
        <v>60189</v>
      </c>
      <c r="E7861">
        <v>80.38</v>
      </c>
    </row>
    <row r="7862" spans="1:5" x14ac:dyDescent="0.2">
      <c r="A7862">
        <v>60190</v>
      </c>
      <c r="B7862" t="s">
        <v>20</v>
      </c>
      <c r="C7862">
        <v>60190</v>
      </c>
      <c r="D7862" t="str">
        <f>"60190"</f>
        <v>60190</v>
      </c>
      <c r="E7862">
        <v>81.099999999999994</v>
      </c>
    </row>
    <row r="7863" spans="1:5" x14ac:dyDescent="0.2">
      <c r="A7863">
        <v>60191</v>
      </c>
      <c r="B7863" t="s">
        <v>20</v>
      </c>
      <c r="C7863">
        <v>60191</v>
      </c>
      <c r="D7863" t="str">
        <f>"60191"</f>
        <v>60191</v>
      </c>
      <c r="E7863">
        <v>75.03</v>
      </c>
    </row>
    <row r="7864" spans="1:5" x14ac:dyDescent="0.2">
      <c r="A7864">
        <v>60192</v>
      </c>
      <c r="B7864" t="s">
        <v>20</v>
      </c>
      <c r="C7864">
        <v>60192</v>
      </c>
      <c r="D7864" t="str">
        <f>"60192"</f>
        <v>60192</v>
      </c>
      <c r="E7864">
        <v>81.28</v>
      </c>
    </row>
    <row r="7865" spans="1:5" x14ac:dyDescent="0.2">
      <c r="A7865">
        <v>60193</v>
      </c>
      <c r="B7865" t="s">
        <v>20</v>
      </c>
      <c r="C7865">
        <v>60193</v>
      </c>
      <c r="D7865" t="str">
        <f>"60193"</f>
        <v>60193</v>
      </c>
      <c r="E7865">
        <v>78.290000000000006</v>
      </c>
    </row>
    <row r="7866" spans="1:5" x14ac:dyDescent="0.2">
      <c r="A7866">
        <v>60194</v>
      </c>
      <c r="B7866" t="s">
        <v>20</v>
      </c>
      <c r="C7866">
        <v>60194</v>
      </c>
      <c r="D7866" t="str">
        <f>"60194"</f>
        <v>60194</v>
      </c>
      <c r="E7866">
        <v>77.88</v>
      </c>
    </row>
    <row r="7867" spans="1:5" x14ac:dyDescent="0.2">
      <c r="A7867">
        <v>60195</v>
      </c>
      <c r="B7867" t="s">
        <v>20</v>
      </c>
      <c r="C7867">
        <v>60195</v>
      </c>
      <c r="D7867" t="str">
        <f>"60195"</f>
        <v>60195</v>
      </c>
      <c r="E7867">
        <v>86.84</v>
      </c>
    </row>
    <row r="7868" spans="1:5" x14ac:dyDescent="0.2">
      <c r="A7868">
        <v>60196</v>
      </c>
      <c r="B7868" t="s">
        <v>20</v>
      </c>
      <c r="C7868">
        <v>60196</v>
      </c>
      <c r="D7868" t="str">
        <f>"60196"</f>
        <v>60196</v>
      </c>
      <c r="E7868" t="s">
        <v>6</v>
      </c>
    </row>
    <row r="7869" spans="1:5" x14ac:dyDescent="0.2">
      <c r="A7869">
        <v>60199</v>
      </c>
      <c r="B7869" t="s">
        <v>20</v>
      </c>
      <c r="C7869">
        <v>60199</v>
      </c>
      <c r="D7869" t="str">
        <f>"60199"</f>
        <v>60199</v>
      </c>
      <c r="E7869" t="s">
        <v>6</v>
      </c>
    </row>
    <row r="7870" spans="1:5" x14ac:dyDescent="0.2">
      <c r="A7870">
        <v>60201</v>
      </c>
      <c r="B7870" t="s">
        <v>20</v>
      </c>
      <c r="C7870">
        <v>60201</v>
      </c>
      <c r="D7870" t="str">
        <f>"60201"</f>
        <v>60201</v>
      </c>
      <c r="E7870">
        <v>77.36</v>
      </c>
    </row>
    <row r="7871" spans="1:5" x14ac:dyDescent="0.2">
      <c r="A7871">
        <v>60202</v>
      </c>
      <c r="B7871" t="s">
        <v>20</v>
      </c>
      <c r="C7871">
        <v>60202</v>
      </c>
      <c r="D7871" t="str">
        <f>"60202"</f>
        <v>60202</v>
      </c>
      <c r="E7871">
        <v>77.03</v>
      </c>
    </row>
    <row r="7872" spans="1:5" x14ac:dyDescent="0.2">
      <c r="A7872">
        <v>60203</v>
      </c>
      <c r="B7872" t="s">
        <v>20</v>
      </c>
      <c r="C7872">
        <v>60203</v>
      </c>
      <c r="D7872" t="str">
        <f>"60203"</f>
        <v>60203</v>
      </c>
      <c r="E7872">
        <v>78.67</v>
      </c>
    </row>
    <row r="7873" spans="1:5" x14ac:dyDescent="0.2">
      <c r="A7873">
        <v>60204</v>
      </c>
      <c r="B7873" t="s">
        <v>20</v>
      </c>
      <c r="C7873">
        <v>60204</v>
      </c>
      <c r="D7873" t="str">
        <f>"60204"</f>
        <v>60204</v>
      </c>
      <c r="E7873" t="s">
        <v>6</v>
      </c>
    </row>
    <row r="7874" spans="1:5" x14ac:dyDescent="0.2">
      <c r="A7874">
        <v>60208</v>
      </c>
      <c r="B7874" t="s">
        <v>20</v>
      </c>
      <c r="C7874">
        <v>60208</v>
      </c>
      <c r="D7874" t="str">
        <f>"60208"</f>
        <v>60208</v>
      </c>
      <c r="E7874" t="s">
        <v>6</v>
      </c>
    </row>
    <row r="7875" spans="1:5" x14ac:dyDescent="0.2">
      <c r="A7875">
        <v>60301</v>
      </c>
      <c r="B7875" t="s">
        <v>20</v>
      </c>
      <c r="C7875">
        <v>60301</v>
      </c>
      <c r="D7875" t="str">
        <f>"60301"</f>
        <v>60301</v>
      </c>
      <c r="E7875">
        <v>88.19</v>
      </c>
    </row>
    <row r="7876" spans="1:5" x14ac:dyDescent="0.2">
      <c r="A7876">
        <v>60302</v>
      </c>
      <c r="B7876" t="s">
        <v>20</v>
      </c>
      <c r="C7876">
        <v>60302</v>
      </c>
      <c r="D7876" t="str">
        <f>"60302"</f>
        <v>60302</v>
      </c>
      <c r="E7876">
        <v>80.849999999999994</v>
      </c>
    </row>
    <row r="7877" spans="1:5" x14ac:dyDescent="0.2">
      <c r="A7877">
        <v>60304</v>
      </c>
      <c r="B7877" t="s">
        <v>20</v>
      </c>
      <c r="C7877">
        <v>60304</v>
      </c>
      <c r="D7877" t="str">
        <f>"60304"</f>
        <v>60304</v>
      </c>
      <c r="E7877">
        <v>80</v>
      </c>
    </row>
    <row r="7878" spans="1:5" x14ac:dyDescent="0.2">
      <c r="A7878">
        <v>60305</v>
      </c>
      <c r="B7878" t="s">
        <v>20</v>
      </c>
      <c r="C7878">
        <v>60305</v>
      </c>
      <c r="D7878" t="str">
        <f>"60305"</f>
        <v>60305</v>
      </c>
      <c r="E7878">
        <v>81.2</v>
      </c>
    </row>
    <row r="7879" spans="1:5" x14ac:dyDescent="0.2">
      <c r="A7879">
        <v>60401</v>
      </c>
      <c r="B7879" t="s">
        <v>20</v>
      </c>
      <c r="C7879">
        <v>60401</v>
      </c>
      <c r="D7879" t="str">
        <f>"60401"</f>
        <v>60401</v>
      </c>
      <c r="E7879">
        <v>78.39</v>
      </c>
    </row>
    <row r="7880" spans="1:5" x14ac:dyDescent="0.2">
      <c r="A7880">
        <v>60402</v>
      </c>
      <c r="B7880" t="s">
        <v>20</v>
      </c>
      <c r="C7880">
        <v>60402</v>
      </c>
      <c r="D7880" t="str">
        <f>"60402"</f>
        <v>60402</v>
      </c>
      <c r="E7880">
        <v>67.67</v>
      </c>
    </row>
    <row r="7881" spans="1:5" x14ac:dyDescent="0.2">
      <c r="A7881">
        <v>60403</v>
      </c>
      <c r="B7881" t="s">
        <v>20</v>
      </c>
      <c r="C7881">
        <v>60403</v>
      </c>
      <c r="D7881" t="str">
        <f>"60403"</f>
        <v>60403</v>
      </c>
      <c r="E7881">
        <v>72.94</v>
      </c>
    </row>
    <row r="7882" spans="1:5" x14ac:dyDescent="0.2">
      <c r="A7882">
        <v>60404</v>
      </c>
      <c r="B7882" t="s">
        <v>20</v>
      </c>
      <c r="C7882">
        <v>60404</v>
      </c>
      <c r="D7882" t="str">
        <f>"60404"</f>
        <v>60404</v>
      </c>
      <c r="E7882">
        <v>79.98</v>
      </c>
    </row>
    <row r="7883" spans="1:5" x14ac:dyDescent="0.2">
      <c r="A7883">
        <v>60406</v>
      </c>
      <c r="B7883" t="s">
        <v>20</v>
      </c>
      <c r="C7883">
        <v>60406</v>
      </c>
      <c r="D7883" t="str">
        <f>"60406"</f>
        <v>60406</v>
      </c>
      <c r="E7883">
        <v>60.67</v>
      </c>
    </row>
    <row r="7884" spans="1:5" x14ac:dyDescent="0.2">
      <c r="A7884">
        <v>60407</v>
      </c>
      <c r="B7884" t="s">
        <v>20</v>
      </c>
      <c r="C7884">
        <v>60407</v>
      </c>
      <c r="D7884" t="str">
        <f>"60407"</f>
        <v>60407</v>
      </c>
      <c r="E7884">
        <v>74.680000000000007</v>
      </c>
    </row>
    <row r="7885" spans="1:5" x14ac:dyDescent="0.2">
      <c r="A7885">
        <v>60408</v>
      </c>
      <c r="B7885" t="s">
        <v>20</v>
      </c>
      <c r="C7885">
        <v>60408</v>
      </c>
      <c r="D7885" t="str">
        <f>"60408"</f>
        <v>60408</v>
      </c>
      <c r="E7885">
        <v>76.069999999999993</v>
      </c>
    </row>
    <row r="7886" spans="1:5" x14ac:dyDescent="0.2">
      <c r="A7886">
        <v>60409</v>
      </c>
      <c r="B7886" t="s">
        <v>20</v>
      </c>
      <c r="C7886">
        <v>60409</v>
      </c>
      <c r="D7886" t="str">
        <f>"60409"</f>
        <v>60409</v>
      </c>
      <c r="E7886">
        <v>58.59</v>
      </c>
    </row>
    <row r="7887" spans="1:5" x14ac:dyDescent="0.2">
      <c r="A7887">
        <v>60410</v>
      </c>
      <c r="B7887" t="s">
        <v>20</v>
      </c>
      <c r="C7887">
        <v>60410</v>
      </c>
      <c r="D7887" t="str">
        <f>"60410"</f>
        <v>60410</v>
      </c>
      <c r="E7887">
        <v>79.84</v>
      </c>
    </row>
    <row r="7888" spans="1:5" x14ac:dyDescent="0.2">
      <c r="A7888">
        <v>60411</v>
      </c>
      <c r="B7888" t="s">
        <v>20</v>
      </c>
      <c r="C7888">
        <v>60411</v>
      </c>
      <c r="D7888" t="str">
        <f>"60411"</f>
        <v>60411</v>
      </c>
      <c r="E7888">
        <v>57.14</v>
      </c>
    </row>
    <row r="7889" spans="1:5" x14ac:dyDescent="0.2">
      <c r="A7889">
        <v>60415</v>
      </c>
      <c r="B7889" t="s">
        <v>20</v>
      </c>
      <c r="C7889">
        <v>60415</v>
      </c>
      <c r="D7889" t="str">
        <f>"60415"</f>
        <v>60415</v>
      </c>
      <c r="E7889">
        <v>65.849999999999994</v>
      </c>
    </row>
    <row r="7890" spans="1:5" x14ac:dyDescent="0.2">
      <c r="A7890">
        <v>60416</v>
      </c>
      <c r="B7890" t="s">
        <v>20</v>
      </c>
      <c r="C7890">
        <v>60416</v>
      </c>
      <c r="D7890" t="str">
        <f>"60416"</f>
        <v>60416</v>
      </c>
      <c r="E7890">
        <v>77.2</v>
      </c>
    </row>
    <row r="7891" spans="1:5" x14ac:dyDescent="0.2">
      <c r="A7891">
        <v>60417</v>
      </c>
      <c r="B7891" t="s">
        <v>20</v>
      </c>
      <c r="C7891">
        <v>60417</v>
      </c>
      <c r="D7891" t="str">
        <f>"60417"</f>
        <v>60417</v>
      </c>
      <c r="E7891">
        <v>74.22</v>
      </c>
    </row>
    <row r="7892" spans="1:5" x14ac:dyDescent="0.2">
      <c r="A7892">
        <v>60418</v>
      </c>
      <c r="B7892" t="s">
        <v>20</v>
      </c>
      <c r="C7892">
        <v>60418</v>
      </c>
      <c r="D7892" t="str">
        <f>"60418"</f>
        <v>60418</v>
      </c>
      <c r="E7892" t="s">
        <v>6</v>
      </c>
    </row>
    <row r="7893" spans="1:5" x14ac:dyDescent="0.2">
      <c r="A7893">
        <v>60419</v>
      </c>
      <c r="B7893" t="s">
        <v>20</v>
      </c>
      <c r="C7893">
        <v>60419</v>
      </c>
      <c r="D7893" t="str">
        <f>"60419"</f>
        <v>60419</v>
      </c>
      <c r="E7893">
        <v>57.88</v>
      </c>
    </row>
    <row r="7894" spans="1:5" x14ac:dyDescent="0.2">
      <c r="A7894">
        <v>60420</v>
      </c>
      <c r="B7894" t="s">
        <v>20</v>
      </c>
      <c r="C7894">
        <v>60420</v>
      </c>
      <c r="D7894" t="str">
        <f>"60420"</f>
        <v>60420</v>
      </c>
      <c r="E7894">
        <v>74.680000000000007</v>
      </c>
    </row>
    <row r="7895" spans="1:5" x14ac:dyDescent="0.2">
      <c r="A7895">
        <v>60421</v>
      </c>
      <c r="B7895" t="s">
        <v>20</v>
      </c>
      <c r="C7895">
        <v>60421</v>
      </c>
      <c r="D7895" t="str">
        <f>"60421"</f>
        <v>60421</v>
      </c>
      <c r="E7895">
        <v>81.44</v>
      </c>
    </row>
    <row r="7896" spans="1:5" x14ac:dyDescent="0.2">
      <c r="A7896">
        <v>60422</v>
      </c>
      <c r="B7896" t="s">
        <v>20</v>
      </c>
      <c r="C7896">
        <v>60422</v>
      </c>
      <c r="D7896" t="str">
        <f>"60422"</f>
        <v>60422</v>
      </c>
      <c r="E7896">
        <v>77.78</v>
      </c>
    </row>
    <row r="7897" spans="1:5" x14ac:dyDescent="0.2">
      <c r="A7897">
        <v>60423</v>
      </c>
      <c r="B7897" t="s">
        <v>20</v>
      </c>
      <c r="C7897">
        <v>60423</v>
      </c>
      <c r="D7897" t="str">
        <f>"60423"</f>
        <v>60423</v>
      </c>
      <c r="E7897">
        <v>80.25</v>
      </c>
    </row>
    <row r="7898" spans="1:5" x14ac:dyDescent="0.2">
      <c r="A7898">
        <v>60424</v>
      </c>
      <c r="B7898" t="s">
        <v>20</v>
      </c>
      <c r="C7898">
        <v>60424</v>
      </c>
      <c r="D7898" t="str">
        <f>"60424"</f>
        <v>60424</v>
      </c>
      <c r="E7898">
        <v>75.930000000000007</v>
      </c>
    </row>
    <row r="7899" spans="1:5" x14ac:dyDescent="0.2">
      <c r="A7899">
        <v>60425</v>
      </c>
      <c r="B7899" t="s">
        <v>20</v>
      </c>
      <c r="C7899">
        <v>60425</v>
      </c>
      <c r="D7899" t="str">
        <f>"60425"</f>
        <v>60425</v>
      </c>
      <c r="E7899">
        <v>67.47</v>
      </c>
    </row>
    <row r="7900" spans="1:5" x14ac:dyDescent="0.2">
      <c r="A7900">
        <v>60426</v>
      </c>
      <c r="B7900" t="s">
        <v>20</v>
      </c>
      <c r="C7900">
        <v>60426</v>
      </c>
      <c r="D7900" t="str">
        <f>"60426"</f>
        <v>60426</v>
      </c>
      <c r="E7900">
        <v>48.89</v>
      </c>
    </row>
    <row r="7901" spans="1:5" x14ac:dyDescent="0.2">
      <c r="A7901">
        <v>60428</v>
      </c>
      <c r="B7901" t="s">
        <v>20</v>
      </c>
      <c r="C7901">
        <v>60428</v>
      </c>
      <c r="D7901" t="str">
        <f>"60428"</f>
        <v>60428</v>
      </c>
      <c r="E7901">
        <v>52.81</v>
      </c>
    </row>
    <row r="7902" spans="1:5" x14ac:dyDescent="0.2">
      <c r="A7902">
        <v>60429</v>
      </c>
      <c r="B7902" t="s">
        <v>20</v>
      </c>
      <c r="C7902">
        <v>60429</v>
      </c>
      <c r="D7902" t="str">
        <f>"60429"</f>
        <v>60429</v>
      </c>
      <c r="E7902">
        <v>60.96</v>
      </c>
    </row>
    <row r="7903" spans="1:5" x14ac:dyDescent="0.2">
      <c r="A7903">
        <v>60430</v>
      </c>
      <c r="B7903" t="s">
        <v>20</v>
      </c>
      <c r="C7903">
        <v>60430</v>
      </c>
      <c r="D7903" t="str">
        <f>"60430"</f>
        <v>60430</v>
      </c>
      <c r="E7903">
        <v>75.62</v>
      </c>
    </row>
    <row r="7904" spans="1:5" x14ac:dyDescent="0.2">
      <c r="A7904">
        <v>60431</v>
      </c>
      <c r="B7904" t="s">
        <v>20</v>
      </c>
      <c r="C7904">
        <v>60431</v>
      </c>
      <c r="D7904" t="str">
        <f>"60431"</f>
        <v>60431</v>
      </c>
      <c r="E7904">
        <v>78.150000000000006</v>
      </c>
    </row>
    <row r="7905" spans="1:5" x14ac:dyDescent="0.2">
      <c r="A7905">
        <v>60432</v>
      </c>
      <c r="B7905" t="s">
        <v>20</v>
      </c>
      <c r="C7905">
        <v>60432</v>
      </c>
      <c r="D7905" t="str">
        <f>"60432"</f>
        <v>60432</v>
      </c>
      <c r="E7905">
        <v>55.16</v>
      </c>
    </row>
    <row r="7906" spans="1:5" x14ac:dyDescent="0.2">
      <c r="A7906">
        <v>60433</v>
      </c>
      <c r="B7906" t="s">
        <v>20</v>
      </c>
      <c r="C7906">
        <v>60433</v>
      </c>
      <c r="D7906" t="str">
        <f>"60433"</f>
        <v>60433</v>
      </c>
      <c r="E7906">
        <v>60.45</v>
      </c>
    </row>
    <row r="7907" spans="1:5" x14ac:dyDescent="0.2">
      <c r="A7907">
        <v>60435</v>
      </c>
      <c r="B7907" t="s">
        <v>20</v>
      </c>
      <c r="C7907">
        <v>60435</v>
      </c>
      <c r="D7907" t="str">
        <f>"60435"</f>
        <v>60435</v>
      </c>
      <c r="E7907">
        <v>69.41</v>
      </c>
    </row>
    <row r="7908" spans="1:5" x14ac:dyDescent="0.2">
      <c r="A7908">
        <v>60436</v>
      </c>
      <c r="B7908" t="s">
        <v>20</v>
      </c>
      <c r="C7908">
        <v>60436</v>
      </c>
      <c r="D7908" t="str">
        <f>"60436"</f>
        <v>60436</v>
      </c>
      <c r="E7908">
        <v>62.4</v>
      </c>
    </row>
    <row r="7909" spans="1:5" x14ac:dyDescent="0.2">
      <c r="A7909">
        <v>60437</v>
      </c>
      <c r="B7909" t="s">
        <v>20</v>
      </c>
      <c r="C7909">
        <v>60437</v>
      </c>
      <c r="D7909" t="str">
        <f>"60437"</f>
        <v>60437</v>
      </c>
      <c r="E7909" t="s">
        <v>6</v>
      </c>
    </row>
    <row r="7910" spans="1:5" x14ac:dyDescent="0.2">
      <c r="A7910">
        <v>60438</v>
      </c>
      <c r="B7910" t="s">
        <v>20</v>
      </c>
      <c r="C7910">
        <v>60438</v>
      </c>
      <c r="D7910" t="str">
        <f>"60438"</f>
        <v>60438</v>
      </c>
      <c r="E7910">
        <v>67.569999999999993</v>
      </c>
    </row>
    <row r="7911" spans="1:5" x14ac:dyDescent="0.2">
      <c r="A7911">
        <v>60439</v>
      </c>
      <c r="B7911" t="s">
        <v>20</v>
      </c>
      <c r="C7911">
        <v>60439</v>
      </c>
      <c r="D7911" t="str">
        <f>"60439"</f>
        <v>60439</v>
      </c>
      <c r="E7911">
        <v>79.62</v>
      </c>
    </row>
    <row r="7912" spans="1:5" x14ac:dyDescent="0.2">
      <c r="A7912">
        <v>60440</v>
      </c>
      <c r="B7912" t="s">
        <v>20</v>
      </c>
      <c r="C7912">
        <v>60440</v>
      </c>
      <c r="D7912" t="str">
        <f>"60440"</f>
        <v>60440</v>
      </c>
      <c r="E7912">
        <v>69.7</v>
      </c>
    </row>
    <row r="7913" spans="1:5" x14ac:dyDescent="0.2">
      <c r="A7913">
        <v>60441</v>
      </c>
      <c r="B7913" t="s">
        <v>20</v>
      </c>
      <c r="C7913">
        <v>60441</v>
      </c>
      <c r="D7913" t="str">
        <f>"60441"</f>
        <v>60441</v>
      </c>
      <c r="E7913">
        <v>77.709999999999994</v>
      </c>
    </row>
    <row r="7914" spans="1:5" x14ac:dyDescent="0.2">
      <c r="A7914">
        <v>60442</v>
      </c>
      <c r="B7914" t="s">
        <v>20</v>
      </c>
      <c r="C7914">
        <v>60442</v>
      </c>
      <c r="D7914" t="str">
        <f>"60442"</f>
        <v>60442</v>
      </c>
      <c r="E7914">
        <v>80.87</v>
      </c>
    </row>
    <row r="7915" spans="1:5" x14ac:dyDescent="0.2">
      <c r="A7915">
        <v>60443</v>
      </c>
      <c r="B7915" t="s">
        <v>20</v>
      </c>
      <c r="C7915">
        <v>60443</v>
      </c>
      <c r="D7915" t="str">
        <f>"60443"</f>
        <v>60443</v>
      </c>
      <c r="E7915">
        <v>68.23</v>
      </c>
    </row>
    <row r="7916" spans="1:5" x14ac:dyDescent="0.2">
      <c r="A7916">
        <v>60444</v>
      </c>
      <c r="B7916" t="s">
        <v>20</v>
      </c>
      <c r="C7916">
        <v>60444</v>
      </c>
      <c r="D7916" t="str">
        <f>"60444"</f>
        <v>60444</v>
      </c>
      <c r="E7916">
        <v>76.540000000000006</v>
      </c>
    </row>
    <row r="7917" spans="1:5" x14ac:dyDescent="0.2">
      <c r="A7917">
        <v>60445</v>
      </c>
      <c r="B7917" t="s">
        <v>20</v>
      </c>
      <c r="C7917">
        <v>60445</v>
      </c>
      <c r="D7917" t="str">
        <f>"60445"</f>
        <v>60445</v>
      </c>
      <c r="E7917">
        <v>72.11</v>
      </c>
    </row>
    <row r="7918" spans="1:5" x14ac:dyDescent="0.2">
      <c r="A7918">
        <v>60446</v>
      </c>
      <c r="B7918" t="s">
        <v>20</v>
      </c>
      <c r="C7918">
        <v>60446</v>
      </c>
      <c r="D7918" t="str">
        <f>"60446"</f>
        <v>60446</v>
      </c>
      <c r="E7918">
        <v>71.98</v>
      </c>
    </row>
    <row r="7919" spans="1:5" x14ac:dyDescent="0.2">
      <c r="A7919">
        <v>60447</v>
      </c>
      <c r="B7919" t="s">
        <v>20</v>
      </c>
      <c r="C7919">
        <v>60447</v>
      </c>
      <c r="D7919" t="str">
        <f>"60447"</f>
        <v>60447</v>
      </c>
      <c r="E7919">
        <v>77.95</v>
      </c>
    </row>
    <row r="7920" spans="1:5" x14ac:dyDescent="0.2">
      <c r="A7920">
        <v>60448</v>
      </c>
      <c r="B7920" t="s">
        <v>20</v>
      </c>
      <c r="C7920">
        <v>60448</v>
      </c>
      <c r="D7920" t="str">
        <f>"60448"</f>
        <v>60448</v>
      </c>
      <c r="E7920">
        <v>80.790000000000006</v>
      </c>
    </row>
    <row r="7921" spans="1:5" x14ac:dyDescent="0.2">
      <c r="A7921">
        <v>60449</v>
      </c>
      <c r="B7921" t="s">
        <v>20</v>
      </c>
      <c r="C7921">
        <v>60449</v>
      </c>
      <c r="D7921" t="str">
        <f>"60449"</f>
        <v>60449</v>
      </c>
      <c r="E7921">
        <v>77.25</v>
      </c>
    </row>
    <row r="7922" spans="1:5" x14ac:dyDescent="0.2">
      <c r="A7922">
        <v>60450</v>
      </c>
      <c r="B7922" t="s">
        <v>20</v>
      </c>
      <c r="C7922">
        <v>60450</v>
      </c>
      <c r="D7922" t="str">
        <f>"60450"</f>
        <v>60450</v>
      </c>
      <c r="E7922">
        <v>76.41</v>
      </c>
    </row>
    <row r="7923" spans="1:5" x14ac:dyDescent="0.2">
      <c r="A7923">
        <v>60451</v>
      </c>
      <c r="B7923" t="s">
        <v>20</v>
      </c>
      <c r="C7923">
        <v>60451</v>
      </c>
      <c r="D7923" t="str">
        <f>"60451"</f>
        <v>60451</v>
      </c>
      <c r="E7923">
        <v>80.760000000000005</v>
      </c>
    </row>
    <row r="7924" spans="1:5" x14ac:dyDescent="0.2">
      <c r="A7924">
        <v>60452</v>
      </c>
      <c r="B7924" t="s">
        <v>20</v>
      </c>
      <c r="C7924">
        <v>60452</v>
      </c>
      <c r="D7924" t="str">
        <f>"60452"</f>
        <v>60452</v>
      </c>
      <c r="E7924">
        <v>76.37</v>
      </c>
    </row>
    <row r="7925" spans="1:5" x14ac:dyDescent="0.2">
      <c r="A7925">
        <v>60453</v>
      </c>
      <c r="B7925" t="s">
        <v>20</v>
      </c>
      <c r="C7925">
        <v>60453</v>
      </c>
      <c r="D7925" t="str">
        <f>"60453"</f>
        <v>60453</v>
      </c>
      <c r="E7925">
        <v>74.36</v>
      </c>
    </row>
    <row r="7926" spans="1:5" x14ac:dyDescent="0.2">
      <c r="A7926">
        <v>60455</v>
      </c>
      <c r="B7926" t="s">
        <v>20</v>
      </c>
      <c r="C7926">
        <v>60455</v>
      </c>
      <c r="D7926" t="str">
        <f>"60455"</f>
        <v>60455</v>
      </c>
      <c r="E7926">
        <v>64.25</v>
      </c>
    </row>
    <row r="7927" spans="1:5" x14ac:dyDescent="0.2">
      <c r="A7927">
        <v>60456</v>
      </c>
      <c r="B7927" t="s">
        <v>20</v>
      </c>
      <c r="C7927">
        <v>60456</v>
      </c>
      <c r="D7927" t="str">
        <f>"60456"</f>
        <v>60456</v>
      </c>
      <c r="E7927">
        <v>75.540000000000006</v>
      </c>
    </row>
    <row r="7928" spans="1:5" x14ac:dyDescent="0.2">
      <c r="A7928">
        <v>60457</v>
      </c>
      <c r="B7928" t="s">
        <v>20</v>
      </c>
      <c r="C7928">
        <v>60457</v>
      </c>
      <c r="D7928" t="str">
        <f>"60457"</f>
        <v>60457</v>
      </c>
      <c r="E7928">
        <v>70.48</v>
      </c>
    </row>
    <row r="7929" spans="1:5" x14ac:dyDescent="0.2">
      <c r="A7929">
        <v>60458</v>
      </c>
      <c r="B7929" t="s">
        <v>20</v>
      </c>
      <c r="C7929">
        <v>60458</v>
      </c>
      <c r="D7929" t="str">
        <f>"60458"</f>
        <v>60458</v>
      </c>
      <c r="E7929">
        <v>63.68</v>
      </c>
    </row>
    <row r="7930" spans="1:5" x14ac:dyDescent="0.2">
      <c r="A7930">
        <v>60459</v>
      </c>
      <c r="B7930" t="s">
        <v>20</v>
      </c>
      <c r="C7930">
        <v>60459</v>
      </c>
      <c r="D7930" t="str">
        <f>"60459"</f>
        <v>60459</v>
      </c>
      <c r="E7930">
        <v>67.58</v>
      </c>
    </row>
    <row r="7931" spans="1:5" x14ac:dyDescent="0.2">
      <c r="A7931">
        <v>60460</v>
      </c>
      <c r="B7931" t="s">
        <v>20</v>
      </c>
      <c r="C7931">
        <v>60460</v>
      </c>
      <c r="D7931" t="str">
        <f>"60460"</f>
        <v>60460</v>
      </c>
      <c r="E7931">
        <v>75.709999999999994</v>
      </c>
    </row>
    <row r="7932" spans="1:5" x14ac:dyDescent="0.2">
      <c r="A7932">
        <v>60461</v>
      </c>
      <c r="B7932" t="s">
        <v>20</v>
      </c>
      <c r="C7932">
        <v>60461</v>
      </c>
      <c r="D7932" t="str">
        <f>"60461"</f>
        <v>60461</v>
      </c>
      <c r="E7932">
        <v>77.33</v>
      </c>
    </row>
    <row r="7933" spans="1:5" x14ac:dyDescent="0.2">
      <c r="A7933">
        <v>60462</v>
      </c>
      <c r="B7933" t="s">
        <v>20</v>
      </c>
      <c r="C7933">
        <v>60462</v>
      </c>
      <c r="D7933" t="str">
        <f>"60462"</f>
        <v>60462</v>
      </c>
      <c r="E7933">
        <v>77.72</v>
      </c>
    </row>
    <row r="7934" spans="1:5" x14ac:dyDescent="0.2">
      <c r="A7934">
        <v>60463</v>
      </c>
      <c r="B7934" t="s">
        <v>20</v>
      </c>
      <c r="C7934">
        <v>60463</v>
      </c>
      <c r="D7934" t="str">
        <f>"60463"</f>
        <v>60463</v>
      </c>
      <c r="E7934">
        <v>80.37</v>
      </c>
    </row>
    <row r="7935" spans="1:5" x14ac:dyDescent="0.2">
      <c r="A7935">
        <v>60464</v>
      </c>
      <c r="B7935" t="s">
        <v>20</v>
      </c>
      <c r="C7935">
        <v>60464</v>
      </c>
      <c r="D7935" t="str">
        <f>"60464"</f>
        <v>60464</v>
      </c>
      <c r="E7935">
        <v>80.72</v>
      </c>
    </row>
    <row r="7936" spans="1:5" x14ac:dyDescent="0.2">
      <c r="A7936">
        <v>60465</v>
      </c>
      <c r="B7936" t="s">
        <v>20</v>
      </c>
      <c r="C7936">
        <v>60465</v>
      </c>
      <c r="D7936" t="str">
        <f>"60465"</f>
        <v>60465</v>
      </c>
      <c r="E7936">
        <v>71.650000000000006</v>
      </c>
    </row>
    <row r="7937" spans="1:5" x14ac:dyDescent="0.2">
      <c r="A7937">
        <v>60466</v>
      </c>
      <c r="B7937" t="s">
        <v>20</v>
      </c>
      <c r="C7937">
        <v>60466</v>
      </c>
      <c r="D7937" t="str">
        <f>"60466"</f>
        <v>60466</v>
      </c>
      <c r="E7937">
        <v>63.17</v>
      </c>
    </row>
    <row r="7938" spans="1:5" x14ac:dyDescent="0.2">
      <c r="A7938">
        <v>60467</v>
      </c>
      <c r="B7938" t="s">
        <v>20</v>
      </c>
      <c r="C7938">
        <v>60467</v>
      </c>
      <c r="D7938" t="str">
        <f>"60467"</f>
        <v>60467</v>
      </c>
      <c r="E7938">
        <v>79.680000000000007</v>
      </c>
    </row>
    <row r="7939" spans="1:5" x14ac:dyDescent="0.2">
      <c r="A7939">
        <v>60468</v>
      </c>
      <c r="B7939" t="s">
        <v>20</v>
      </c>
      <c r="C7939">
        <v>60468</v>
      </c>
      <c r="D7939" t="str">
        <f>"60468"</f>
        <v>60468</v>
      </c>
      <c r="E7939">
        <v>78.150000000000006</v>
      </c>
    </row>
    <row r="7940" spans="1:5" x14ac:dyDescent="0.2">
      <c r="A7940">
        <v>60469</v>
      </c>
      <c r="B7940" t="s">
        <v>20</v>
      </c>
      <c r="C7940">
        <v>60469</v>
      </c>
      <c r="D7940" t="str">
        <f>"60469"</f>
        <v>60469</v>
      </c>
      <c r="E7940">
        <v>63.24</v>
      </c>
    </row>
    <row r="7941" spans="1:5" x14ac:dyDescent="0.2">
      <c r="A7941">
        <v>60470</v>
      </c>
      <c r="B7941" t="s">
        <v>20</v>
      </c>
      <c r="C7941">
        <v>60470</v>
      </c>
      <c r="D7941" t="str">
        <f>"60470"</f>
        <v>60470</v>
      </c>
      <c r="E7941">
        <v>75.86</v>
      </c>
    </row>
    <row r="7942" spans="1:5" x14ac:dyDescent="0.2">
      <c r="A7942">
        <v>60471</v>
      </c>
      <c r="B7942" t="s">
        <v>20</v>
      </c>
      <c r="C7942">
        <v>60471</v>
      </c>
      <c r="D7942" t="str">
        <f>"60471"</f>
        <v>60471</v>
      </c>
      <c r="E7942">
        <v>66.25</v>
      </c>
    </row>
    <row r="7943" spans="1:5" x14ac:dyDescent="0.2">
      <c r="A7943">
        <v>60472</v>
      </c>
      <c r="B7943" t="s">
        <v>20</v>
      </c>
      <c r="C7943">
        <v>60472</v>
      </c>
      <c r="D7943" t="str">
        <f>"60472"</f>
        <v>60472</v>
      </c>
      <c r="E7943">
        <v>48.91</v>
      </c>
    </row>
    <row r="7944" spans="1:5" x14ac:dyDescent="0.2">
      <c r="A7944">
        <v>60473</v>
      </c>
      <c r="B7944" t="s">
        <v>20</v>
      </c>
      <c r="C7944">
        <v>60473</v>
      </c>
      <c r="D7944" t="str">
        <f>"60473"</f>
        <v>60473</v>
      </c>
      <c r="E7944">
        <v>66.84</v>
      </c>
    </row>
    <row r="7945" spans="1:5" x14ac:dyDescent="0.2">
      <c r="A7945">
        <v>60474</v>
      </c>
      <c r="B7945" t="s">
        <v>20</v>
      </c>
      <c r="C7945">
        <v>60474</v>
      </c>
      <c r="D7945" t="str">
        <f>"60474"</f>
        <v>60474</v>
      </c>
      <c r="E7945" t="s">
        <v>6</v>
      </c>
    </row>
    <row r="7946" spans="1:5" x14ac:dyDescent="0.2">
      <c r="A7946">
        <v>60475</v>
      </c>
      <c r="B7946" t="s">
        <v>20</v>
      </c>
      <c r="C7946">
        <v>60475</v>
      </c>
      <c r="D7946" t="str">
        <f>"60475"</f>
        <v>60475</v>
      </c>
      <c r="E7946">
        <v>69.06</v>
      </c>
    </row>
    <row r="7947" spans="1:5" x14ac:dyDescent="0.2">
      <c r="A7947">
        <v>60476</v>
      </c>
      <c r="B7947" t="s">
        <v>20</v>
      </c>
      <c r="C7947">
        <v>60476</v>
      </c>
      <c r="D7947" t="str">
        <f>"60476"</f>
        <v>60476</v>
      </c>
      <c r="E7947">
        <v>72.03</v>
      </c>
    </row>
    <row r="7948" spans="1:5" x14ac:dyDescent="0.2">
      <c r="A7948">
        <v>60477</v>
      </c>
      <c r="B7948" t="s">
        <v>20</v>
      </c>
      <c r="C7948">
        <v>60477</v>
      </c>
      <c r="D7948" t="str">
        <f>"60477"</f>
        <v>60477</v>
      </c>
      <c r="E7948">
        <v>78.06</v>
      </c>
    </row>
    <row r="7949" spans="1:5" x14ac:dyDescent="0.2">
      <c r="A7949">
        <v>60478</v>
      </c>
      <c r="B7949" t="s">
        <v>20</v>
      </c>
      <c r="C7949">
        <v>60478</v>
      </c>
      <c r="D7949" t="str">
        <f>"60478"</f>
        <v>60478</v>
      </c>
      <c r="E7949">
        <v>61.79</v>
      </c>
    </row>
    <row r="7950" spans="1:5" x14ac:dyDescent="0.2">
      <c r="A7950">
        <v>60479</v>
      </c>
      <c r="B7950" t="s">
        <v>20</v>
      </c>
      <c r="C7950">
        <v>60479</v>
      </c>
      <c r="D7950" t="str">
        <f>"60479"</f>
        <v>60479</v>
      </c>
      <c r="E7950">
        <v>73.53</v>
      </c>
    </row>
    <row r="7951" spans="1:5" x14ac:dyDescent="0.2">
      <c r="A7951">
        <v>60480</v>
      </c>
      <c r="B7951" t="s">
        <v>20</v>
      </c>
      <c r="C7951">
        <v>60480</v>
      </c>
      <c r="D7951" t="str">
        <f>"60480"</f>
        <v>60480</v>
      </c>
      <c r="E7951">
        <v>79.52</v>
      </c>
    </row>
    <row r="7952" spans="1:5" x14ac:dyDescent="0.2">
      <c r="A7952">
        <v>60481</v>
      </c>
      <c r="B7952" t="s">
        <v>20</v>
      </c>
      <c r="C7952">
        <v>60481</v>
      </c>
      <c r="D7952" t="str">
        <f>"60481"</f>
        <v>60481</v>
      </c>
      <c r="E7952">
        <v>77.22</v>
      </c>
    </row>
    <row r="7953" spans="1:5" x14ac:dyDescent="0.2">
      <c r="A7953">
        <v>60482</v>
      </c>
      <c r="B7953" t="s">
        <v>20</v>
      </c>
      <c r="C7953">
        <v>60482</v>
      </c>
      <c r="D7953" t="str">
        <f>"60482"</f>
        <v>60482</v>
      </c>
      <c r="E7953">
        <v>69.180000000000007</v>
      </c>
    </row>
    <row r="7954" spans="1:5" x14ac:dyDescent="0.2">
      <c r="A7954">
        <v>60484</v>
      </c>
      <c r="B7954" t="s">
        <v>20</v>
      </c>
      <c r="C7954">
        <v>60484</v>
      </c>
      <c r="D7954" t="str">
        <f>"60484"</f>
        <v>60484</v>
      </c>
      <c r="E7954">
        <v>56.04</v>
      </c>
    </row>
    <row r="7955" spans="1:5" x14ac:dyDescent="0.2">
      <c r="A7955">
        <v>60487</v>
      </c>
      <c r="B7955" t="s">
        <v>20</v>
      </c>
      <c r="C7955">
        <v>60487</v>
      </c>
      <c r="D7955" t="str">
        <f>"60487"</f>
        <v>60487</v>
      </c>
      <c r="E7955">
        <v>78.510000000000005</v>
      </c>
    </row>
    <row r="7956" spans="1:5" x14ac:dyDescent="0.2">
      <c r="A7956">
        <v>60490</v>
      </c>
      <c r="B7956" t="s">
        <v>20</v>
      </c>
      <c r="C7956">
        <v>60490</v>
      </c>
      <c r="D7956" t="str">
        <f>"60490"</f>
        <v>60490</v>
      </c>
      <c r="E7956">
        <v>77.7</v>
      </c>
    </row>
    <row r="7957" spans="1:5" x14ac:dyDescent="0.2">
      <c r="A7957">
        <v>60491</v>
      </c>
      <c r="B7957" t="s">
        <v>20</v>
      </c>
      <c r="C7957">
        <v>60491</v>
      </c>
      <c r="D7957" t="str">
        <f>"60491"</f>
        <v>60491</v>
      </c>
      <c r="E7957">
        <v>80.19</v>
      </c>
    </row>
    <row r="7958" spans="1:5" x14ac:dyDescent="0.2">
      <c r="A7958">
        <v>60501</v>
      </c>
      <c r="B7958" t="s">
        <v>20</v>
      </c>
      <c r="C7958">
        <v>60501</v>
      </c>
      <c r="D7958" t="str">
        <f>"60501"</f>
        <v>60501</v>
      </c>
      <c r="E7958">
        <v>59.69</v>
      </c>
    </row>
    <row r="7959" spans="1:5" x14ac:dyDescent="0.2">
      <c r="A7959">
        <v>60502</v>
      </c>
      <c r="B7959" t="s">
        <v>20</v>
      </c>
      <c r="C7959">
        <v>60502</v>
      </c>
      <c r="D7959" t="str">
        <f>"60502"</f>
        <v>60502</v>
      </c>
      <c r="E7959">
        <v>80.36</v>
      </c>
    </row>
    <row r="7960" spans="1:5" x14ac:dyDescent="0.2">
      <c r="A7960">
        <v>60503</v>
      </c>
      <c r="B7960" t="s">
        <v>20</v>
      </c>
      <c r="C7960">
        <v>60503</v>
      </c>
      <c r="D7960" t="str">
        <f>"60503"</f>
        <v>60503</v>
      </c>
      <c r="E7960">
        <v>79.39</v>
      </c>
    </row>
    <row r="7961" spans="1:5" x14ac:dyDescent="0.2">
      <c r="A7961">
        <v>60504</v>
      </c>
      <c r="B7961" t="s">
        <v>20</v>
      </c>
      <c r="C7961">
        <v>60504</v>
      </c>
      <c r="D7961" t="str">
        <f>"60504"</f>
        <v>60504</v>
      </c>
      <c r="E7961">
        <v>75.41</v>
      </c>
    </row>
    <row r="7962" spans="1:5" x14ac:dyDescent="0.2">
      <c r="A7962">
        <v>60505</v>
      </c>
      <c r="B7962" t="s">
        <v>20</v>
      </c>
      <c r="C7962">
        <v>60505</v>
      </c>
      <c r="D7962" t="str">
        <f>"60505"</f>
        <v>60505</v>
      </c>
      <c r="E7962">
        <v>55.92</v>
      </c>
    </row>
    <row r="7963" spans="1:5" x14ac:dyDescent="0.2">
      <c r="A7963">
        <v>60506</v>
      </c>
      <c r="B7963" t="s">
        <v>20</v>
      </c>
      <c r="C7963">
        <v>60506</v>
      </c>
      <c r="D7963" t="str">
        <f>"60506"</f>
        <v>60506</v>
      </c>
      <c r="E7963">
        <v>66.53</v>
      </c>
    </row>
    <row r="7964" spans="1:5" x14ac:dyDescent="0.2">
      <c r="A7964">
        <v>60510</v>
      </c>
      <c r="B7964" t="s">
        <v>20</v>
      </c>
      <c r="C7964">
        <v>60510</v>
      </c>
      <c r="D7964" t="str">
        <f>"60510"</f>
        <v>60510</v>
      </c>
      <c r="E7964">
        <v>79.069999999999993</v>
      </c>
    </row>
    <row r="7965" spans="1:5" x14ac:dyDescent="0.2">
      <c r="A7965">
        <v>60511</v>
      </c>
      <c r="B7965" t="s">
        <v>20</v>
      </c>
      <c r="C7965">
        <v>60511</v>
      </c>
      <c r="D7965" t="str">
        <f>"60511"</f>
        <v>60511</v>
      </c>
      <c r="E7965">
        <v>79.31</v>
      </c>
    </row>
    <row r="7966" spans="1:5" x14ac:dyDescent="0.2">
      <c r="A7966">
        <v>60512</v>
      </c>
      <c r="B7966" t="s">
        <v>20</v>
      </c>
      <c r="C7966">
        <v>60512</v>
      </c>
      <c r="D7966" t="str">
        <f>"60512"</f>
        <v>60512</v>
      </c>
      <c r="E7966">
        <v>81.03</v>
      </c>
    </row>
    <row r="7967" spans="1:5" x14ac:dyDescent="0.2">
      <c r="A7967">
        <v>60513</v>
      </c>
      <c r="B7967" t="s">
        <v>20</v>
      </c>
      <c r="C7967">
        <v>60513</v>
      </c>
      <c r="D7967" t="str">
        <f>"60513"</f>
        <v>60513</v>
      </c>
      <c r="E7967">
        <v>77.77</v>
      </c>
    </row>
    <row r="7968" spans="1:5" x14ac:dyDescent="0.2">
      <c r="A7968">
        <v>60514</v>
      </c>
      <c r="B7968" t="s">
        <v>20</v>
      </c>
      <c r="C7968">
        <v>60514</v>
      </c>
      <c r="D7968" t="str">
        <f>"60514"</f>
        <v>60514</v>
      </c>
      <c r="E7968">
        <v>79.09</v>
      </c>
    </row>
    <row r="7969" spans="1:5" x14ac:dyDescent="0.2">
      <c r="A7969">
        <v>60515</v>
      </c>
      <c r="B7969" t="s">
        <v>20</v>
      </c>
      <c r="C7969">
        <v>60515</v>
      </c>
      <c r="D7969" t="str">
        <f>"60515"</f>
        <v>60515</v>
      </c>
      <c r="E7969">
        <v>79.569999999999993</v>
      </c>
    </row>
    <row r="7970" spans="1:5" x14ac:dyDescent="0.2">
      <c r="A7970">
        <v>60516</v>
      </c>
      <c r="B7970" t="s">
        <v>20</v>
      </c>
      <c r="C7970">
        <v>60516</v>
      </c>
      <c r="D7970" t="str">
        <f>"60516"</f>
        <v>60516</v>
      </c>
      <c r="E7970">
        <v>80.319999999999993</v>
      </c>
    </row>
    <row r="7971" spans="1:5" x14ac:dyDescent="0.2">
      <c r="A7971">
        <v>60517</v>
      </c>
      <c r="B7971" t="s">
        <v>20</v>
      </c>
      <c r="C7971">
        <v>60517</v>
      </c>
      <c r="D7971" t="str">
        <f>"60517"</f>
        <v>60517</v>
      </c>
      <c r="E7971">
        <v>76.099999999999994</v>
      </c>
    </row>
    <row r="7972" spans="1:5" x14ac:dyDescent="0.2">
      <c r="A7972">
        <v>60518</v>
      </c>
      <c r="B7972" t="s">
        <v>20</v>
      </c>
      <c r="C7972">
        <v>60518</v>
      </c>
      <c r="D7972" t="str">
        <f>"60518"</f>
        <v>60518</v>
      </c>
      <c r="E7972">
        <v>72.05</v>
      </c>
    </row>
    <row r="7973" spans="1:5" x14ac:dyDescent="0.2">
      <c r="A7973">
        <v>60519</v>
      </c>
      <c r="B7973" t="s">
        <v>20</v>
      </c>
      <c r="C7973">
        <v>60519</v>
      </c>
      <c r="D7973" t="str">
        <f>"60519"</f>
        <v>60519</v>
      </c>
      <c r="E7973" t="s">
        <v>6</v>
      </c>
    </row>
    <row r="7974" spans="1:5" x14ac:dyDescent="0.2">
      <c r="A7974">
        <v>60520</v>
      </c>
      <c r="B7974" t="s">
        <v>20</v>
      </c>
      <c r="C7974">
        <v>60520</v>
      </c>
      <c r="D7974" t="str">
        <f>"60520"</f>
        <v>60520</v>
      </c>
      <c r="E7974">
        <v>76.599999999999994</v>
      </c>
    </row>
    <row r="7975" spans="1:5" x14ac:dyDescent="0.2">
      <c r="A7975">
        <v>60521</v>
      </c>
      <c r="B7975" t="s">
        <v>20</v>
      </c>
      <c r="C7975">
        <v>60521</v>
      </c>
      <c r="D7975" t="str">
        <f>"60521"</f>
        <v>60521</v>
      </c>
      <c r="E7975">
        <v>80.709999999999994</v>
      </c>
    </row>
    <row r="7976" spans="1:5" x14ac:dyDescent="0.2">
      <c r="A7976">
        <v>60523</v>
      </c>
      <c r="B7976" t="s">
        <v>20</v>
      </c>
      <c r="C7976">
        <v>60523</v>
      </c>
      <c r="D7976" t="str">
        <f>"60523"</f>
        <v>60523</v>
      </c>
      <c r="E7976">
        <v>79</v>
      </c>
    </row>
    <row r="7977" spans="1:5" x14ac:dyDescent="0.2">
      <c r="A7977">
        <v>60525</v>
      </c>
      <c r="B7977" t="s">
        <v>20</v>
      </c>
      <c r="C7977">
        <v>60525</v>
      </c>
      <c r="D7977" t="str">
        <f>"60525"</f>
        <v>60525</v>
      </c>
      <c r="E7977">
        <v>77.25</v>
      </c>
    </row>
    <row r="7978" spans="1:5" x14ac:dyDescent="0.2">
      <c r="A7978">
        <v>60526</v>
      </c>
      <c r="B7978" t="s">
        <v>20</v>
      </c>
      <c r="C7978">
        <v>60526</v>
      </c>
      <c r="D7978" t="str">
        <f>"60526"</f>
        <v>60526</v>
      </c>
      <c r="E7978">
        <v>80.09</v>
      </c>
    </row>
    <row r="7979" spans="1:5" x14ac:dyDescent="0.2">
      <c r="A7979">
        <v>60527</v>
      </c>
      <c r="B7979" t="s">
        <v>20</v>
      </c>
      <c r="C7979">
        <v>60527</v>
      </c>
      <c r="D7979" t="str">
        <f>"60527"</f>
        <v>60527</v>
      </c>
      <c r="E7979">
        <v>76.510000000000005</v>
      </c>
    </row>
    <row r="7980" spans="1:5" x14ac:dyDescent="0.2">
      <c r="A7980">
        <v>60530</v>
      </c>
      <c r="B7980" t="s">
        <v>20</v>
      </c>
      <c r="C7980">
        <v>60530</v>
      </c>
      <c r="D7980" t="str">
        <f>"60530"</f>
        <v>60530</v>
      </c>
      <c r="E7980">
        <v>73.33</v>
      </c>
    </row>
    <row r="7981" spans="1:5" x14ac:dyDescent="0.2">
      <c r="A7981">
        <v>60531</v>
      </c>
      <c r="B7981" t="s">
        <v>20</v>
      </c>
      <c r="C7981">
        <v>60531</v>
      </c>
      <c r="D7981" t="str">
        <f>"60531"</f>
        <v>60531</v>
      </c>
      <c r="E7981">
        <v>76.67</v>
      </c>
    </row>
    <row r="7982" spans="1:5" x14ac:dyDescent="0.2">
      <c r="A7982">
        <v>60532</v>
      </c>
      <c r="B7982" t="s">
        <v>20</v>
      </c>
      <c r="C7982">
        <v>60532</v>
      </c>
      <c r="D7982" t="str">
        <f>"60532"</f>
        <v>60532</v>
      </c>
      <c r="E7982">
        <v>80.08</v>
      </c>
    </row>
    <row r="7983" spans="1:5" x14ac:dyDescent="0.2">
      <c r="A7983">
        <v>60534</v>
      </c>
      <c r="B7983" t="s">
        <v>20</v>
      </c>
      <c r="C7983">
        <v>60534</v>
      </c>
      <c r="D7983" t="str">
        <f>"60534"</f>
        <v>60534</v>
      </c>
      <c r="E7983">
        <v>69.349999999999994</v>
      </c>
    </row>
    <row r="7984" spans="1:5" x14ac:dyDescent="0.2">
      <c r="A7984">
        <v>60536</v>
      </c>
      <c r="B7984" t="s">
        <v>20</v>
      </c>
      <c r="C7984">
        <v>60536</v>
      </c>
      <c r="D7984" t="str">
        <f>"60536"</f>
        <v>60536</v>
      </c>
      <c r="E7984" t="s">
        <v>6</v>
      </c>
    </row>
    <row r="7985" spans="1:5" x14ac:dyDescent="0.2">
      <c r="A7985">
        <v>60537</v>
      </c>
      <c r="B7985" t="s">
        <v>20</v>
      </c>
      <c r="C7985">
        <v>60537</v>
      </c>
      <c r="D7985" t="str">
        <f>"60537"</f>
        <v>60537</v>
      </c>
      <c r="E7985" t="s">
        <v>6</v>
      </c>
    </row>
    <row r="7986" spans="1:5" x14ac:dyDescent="0.2">
      <c r="A7986">
        <v>60538</v>
      </c>
      <c r="B7986" t="s">
        <v>20</v>
      </c>
      <c r="C7986">
        <v>60538</v>
      </c>
      <c r="D7986" t="str">
        <f>"60538"</f>
        <v>60538</v>
      </c>
      <c r="E7986">
        <v>73.86</v>
      </c>
    </row>
    <row r="7987" spans="1:5" x14ac:dyDescent="0.2">
      <c r="A7987">
        <v>60539</v>
      </c>
      <c r="B7987" t="s">
        <v>20</v>
      </c>
      <c r="C7987">
        <v>60539</v>
      </c>
      <c r="D7987" t="str">
        <f>"60539"</f>
        <v>60539</v>
      </c>
      <c r="E7987" t="s">
        <v>6</v>
      </c>
    </row>
    <row r="7988" spans="1:5" x14ac:dyDescent="0.2">
      <c r="A7988">
        <v>60540</v>
      </c>
      <c r="B7988" t="s">
        <v>20</v>
      </c>
      <c r="C7988">
        <v>60540</v>
      </c>
      <c r="D7988" t="str">
        <f>"60540"</f>
        <v>60540</v>
      </c>
      <c r="E7988">
        <v>80.42</v>
      </c>
    </row>
    <row r="7989" spans="1:5" x14ac:dyDescent="0.2">
      <c r="A7989">
        <v>60541</v>
      </c>
      <c r="B7989" t="s">
        <v>20</v>
      </c>
      <c r="C7989">
        <v>60541</v>
      </c>
      <c r="D7989" t="str">
        <f>"60541"</f>
        <v>60541</v>
      </c>
      <c r="E7989">
        <v>80.709999999999994</v>
      </c>
    </row>
    <row r="7990" spans="1:5" x14ac:dyDescent="0.2">
      <c r="A7990">
        <v>60542</v>
      </c>
      <c r="B7990" t="s">
        <v>20</v>
      </c>
      <c r="C7990">
        <v>60542</v>
      </c>
      <c r="D7990" t="str">
        <f>"60542"</f>
        <v>60542</v>
      </c>
      <c r="E7990">
        <v>80.67</v>
      </c>
    </row>
    <row r="7991" spans="1:5" x14ac:dyDescent="0.2">
      <c r="A7991">
        <v>60543</v>
      </c>
      <c r="B7991" t="s">
        <v>20</v>
      </c>
      <c r="C7991">
        <v>60543</v>
      </c>
      <c r="D7991" t="str">
        <f>"60543"</f>
        <v>60543</v>
      </c>
      <c r="E7991">
        <v>78.52</v>
      </c>
    </row>
    <row r="7992" spans="1:5" x14ac:dyDescent="0.2">
      <c r="A7992">
        <v>60544</v>
      </c>
      <c r="B7992" t="s">
        <v>20</v>
      </c>
      <c r="C7992">
        <v>60544</v>
      </c>
      <c r="D7992" t="str">
        <f>"60544"</f>
        <v>60544</v>
      </c>
      <c r="E7992">
        <v>76.290000000000006</v>
      </c>
    </row>
    <row r="7993" spans="1:5" x14ac:dyDescent="0.2">
      <c r="A7993">
        <v>60545</v>
      </c>
      <c r="B7993" t="s">
        <v>20</v>
      </c>
      <c r="C7993">
        <v>60545</v>
      </c>
      <c r="D7993" t="str">
        <f>"60545"</f>
        <v>60545</v>
      </c>
      <c r="E7993">
        <v>72.78</v>
      </c>
    </row>
    <row r="7994" spans="1:5" x14ac:dyDescent="0.2">
      <c r="A7994">
        <v>60546</v>
      </c>
      <c r="B7994" t="s">
        <v>20</v>
      </c>
      <c r="C7994">
        <v>60546</v>
      </c>
      <c r="D7994" t="str">
        <f>"60546"</f>
        <v>60546</v>
      </c>
      <c r="E7994">
        <v>76.959999999999994</v>
      </c>
    </row>
    <row r="7995" spans="1:5" x14ac:dyDescent="0.2">
      <c r="A7995">
        <v>60548</v>
      </c>
      <c r="B7995" t="s">
        <v>20</v>
      </c>
      <c r="C7995">
        <v>60548</v>
      </c>
      <c r="D7995" t="str">
        <f>"60548"</f>
        <v>60548</v>
      </c>
      <c r="E7995">
        <v>74.38</v>
      </c>
    </row>
    <row r="7996" spans="1:5" x14ac:dyDescent="0.2">
      <c r="A7996">
        <v>60549</v>
      </c>
      <c r="B7996" t="s">
        <v>20</v>
      </c>
      <c r="C7996">
        <v>60549</v>
      </c>
      <c r="D7996" t="str">
        <f>"60549"</f>
        <v>60549</v>
      </c>
      <c r="E7996">
        <v>85.29</v>
      </c>
    </row>
    <row r="7997" spans="1:5" x14ac:dyDescent="0.2">
      <c r="A7997">
        <v>60550</v>
      </c>
      <c r="B7997" t="s">
        <v>20</v>
      </c>
      <c r="C7997">
        <v>60550</v>
      </c>
      <c r="D7997" t="str">
        <f>"60550"</f>
        <v>60550</v>
      </c>
      <c r="E7997">
        <v>73.02</v>
      </c>
    </row>
    <row r="7998" spans="1:5" x14ac:dyDescent="0.2">
      <c r="A7998">
        <v>60551</v>
      </c>
      <c r="B7998" t="s">
        <v>20</v>
      </c>
      <c r="C7998">
        <v>60551</v>
      </c>
      <c r="D7998" t="str">
        <f>"60551"</f>
        <v>60551</v>
      </c>
      <c r="E7998">
        <v>76.239999999999995</v>
      </c>
    </row>
    <row r="7999" spans="1:5" x14ac:dyDescent="0.2">
      <c r="A7999">
        <v>60552</v>
      </c>
      <c r="B7999" t="s">
        <v>20</v>
      </c>
      <c r="C7999">
        <v>60552</v>
      </c>
      <c r="D7999" t="str">
        <f>"60552"</f>
        <v>60552</v>
      </c>
      <c r="E7999">
        <v>78.400000000000006</v>
      </c>
    </row>
    <row r="8000" spans="1:5" x14ac:dyDescent="0.2">
      <c r="A8000">
        <v>60553</v>
      </c>
      <c r="B8000" t="s">
        <v>20</v>
      </c>
      <c r="C8000">
        <v>60553</v>
      </c>
      <c r="D8000" t="str">
        <f>"60553"</f>
        <v>60553</v>
      </c>
      <c r="E8000">
        <v>80</v>
      </c>
    </row>
    <row r="8001" spans="1:5" x14ac:dyDescent="0.2">
      <c r="A8001">
        <v>60554</v>
      </c>
      <c r="B8001" t="s">
        <v>20</v>
      </c>
      <c r="C8001">
        <v>60554</v>
      </c>
      <c r="D8001" t="str">
        <f>"60554"</f>
        <v>60554</v>
      </c>
      <c r="E8001">
        <v>81.709999999999994</v>
      </c>
    </row>
    <row r="8002" spans="1:5" x14ac:dyDescent="0.2">
      <c r="A8002">
        <v>60555</v>
      </c>
      <c r="B8002" t="s">
        <v>20</v>
      </c>
      <c r="C8002">
        <v>60555</v>
      </c>
      <c r="D8002" t="str">
        <f>"60555"</f>
        <v>60555</v>
      </c>
      <c r="E8002">
        <v>77.2</v>
      </c>
    </row>
    <row r="8003" spans="1:5" x14ac:dyDescent="0.2">
      <c r="A8003">
        <v>60556</v>
      </c>
      <c r="B8003" t="s">
        <v>20</v>
      </c>
      <c r="C8003">
        <v>60556</v>
      </c>
      <c r="D8003" t="str">
        <f>"60556"</f>
        <v>60556</v>
      </c>
      <c r="E8003">
        <v>74.23</v>
      </c>
    </row>
    <row r="8004" spans="1:5" x14ac:dyDescent="0.2">
      <c r="A8004">
        <v>60557</v>
      </c>
      <c r="B8004" t="s">
        <v>20</v>
      </c>
      <c r="C8004">
        <v>60557</v>
      </c>
      <c r="D8004" t="str">
        <f>"60557"</f>
        <v>60557</v>
      </c>
      <c r="E8004" t="s">
        <v>6</v>
      </c>
    </row>
    <row r="8005" spans="1:5" x14ac:dyDescent="0.2">
      <c r="A8005">
        <v>60558</v>
      </c>
      <c r="B8005" t="s">
        <v>20</v>
      </c>
      <c r="C8005">
        <v>60558</v>
      </c>
      <c r="D8005" t="str">
        <f>"60558"</f>
        <v>60558</v>
      </c>
      <c r="E8005">
        <v>81</v>
      </c>
    </row>
    <row r="8006" spans="1:5" x14ac:dyDescent="0.2">
      <c r="A8006">
        <v>60559</v>
      </c>
      <c r="B8006" t="s">
        <v>20</v>
      </c>
      <c r="C8006">
        <v>60559</v>
      </c>
      <c r="D8006" t="str">
        <f>"60559"</f>
        <v>60559</v>
      </c>
      <c r="E8006">
        <v>76.02</v>
      </c>
    </row>
    <row r="8007" spans="1:5" x14ac:dyDescent="0.2">
      <c r="A8007">
        <v>60560</v>
      </c>
      <c r="B8007" t="s">
        <v>20</v>
      </c>
      <c r="C8007">
        <v>60560</v>
      </c>
      <c r="D8007" t="str">
        <f>"60560"</f>
        <v>60560</v>
      </c>
      <c r="E8007">
        <v>78.849999999999994</v>
      </c>
    </row>
    <row r="8008" spans="1:5" x14ac:dyDescent="0.2">
      <c r="A8008">
        <v>60561</v>
      </c>
      <c r="B8008" t="s">
        <v>20</v>
      </c>
      <c r="C8008">
        <v>60561</v>
      </c>
      <c r="D8008" t="str">
        <f>"60561"</f>
        <v>60561</v>
      </c>
      <c r="E8008">
        <v>79.27</v>
      </c>
    </row>
    <row r="8009" spans="1:5" x14ac:dyDescent="0.2">
      <c r="A8009">
        <v>60563</v>
      </c>
      <c r="B8009" t="s">
        <v>20</v>
      </c>
      <c r="C8009">
        <v>60563</v>
      </c>
      <c r="D8009" t="str">
        <f>"60563"</f>
        <v>60563</v>
      </c>
      <c r="E8009">
        <v>80.8</v>
      </c>
    </row>
    <row r="8010" spans="1:5" x14ac:dyDescent="0.2">
      <c r="A8010">
        <v>60564</v>
      </c>
      <c r="B8010" t="s">
        <v>20</v>
      </c>
      <c r="C8010">
        <v>60564</v>
      </c>
      <c r="D8010" t="str">
        <f>"60564"</f>
        <v>60564</v>
      </c>
      <c r="E8010">
        <v>79.97</v>
      </c>
    </row>
    <row r="8011" spans="1:5" x14ac:dyDescent="0.2">
      <c r="A8011">
        <v>60565</v>
      </c>
      <c r="B8011" t="s">
        <v>20</v>
      </c>
      <c r="C8011">
        <v>60565</v>
      </c>
      <c r="D8011" t="str">
        <f>"60565"</f>
        <v>60565</v>
      </c>
      <c r="E8011">
        <v>79.78</v>
      </c>
    </row>
    <row r="8012" spans="1:5" x14ac:dyDescent="0.2">
      <c r="A8012">
        <v>60569</v>
      </c>
      <c r="B8012" t="s">
        <v>20</v>
      </c>
      <c r="C8012">
        <v>60569</v>
      </c>
      <c r="D8012" t="str">
        <f>"60569"</f>
        <v>60569</v>
      </c>
      <c r="E8012" t="s">
        <v>6</v>
      </c>
    </row>
    <row r="8013" spans="1:5" x14ac:dyDescent="0.2">
      <c r="A8013">
        <v>60585</v>
      </c>
      <c r="B8013" t="s">
        <v>20</v>
      </c>
      <c r="C8013">
        <v>60585</v>
      </c>
      <c r="D8013" t="str">
        <f>"60585"</f>
        <v>60585</v>
      </c>
      <c r="E8013">
        <v>79.91</v>
      </c>
    </row>
    <row r="8014" spans="1:5" x14ac:dyDescent="0.2">
      <c r="A8014">
        <v>60586</v>
      </c>
      <c r="B8014" t="s">
        <v>20</v>
      </c>
      <c r="C8014">
        <v>60586</v>
      </c>
      <c r="D8014" t="str">
        <f>"60586"</f>
        <v>60586</v>
      </c>
      <c r="E8014">
        <v>77.069999999999993</v>
      </c>
    </row>
    <row r="8015" spans="1:5" x14ac:dyDescent="0.2">
      <c r="A8015">
        <v>60601</v>
      </c>
      <c r="B8015" t="s">
        <v>20</v>
      </c>
      <c r="C8015">
        <v>60601</v>
      </c>
      <c r="D8015" t="str">
        <f>"60601"</f>
        <v>60601</v>
      </c>
      <c r="E8015">
        <v>89.57</v>
      </c>
    </row>
    <row r="8016" spans="1:5" x14ac:dyDescent="0.2">
      <c r="A8016">
        <v>60602</v>
      </c>
      <c r="B8016" t="s">
        <v>20</v>
      </c>
      <c r="C8016">
        <v>60602</v>
      </c>
      <c r="D8016" t="str">
        <f>"60602"</f>
        <v>60602</v>
      </c>
      <c r="E8016">
        <v>69.489999999999995</v>
      </c>
    </row>
    <row r="8017" spans="1:5" x14ac:dyDescent="0.2">
      <c r="A8017">
        <v>60603</v>
      </c>
      <c r="B8017" t="s">
        <v>20</v>
      </c>
      <c r="C8017">
        <v>60603</v>
      </c>
      <c r="D8017" t="str">
        <f>"60603"</f>
        <v>60603</v>
      </c>
      <c r="E8017">
        <v>78.739999999999995</v>
      </c>
    </row>
    <row r="8018" spans="1:5" x14ac:dyDescent="0.2">
      <c r="A8018">
        <v>60604</v>
      </c>
      <c r="B8018" t="s">
        <v>20</v>
      </c>
      <c r="C8018">
        <v>60604</v>
      </c>
      <c r="D8018" t="str">
        <f>"60604"</f>
        <v>60604</v>
      </c>
      <c r="E8018">
        <v>83.33</v>
      </c>
    </row>
    <row r="8019" spans="1:5" x14ac:dyDescent="0.2">
      <c r="A8019">
        <v>60605</v>
      </c>
      <c r="B8019" t="s">
        <v>20</v>
      </c>
      <c r="C8019">
        <v>60605</v>
      </c>
      <c r="D8019" t="str">
        <f>"60605"</f>
        <v>60605</v>
      </c>
      <c r="E8019">
        <v>89.26</v>
      </c>
    </row>
    <row r="8020" spans="1:5" x14ac:dyDescent="0.2">
      <c r="A8020">
        <v>60606</v>
      </c>
      <c r="B8020" t="s">
        <v>20</v>
      </c>
      <c r="C8020">
        <v>60606</v>
      </c>
      <c r="D8020" t="str">
        <f>"60606"</f>
        <v>60606</v>
      </c>
      <c r="E8020">
        <v>91.95</v>
      </c>
    </row>
    <row r="8021" spans="1:5" x14ac:dyDescent="0.2">
      <c r="A8021">
        <v>60607</v>
      </c>
      <c r="B8021" t="s">
        <v>20</v>
      </c>
      <c r="C8021">
        <v>60607</v>
      </c>
      <c r="D8021" t="str">
        <f>"60607"</f>
        <v>60607</v>
      </c>
      <c r="E8021">
        <v>88.15</v>
      </c>
    </row>
    <row r="8022" spans="1:5" x14ac:dyDescent="0.2">
      <c r="A8022">
        <v>60608</v>
      </c>
      <c r="B8022" t="s">
        <v>20</v>
      </c>
      <c r="C8022">
        <v>60608</v>
      </c>
      <c r="D8022" t="str">
        <f>"60608"</f>
        <v>60608</v>
      </c>
      <c r="E8022">
        <v>64.290000000000006</v>
      </c>
    </row>
    <row r="8023" spans="1:5" x14ac:dyDescent="0.2">
      <c r="A8023">
        <v>60609</v>
      </c>
      <c r="B8023" t="s">
        <v>20</v>
      </c>
      <c r="C8023">
        <v>60609</v>
      </c>
      <c r="D8023" t="str">
        <f>"60609"</f>
        <v>60609</v>
      </c>
      <c r="E8023">
        <v>53.44</v>
      </c>
    </row>
    <row r="8024" spans="1:5" x14ac:dyDescent="0.2">
      <c r="A8024">
        <v>60610</v>
      </c>
      <c r="B8024" t="s">
        <v>20</v>
      </c>
      <c r="C8024">
        <v>60610</v>
      </c>
      <c r="D8024" t="str">
        <f>"60610"</f>
        <v>60610</v>
      </c>
      <c r="E8024">
        <v>85.87</v>
      </c>
    </row>
    <row r="8025" spans="1:5" x14ac:dyDescent="0.2">
      <c r="A8025">
        <v>60611</v>
      </c>
      <c r="B8025" t="s">
        <v>20</v>
      </c>
      <c r="C8025">
        <v>60611</v>
      </c>
      <c r="D8025" t="str">
        <f>"60611"</f>
        <v>60611</v>
      </c>
      <c r="E8025">
        <v>89.89</v>
      </c>
    </row>
    <row r="8026" spans="1:5" x14ac:dyDescent="0.2">
      <c r="A8026">
        <v>60612</v>
      </c>
      <c r="B8026" t="s">
        <v>20</v>
      </c>
      <c r="C8026">
        <v>60612</v>
      </c>
      <c r="D8026" t="str">
        <f>"60612"</f>
        <v>60612</v>
      </c>
      <c r="E8026">
        <v>61.26</v>
      </c>
    </row>
    <row r="8027" spans="1:5" x14ac:dyDescent="0.2">
      <c r="A8027">
        <v>60613</v>
      </c>
      <c r="B8027" t="s">
        <v>20</v>
      </c>
      <c r="C8027">
        <v>60613</v>
      </c>
      <c r="D8027" t="str">
        <f>"60613"</f>
        <v>60613</v>
      </c>
      <c r="E8027">
        <v>87.22</v>
      </c>
    </row>
    <row r="8028" spans="1:5" x14ac:dyDescent="0.2">
      <c r="A8028">
        <v>60614</v>
      </c>
      <c r="B8028" t="s">
        <v>20</v>
      </c>
      <c r="C8028">
        <v>60614</v>
      </c>
      <c r="D8028" t="str">
        <f>"60614"</f>
        <v>60614</v>
      </c>
      <c r="E8028">
        <v>89.89</v>
      </c>
    </row>
    <row r="8029" spans="1:5" x14ac:dyDescent="0.2">
      <c r="A8029">
        <v>60615</v>
      </c>
      <c r="B8029" t="s">
        <v>20</v>
      </c>
      <c r="C8029">
        <v>60615</v>
      </c>
      <c r="D8029" t="str">
        <f>"60615"</f>
        <v>60615</v>
      </c>
      <c r="E8029">
        <v>71.38</v>
      </c>
    </row>
    <row r="8030" spans="1:5" x14ac:dyDescent="0.2">
      <c r="A8030">
        <v>60616</v>
      </c>
      <c r="B8030" t="s">
        <v>20</v>
      </c>
      <c r="C8030">
        <v>60616</v>
      </c>
      <c r="D8030" t="str">
        <f>"60616"</f>
        <v>60616</v>
      </c>
      <c r="E8030">
        <v>67.94</v>
      </c>
    </row>
    <row r="8031" spans="1:5" x14ac:dyDescent="0.2">
      <c r="A8031">
        <v>60617</v>
      </c>
      <c r="B8031" t="s">
        <v>20</v>
      </c>
      <c r="C8031">
        <v>60617</v>
      </c>
      <c r="D8031" t="str">
        <f>"60617"</f>
        <v>60617</v>
      </c>
      <c r="E8031">
        <v>59.2</v>
      </c>
    </row>
    <row r="8032" spans="1:5" x14ac:dyDescent="0.2">
      <c r="A8032">
        <v>60618</v>
      </c>
      <c r="B8032" t="s">
        <v>20</v>
      </c>
      <c r="C8032">
        <v>60618</v>
      </c>
      <c r="D8032" t="str">
        <f>"60618"</f>
        <v>60618</v>
      </c>
      <c r="E8032">
        <v>76.3</v>
      </c>
    </row>
    <row r="8033" spans="1:5" x14ac:dyDescent="0.2">
      <c r="A8033">
        <v>60619</v>
      </c>
      <c r="B8033" t="s">
        <v>20</v>
      </c>
      <c r="C8033">
        <v>60619</v>
      </c>
      <c r="D8033" t="str">
        <f>"60619"</f>
        <v>60619</v>
      </c>
      <c r="E8033">
        <v>59.47</v>
      </c>
    </row>
    <row r="8034" spans="1:5" x14ac:dyDescent="0.2">
      <c r="A8034">
        <v>60620</v>
      </c>
      <c r="B8034" t="s">
        <v>20</v>
      </c>
      <c r="C8034">
        <v>60620</v>
      </c>
      <c r="D8034" t="str">
        <f>"60620"</f>
        <v>60620</v>
      </c>
      <c r="E8034">
        <v>56.17</v>
      </c>
    </row>
    <row r="8035" spans="1:5" x14ac:dyDescent="0.2">
      <c r="A8035">
        <v>60621</v>
      </c>
      <c r="B8035" t="s">
        <v>20</v>
      </c>
      <c r="C8035">
        <v>60621</v>
      </c>
      <c r="D8035" t="str">
        <f>"60621"</f>
        <v>60621</v>
      </c>
      <c r="E8035">
        <v>39.58</v>
      </c>
    </row>
    <row r="8036" spans="1:5" x14ac:dyDescent="0.2">
      <c r="A8036">
        <v>60622</v>
      </c>
      <c r="B8036" t="s">
        <v>20</v>
      </c>
      <c r="C8036">
        <v>60622</v>
      </c>
      <c r="D8036" t="str">
        <f>"60622"</f>
        <v>60622</v>
      </c>
      <c r="E8036">
        <v>84.13</v>
      </c>
    </row>
    <row r="8037" spans="1:5" x14ac:dyDescent="0.2">
      <c r="A8037">
        <v>60623</v>
      </c>
      <c r="B8037" t="s">
        <v>20</v>
      </c>
      <c r="C8037">
        <v>60623</v>
      </c>
      <c r="D8037" t="str">
        <f>"60623"</f>
        <v>60623</v>
      </c>
      <c r="E8037">
        <v>46.3</v>
      </c>
    </row>
    <row r="8038" spans="1:5" x14ac:dyDescent="0.2">
      <c r="A8038">
        <v>60624</v>
      </c>
      <c r="B8038" t="s">
        <v>20</v>
      </c>
      <c r="C8038">
        <v>60624</v>
      </c>
      <c r="D8038" t="str">
        <f>"60624"</f>
        <v>60624</v>
      </c>
      <c r="E8038">
        <v>42.74</v>
      </c>
    </row>
    <row r="8039" spans="1:5" x14ac:dyDescent="0.2">
      <c r="A8039">
        <v>60625</v>
      </c>
      <c r="B8039" t="s">
        <v>20</v>
      </c>
      <c r="C8039">
        <v>60625</v>
      </c>
      <c r="D8039" t="str">
        <f>"60625"</f>
        <v>60625</v>
      </c>
      <c r="E8039">
        <v>72.790000000000006</v>
      </c>
    </row>
    <row r="8040" spans="1:5" x14ac:dyDescent="0.2">
      <c r="A8040">
        <v>60626</v>
      </c>
      <c r="B8040" t="s">
        <v>20</v>
      </c>
      <c r="C8040">
        <v>60626</v>
      </c>
      <c r="D8040" t="str">
        <f>"60626"</f>
        <v>60626</v>
      </c>
      <c r="E8040">
        <v>71.45</v>
      </c>
    </row>
    <row r="8041" spans="1:5" x14ac:dyDescent="0.2">
      <c r="A8041">
        <v>60628</v>
      </c>
      <c r="B8041" t="s">
        <v>20</v>
      </c>
      <c r="C8041">
        <v>60628</v>
      </c>
      <c r="D8041" t="str">
        <f>"60628"</f>
        <v>60628</v>
      </c>
      <c r="E8041">
        <v>55.25</v>
      </c>
    </row>
    <row r="8042" spans="1:5" x14ac:dyDescent="0.2">
      <c r="A8042">
        <v>60629</v>
      </c>
      <c r="B8042" t="s">
        <v>20</v>
      </c>
      <c r="C8042">
        <v>60629</v>
      </c>
      <c r="D8042" t="str">
        <f>"60629"</f>
        <v>60629</v>
      </c>
      <c r="E8042">
        <v>56.75</v>
      </c>
    </row>
    <row r="8043" spans="1:5" x14ac:dyDescent="0.2">
      <c r="A8043">
        <v>60630</v>
      </c>
      <c r="B8043" t="s">
        <v>20</v>
      </c>
      <c r="C8043">
        <v>60630</v>
      </c>
      <c r="D8043" t="str">
        <f>"60630"</f>
        <v>60630</v>
      </c>
      <c r="E8043">
        <v>73.5</v>
      </c>
    </row>
    <row r="8044" spans="1:5" x14ac:dyDescent="0.2">
      <c r="A8044">
        <v>60631</v>
      </c>
      <c r="B8044" t="s">
        <v>20</v>
      </c>
      <c r="C8044">
        <v>60631</v>
      </c>
      <c r="D8044" t="str">
        <f>"60631"</f>
        <v>60631</v>
      </c>
      <c r="E8044">
        <v>82.81</v>
      </c>
    </row>
    <row r="8045" spans="1:5" x14ac:dyDescent="0.2">
      <c r="A8045">
        <v>60632</v>
      </c>
      <c r="B8045" t="s">
        <v>20</v>
      </c>
      <c r="C8045">
        <v>60632</v>
      </c>
      <c r="D8045" t="str">
        <f>"60632"</f>
        <v>60632</v>
      </c>
      <c r="E8045">
        <v>55.92</v>
      </c>
    </row>
    <row r="8046" spans="1:5" x14ac:dyDescent="0.2">
      <c r="A8046">
        <v>60633</v>
      </c>
      <c r="B8046" t="s">
        <v>20</v>
      </c>
      <c r="C8046">
        <v>60633</v>
      </c>
      <c r="D8046" t="str">
        <f>"60633"</f>
        <v>60633</v>
      </c>
      <c r="E8046">
        <v>66.900000000000006</v>
      </c>
    </row>
    <row r="8047" spans="1:5" x14ac:dyDescent="0.2">
      <c r="A8047">
        <v>60634</v>
      </c>
      <c r="B8047" t="s">
        <v>20</v>
      </c>
      <c r="C8047">
        <v>60634</v>
      </c>
      <c r="D8047" t="str">
        <f>"60634"</f>
        <v>60634</v>
      </c>
      <c r="E8047">
        <v>69.88</v>
      </c>
    </row>
    <row r="8048" spans="1:5" x14ac:dyDescent="0.2">
      <c r="A8048">
        <v>60636</v>
      </c>
      <c r="B8048" t="s">
        <v>20</v>
      </c>
      <c r="C8048">
        <v>60636</v>
      </c>
      <c r="D8048" t="str">
        <f>"60636"</f>
        <v>60636</v>
      </c>
      <c r="E8048">
        <v>41.83</v>
      </c>
    </row>
    <row r="8049" spans="1:5" x14ac:dyDescent="0.2">
      <c r="A8049">
        <v>60637</v>
      </c>
      <c r="B8049" t="s">
        <v>20</v>
      </c>
      <c r="C8049">
        <v>60637</v>
      </c>
      <c r="D8049" t="str">
        <f>"60637"</f>
        <v>60637</v>
      </c>
      <c r="E8049">
        <v>53.91</v>
      </c>
    </row>
    <row r="8050" spans="1:5" x14ac:dyDescent="0.2">
      <c r="A8050">
        <v>60638</v>
      </c>
      <c r="B8050" t="s">
        <v>20</v>
      </c>
      <c r="C8050">
        <v>60638</v>
      </c>
      <c r="D8050" t="str">
        <f>"60638"</f>
        <v>60638</v>
      </c>
      <c r="E8050">
        <v>74.27</v>
      </c>
    </row>
    <row r="8051" spans="1:5" x14ac:dyDescent="0.2">
      <c r="A8051">
        <v>60639</v>
      </c>
      <c r="B8051" t="s">
        <v>20</v>
      </c>
      <c r="C8051">
        <v>60639</v>
      </c>
      <c r="D8051" t="str">
        <f>"60639"</f>
        <v>60639</v>
      </c>
      <c r="E8051">
        <v>56.39</v>
      </c>
    </row>
    <row r="8052" spans="1:5" x14ac:dyDescent="0.2">
      <c r="A8052">
        <v>60640</v>
      </c>
      <c r="B8052" t="s">
        <v>20</v>
      </c>
      <c r="C8052">
        <v>60640</v>
      </c>
      <c r="D8052" t="str">
        <f>"60640"</f>
        <v>60640</v>
      </c>
      <c r="E8052">
        <v>79.849999999999994</v>
      </c>
    </row>
    <row r="8053" spans="1:5" x14ac:dyDescent="0.2">
      <c r="A8053">
        <v>60641</v>
      </c>
      <c r="B8053" t="s">
        <v>20</v>
      </c>
      <c r="C8053">
        <v>60641</v>
      </c>
      <c r="D8053" t="str">
        <f>"60641"</f>
        <v>60641</v>
      </c>
      <c r="E8053">
        <v>67.78</v>
      </c>
    </row>
    <row r="8054" spans="1:5" x14ac:dyDescent="0.2">
      <c r="A8054">
        <v>60642</v>
      </c>
      <c r="B8054" t="s">
        <v>20</v>
      </c>
      <c r="C8054">
        <v>60642</v>
      </c>
      <c r="D8054" t="str">
        <f>"60642"</f>
        <v>60642</v>
      </c>
      <c r="E8054">
        <v>87.24</v>
      </c>
    </row>
    <row r="8055" spans="1:5" x14ac:dyDescent="0.2">
      <c r="A8055">
        <v>60643</v>
      </c>
      <c r="B8055" t="s">
        <v>20</v>
      </c>
      <c r="C8055">
        <v>60643</v>
      </c>
      <c r="D8055" t="str">
        <f>"60643"</f>
        <v>60643</v>
      </c>
      <c r="E8055">
        <v>69.400000000000006</v>
      </c>
    </row>
    <row r="8056" spans="1:5" x14ac:dyDescent="0.2">
      <c r="A8056">
        <v>60644</v>
      </c>
      <c r="B8056" t="s">
        <v>20</v>
      </c>
      <c r="C8056">
        <v>60644</v>
      </c>
      <c r="D8056" t="str">
        <f>"60644"</f>
        <v>60644</v>
      </c>
      <c r="E8056">
        <v>46.89</v>
      </c>
    </row>
    <row r="8057" spans="1:5" x14ac:dyDescent="0.2">
      <c r="A8057">
        <v>60645</v>
      </c>
      <c r="B8057" t="s">
        <v>20</v>
      </c>
      <c r="C8057">
        <v>60645</v>
      </c>
      <c r="D8057" t="str">
        <f>"60645"</f>
        <v>60645</v>
      </c>
      <c r="E8057">
        <v>62.78</v>
      </c>
    </row>
    <row r="8058" spans="1:5" x14ac:dyDescent="0.2">
      <c r="A8058">
        <v>60646</v>
      </c>
      <c r="B8058" t="s">
        <v>20</v>
      </c>
      <c r="C8058">
        <v>60646</v>
      </c>
      <c r="D8058" t="str">
        <f>"60646"</f>
        <v>60646</v>
      </c>
      <c r="E8058">
        <v>78.94</v>
      </c>
    </row>
    <row r="8059" spans="1:5" x14ac:dyDescent="0.2">
      <c r="A8059">
        <v>60647</v>
      </c>
      <c r="B8059" t="s">
        <v>20</v>
      </c>
      <c r="C8059">
        <v>60647</v>
      </c>
      <c r="D8059" t="str">
        <f>"60647"</f>
        <v>60647</v>
      </c>
      <c r="E8059">
        <v>78.95</v>
      </c>
    </row>
    <row r="8060" spans="1:5" x14ac:dyDescent="0.2">
      <c r="A8060">
        <v>60649</v>
      </c>
      <c r="B8060" t="s">
        <v>20</v>
      </c>
      <c r="C8060">
        <v>60649</v>
      </c>
      <c r="D8060" t="str">
        <f>"60649"</f>
        <v>60649</v>
      </c>
      <c r="E8060">
        <v>56.25</v>
      </c>
    </row>
    <row r="8061" spans="1:5" x14ac:dyDescent="0.2">
      <c r="A8061">
        <v>60651</v>
      </c>
      <c r="B8061" t="s">
        <v>20</v>
      </c>
      <c r="C8061">
        <v>60651</v>
      </c>
      <c r="D8061" t="str">
        <f>"60651"</f>
        <v>60651</v>
      </c>
      <c r="E8061">
        <v>52.68</v>
      </c>
    </row>
    <row r="8062" spans="1:5" x14ac:dyDescent="0.2">
      <c r="A8062">
        <v>60652</v>
      </c>
      <c r="B8062" t="s">
        <v>20</v>
      </c>
      <c r="C8062">
        <v>60652</v>
      </c>
      <c r="D8062" t="str">
        <f>"60652"</f>
        <v>60652</v>
      </c>
      <c r="E8062">
        <v>68.150000000000006</v>
      </c>
    </row>
    <row r="8063" spans="1:5" x14ac:dyDescent="0.2">
      <c r="A8063">
        <v>60653</v>
      </c>
      <c r="B8063" t="s">
        <v>20</v>
      </c>
      <c r="C8063">
        <v>60653</v>
      </c>
      <c r="D8063" t="str">
        <f>"60653"</f>
        <v>60653</v>
      </c>
      <c r="E8063">
        <v>58.08</v>
      </c>
    </row>
    <row r="8064" spans="1:5" x14ac:dyDescent="0.2">
      <c r="A8064">
        <v>60654</v>
      </c>
      <c r="B8064" t="s">
        <v>20</v>
      </c>
      <c r="C8064">
        <v>60654</v>
      </c>
      <c r="D8064" t="str">
        <f>"60654"</f>
        <v>60654</v>
      </c>
      <c r="E8064">
        <v>93.89</v>
      </c>
    </row>
    <row r="8065" spans="1:5" x14ac:dyDescent="0.2">
      <c r="A8065">
        <v>60655</v>
      </c>
      <c r="B8065" t="s">
        <v>20</v>
      </c>
      <c r="C8065">
        <v>60655</v>
      </c>
      <c r="D8065" t="str">
        <f>"60655"</f>
        <v>60655</v>
      </c>
      <c r="E8065">
        <v>84.75</v>
      </c>
    </row>
    <row r="8066" spans="1:5" x14ac:dyDescent="0.2">
      <c r="A8066">
        <v>60656</v>
      </c>
      <c r="B8066" t="s">
        <v>20</v>
      </c>
      <c r="C8066">
        <v>60656</v>
      </c>
      <c r="D8066" t="str">
        <f>"60656"</f>
        <v>60656</v>
      </c>
      <c r="E8066">
        <v>75.66</v>
      </c>
    </row>
    <row r="8067" spans="1:5" x14ac:dyDescent="0.2">
      <c r="A8067">
        <v>60657</v>
      </c>
      <c r="B8067" t="s">
        <v>20</v>
      </c>
      <c r="C8067">
        <v>60657</v>
      </c>
      <c r="D8067" t="str">
        <f>"60657"</f>
        <v>60657</v>
      </c>
      <c r="E8067">
        <v>90.66</v>
      </c>
    </row>
    <row r="8068" spans="1:5" x14ac:dyDescent="0.2">
      <c r="A8068">
        <v>60659</v>
      </c>
      <c r="B8068" t="s">
        <v>20</v>
      </c>
      <c r="C8068">
        <v>60659</v>
      </c>
      <c r="D8068" t="str">
        <f>"60659"</f>
        <v>60659</v>
      </c>
      <c r="E8068">
        <v>59.11</v>
      </c>
    </row>
    <row r="8069" spans="1:5" x14ac:dyDescent="0.2">
      <c r="A8069">
        <v>60660</v>
      </c>
      <c r="B8069" t="s">
        <v>20</v>
      </c>
      <c r="C8069">
        <v>60660</v>
      </c>
      <c r="D8069" t="str">
        <f>"60660"</f>
        <v>60660</v>
      </c>
      <c r="E8069">
        <v>77.5</v>
      </c>
    </row>
    <row r="8070" spans="1:5" x14ac:dyDescent="0.2">
      <c r="A8070">
        <v>60661</v>
      </c>
      <c r="B8070" t="s">
        <v>20</v>
      </c>
      <c r="C8070">
        <v>60661</v>
      </c>
      <c r="D8070" t="str">
        <f>"60661"</f>
        <v>60661</v>
      </c>
      <c r="E8070">
        <v>94.02</v>
      </c>
    </row>
    <row r="8071" spans="1:5" x14ac:dyDescent="0.2">
      <c r="A8071">
        <v>60666</v>
      </c>
      <c r="B8071" t="s">
        <v>20</v>
      </c>
      <c r="C8071">
        <v>60666</v>
      </c>
      <c r="D8071" t="str">
        <f>"60666"</f>
        <v>60666</v>
      </c>
      <c r="E8071" t="s">
        <v>6</v>
      </c>
    </row>
    <row r="8072" spans="1:5" x14ac:dyDescent="0.2">
      <c r="A8072">
        <v>60669</v>
      </c>
      <c r="B8072" t="s">
        <v>20</v>
      </c>
      <c r="C8072">
        <v>60669</v>
      </c>
      <c r="D8072" t="str">
        <f>"60669"</f>
        <v>60669</v>
      </c>
      <c r="E8072" t="s">
        <v>6</v>
      </c>
    </row>
    <row r="8073" spans="1:5" x14ac:dyDescent="0.2">
      <c r="A8073">
        <v>60674</v>
      </c>
      <c r="B8073" t="s">
        <v>20</v>
      </c>
      <c r="C8073">
        <v>60674</v>
      </c>
      <c r="D8073" t="str">
        <f>"60674"</f>
        <v>60674</v>
      </c>
      <c r="E8073" t="s">
        <v>6</v>
      </c>
    </row>
    <row r="8074" spans="1:5" x14ac:dyDescent="0.2">
      <c r="A8074">
        <v>60688</v>
      </c>
      <c r="B8074" t="s">
        <v>20</v>
      </c>
      <c r="C8074">
        <v>60688</v>
      </c>
      <c r="D8074" t="str">
        <f>"60688"</f>
        <v>60688</v>
      </c>
      <c r="E8074" t="s">
        <v>6</v>
      </c>
    </row>
    <row r="8075" spans="1:5" x14ac:dyDescent="0.2">
      <c r="A8075">
        <v>60701</v>
      </c>
      <c r="B8075" t="s">
        <v>20</v>
      </c>
      <c r="C8075">
        <v>60701</v>
      </c>
      <c r="D8075" t="str">
        <f>"60701"</f>
        <v>60701</v>
      </c>
      <c r="E8075" t="s">
        <v>6</v>
      </c>
    </row>
    <row r="8076" spans="1:5" x14ac:dyDescent="0.2">
      <c r="A8076">
        <v>60706</v>
      </c>
      <c r="B8076" t="s">
        <v>20</v>
      </c>
      <c r="C8076">
        <v>60706</v>
      </c>
      <c r="D8076" t="str">
        <f>"60706"</f>
        <v>60706</v>
      </c>
      <c r="E8076">
        <v>73.22</v>
      </c>
    </row>
    <row r="8077" spans="1:5" x14ac:dyDescent="0.2">
      <c r="A8077">
        <v>60707</v>
      </c>
      <c r="B8077" t="s">
        <v>20</v>
      </c>
      <c r="C8077">
        <v>60707</v>
      </c>
      <c r="D8077" t="str">
        <f>"60707"</f>
        <v>60707</v>
      </c>
      <c r="E8077">
        <v>72</v>
      </c>
    </row>
    <row r="8078" spans="1:5" x14ac:dyDescent="0.2">
      <c r="A8078">
        <v>60712</v>
      </c>
      <c r="B8078" t="s">
        <v>20</v>
      </c>
      <c r="C8078">
        <v>60712</v>
      </c>
      <c r="D8078" t="str">
        <f>"60712"</f>
        <v>60712</v>
      </c>
      <c r="E8078">
        <v>72.42</v>
      </c>
    </row>
    <row r="8079" spans="1:5" x14ac:dyDescent="0.2">
      <c r="A8079">
        <v>60714</v>
      </c>
      <c r="B8079" t="s">
        <v>20</v>
      </c>
      <c r="C8079">
        <v>60714</v>
      </c>
      <c r="D8079" t="str">
        <f>"60714"</f>
        <v>60714</v>
      </c>
      <c r="E8079">
        <v>72.63</v>
      </c>
    </row>
    <row r="8080" spans="1:5" x14ac:dyDescent="0.2">
      <c r="A8080">
        <v>60803</v>
      </c>
      <c r="B8080" t="s">
        <v>20</v>
      </c>
      <c r="C8080">
        <v>60803</v>
      </c>
      <c r="D8080" t="str">
        <f>"60803"</f>
        <v>60803</v>
      </c>
      <c r="E8080">
        <v>72.92</v>
      </c>
    </row>
    <row r="8081" spans="1:5" x14ac:dyDescent="0.2">
      <c r="A8081">
        <v>60804</v>
      </c>
      <c r="B8081" t="s">
        <v>20</v>
      </c>
      <c r="C8081">
        <v>60804</v>
      </c>
      <c r="D8081" t="str">
        <f>"60804"</f>
        <v>60804</v>
      </c>
      <c r="E8081">
        <v>56.35</v>
      </c>
    </row>
    <row r="8082" spans="1:5" x14ac:dyDescent="0.2">
      <c r="A8082">
        <v>60805</v>
      </c>
      <c r="B8082" t="s">
        <v>20</v>
      </c>
      <c r="C8082">
        <v>60805</v>
      </c>
      <c r="D8082" t="str">
        <f>"60805"</f>
        <v>60805</v>
      </c>
      <c r="E8082">
        <v>75.52</v>
      </c>
    </row>
    <row r="8083" spans="1:5" x14ac:dyDescent="0.2">
      <c r="A8083">
        <v>60827</v>
      </c>
      <c r="B8083" t="s">
        <v>20</v>
      </c>
      <c r="C8083">
        <v>60827</v>
      </c>
      <c r="D8083" t="str">
        <f>"60827"</f>
        <v>60827</v>
      </c>
      <c r="E8083">
        <v>48.92</v>
      </c>
    </row>
    <row r="8084" spans="1:5" x14ac:dyDescent="0.2">
      <c r="A8084">
        <v>60901</v>
      </c>
      <c r="B8084" t="s">
        <v>20</v>
      </c>
      <c r="C8084">
        <v>60901</v>
      </c>
      <c r="D8084" t="str">
        <f>"60901"</f>
        <v>60901</v>
      </c>
      <c r="E8084">
        <v>62.36</v>
      </c>
    </row>
    <row r="8085" spans="1:5" x14ac:dyDescent="0.2">
      <c r="A8085">
        <v>60910</v>
      </c>
      <c r="B8085" t="s">
        <v>20</v>
      </c>
      <c r="C8085">
        <v>60910</v>
      </c>
      <c r="D8085" t="str">
        <f>"60910"</f>
        <v>60910</v>
      </c>
      <c r="E8085" t="s">
        <v>6</v>
      </c>
    </row>
    <row r="8086" spans="1:5" x14ac:dyDescent="0.2">
      <c r="A8086">
        <v>60911</v>
      </c>
      <c r="B8086" t="s">
        <v>20</v>
      </c>
      <c r="C8086">
        <v>60911</v>
      </c>
      <c r="D8086" t="str">
        <f>"60911"</f>
        <v>60911</v>
      </c>
      <c r="E8086">
        <v>76.92</v>
      </c>
    </row>
    <row r="8087" spans="1:5" x14ac:dyDescent="0.2">
      <c r="A8087">
        <v>60912</v>
      </c>
      <c r="B8087" t="s">
        <v>20</v>
      </c>
      <c r="C8087">
        <v>60912</v>
      </c>
      <c r="D8087" t="str">
        <f>"60912"</f>
        <v>60912</v>
      </c>
      <c r="E8087">
        <v>66.67</v>
      </c>
    </row>
    <row r="8088" spans="1:5" x14ac:dyDescent="0.2">
      <c r="A8088">
        <v>60913</v>
      </c>
      <c r="B8088" t="s">
        <v>20</v>
      </c>
      <c r="C8088">
        <v>60913</v>
      </c>
      <c r="D8088" t="str">
        <f>"60913"</f>
        <v>60913</v>
      </c>
      <c r="E8088">
        <v>80.819999999999993</v>
      </c>
    </row>
    <row r="8089" spans="1:5" x14ac:dyDescent="0.2">
      <c r="A8089">
        <v>60914</v>
      </c>
      <c r="B8089" t="s">
        <v>20</v>
      </c>
      <c r="C8089">
        <v>60914</v>
      </c>
      <c r="D8089" t="str">
        <f>"60914"</f>
        <v>60914</v>
      </c>
      <c r="E8089">
        <v>73.78</v>
      </c>
    </row>
    <row r="8090" spans="1:5" x14ac:dyDescent="0.2">
      <c r="A8090">
        <v>60915</v>
      </c>
      <c r="B8090" t="s">
        <v>20</v>
      </c>
      <c r="C8090">
        <v>60915</v>
      </c>
      <c r="D8090" t="str">
        <f>"60915"</f>
        <v>60915</v>
      </c>
      <c r="E8090">
        <v>70.39</v>
      </c>
    </row>
    <row r="8091" spans="1:5" x14ac:dyDescent="0.2">
      <c r="A8091">
        <v>60917</v>
      </c>
      <c r="B8091" t="s">
        <v>20</v>
      </c>
      <c r="C8091">
        <v>60917</v>
      </c>
      <c r="D8091" t="str">
        <f>"60917"</f>
        <v>60917</v>
      </c>
      <c r="E8091">
        <v>72</v>
      </c>
    </row>
    <row r="8092" spans="1:5" x14ac:dyDescent="0.2">
      <c r="A8092">
        <v>60918</v>
      </c>
      <c r="B8092" t="s">
        <v>20</v>
      </c>
      <c r="C8092">
        <v>60918</v>
      </c>
      <c r="D8092" t="str">
        <f>"60918"</f>
        <v>60918</v>
      </c>
      <c r="E8092">
        <v>77.27</v>
      </c>
    </row>
    <row r="8093" spans="1:5" x14ac:dyDescent="0.2">
      <c r="A8093">
        <v>60919</v>
      </c>
      <c r="B8093" t="s">
        <v>20</v>
      </c>
      <c r="C8093">
        <v>60919</v>
      </c>
      <c r="D8093" t="str">
        <f>"60919"</f>
        <v>60919</v>
      </c>
      <c r="E8093">
        <v>72.73</v>
      </c>
    </row>
    <row r="8094" spans="1:5" x14ac:dyDescent="0.2">
      <c r="A8094">
        <v>60920</v>
      </c>
      <c r="B8094" t="s">
        <v>20</v>
      </c>
      <c r="C8094">
        <v>60920</v>
      </c>
      <c r="D8094" t="str">
        <f>"60920"</f>
        <v>60920</v>
      </c>
      <c r="E8094" t="s">
        <v>6</v>
      </c>
    </row>
    <row r="8095" spans="1:5" x14ac:dyDescent="0.2">
      <c r="A8095">
        <v>60921</v>
      </c>
      <c r="B8095" t="s">
        <v>20</v>
      </c>
      <c r="C8095">
        <v>60921</v>
      </c>
      <c r="D8095" t="str">
        <f>"60921"</f>
        <v>60921</v>
      </c>
      <c r="E8095">
        <v>68.75</v>
      </c>
    </row>
    <row r="8096" spans="1:5" x14ac:dyDescent="0.2">
      <c r="A8096">
        <v>60922</v>
      </c>
      <c r="B8096" t="s">
        <v>20</v>
      </c>
      <c r="C8096">
        <v>60922</v>
      </c>
      <c r="D8096" t="str">
        <f>"60922"</f>
        <v>60922</v>
      </c>
      <c r="E8096">
        <v>70.09</v>
      </c>
    </row>
    <row r="8097" spans="1:5" x14ac:dyDescent="0.2">
      <c r="A8097">
        <v>60924</v>
      </c>
      <c r="B8097" t="s">
        <v>20</v>
      </c>
      <c r="C8097">
        <v>60924</v>
      </c>
      <c r="D8097" t="str">
        <f>"60924"</f>
        <v>60924</v>
      </c>
      <c r="E8097">
        <v>73.680000000000007</v>
      </c>
    </row>
    <row r="8098" spans="1:5" x14ac:dyDescent="0.2">
      <c r="A8098">
        <v>60926</v>
      </c>
      <c r="B8098" t="s">
        <v>20</v>
      </c>
      <c r="C8098">
        <v>60926</v>
      </c>
      <c r="D8098" t="str">
        <f>"60926"</f>
        <v>60926</v>
      </c>
      <c r="E8098" t="s">
        <v>6</v>
      </c>
    </row>
    <row r="8099" spans="1:5" x14ac:dyDescent="0.2">
      <c r="A8099">
        <v>60927</v>
      </c>
      <c r="B8099" t="s">
        <v>20</v>
      </c>
      <c r="C8099">
        <v>60927</v>
      </c>
      <c r="D8099" t="str">
        <f>"60927"</f>
        <v>60927</v>
      </c>
      <c r="E8099">
        <v>74.760000000000005</v>
      </c>
    </row>
    <row r="8100" spans="1:5" x14ac:dyDescent="0.2">
      <c r="A8100">
        <v>60928</v>
      </c>
      <c r="B8100" t="s">
        <v>20</v>
      </c>
      <c r="C8100">
        <v>60928</v>
      </c>
      <c r="D8100" t="str">
        <f>"60928"</f>
        <v>60928</v>
      </c>
      <c r="E8100">
        <v>72.22</v>
      </c>
    </row>
    <row r="8101" spans="1:5" x14ac:dyDescent="0.2">
      <c r="A8101">
        <v>60929</v>
      </c>
      <c r="B8101" t="s">
        <v>20</v>
      </c>
      <c r="C8101">
        <v>60929</v>
      </c>
      <c r="D8101" t="str">
        <f>"60929"</f>
        <v>60929</v>
      </c>
      <c r="E8101">
        <v>72.22</v>
      </c>
    </row>
    <row r="8102" spans="1:5" x14ac:dyDescent="0.2">
      <c r="A8102">
        <v>60930</v>
      </c>
      <c r="B8102" t="s">
        <v>20</v>
      </c>
      <c r="C8102">
        <v>60930</v>
      </c>
      <c r="D8102" t="str">
        <f>"60930"</f>
        <v>60930</v>
      </c>
      <c r="E8102">
        <v>72.5</v>
      </c>
    </row>
    <row r="8103" spans="1:5" x14ac:dyDescent="0.2">
      <c r="A8103">
        <v>60931</v>
      </c>
      <c r="B8103" t="s">
        <v>20</v>
      </c>
      <c r="C8103">
        <v>60931</v>
      </c>
      <c r="D8103" t="str">
        <f>"60931"</f>
        <v>60931</v>
      </c>
      <c r="E8103">
        <v>73.33</v>
      </c>
    </row>
    <row r="8104" spans="1:5" x14ac:dyDescent="0.2">
      <c r="A8104">
        <v>60932</v>
      </c>
      <c r="B8104" t="s">
        <v>20</v>
      </c>
      <c r="C8104">
        <v>60932</v>
      </c>
      <c r="D8104" t="str">
        <f>"60932"</f>
        <v>60932</v>
      </c>
      <c r="E8104" t="s">
        <v>6</v>
      </c>
    </row>
    <row r="8105" spans="1:5" x14ac:dyDescent="0.2">
      <c r="A8105">
        <v>60933</v>
      </c>
      <c r="B8105" t="s">
        <v>20</v>
      </c>
      <c r="C8105">
        <v>60933</v>
      </c>
      <c r="D8105" t="str">
        <f>"60933"</f>
        <v>60933</v>
      </c>
      <c r="E8105" t="s">
        <v>6</v>
      </c>
    </row>
    <row r="8106" spans="1:5" x14ac:dyDescent="0.2">
      <c r="A8106">
        <v>60934</v>
      </c>
      <c r="B8106" t="s">
        <v>20</v>
      </c>
      <c r="C8106">
        <v>60934</v>
      </c>
      <c r="D8106" t="str">
        <f>"60934"</f>
        <v>60934</v>
      </c>
      <c r="E8106">
        <v>75</v>
      </c>
    </row>
    <row r="8107" spans="1:5" x14ac:dyDescent="0.2">
      <c r="A8107">
        <v>60935</v>
      </c>
      <c r="B8107" t="s">
        <v>20</v>
      </c>
      <c r="C8107">
        <v>60935</v>
      </c>
      <c r="D8107" t="str">
        <f>"60935"</f>
        <v>60935</v>
      </c>
      <c r="E8107">
        <v>82.69</v>
      </c>
    </row>
    <row r="8108" spans="1:5" x14ac:dyDescent="0.2">
      <c r="A8108">
        <v>60936</v>
      </c>
      <c r="B8108" t="s">
        <v>20</v>
      </c>
      <c r="C8108">
        <v>60936</v>
      </c>
      <c r="D8108" t="str">
        <f>"60936"</f>
        <v>60936</v>
      </c>
      <c r="E8108">
        <v>73.53</v>
      </c>
    </row>
    <row r="8109" spans="1:5" x14ac:dyDescent="0.2">
      <c r="A8109">
        <v>60938</v>
      </c>
      <c r="B8109" t="s">
        <v>20</v>
      </c>
      <c r="C8109">
        <v>60938</v>
      </c>
      <c r="D8109" t="str">
        <f>"60938"</f>
        <v>60938</v>
      </c>
      <c r="E8109">
        <v>65.66</v>
      </c>
    </row>
    <row r="8110" spans="1:5" x14ac:dyDescent="0.2">
      <c r="A8110">
        <v>60939</v>
      </c>
      <c r="B8110" t="s">
        <v>20</v>
      </c>
      <c r="C8110">
        <v>60939</v>
      </c>
      <c r="D8110" t="str">
        <f>"60939"</f>
        <v>60939</v>
      </c>
      <c r="E8110" t="s">
        <v>6</v>
      </c>
    </row>
    <row r="8111" spans="1:5" x14ac:dyDescent="0.2">
      <c r="A8111">
        <v>60940</v>
      </c>
      <c r="B8111" t="s">
        <v>20</v>
      </c>
      <c r="C8111">
        <v>60940</v>
      </c>
      <c r="D8111" t="str">
        <f>"60940"</f>
        <v>60940</v>
      </c>
      <c r="E8111">
        <v>76.400000000000006</v>
      </c>
    </row>
    <row r="8112" spans="1:5" x14ac:dyDescent="0.2">
      <c r="A8112">
        <v>60941</v>
      </c>
      <c r="B8112" t="s">
        <v>20</v>
      </c>
      <c r="C8112">
        <v>60941</v>
      </c>
      <c r="D8112" t="str">
        <f>"60941"</f>
        <v>60941</v>
      </c>
      <c r="E8112">
        <v>78.13</v>
      </c>
    </row>
    <row r="8113" spans="1:5" x14ac:dyDescent="0.2">
      <c r="A8113">
        <v>60942</v>
      </c>
      <c r="B8113" t="s">
        <v>20</v>
      </c>
      <c r="C8113">
        <v>60942</v>
      </c>
      <c r="D8113" t="str">
        <f>"60942"</f>
        <v>60942</v>
      </c>
      <c r="E8113">
        <v>63.05</v>
      </c>
    </row>
    <row r="8114" spans="1:5" x14ac:dyDescent="0.2">
      <c r="A8114">
        <v>60945</v>
      </c>
      <c r="B8114" t="s">
        <v>20</v>
      </c>
      <c r="C8114">
        <v>60945</v>
      </c>
      <c r="D8114" t="str">
        <f>"60945"</f>
        <v>60945</v>
      </c>
      <c r="E8114" t="s">
        <v>6</v>
      </c>
    </row>
    <row r="8115" spans="1:5" x14ac:dyDescent="0.2">
      <c r="A8115">
        <v>60946</v>
      </c>
      <c r="B8115" t="s">
        <v>20</v>
      </c>
      <c r="C8115">
        <v>60946</v>
      </c>
      <c r="D8115" t="str">
        <f>"60946"</f>
        <v>60946</v>
      </c>
      <c r="E8115">
        <v>70.59</v>
      </c>
    </row>
    <row r="8116" spans="1:5" x14ac:dyDescent="0.2">
      <c r="A8116">
        <v>60948</v>
      </c>
      <c r="B8116" t="s">
        <v>20</v>
      </c>
      <c r="C8116">
        <v>60948</v>
      </c>
      <c r="D8116" t="str">
        <f>"60948"</f>
        <v>60948</v>
      </c>
      <c r="E8116">
        <v>74.319999999999993</v>
      </c>
    </row>
    <row r="8117" spans="1:5" x14ac:dyDescent="0.2">
      <c r="A8117">
        <v>60949</v>
      </c>
      <c r="B8117" t="s">
        <v>20</v>
      </c>
      <c r="C8117">
        <v>60949</v>
      </c>
      <c r="D8117" t="str">
        <f>"60949"</f>
        <v>60949</v>
      </c>
      <c r="E8117">
        <v>60.87</v>
      </c>
    </row>
    <row r="8118" spans="1:5" x14ac:dyDescent="0.2">
      <c r="A8118">
        <v>60950</v>
      </c>
      <c r="B8118" t="s">
        <v>20</v>
      </c>
      <c r="C8118">
        <v>60950</v>
      </c>
      <c r="D8118" t="str">
        <f>"60950"</f>
        <v>60950</v>
      </c>
      <c r="E8118">
        <v>76.819999999999993</v>
      </c>
    </row>
    <row r="8119" spans="1:5" x14ac:dyDescent="0.2">
      <c r="A8119">
        <v>60951</v>
      </c>
      <c r="B8119" t="s">
        <v>20</v>
      </c>
      <c r="C8119">
        <v>60951</v>
      </c>
      <c r="D8119" t="str">
        <f>"60951"</f>
        <v>60951</v>
      </c>
      <c r="E8119">
        <v>76.319999999999993</v>
      </c>
    </row>
    <row r="8120" spans="1:5" x14ac:dyDescent="0.2">
      <c r="A8120">
        <v>60952</v>
      </c>
      <c r="B8120" t="s">
        <v>20</v>
      </c>
      <c r="C8120">
        <v>60952</v>
      </c>
      <c r="D8120" t="str">
        <f>"60952"</f>
        <v>60952</v>
      </c>
      <c r="E8120">
        <v>68.97</v>
      </c>
    </row>
    <row r="8121" spans="1:5" x14ac:dyDescent="0.2">
      <c r="A8121">
        <v>60953</v>
      </c>
      <c r="B8121" t="s">
        <v>20</v>
      </c>
      <c r="C8121">
        <v>60953</v>
      </c>
      <c r="D8121" t="str">
        <f>"60953"</f>
        <v>60953</v>
      </c>
      <c r="E8121">
        <v>68.63</v>
      </c>
    </row>
    <row r="8122" spans="1:5" x14ac:dyDescent="0.2">
      <c r="A8122">
        <v>60954</v>
      </c>
      <c r="B8122" t="s">
        <v>20</v>
      </c>
      <c r="C8122">
        <v>60954</v>
      </c>
      <c r="D8122" t="str">
        <f>"60954"</f>
        <v>60954</v>
      </c>
      <c r="E8122">
        <v>73.03</v>
      </c>
    </row>
    <row r="8123" spans="1:5" x14ac:dyDescent="0.2">
      <c r="A8123">
        <v>60955</v>
      </c>
      <c r="B8123" t="s">
        <v>20</v>
      </c>
      <c r="C8123">
        <v>60955</v>
      </c>
      <c r="D8123" t="str">
        <f>"60955"</f>
        <v>60955</v>
      </c>
      <c r="E8123">
        <v>67.03</v>
      </c>
    </row>
    <row r="8124" spans="1:5" x14ac:dyDescent="0.2">
      <c r="A8124">
        <v>60956</v>
      </c>
      <c r="B8124" t="s">
        <v>20</v>
      </c>
      <c r="C8124">
        <v>60956</v>
      </c>
      <c r="D8124" t="str">
        <f>"60956"</f>
        <v>60956</v>
      </c>
      <c r="E8124" t="s">
        <v>6</v>
      </c>
    </row>
    <row r="8125" spans="1:5" x14ac:dyDescent="0.2">
      <c r="A8125">
        <v>60957</v>
      </c>
      <c r="B8125" t="s">
        <v>20</v>
      </c>
      <c r="C8125">
        <v>60957</v>
      </c>
      <c r="D8125" t="str">
        <f>"60957"</f>
        <v>60957</v>
      </c>
      <c r="E8125">
        <v>72.05</v>
      </c>
    </row>
    <row r="8126" spans="1:5" x14ac:dyDescent="0.2">
      <c r="A8126">
        <v>60958</v>
      </c>
      <c r="B8126" t="s">
        <v>20</v>
      </c>
      <c r="C8126">
        <v>60958</v>
      </c>
      <c r="D8126" t="str">
        <f>"60958"</f>
        <v>60958</v>
      </c>
      <c r="E8126">
        <v>48.48</v>
      </c>
    </row>
    <row r="8127" spans="1:5" x14ac:dyDescent="0.2">
      <c r="A8127">
        <v>60959</v>
      </c>
      <c r="B8127" t="s">
        <v>20</v>
      </c>
      <c r="C8127">
        <v>60959</v>
      </c>
      <c r="D8127" t="str">
        <f>"60959"</f>
        <v>60959</v>
      </c>
      <c r="E8127">
        <v>70.83</v>
      </c>
    </row>
    <row r="8128" spans="1:5" x14ac:dyDescent="0.2">
      <c r="A8128">
        <v>60960</v>
      </c>
      <c r="B8128" t="s">
        <v>20</v>
      </c>
      <c r="C8128">
        <v>60960</v>
      </c>
      <c r="D8128" t="str">
        <f>"60960"</f>
        <v>60960</v>
      </c>
      <c r="E8128">
        <v>65.790000000000006</v>
      </c>
    </row>
    <row r="8129" spans="1:5" x14ac:dyDescent="0.2">
      <c r="A8129">
        <v>60961</v>
      </c>
      <c r="B8129" t="s">
        <v>20</v>
      </c>
      <c r="C8129">
        <v>60961</v>
      </c>
      <c r="D8129" t="str">
        <f>"60961"</f>
        <v>60961</v>
      </c>
      <c r="E8129">
        <v>78.38</v>
      </c>
    </row>
    <row r="8130" spans="1:5" x14ac:dyDescent="0.2">
      <c r="A8130">
        <v>60962</v>
      </c>
      <c r="B8130" t="s">
        <v>20</v>
      </c>
      <c r="C8130">
        <v>60962</v>
      </c>
      <c r="D8130" t="str">
        <f>"60962"</f>
        <v>60962</v>
      </c>
      <c r="E8130">
        <v>66.67</v>
      </c>
    </row>
    <row r="8131" spans="1:5" x14ac:dyDescent="0.2">
      <c r="A8131">
        <v>60963</v>
      </c>
      <c r="B8131" t="s">
        <v>20</v>
      </c>
      <c r="C8131">
        <v>60963</v>
      </c>
      <c r="D8131" t="str">
        <f>"60963"</f>
        <v>60963</v>
      </c>
      <c r="E8131">
        <v>66.67</v>
      </c>
    </row>
    <row r="8132" spans="1:5" x14ac:dyDescent="0.2">
      <c r="A8132">
        <v>60964</v>
      </c>
      <c r="B8132" t="s">
        <v>20</v>
      </c>
      <c r="C8132">
        <v>60964</v>
      </c>
      <c r="D8132" t="str">
        <f>"60964"</f>
        <v>60964</v>
      </c>
      <c r="E8132">
        <v>71.489999999999995</v>
      </c>
    </row>
    <row r="8133" spans="1:5" x14ac:dyDescent="0.2">
      <c r="A8133">
        <v>60966</v>
      </c>
      <c r="B8133" t="s">
        <v>20</v>
      </c>
      <c r="C8133">
        <v>60966</v>
      </c>
      <c r="D8133" t="str">
        <f>"60966"</f>
        <v>60966</v>
      </c>
      <c r="E8133">
        <v>69.84</v>
      </c>
    </row>
    <row r="8134" spans="1:5" x14ac:dyDescent="0.2">
      <c r="A8134">
        <v>60967</v>
      </c>
      <c r="B8134" t="s">
        <v>20</v>
      </c>
      <c r="C8134">
        <v>60967</v>
      </c>
      <c r="D8134" t="str">
        <f>"60967"</f>
        <v>60967</v>
      </c>
      <c r="E8134" t="s">
        <v>6</v>
      </c>
    </row>
    <row r="8135" spans="1:5" x14ac:dyDescent="0.2">
      <c r="A8135">
        <v>60968</v>
      </c>
      <c r="B8135" t="s">
        <v>20</v>
      </c>
      <c r="C8135">
        <v>60968</v>
      </c>
      <c r="D8135" t="str">
        <f>"60968"</f>
        <v>60968</v>
      </c>
      <c r="E8135">
        <v>61.11</v>
      </c>
    </row>
    <row r="8136" spans="1:5" x14ac:dyDescent="0.2">
      <c r="A8136">
        <v>60969</v>
      </c>
      <c r="B8136" t="s">
        <v>20</v>
      </c>
      <c r="C8136">
        <v>60969</v>
      </c>
      <c r="D8136" t="str">
        <f>"60969"</f>
        <v>60969</v>
      </c>
      <c r="E8136" t="s">
        <v>6</v>
      </c>
    </row>
    <row r="8137" spans="1:5" x14ac:dyDescent="0.2">
      <c r="A8137">
        <v>60970</v>
      </c>
      <c r="B8137" t="s">
        <v>20</v>
      </c>
      <c r="C8137">
        <v>60970</v>
      </c>
      <c r="D8137" t="str">
        <f>"60970"</f>
        <v>60970</v>
      </c>
      <c r="E8137">
        <v>68.06</v>
      </c>
    </row>
    <row r="8138" spans="1:5" x14ac:dyDescent="0.2">
      <c r="A8138">
        <v>60973</v>
      </c>
      <c r="B8138" t="s">
        <v>20</v>
      </c>
      <c r="C8138">
        <v>60973</v>
      </c>
      <c r="D8138" t="str">
        <f>"60973"</f>
        <v>60973</v>
      </c>
      <c r="E8138">
        <v>64.709999999999994</v>
      </c>
    </row>
    <row r="8139" spans="1:5" x14ac:dyDescent="0.2">
      <c r="A8139">
        <v>60974</v>
      </c>
      <c r="B8139" t="s">
        <v>20</v>
      </c>
      <c r="C8139">
        <v>60974</v>
      </c>
      <c r="D8139" t="str">
        <f>"60974"</f>
        <v>60974</v>
      </c>
      <c r="E8139" t="s">
        <v>6</v>
      </c>
    </row>
    <row r="8140" spans="1:5" x14ac:dyDescent="0.2">
      <c r="A8140">
        <v>61001</v>
      </c>
      <c r="B8140" t="s">
        <v>20</v>
      </c>
      <c r="C8140">
        <v>61001</v>
      </c>
      <c r="D8140" t="str">
        <f>"61001"</f>
        <v>61001</v>
      </c>
      <c r="E8140">
        <v>75.56</v>
      </c>
    </row>
    <row r="8141" spans="1:5" x14ac:dyDescent="0.2">
      <c r="A8141">
        <v>61006</v>
      </c>
      <c r="B8141" t="s">
        <v>20</v>
      </c>
      <c r="C8141">
        <v>61006</v>
      </c>
      <c r="D8141" t="str">
        <f>"61006"</f>
        <v>61006</v>
      </c>
      <c r="E8141">
        <v>72.37</v>
      </c>
    </row>
    <row r="8142" spans="1:5" x14ac:dyDescent="0.2">
      <c r="A8142">
        <v>61007</v>
      </c>
      <c r="B8142" t="s">
        <v>20</v>
      </c>
      <c r="C8142">
        <v>61007</v>
      </c>
      <c r="D8142" t="str">
        <f>"61007"</f>
        <v>61007</v>
      </c>
      <c r="E8142">
        <v>77.27</v>
      </c>
    </row>
    <row r="8143" spans="1:5" x14ac:dyDescent="0.2">
      <c r="A8143">
        <v>61008</v>
      </c>
      <c r="B8143" t="s">
        <v>20</v>
      </c>
      <c r="C8143">
        <v>61008</v>
      </c>
      <c r="D8143" t="str">
        <f>"61008"</f>
        <v>61008</v>
      </c>
      <c r="E8143">
        <v>70.349999999999994</v>
      </c>
    </row>
    <row r="8144" spans="1:5" x14ac:dyDescent="0.2">
      <c r="A8144">
        <v>61010</v>
      </c>
      <c r="B8144" t="s">
        <v>20</v>
      </c>
      <c r="C8144">
        <v>61010</v>
      </c>
      <c r="D8144" t="str">
        <f>"61010"</f>
        <v>61010</v>
      </c>
      <c r="E8144">
        <v>78.069999999999993</v>
      </c>
    </row>
    <row r="8145" spans="1:5" x14ac:dyDescent="0.2">
      <c r="A8145">
        <v>61011</v>
      </c>
      <c r="B8145" t="s">
        <v>20</v>
      </c>
      <c r="C8145">
        <v>61011</v>
      </c>
      <c r="D8145" t="str">
        <f>"61011"</f>
        <v>61011</v>
      </c>
      <c r="E8145">
        <v>80.56</v>
      </c>
    </row>
    <row r="8146" spans="1:5" x14ac:dyDescent="0.2">
      <c r="A8146">
        <v>61012</v>
      </c>
      <c r="B8146" t="s">
        <v>20</v>
      </c>
      <c r="C8146">
        <v>61012</v>
      </c>
      <c r="D8146" t="str">
        <f>"61012"</f>
        <v>61012</v>
      </c>
      <c r="E8146">
        <v>71.3</v>
      </c>
    </row>
    <row r="8147" spans="1:5" x14ac:dyDescent="0.2">
      <c r="A8147">
        <v>61013</v>
      </c>
      <c r="B8147" t="s">
        <v>20</v>
      </c>
      <c r="C8147">
        <v>61013</v>
      </c>
      <c r="D8147" t="str">
        <f>"61013"</f>
        <v>61013</v>
      </c>
      <c r="E8147" t="s">
        <v>6</v>
      </c>
    </row>
    <row r="8148" spans="1:5" x14ac:dyDescent="0.2">
      <c r="A8148">
        <v>61014</v>
      </c>
      <c r="B8148" t="s">
        <v>20</v>
      </c>
      <c r="C8148">
        <v>61014</v>
      </c>
      <c r="D8148" t="str">
        <f>"61014"</f>
        <v>61014</v>
      </c>
      <c r="E8148">
        <v>76.36</v>
      </c>
    </row>
    <row r="8149" spans="1:5" x14ac:dyDescent="0.2">
      <c r="A8149">
        <v>61015</v>
      </c>
      <c r="B8149" t="s">
        <v>20</v>
      </c>
      <c r="C8149">
        <v>61015</v>
      </c>
      <c r="D8149" t="str">
        <f>"61015"</f>
        <v>61015</v>
      </c>
      <c r="E8149">
        <v>80</v>
      </c>
    </row>
    <row r="8150" spans="1:5" x14ac:dyDescent="0.2">
      <c r="A8150">
        <v>61016</v>
      </c>
      <c r="B8150" t="s">
        <v>20</v>
      </c>
      <c r="C8150">
        <v>61016</v>
      </c>
      <c r="D8150" t="str">
        <f>"61016"</f>
        <v>61016</v>
      </c>
      <c r="E8150">
        <v>79.92</v>
      </c>
    </row>
    <row r="8151" spans="1:5" x14ac:dyDescent="0.2">
      <c r="A8151">
        <v>61018</v>
      </c>
      <c r="B8151" t="s">
        <v>20</v>
      </c>
      <c r="C8151">
        <v>61018</v>
      </c>
      <c r="D8151" t="str">
        <f>"61018"</f>
        <v>61018</v>
      </c>
      <c r="E8151">
        <v>75.47</v>
      </c>
    </row>
    <row r="8152" spans="1:5" x14ac:dyDescent="0.2">
      <c r="A8152">
        <v>61019</v>
      </c>
      <c r="B8152" t="s">
        <v>20</v>
      </c>
      <c r="C8152">
        <v>61019</v>
      </c>
      <c r="D8152" t="str">
        <f>"61019"</f>
        <v>61019</v>
      </c>
      <c r="E8152">
        <v>75.98</v>
      </c>
    </row>
    <row r="8153" spans="1:5" x14ac:dyDescent="0.2">
      <c r="A8153">
        <v>61020</v>
      </c>
      <c r="B8153" t="s">
        <v>20</v>
      </c>
      <c r="C8153">
        <v>61020</v>
      </c>
      <c r="D8153" t="str">
        <f>"61020"</f>
        <v>61020</v>
      </c>
      <c r="E8153">
        <v>74.290000000000006</v>
      </c>
    </row>
    <row r="8154" spans="1:5" x14ac:dyDescent="0.2">
      <c r="A8154">
        <v>61021</v>
      </c>
      <c r="B8154" t="s">
        <v>20</v>
      </c>
      <c r="C8154">
        <v>61021</v>
      </c>
      <c r="D8154" t="str">
        <f>"61021"</f>
        <v>61021</v>
      </c>
      <c r="E8154">
        <v>72.42</v>
      </c>
    </row>
    <row r="8155" spans="1:5" x14ac:dyDescent="0.2">
      <c r="A8155">
        <v>61024</v>
      </c>
      <c r="B8155" t="s">
        <v>20</v>
      </c>
      <c r="C8155">
        <v>61024</v>
      </c>
      <c r="D8155" t="str">
        <f>"61024"</f>
        <v>61024</v>
      </c>
      <c r="E8155">
        <v>75.41</v>
      </c>
    </row>
    <row r="8156" spans="1:5" x14ac:dyDescent="0.2">
      <c r="A8156">
        <v>61025</v>
      </c>
      <c r="B8156" t="s">
        <v>20</v>
      </c>
      <c r="C8156">
        <v>61025</v>
      </c>
      <c r="D8156" t="str">
        <f>"61025"</f>
        <v>61025</v>
      </c>
      <c r="E8156">
        <v>76.680000000000007</v>
      </c>
    </row>
    <row r="8157" spans="1:5" x14ac:dyDescent="0.2">
      <c r="A8157">
        <v>61027</v>
      </c>
      <c r="B8157" t="s">
        <v>20</v>
      </c>
      <c r="C8157">
        <v>61027</v>
      </c>
      <c r="D8157" t="str">
        <f>"61027"</f>
        <v>61027</v>
      </c>
      <c r="E8157" t="s">
        <v>6</v>
      </c>
    </row>
    <row r="8158" spans="1:5" x14ac:dyDescent="0.2">
      <c r="A8158">
        <v>61028</v>
      </c>
      <c r="B8158" t="s">
        <v>20</v>
      </c>
      <c r="C8158">
        <v>61028</v>
      </c>
      <c r="D8158" t="str">
        <f>"61028"</f>
        <v>61028</v>
      </c>
      <c r="E8158">
        <v>70.83</v>
      </c>
    </row>
    <row r="8159" spans="1:5" x14ac:dyDescent="0.2">
      <c r="A8159">
        <v>61030</v>
      </c>
      <c r="B8159" t="s">
        <v>20</v>
      </c>
      <c r="C8159">
        <v>61030</v>
      </c>
      <c r="D8159" t="str">
        <f>"61030"</f>
        <v>61030</v>
      </c>
      <c r="E8159">
        <v>70.09</v>
      </c>
    </row>
    <row r="8160" spans="1:5" x14ac:dyDescent="0.2">
      <c r="A8160">
        <v>61031</v>
      </c>
      <c r="B8160" t="s">
        <v>20</v>
      </c>
      <c r="C8160">
        <v>61031</v>
      </c>
      <c r="D8160" t="str">
        <f>"61031"</f>
        <v>61031</v>
      </c>
      <c r="E8160">
        <v>70.59</v>
      </c>
    </row>
    <row r="8161" spans="1:5" x14ac:dyDescent="0.2">
      <c r="A8161">
        <v>61032</v>
      </c>
      <c r="B8161" t="s">
        <v>20</v>
      </c>
      <c r="C8161">
        <v>61032</v>
      </c>
      <c r="D8161" t="str">
        <f>"61032"</f>
        <v>61032</v>
      </c>
      <c r="E8161">
        <v>64.599999999999994</v>
      </c>
    </row>
    <row r="8162" spans="1:5" x14ac:dyDescent="0.2">
      <c r="A8162">
        <v>61036</v>
      </c>
      <c r="B8162" t="s">
        <v>20</v>
      </c>
      <c r="C8162">
        <v>61036</v>
      </c>
      <c r="D8162" t="str">
        <f>"61036"</f>
        <v>61036</v>
      </c>
      <c r="E8162">
        <v>75.34</v>
      </c>
    </row>
    <row r="8163" spans="1:5" x14ac:dyDescent="0.2">
      <c r="A8163">
        <v>61038</v>
      </c>
      <c r="B8163" t="s">
        <v>20</v>
      </c>
      <c r="C8163">
        <v>61038</v>
      </c>
      <c r="D8163" t="str">
        <f>"61038"</f>
        <v>61038</v>
      </c>
      <c r="E8163">
        <v>73.33</v>
      </c>
    </row>
    <row r="8164" spans="1:5" x14ac:dyDescent="0.2">
      <c r="A8164">
        <v>61039</v>
      </c>
      <c r="B8164" t="s">
        <v>20</v>
      </c>
      <c r="C8164">
        <v>61039</v>
      </c>
      <c r="D8164" t="str">
        <f>"61039"</f>
        <v>61039</v>
      </c>
      <c r="E8164">
        <v>72.97</v>
      </c>
    </row>
    <row r="8165" spans="1:5" x14ac:dyDescent="0.2">
      <c r="A8165">
        <v>61041</v>
      </c>
      <c r="B8165" t="s">
        <v>20</v>
      </c>
      <c r="C8165">
        <v>61041</v>
      </c>
      <c r="D8165" t="str">
        <f>"61041"</f>
        <v>61041</v>
      </c>
      <c r="E8165">
        <v>68.75</v>
      </c>
    </row>
    <row r="8166" spans="1:5" x14ac:dyDescent="0.2">
      <c r="A8166">
        <v>61042</v>
      </c>
      <c r="B8166" t="s">
        <v>20</v>
      </c>
      <c r="C8166">
        <v>61042</v>
      </c>
      <c r="D8166" t="str">
        <f>"61042"</f>
        <v>61042</v>
      </c>
      <c r="E8166">
        <v>70.83</v>
      </c>
    </row>
    <row r="8167" spans="1:5" x14ac:dyDescent="0.2">
      <c r="A8167">
        <v>61043</v>
      </c>
      <c r="B8167" t="s">
        <v>20</v>
      </c>
      <c r="C8167">
        <v>61043</v>
      </c>
      <c r="D8167" t="str">
        <f>"61043"</f>
        <v>61043</v>
      </c>
      <c r="E8167" t="s">
        <v>6</v>
      </c>
    </row>
    <row r="8168" spans="1:5" x14ac:dyDescent="0.2">
      <c r="A8168">
        <v>61044</v>
      </c>
      <c r="B8168" t="s">
        <v>20</v>
      </c>
      <c r="C8168">
        <v>61044</v>
      </c>
      <c r="D8168" t="str">
        <f>"61044"</f>
        <v>61044</v>
      </c>
      <c r="E8168">
        <v>70</v>
      </c>
    </row>
    <row r="8169" spans="1:5" x14ac:dyDescent="0.2">
      <c r="A8169">
        <v>61046</v>
      </c>
      <c r="B8169" t="s">
        <v>20</v>
      </c>
      <c r="C8169">
        <v>61046</v>
      </c>
      <c r="D8169" t="str">
        <f>"61046"</f>
        <v>61046</v>
      </c>
      <c r="E8169">
        <v>72.92</v>
      </c>
    </row>
    <row r="8170" spans="1:5" x14ac:dyDescent="0.2">
      <c r="A8170">
        <v>61047</v>
      </c>
      <c r="B8170" t="s">
        <v>20</v>
      </c>
      <c r="C8170">
        <v>61047</v>
      </c>
      <c r="D8170" t="str">
        <f>"61047"</f>
        <v>61047</v>
      </c>
      <c r="E8170">
        <v>75.31</v>
      </c>
    </row>
    <row r="8171" spans="1:5" x14ac:dyDescent="0.2">
      <c r="A8171">
        <v>61048</v>
      </c>
      <c r="B8171" t="s">
        <v>20</v>
      </c>
      <c r="C8171">
        <v>61048</v>
      </c>
      <c r="D8171" t="str">
        <f>"61048"</f>
        <v>61048</v>
      </c>
      <c r="E8171">
        <v>73.430000000000007</v>
      </c>
    </row>
    <row r="8172" spans="1:5" x14ac:dyDescent="0.2">
      <c r="A8172">
        <v>61049</v>
      </c>
      <c r="B8172" t="s">
        <v>20</v>
      </c>
      <c r="C8172">
        <v>61049</v>
      </c>
      <c r="D8172" t="str">
        <f>"61049"</f>
        <v>61049</v>
      </c>
      <c r="E8172">
        <v>80.77</v>
      </c>
    </row>
    <row r="8173" spans="1:5" x14ac:dyDescent="0.2">
      <c r="A8173">
        <v>61050</v>
      </c>
      <c r="B8173" t="s">
        <v>20</v>
      </c>
      <c r="C8173">
        <v>61050</v>
      </c>
      <c r="D8173" t="str">
        <f>"61050"</f>
        <v>61050</v>
      </c>
      <c r="E8173">
        <v>75</v>
      </c>
    </row>
    <row r="8174" spans="1:5" x14ac:dyDescent="0.2">
      <c r="A8174">
        <v>61051</v>
      </c>
      <c r="B8174" t="s">
        <v>20</v>
      </c>
      <c r="C8174">
        <v>61051</v>
      </c>
      <c r="D8174" t="str">
        <f>"61051"</f>
        <v>61051</v>
      </c>
      <c r="E8174">
        <v>75</v>
      </c>
    </row>
    <row r="8175" spans="1:5" x14ac:dyDescent="0.2">
      <c r="A8175">
        <v>61052</v>
      </c>
      <c r="B8175" t="s">
        <v>20</v>
      </c>
      <c r="C8175">
        <v>61052</v>
      </c>
      <c r="D8175" t="str">
        <f>"61052"</f>
        <v>61052</v>
      </c>
      <c r="E8175">
        <v>77.78</v>
      </c>
    </row>
    <row r="8176" spans="1:5" x14ac:dyDescent="0.2">
      <c r="A8176">
        <v>61053</v>
      </c>
      <c r="B8176" t="s">
        <v>20</v>
      </c>
      <c r="C8176">
        <v>61053</v>
      </c>
      <c r="D8176" t="str">
        <f>"61053"</f>
        <v>61053</v>
      </c>
      <c r="E8176">
        <v>71.430000000000007</v>
      </c>
    </row>
    <row r="8177" spans="1:5" x14ac:dyDescent="0.2">
      <c r="A8177">
        <v>61054</v>
      </c>
      <c r="B8177" t="s">
        <v>20</v>
      </c>
      <c r="C8177">
        <v>61054</v>
      </c>
      <c r="D8177" t="str">
        <f>"61054"</f>
        <v>61054</v>
      </c>
      <c r="E8177">
        <v>71.02</v>
      </c>
    </row>
    <row r="8178" spans="1:5" x14ac:dyDescent="0.2">
      <c r="A8178">
        <v>61059</v>
      </c>
      <c r="B8178" t="s">
        <v>20</v>
      </c>
      <c r="C8178">
        <v>61059</v>
      </c>
      <c r="D8178" t="str">
        <f>"61059"</f>
        <v>61059</v>
      </c>
      <c r="E8178" t="s">
        <v>6</v>
      </c>
    </row>
    <row r="8179" spans="1:5" x14ac:dyDescent="0.2">
      <c r="A8179">
        <v>61060</v>
      </c>
      <c r="B8179" t="s">
        <v>20</v>
      </c>
      <c r="C8179">
        <v>61060</v>
      </c>
      <c r="D8179" t="str">
        <f>"61060"</f>
        <v>61060</v>
      </c>
      <c r="E8179">
        <v>73.239999999999995</v>
      </c>
    </row>
    <row r="8180" spans="1:5" x14ac:dyDescent="0.2">
      <c r="A8180">
        <v>61061</v>
      </c>
      <c r="B8180" t="s">
        <v>20</v>
      </c>
      <c r="C8180">
        <v>61061</v>
      </c>
      <c r="D8180" t="str">
        <f>"61061"</f>
        <v>61061</v>
      </c>
      <c r="E8180">
        <v>74.709999999999994</v>
      </c>
    </row>
    <row r="8181" spans="1:5" x14ac:dyDescent="0.2">
      <c r="A8181">
        <v>61062</v>
      </c>
      <c r="B8181" t="s">
        <v>20</v>
      </c>
      <c r="C8181">
        <v>61062</v>
      </c>
      <c r="D8181" t="str">
        <f>"61062"</f>
        <v>61062</v>
      </c>
      <c r="E8181">
        <v>69.89</v>
      </c>
    </row>
    <row r="8182" spans="1:5" x14ac:dyDescent="0.2">
      <c r="A8182">
        <v>61063</v>
      </c>
      <c r="B8182" t="s">
        <v>20</v>
      </c>
      <c r="C8182">
        <v>61063</v>
      </c>
      <c r="D8182" t="str">
        <f>"61063"</f>
        <v>61063</v>
      </c>
      <c r="E8182">
        <v>76.38</v>
      </c>
    </row>
    <row r="8183" spans="1:5" x14ac:dyDescent="0.2">
      <c r="A8183">
        <v>61064</v>
      </c>
      <c r="B8183" t="s">
        <v>20</v>
      </c>
      <c r="C8183">
        <v>61064</v>
      </c>
      <c r="D8183" t="str">
        <f>"61064"</f>
        <v>61064</v>
      </c>
      <c r="E8183">
        <v>69.83</v>
      </c>
    </row>
    <row r="8184" spans="1:5" x14ac:dyDescent="0.2">
      <c r="A8184">
        <v>61065</v>
      </c>
      <c r="B8184" t="s">
        <v>20</v>
      </c>
      <c r="C8184">
        <v>61065</v>
      </c>
      <c r="D8184" t="str">
        <f>"61065"</f>
        <v>61065</v>
      </c>
      <c r="E8184">
        <v>72.34</v>
      </c>
    </row>
    <row r="8185" spans="1:5" x14ac:dyDescent="0.2">
      <c r="A8185">
        <v>61067</v>
      </c>
      <c r="B8185" t="s">
        <v>20</v>
      </c>
      <c r="C8185">
        <v>61067</v>
      </c>
      <c r="D8185" t="str">
        <f>"61067"</f>
        <v>61067</v>
      </c>
      <c r="E8185">
        <v>81.819999999999993</v>
      </c>
    </row>
    <row r="8186" spans="1:5" x14ac:dyDescent="0.2">
      <c r="A8186">
        <v>61068</v>
      </c>
      <c r="B8186" t="s">
        <v>20</v>
      </c>
      <c r="C8186">
        <v>61068</v>
      </c>
      <c r="D8186" t="str">
        <f>"61068"</f>
        <v>61068</v>
      </c>
      <c r="E8186">
        <v>72.209999999999994</v>
      </c>
    </row>
    <row r="8187" spans="1:5" x14ac:dyDescent="0.2">
      <c r="A8187">
        <v>61070</v>
      </c>
      <c r="B8187" t="s">
        <v>20</v>
      </c>
      <c r="C8187">
        <v>61070</v>
      </c>
      <c r="D8187" t="str">
        <f>"61070"</f>
        <v>61070</v>
      </c>
      <c r="E8187">
        <v>72</v>
      </c>
    </row>
    <row r="8188" spans="1:5" x14ac:dyDescent="0.2">
      <c r="A8188">
        <v>61071</v>
      </c>
      <c r="B8188" t="s">
        <v>20</v>
      </c>
      <c r="C8188">
        <v>61071</v>
      </c>
      <c r="D8188" t="str">
        <f>"61071"</f>
        <v>61071</v>
      </c>
      <c r="E8188">
        <v>68.2</v>
      </c>
    </row>
    <row r="8189" spans="1:5" x14ac:dyDescent="0.2">
      <c r="A8189">
        <v>61072</v>
      </c>
      <c r="B8189" t="s">
        <v>20</v>
      </c>
      <c r="C8189">
        <v>61072</v>
      </c>
      <c r="D8189" t="str">
        <f>"61072"</f>
        <v>61072</v>
      </c>
      <c r="E8189">
        <v>77.959999999999994</v>
      </c>
    </row>
    <row r="8190" spans="1:5" x14ac:dyDescent="0.2">
      <c r="A8190">
        <v>61073</v>
      </c>
      <c r="B8190" t="s">
        <v>20</v>
      </c>
      <c r="C8190">
        <v>61073</v>
      </c>
      <c r="D8190" t="str">
        <f>"61073"</f>
        <v>61073</v>
      </c>
      <c r="E8190">
        <v>78.67</v>
      </c>
    </row>
    <row r="8191" spans="1:5" x14ac:dyDescent="0.2">
      <c r="A8191">
        <v>61074</v>
      </c>
      <c r="B8191" t="s">
        <v>20</v>
      </c>
      <c r="C8191">
        <v>61074</v>
      </c>
      <c r="D8191" t="str">
        <f>"61074"</f>
        <v>61074</v>
      </c>
      <c r="E8191">
        <v>69.739999999999995</v>
      </c>
    </row>
    <row r="8192" spans="1:5" x14ac:dyDescent="0.2">
      <c r="A8192">
        <v>61075</v>
      </c>
      <c r="B8192" t="s">
        <v>20</v>
      </c>
      <c r="C8192">
        <v>61075</v>
      </c>
      <c r="D8192" t="str">
        <f>"61075"</f>
        <v>61075</v>
      </c>
      <c r="E8192">
        <v>76</v>
      </c>
    </row>
    <row r="8193" spans="1:5" x14ac:dyDescent="0.2">
      <c r="A8193">
        <v>61077</v>
      </c>
      <c r="B8193" t="s">
        <v>20</v>
      </c>
      <c r="C8193">
        <v>61077</v>
      </c>
      <c r="D8193" t="str">
        <f>"61077"</f>
        <v>61077</v>
      </c>
      <c r="E8193" t="s">
        <v>6</v>
      </c>
    </row>
    <row r="8194" spans="1:5" x14ac:dyDescent="0.2">
      <c r="A8194">
        <v>61078</v>
      </c>
      <c r="B8194" t="s">
        <v>20</v>
      </c>
      <c r="C8194">
        <v>61078</v>
      </c>
      <c r="D8194" t="str">
        <f>"61078"</f>
        <v>61078</v>
      </c>
      <c r="E8194">
        <v>71.209999999999994</v>
      </c>
    </row>
    <row r="8195" spans="1:5" x14ac:dyDescent="0.2">
      <c r="A8195">
        <v>61079</v>
      </c>
      <c r="B8195" t="s">
        <v>20</v>
      </c>
      <c r="C8195">
        <v>61079</v>
      </c>
      <c r="D8195" t="str">
        <f>"61079"</f>
        <v>61079</v>
      </c>
      <c r="E8195" t="s">
        <v>6</v>
      </c>
    </row>
    <row r="8196" spans="1:5" x14ac:dyDescent="0.2">
      <c r="A8196">
        <v>61080</v>
      </c>
      <c r="B8196" t="s">
        <v>20</v>
      </c>
      <c r="C8196">
        <v>61080</v>
      </c>
      <c r="D8196" t="str">
        <f>"61080"</f>
        <v>61080</v>
      </c>
      <c r="E8196">
        <v>74.3</v>
      </c>
    </row>
    <row r="8197" spans="1:5" x14ac:dyDescent="0.2">
      <c r="A8197">
        <v>61081</v>
      </c>
      <c r="B8197" t="s">
        <v>20</v>
      </c>
      <c r="C8197">
        <v>61081</v>
      </c>
      <c r="D8197" t="str">
        <f>"61081"</f>
        <v>61081</v>
      </c>
      <c r="E8197">
        <v>70.489999999999995</v>
      </c>
    </row>
    <row r="8198" spans="1:5" x14ac:dyDescent="0.2">
      <c r="A8198">
        <v>61084</v>
      </c>
      <c r="B8198" t="s">
        <v>20</v>
      </c>
      <c r="C8198">
        <v>61084</v>
      </c>
      <c r="D8198" t="str">
        <f>"61084"</f>
        <v>61084</v>
      </c>
      <c r="E8198">
        <v>77.27</v>
      </c>
    </row>
    <row r="8199" spans="1:5" x14ac:dyDescent="0.2">
      <c r="A8199">
        <v>61085</v>
      </c>
      <c r="B8199" t="s">
        <v>20</v>
      </c>
      <c r="C8199">
        <v>61085</v>
      </c>
      <c r="D8199" t="str">
        <f>"61085"</f>
        <v>61085</v>
      </c>
      <c r="E8199">
        <v>68.48</v>
      </c>
    </row>
    <row r="8200" spans="1:5" x14ac:dyDescent="0.2">
      <c r="A8200">
        <v>61087</v>
      </c>
      <c r="B8200" t="s">
        <v>20</v>
      </c>
      <c r="C8200">
        <v>61087</v>
      </c>
      <c r="D8200" t="str">
        <f>"61087"</f>
        <v>61087</v>
      </c>
      <c r="E8200">
        <v>67.09</v>
      </c>
    </row>
    <row r="8201" spans="1:5" x14ac:dyDescent="0.2">
      <c r="A8201">
        <v>61088</v>
      </c>
      <c r="B8201" t="s">
        <v>20</v>
      </c>
      <c r="C8201">
        <v>61088</v>
      </c>
      <c r="D8201" t="str">
        <f>"61088"</f>
        <v>61088</v>
      </c>
      <c r="E8201">
        <v>78.010000000000005</v>
      </c>
    </row>
    <row r="8202" spans="1:5" x14ac:dyDescent="0.2">
      <c r="A8202">
        <v>61089</v>
      </c>
      <c r="B8202" t="s">
        <v>20</v>
      </c>
      <c r="C8202">
        <v>61089</v>
      </c>
      <c r="D8202" t="str">
        <f>"61089"</f>
        <v>61089</v>
      </c>
      <c r="E8202">
        <v>67.5</v>
      </c>
    </row>
    <row r="8203" spans="1:5" x14ac:dyDescent="0.2">
      <c r="A8203">
        <v>61091</v>
      </c>
      <c r="B8203" t="s">
        <v>20</v>
      </c>
      <c r="C8203">
        <v>61091</v>
      </c>
      <c r="D8203" t="str">
        <f>"61091"</f>
        <v>61091</v>
      </c>
      <c r="E8203" t="s">
        <v>6</v>
      </c>
    </row>
    <row r="8204" spans="1:5" x14ac:dyDescent="0.2">
      <c r="A8204">
        <v>61101</v>
      </c>
      <c r="B8204" t="s">
        <v>20</v>
      </c>
      <c r="C8204">
        <v>61101</v>
      </c>
      <c r="D8204" t="str">
        <f>"61101"</f>
        <v>61101</v>
      </c>
      <c r="E8204">
        <v>54.13</v>
      </c>
    </row>
    <row r="8205" spans="1:5" x14ac:dyDescent="0.2">
      <c r="A8205">
        <v>61102</v>
      </c>
      <c r="B8205" t="s">
        <v>20</v>
      </c>
      <c r="C8205">
        <v>61102</v>
      </c>
      <c r="D8205" t="str">
        <f>"61102"</f>
        <v>61102</v>
      </c>
      <c r="E8205">
        <v>55.25</v>
      </c>
    </row>
    <row r="8206" spans="1:5" x14ac:dyDescent="0.2">
      <c r="A8206">
        <v>61103</v>
      </c>
      <c r="B8206" t="s">
        <v>20</v>
      </c>
      <c r="C8206">
        <v>61103</v>
      </c>
      <c r="D8206" t="str">
        <f>"61103"</f>
        <v>61103</v>
      </c>
      <c r="E8206">
        <v>63.19</v>
      </c>
    </row>
    <row r="8207" spans="1:5" x14ac:dyDescent="0.2">
      <c r="A8207">
        <v>61104</v>
      </c>
      <c r="B8207" t="s">
        <v>20</v>
      </c>
      <c r="C8207">
        <v>61104</v>
      </c>
      <c r="D8207" t="str">
        <f>"61104"</f>
        <v>61104</v>
      </c>
      <c r="E8207">
        <v>48.27</v>
      </c>
    </row>
    <row r="8208" spans="1:5" x14ac:dyDescent="0.2">
      <c r="A8208">
        <v>61107</v>
      </c>
      <c r="B8208" t="s">
        <v>20</v>
      </c>
      <c r="C8208">
        <v>61107</v>
      </c>
      <c r="D8208" t="str">
        <f>"61107"</f>
        <v>61107</v>
      </c>
      <c r="E8208">
        <v>73.3</v>
      </c>
    </row>
    <row r="8209" spans="1:5" x14ac:dyDescent="0.2">
      <c r="A8209">
        <v>61108</v>
      </c>
      <c r="B8209" t="s">
        <v>20</v>
      </c>
      <c r="C8209">
        <v>61108</v>
      </c>
      <c r="D8209" t="str">
        <f>"61108"</f>
        <v>61108</v>
      </c>
      <c r="E8209">
        <v>67.819999999999993</v>
      </c>
    </row>
    <row r="8210" spans="1:5" x14ac:dyDescent="0.2">
      <c r="A8210">
        <v>61109</v>
      </c>
      <c r="B8210" t="s">
        <v>20</v>
      </c>
      <c r="C8210">
        <v>61109</v>
      </c>
      <c r="D8210" t="str">
        <f>"61109"</f>
        <v>61109</v>
      </c>
      <c r="E8210">
        <v>67.150000000000006</v>
      </c>
    </row>
    <row r="8211" spans="1:5" x14ac:dyDescent="0.2">
      <c r="A8211">
        <v>61111</v>
      </c>
      <c r="B8211" t="s">
        <v>20</v>
      </c>
      <c r="C8211">
        <v>61111</v>
      </c>
      <c r="D8211" t="str">
        <f>"61111"</f>
        <v>61111</v>
      </c>
      <c r="E8211">
        <v>73.95</v>
      </c>
    </row>
    <row r="8212" spans="1:5" x14ac:dyDescent="0.2">
      <c r="A8212">
        <v>61112</v>
      </c>
      <c r="B8212" t="s">
        <v>20</v>
      </c>
      <c r="C8212">
        <v>61112</v>
      </c>
      <c r="D8212" t="str">
        <f>"61112"</f>
        <v>61112</v>
      </c>
      <c r="E8212" t="s">
        <v>6</v>
      </c>
    </row>
    <row r="8213" spans="1:5" x14ac:dyDescent="0.2">
      <c r="A8213">
        <v>61114</v>
      </c>
      <c r="B8213" t="s">
        <v>20</v>
      </c>
      <c r="C8213">
        <v>61114</v>
      </c>
      <c r="D8213" t="str">
        <f>"61114"</f>
        <v>61114</v>
      </c>
      <c r="E8213">
        <v>75.06</v>
      </c>
    </row>
    <row r="8214" spans="1:5" x14ac:dyDescent="0.2">
      <c r="A8214">
        <v>61115</v>
      </c>
      <c r="B8214" t="s">
        <v>20</v>
      </c>
      <c r="C8214">
        <v>61115</v>
      </c>
      <c r="D8214" t="str">
        <f>"61115"</f>
        <v>61115</v>
      </c>
      <c r="E8214">
        <v>72.28</v>
      </c>
    </row>
    <row r="8215" spans="1:5" x14ac:dyDescent="0.2">
      <c r="A8215">
        <v>61201</v>
      </c>
      <c r="B8215" t="s">
        <v>20</v>
      </c>
      <c r="C8215">
        <v>61201</v>
      </c>
      <c r="D8215" t="str">
        <f>"61201"</f>
        <v>61201</v>
      </c>
      <c r="E8215">
        <v>68.58</v>
      </c>
    </row>
    <row r="8216" spans="1:5" x14ac:dyDescent="0.2">
      <c r="A8216">
        <v>61230</v>
      </c>
      <c r="B8216" t="s">
        <v>20</v>
      </c>
      <c r="C8216">
        <v>61230</v>
      </c>
      <c r="D8216" t="str">
        <f>"61230"</f>
        <v>61230</v>
      </c>
      <c r="E8216">
        <v>79.31</v>
      </c>
    </row>
    <row r="8217" spans="1:5" x14ac:dyDescent="0.2">
      <c r="A8217">
        <v>61231</v>
      </c>
      <c r="B8217" t="s">
        <v>20</v>
      </c>
      <c r="C8217">
        <v>61231</v>
      </c>
      <c r="D8217" t="str">
        <f>"61231"</f>
        <v>61231</v>
      </c>
      <c r="E8217">
        <v>72.36</v>
      </c>
    </row>
    <row r="8218" spans="1:5" x14ac:dyDescent="0.2">
      <c r="A8218">
        <v>61232</v>
      </c>
      <c r="B8218" t="s">
        <v>20</v>
      </c>
      <c r="C8218">
        <v>61232</v>
      </c>
      <c r="D8218" t="str">
        <f>"61232"</f>
        <v>61232</v>
      </c>
      <c r="E8218">
        <v>79.17</v>
      </c>
    </row>
    <row r="8219" spans="1:5" x14ac:dyDescent="0.2">
      <c r="A8219">
        <v>61233</v>
      </c>
      <c r="B8219" t="s">
        <v>20</v>
      </c>
      <c r="C8219">
        <v>61233</v>
      </c>
      <c r="D8219" t="str">
        <f>"61233"</f>
        <v>61233</v>
      </c>
      <c r="E8219" t="s">
        <v>6</v>
      </c>
    </row>
    <row r="8220" spans="1:5" x14ac:dyDescent="0.2">
      <c r="A8220">
        <v>61234</v>
      </c>
      <c r="B8220" t="s">
        <v>20</v>
      </c>
      <c r="C8220">
        <v>61234</v>
      </c>
      <c r="D8220" t="str">
        <f>"61234"</f>
        <v>61234</v>
      </c>
      <c r="E8220">
        <v>75.81</v>
      </c>
    </row>
    <row r="8221" spans="1:5" x14ac:dyDescent="0.2">
      <c r="A8221">
        <v>61235</v>
      </c>
      <c r="B8221" t="s">
        <v>20</v>
      </c>
      <c r="C8221">
        <v>61235</v>
      </c>
      <c r="D8221" t="str">
        <f>"61235"</f>
        <v>61235</v>
      </c>
      <c r="E8221">
        <v>76.12</v>
      </c>
    </row>
    <row r="8222" spans="1:5" x14ac:dyDescent="0.2">
      <c r="A8222">
        <v>61236</v>
      </c>
      <c r="B8222" t="s">
        <v>20</v>
      </c>
      <c r="C8222">
        <v>61236</v>
      </c>
      <c r="D8222" t="str">
        <f>"61236"</f>
        <v>61236</v>
      </c>
      <c r="E8222" t="s">
        <v>6</v>
      </c>
    </row>
    <row r="8223" spans="1:5" x14ac:dyDescent="0.2">
      <c r="A8223">
        <v>61238</v>
      </c>
      <c r="B8223" t="s">
        <v>20</v>
      </c>
      <c r="C8223">
        <v>61238</v>
      </c>
      <c r="D8223" t="str">
        <f>"61238"</f>
        <v>61238</v>
      </c>
      <c r="E8223">
        <v>76.760000000000005</v>
      </c>
    </row>
    <row r="8224" spans="1:5" x14ac:dyDescent="0.2">
      <c r="A8224">
        <v>61239</v>
      </c>
      <c r="B8224" t="s">
        <v>20</v>
      </c>
      <c r="C8224">
        <v>61239</v>
      </c>
      <c r="D8224" t="str">
        <f>"61239"</f>
        <v>61239</v>
      </c>
      <c r="E8224">
        <v>63.27</v>
      </c>
    </row>
    <row r="8225" spans="1:5" x14ac:dyDescent="0.2">
      <c r="A8225">
        <v>61240</v>
      </c>
      <c r="B8225" t="s">
        <v>20</v>
      </c>
      <c r="C8225">
        <v>61240</v>
      </c>
      <c r="D8225" t="str">
        <f>"61240"</f>
        <v>61240</v>
      </c>
      <c r="E8225">
        <v>80.599999999999994</v>
      </c>
    </row>
    <row r="8226" spans="1:5" x14ac:dyDescent="0.2">
      <c r="A8226">
        <v>61241</v>
      </c>
      <c r="B8226" t="s">
        <v>20</v>
      </c>
      <c r="C8226">
        <v>61241</v>
      </c>
      <c r="D8226" t="str">
        <f>"61241"</f>
        <v>61241</v>
      </c>
      <c r="E8226">
        <v>76.650000000000006</v>
      </c>
    </row>
    <row r="8227" spans="1:5" x14ac:dyDescent="0.2">
      <c r="A8227">
        <v>61242</v>
      </c>
      <c r="B8227" t="s">
        <v>20</v>
      </c>
      <c r="C8227">
        <v>61242</v>
      </c>
      <c r="D8227" t="str">
        <f>"61242"</f>
        <v>61242</v>
      </c>
      <c r="E8227">
        <v>78.95</v>
      </c>
    </row>
    <row r="8228" spans="1:5" x14ac:dyDescent="0.2">
      <c r="A8228">
        <v>61243</v>
      </c>
      <c r="B8228" t="s">
        <v>20</v>
      </c>
      <c r="C8228">
        <v>61243</v>
      </c>
      <c r="D8228" t="str">
        <f>"61243"</f>
        <v>61243</v>
      </c>
      <c r="E8228">
        <v>58.33</v>
      </c>
    </row>
    <row r="8229" spans="1:5" x14ac:dyDescent="0.2">
      <c r="A8229">
        <v>61244</v>
      </c>
      <c r="B8229" t="s">
        <v>20</v>
      </c>
      <c r="C8229">
        <v>61244</v>
      </c>
      <c r="D8229" t="str">
        <f>"61244"</f>
        <v>61244</v>
      </c>
      <c r="E8229">
        <v>69.69</v>
      </c>
    </row>
    <row r="8230" spans="1:5" x14ac:dyDescent="0.2">
      <c r="A8230">
        <v>61250</v>
      </c>
      <c r="B8230" t="s">
        <v>20</v>
      </c>
      <c r="C8230">
        <v>61250</v>
      </c>
      <c r="D8230" t="str">
        <f>"61250"</f>
        <v>61250</v>
      </c>
      <c r="E8230">
        <v>77.27</v>
      </c>
    </row>
    <row r="8231" spans="1:5" x14ac:dyDescent="0.2">
      <c r="A8231">
        <v>61251</v>
      </c>
      <c r="B8231" t="s">
        <v>20</v>
      </c>
      <c r="C8231">
        <v>61251</v>
      </c>
      <c r="D8231" t="str">
        <f>"61251"</f>
        <v>61251</v>
      </c>
      <c r="E8231">
        <v>73.680000000000007</v>
      </c>
    </row>
    <row r="8232" spans="1:5" x14ac:dyDescent="0.2">
      <c r="A8232">
        <v>61252</v>
      </c>
      <c r="B8232" t="s">
        <v>20</v>
      </c>
      <c r="C8232">
        <v>61252</v>
      </c>
      <c r="D8232" t="str">
        <f>"61252"</f>
        <v>61252</v>
      </c>
      <c r="E8232">
        <v>77.900000000000006</v>
      </c>
    </row>
    <row r="8233" spans="1:5" x14ac:dyDescent="0.2">
      <c r="A8233">
        <v>61254</v>
      </c>
      <c r="B8233" t="s">
        <v>20</v>
      </c>
      <c r="C8233">
        <v>61254</v>
      </c>
      <c r="D8233" t="str">
        <f>"61254"</f>
        <v>61254</v>
      </c>
      <c r="E8233">
        <v>76.8</v>
      </c>
    </row>
    <row r="8234" spans="1:5" x14ac:dyDescent="0.2">
      <c r="A8234">
        <v>61256</v>
      </c>
      <c r="B8234" t="s">
        <v>20</v>
      </c>
      <c r="C8234">
        <v>61256</v>
      </c>
      <c r="D8234" t="str">
        <f>"61256"</f>
        <v>61256</v>
      </c>
      <c r="E8234">
        <v>77.42</v>
      </c>
    </row>
    <row r="8235" spans="1:5" x14ac:dyDescent="0.2">
      <c r="A8235">
        <v>61257</v>
      </c>
      <c r="B8235" t="s">
        <v>20</v>
      </c>
      <c r="C8235">
        <v>61257</v>
      </c>
      <c r="D8235" t="str">
        <f>"61257"</f>
        <v>61257</v>
      </c>
      <c r="E8235">
        <v>78.180000000000007</v>
      </c>
    </row>
    <row r="8236" spans="1:5" x14ac:dyDescent="0.2">
      <c r="A8236">
        <v>61258</v>
      </c>
      <c r="B8236" t="s">
        <v>20</v>
      </c>
      <c r="C8236">
        <v>61258</v>
      </c>
      <c r="D8236" t="str">
        <f>"61258"</f>
        <v>61258</v>
      </c>
      <c r="E8236" t="s">
        <v>6</v>
      </c>
    </row>
    <row r="8237" spans="1:5" x14ac:dyDescent="0.2">
      <c r="A8237">
        <v>61259</v>
      </c>
      <c r="B8237" t="s">
        <v>20</v>
      </c>
      <c r="C8237">
        <v>61259</v>
      </c>
      <c r="D8237" t="str">
        <f>"61259"</f>
        <v>61259</v>
      </c>
      <c r="E8237">
        <v>80.650000000000006</v>
      </c>
    </row>
    <row r="8238" spans="1:5" x14ac:dyDescent="0.2">
      <c r="A8238">
        <v>61260</v>
      </c>
      <c r="B8238" t="s">
        <v>20</v>
      </c>
      <c r="C8238">
        <v>61260</v>
      </c>
      <c r="D8238" t="str">
        <f>"61260"</f>
        <v>61260</v>
      </c>
      <c r="E8238">
        <v>75.680000000000007</v>
      </c>
    </row>
    <row r="8239" spans="1:5" x14ac:dyDescent="0.2">
      <c r="A8239">
        <v>61261</v>
      </c>
      <c r="B8239" t="s">
        <v>20</v>
      </c>
      <c r="C8239">
        <v>61261</v>
      </c>
      <c r="D8239" t="str">
        <f>"61261"</f>
        <v>61261</v>
      </c>
      <c r="E8239">
        <v>66.67</v>
      </c>
    </row>
    <row r="8240" spans="1:5" x14ac:dyDescent="0.2">
      <c r="A8240">
        <v>61262</v>
      </c>
      <c r="B8240" t="s">
        <v>20</v>
      </c>
      <c r="C8240">
        <v>61262</v>
      </c>
      <c r="D8240" t="str">
        <f>"61262"</f>
        <v>61262</v>
      </c>
      <c r="E8240">
        <v>75.680000000000007</v>
      </c>
    </row>
    <row r="8241" spans="1:5" x14ac:dyDescent="0.2">
      <c r="A8241">
        <v>61263</v>
      </c>
      <c r="B8241" t="s">
        <v>20</v>
      </c>
      <c r="C8241">
        <v>61263</v>
      </c>
      <c r="D8241" t="str">
        <f>"61263"</f>
        <v>61263</v>
      </c>
      <c r="E8241" t="s">
        <v>6</v>
      </c>
    </row>
    <row r="8242" spans="1:5" x14ac:dyDescent="0.2">
      <c r="A8242">
        <v>61264</v>
      </c>
      <c r="B8242" t="s">
        <v>20</v>
      </c>
      <c r="C8242">
        <v>61264</v>
      </c>
      <c r="D8242" t="str">
        <f>"61264"</f>
        <v>61264</v>
      </c>
      <c r="E8242">
        <v>76.150000000000006</v>
      </c>
    </row>
    <row r="8243" spans="1:5" x14ac:dyDescent="0.2">
      <c r="A8243">
        <v>61265</v>
      </c>
      <c r="B8243" t="s">
        <v>20</v>
      </c>
      <c r="C8243">
        <v>61265</v>
      </c>
      <c r="D8243" t="str">
        <f>"61265"</f>
        <v>61265</v>
      </c>
      <c r="E8243">
        <v>72.19</v>
      </c>
    </row>
    <row r="8244" spans="1:5" x14ac:dyDescent="0.2">
      <c r="A8244">
        <v>61270</v>
      </c>
      <c r="B8244" t="s">
        <v>20</v>
      </c>
      <c r="C8244">
        <v>61270</v>
      </c>
      <c r="D8244" t="str">
        <f>"61270"</f>
        <v>61270</v>
      </c>
      <c r="E8244">
        <v>74.709999999999994</v>
      </c>
    </row>
    <row r="8245" spans="1:5" x14ac:dyDescent="0.2">
      <c r="A8245">
        <v>61272</v>
      </c>
      <c r="B8245" t="s">
        <v>20</v>
      </c>
      <c r="C8245">
        <v>61272</v>
      </c>
      <c r="D8245" t="str">
        <f>"61272"</f>
        <v>61272</v>
      </c>
      <c r="E8245">
        <v>71.64</v>
      </c>
    </row>
    <row r="8246" spans="1:5" x14ac:dyDescent="0.2">
      <c r="A8246">
        <v>61273</v>
      </c>
      <c r="B8246" t="s">
        <v>20</v>
      </c>
      <c r="C8246">
        <v>61273</v>
      </c>
      <c r="D8246" t="str">
        <f>"61273"</f>
        <v>61273</v>
      </c>
      <c r="E8246">
        <v>79.63</v>
      </c>
    </row>
    <row r="8247" spans="1:5" x14ac:dyDescent="0.2">
      <c r="A8247">
        <v>61274</v>
      </c>
      <c r="B8247" t="s">
        <v>20</v>
      </c>
      <c r="C8247">
        <v>61274</v>
      </c>
      <c r="D8247" t="str">
        <f>"61274"</f>
        <v>61274</v>
      </c>
      <c r="E8247">
        <v>77.78</v>
      </c>
    </row>
    <row r="8248" spans="1:5" x14ac:dyDescent="0.2">
      <c r="A8248">
        <v>61275</v>
      </c>
      <c r="B8248" t="s">
        <v>20</v>
      </c>
      <c r="C8248">
        <v>61275</v>
      </c>
      <c r="D8248" t="str">
        <f>"61275"</f>
        <v>61275</v>
      </c>
      <c r="E8248">
        <v>81.59</v>
      </c>
    </row>
    <row r="8249" spans="1:5" x14ac:dyDescent="0.2">
      <c r="A8249">
        <v>61277</v>
      </c>
      <c r="B8249" t="s">
        <v>20</v>
      </c>
      <c r="C8249">
        <v>61277</v>
      </c>
      <c r="D8249" t="str">
        <f>"61277"</f>
        <v>61277</v>
      </c>
      <c r="E8249">
        <v>76</v>
      </c>
    </row>
    <row r="8250" spans="1:5" x14ac:dyDescent="0.2">
      <c r="A8250">
        <v>61278</v>
      </c>
      <c r="B8250" t="s">
        <v>20</v>
      </c>
      <c r="C8250">
        <v>61278</v>
      </c>
      <c r="D8250" t="str">
        <f>"61278"</f>
        <v>61278</v>
      </c>
      <c r="E8250" t="s">
        <v>6</v>
      </c>
    </row>
    <row r="8251" spans="1:5" x14ac:dyDescent="0.2">
      <c r="A8251">
        <v>61279</v>
      </c>
      <c r="B8251" t="s">
        <v>20</v>
      </c>
      <c r="C8251">
        <v>61279</v>
      </c>
      <c r="D8251" t="str">
        <f>"61279"</f>
        <v>61279</v>
      </c>
      <c r="E8251">
        <v>81.25</v>
      </c>
    </row>
    <row r="8252" spans="1:5" x14ac:dyDescent="0.2">
      <c r="A8252">
        <v>61281</v>
      </c>
      <c r="B8252" t="s">
        <v>20</v>
      </c>
      <c r="C8252">
        <v>61281</v>
      </c>
      <c r="D8252" t="str">
        <f>"61281"</f>
        <v>61281</v>
      </c>
      <c r="E8252">
        <v>78.03</v>
      </c>
    </row>
    <row r="8253" spans="1:5" x14ac:dyDescent="0.2">
      <c r="A8253">
        <v>61282</v>
      </c>
      <c r="B8253" t="s">
        <v>20</v>
      </c>
      <c r="C8253">
        <v>61282</v>
      </c>
      <c r="D8253" t="str">
        <f>"61282"</f>
        <v>61282</v>
      </c>
      <c r="E8253">
        <v>69.37</v>
      </c>
    </row>
    <row r="8254" spans="1:5" x14ac:dyDescent="0.2">
      <c r="A8254">
        <v>61283</v>
      </c>
      <c r="B8254" t="s">
        <v>20</v>
      </c>
      <c r="C8254">
        <v>61283</v>
      </c>
      <c r="D8254" t="str">
        <f>"61283"</f>
        <v>61283</v>
      </c>
      <c r="E8254">
        <v>71.010000000000005</v>
      </c>
    </row>
    <row r="8255" spans="1:5" x14ac:dyDescent="0.2">
      <c r="A8255">
        <v>61284</v>
      </c>
      <c r="B8255" t="s">
        <v>20</v>
      </c>
      <c r="C8255">
        <v>61284</v>
      </c>
      <c r="D8255" t="str">
        <f>"61284"</f>
        <v>61284</v>
      </c>
      <c r="E8255">
        <v>81.510000000000005</v>
      </c>
    </row>
    <row r="8256" spans="1:5" x14ac:dyDescent="0.2">
      <c r="A8256">
        <v>61285</v>
      </c>
      <c r="B8256" t="s">
        <v>20</v>
      </c>
      <c r="C8256">
        <v>61285</v>
      </c>
      <c r="D8256" t="str">
        <f>"61285"</f>
        <v>61285</v>
      </c>
      <c r="E8256">
        <v>72.5</v>
      </c>
    </row>
    <row r="8257" spans="1:5" x14ac:dyDescent="0.2">
      <c r="A8257">
        <v>61301</v>
      </c>
      <c r="B8257" t="s">
        <v>20</v>
      </c>
      <c r="C8257">
        <v>61301</v>
      </c>
      <c r="D8257" t="str">
        <f>"61301"</f>
        <v>61301</v>
      </c>
      <c r="E8257">
        <v>68.77</v>
      </c>
    </row>
    <row r="8258" spans="1:5" x14ac:dyDescent="0.2">
      <c r="A8258">
        <v>61310</v>
      </c>
      <c r="B8258" t="s">
        <v>20</v>
      </c>
      <c r="C8258">
        <v>61310</v>
      </c>
      <c r="D8258" t="str">
        <f>"61310"</f>
        <v>61310</v>
      </c>
      <c r="E8258">
        <v>72.34</v>
      </c>
    </row>
    <row r="8259" spans="1:5" x14ac:dyDescent="0.2">
      <c r="A8259">
        <v>61311</v>
      </c>
      <c r="B8259" t="s">
        <v>20</v>
      </c>
      <c r="C8259">
        <v>61311</v>
      </c>
      <c r="D8259" t="str">
        <f>"61311"</f>
        <v>61311</v>
      </c>
      <c r="E8259">
        <v>80</v>
      </c>
    </row>
    <row r="8260" spans="1:5" x14ac:dyDescent="0.2">
      <c r="A8260">
        <v>61312</v>
      </c>
      <c r="B8260" t="s">
        <v>20</v>
      </c>
      <c r="C8260">
        <v>61312</v>
      </c>
      <c r="D8260" t="str">
        <f>"61312"</f>
        <v>61312</v>
      </c>
      <c r="E8260">
        <v>72.73</v>
      </c>
    </row>
    <row r="8261" spans="1:5" x14ac:dyDescent="0.2">
      <c r="A8261">
        <v>61313</v>
      </c>
      <c r="B8261" t="s">
        <v>20</v>
      </c>
      <c r="C8261">
        <v>61313</v>
      </c>
      <c r="D8261" t="str">
        <f>"61313"</f>
        <v>61313</v>
      </c>
      <c r="E8261">
        <v>81.819999999999993</v>
      </c>
    </row>
    <row r="8262" spans="1:5" x14ac:dyDescent="0.2">
      <c r="A8262">
        <v>61314</v>
      </c>
      <c r="B8262" t="s">
        <v>20</v>
      </c>
      <c r="C8262">
        <v>61314</v>
      </c>
      <c r="D8262" t="str">
        <f>"61314"</f>
        <v>61314</v>
      </c>
      <c r="E8262">
        <v>73.680000000000007</v>
      </c>
    </row>
    <row r="8263" spans="1:5" x14ac:dyDescent="0.2">
      <c r="A8263">
        <v>61315</v>
      </c>
      <c r="B8263" t="s">
        <v>20</v>
      </c>
      <c r="C8263">
        <v>61315</v>
      </c>
      <c r="D8263" t="str">
        <f>"61315"</f>
        <v>61315</v>
      </c>
      <c r="E8263" t="s">
        <v>6</v>
      </c>
    </row>
    <row r="8264" spans="1:5" x14ac:dyDescent="0.2">
      <c r="A8264">
        <v>61316</v>
      </c>
      <c r="B8264" t="s">
        <v>20</v>
      </c>
      <c r="C8264">
        <v>61316</v>
      </c>
      <c r="D8264" t="str">
        <f>"61316"</f>
        <v>61316</v>
      </c>
      <c r="E8264" t="s">
        <v>6</v>
      </c>
    </row>
    <row r="8265" spans="1:5" x14ac:dyDescent="0.2">
      <c r="A8265">
        <v>61317</v>
      </c>
      <c r="B8265" t="s">
        <v>20</v>
      </c>
      <c r="C8265">
        <v>61317</v>
      </c>
      <c r="D8265" t="str">
        <f>"61317"</f>
        <v>61317</v>
      </c>
      <c r="E8265" t="s">
        <v>6</v>
      </c>
    </row>
    <row r="8266" spans="1:5" x14ac:dyDescent="0.2">
      <c r="A8266">
        <v>61318</v>
      </c>
      <c r="B8266" t="s">
        <v>20</v>
      </c>
      <c r="C8266">
        <v>61318</v>
      </c>
      <c r="D8266" t="str">
        <f>"61318"</f>
        <v>61318</v>
      </c>
      <c r="E8266">
        <v>74.19</v>
      </c>
    </row>
    <row r="8267" spans="1:5" x14ac:dyDescent="0.2">
      <c r="A8267">
        <v>61319</v>
      </c>
      <c r="B8267" t="s">
        <v>20</v>
      </c>
      <c r="C8267">
        <v>61319</v>
      </c>
      <c r="D8267" t="str">
        <f>"61319"</f>
        <v>61319</v>
      </c>
      <c r="E8267">
        <v>76.27</v>
      </c>
    </row>
    <row r="8268" spans="1:5" x14ac:dyDescent="0.2">
      <c r="A8268">
        <v>61320</v>
      </c>
      <c r="B8268" t="s">
        <v>20</v>
      </c>
      <c r="C8268">
        <v>61320</v>
      </c>
      <c r="D8268" t="str">
        <f>"61320"</f>
        <v>61320</v>
      </c>
      <c r="E8268">
        <v>76.47</v>
      </c>
    </row>
    <row r="8269" spans="1:5" x14ac:dyDescent="0.2">
      <c r="A8269">
        <v>61321</v>
      </c>
      <c r="B8269" t="s">
        <v>20</v>
      </c>
      <c r="C8269">
        <v>61321</v>
      </c>
      <c r="D8269" t="str">
        <f>"61321"</f>
        <v>61321</v>
      </c>
      <c r="E8269">
        <v>60</v>
      </c>
    </row>
    <row r="8270" spans="1:5" x14ac:dyDescent="0.2">
      <c r="A8270">
        <v>61322</v>
      </c>
      <c r="B8270" t="s">
        <v>20</v>
      </c>
      <c r="C8270">
        <v>61322</v>
      </c>
      <c r="D8270" t="str">
        <f>"61322"</f>
        <v>61322</v>
      </c>
      <c r="E8270" t="s">
        <v>6</v>
      </c>
    </row>
    <row r="8271" spans="1:5" x14ac:dyDescent="0.2">
      <c r="A8271">
        <v>61323</v>
      </c>
      <c r="B8271" t="s">
        <v>20</v>
      </c>
      <c r="C8271">
        <v>61323</v>
      </c>
      <c r="D8271" t="str">
        <f>"61323"</f>
        <v>61323</v>
      </c>
      <c r="E8271" t="s">
        <v>6</v>
      </c>
    </row>
    <row r="8272" spans="1:5" x14ac:dyDescent="0.2">
      <c r="A8272">
        <v>61324</v>
      </c>
      <c r="B8272" t="s">
        <v>20</v>
      </c>
      <c r="C8272">
        <v>61324</v>
      </c>
      <c r="D8272" t="str">
        <f>"61324"</f>
        <v>61324</v>
      </c>
      <c r="E8272" t="s">
        <v>6</v>
      </c>
    </row>
    <row r="8273" spans="1:5" x14ac:dyDescent="0.2">
      <c r="A8273">
        <v>61325</v>
      </c>
      <c r="B8273" t="s">
        <v>20</v>
      </c>
      <c r="C8273">
        <v>61325</v>
      </c>
      <c r="D8273" t="str">
        <f>"61325"</f>
        <v>61325</v>
      </c>
      <c r="E8273">
        <v>75.510000000000005</v>
      </c>
    </row>
    <row r="8274" spans="1:5" x14ac:dyDescent="0.2">
      <c r="A8274">
        <v>61326</v>
      </c>
      <c r="B8274" t="s">
        <v>20</v>
      </c>
      <c r="C8274">
        <v>61326</v>
      </c>
      <c r="D8274" t="str">
        <f>"61326"</f>
        <v>61326</v>
      </c>
      <c r="E8274">
        <v>76.27</v>
      </c>
    </row>
    <row r="8275" spans="1:5" x14ac:dyDescent="0.2">
      <c r="A8275">
        <v>61327</v>
      </c>
      <c r="B8275" t="s">
        <v>20</v>
      </c>
      <c r="C8275">
        <v>61327</v>
      </c>
      <c r="D8275" t="str">
        <f>"61327"</f>
        <v>61327</v>
      </c>
      <c r="E8275">
        <v>78.13</v>
      </c>
    </row>
    <row r="8276" spans="1:5" x14ac:dyDescent="0.2">
      <c r="A8276">
        <v>61329</v>
      </c>
      <c r="B8276" t="s">
        <v>20</v>
      </c>
      <c r="C8276">
        <v>61329</v>
      </c>
      <c r="D8276" t="str">
        <f>"61329"</f>
        <v>61329</v>
      </c>
      <c r="E8276">
        <v>76.92</v>
      </c>
    </row>
    <row r="8277" spans="1:5" x14ac:dyDescent="0.2">
      <c r="A8277">
        <v>61330</v>
      </c>
      <c r="B8277" t="s">
        <v>20</v>
      </c>
      <c r="C8277">
        <v>61330</v>
      </c>
      <c r="D8277" t="str">
        <f>"61330"</f>
        <v>61330</v>
      </c>
      <c r="E8277">
        <v>75.34</v>
      </c>
    </row>
    <row r="8278" spans="1:5" x14ac:dyDescent="0.2">
      <c r="A8278">
        <v>61332</v>
      </c>
      <c r="B8278" t="s">
        <v>20</v>
      </c>
      <c r="C8278">
        <v>61332</v>
      </c>
      <c r="D8278" t="str">
        <f>"61332"</f>
        <v>61332</v>
      </c>
      <c r="E8278" t="s">
        <v>6</v>
      </c>
    </row>
    <row r="8279" spans="1:5" x14ac:dyDescent="0.2">
      <c r="A8279">
        <v>61333</v>
      </c>
      <c r="B8279" t="s">
        <v>20</v>
      </c>
      <c r="C8279">
        <v>61333</v>
      </c>
      <c r="D8279" t="str">
        <f>"61333"</f>
        <v>61333</v>
      </c>
      <c r="E8279">
        <v>76.47</v>
      </c>
    </row>
    <row r="8280" spans="1:5" x14ac:dyDescent="0.2">
      <c r="A8280">
        <v>61334</v>
      </c>
      <c r="B8280" t="s">
        <v>20</v>
      </c>
      <c r="C8280">
        <v>61334</v>
      </c>
      <c r="D8280" t="str">
        <f>"61334"</f>
        <v>61334</v>
      </c>
      <c r="E8280">
        <v>74.290000000000006</v>
      </c>
    </row>
    <row r="8281" spans="1:5" x14ac:dyDescent="0.2">
      <c r="A8281">
        <v>61335</v>
      </c>
      <c r="B8281" t="s">
        <v>20</v>
      </c>
      <c r="C8281">
        <v>61335</v>
      </c>
      <c r="D8281" t="str">
        <f>"61335"</f>
        <v>61335</v>
      </c>
      <c r="E8281">
        <v>77.78</v>
      </c>
    </row>
    <row r="8282" spans="1:5" x14ac:dyDescent="0.2">
      <c r="A8282">
        <v>61336</v>
      </c>
      <c r="B8282" t="s">
        <v>20</v>
      </c>
      <c r="C8282">
        <v>61336</v>
      </c>
      <c r="D8282" t="str">
        <f>"61336"</f>
        <v>61336</v>
      </c>
      <c r="E8282">
        <v>73.08</v>
      </c>
    </row>
    <row r="8283" spans="1:5" x14ac:dyDescent="0.2">
      <c r="A8283">
        <v>61337</v>
      </c>
      <c r="B8283" t="s">
        <v>20</v>
      </c>
      <c r="C8283">
        <v>61337</v>
      </c>
      <c r="D8283" t="str">
        <f>"61337"</f>
        <v>61337</v>
      </c>
      <c r="E8283">
        <v>68.180000000000007</v>
      </c>
    </row>
    <row r="8284" spans="1:5" x14ac:dyDescent="0.2">
      <c r="A8284">
        <v>61338</v>
      </c>
      <c r="B8284" t="s">
        <v>20</v>
      </c>
      <c r="C8284">
        <v>61338</v>
      </c>
      <c r="D8284" t="str">
        <f>"61338"</f>
        <v>61338</v>
      </c>
      <c r="E8284" t="s">
        <v>6</v>
      </c>
    </row>
    <row r="8285" spans="1:5" x14ac:dyDescent="0.2">
      <c r="A8285">
        <v>61340</v>
      </c>
      <c r="B8285" t="s">
        <v>20</v>
      </c>
      <c r="C8285">
        <v>61340</v>
      </c>
      <c r="D8285" t="str">
        <f>"61340"</f>
        <v>61340</v>
      </c>
      <c r="E8285" t="s">
        <v>6</v>
      </c>
    </row>
    <row r="8286" spans="1:5" x14ac:dyDescent="0.2">
      <c r="A8286">
        <v>61341</v>
      </c>
      <c r="B8286" t="s">
        <v>20</v>
      </c>
      <c r="C8286">
        <v>61341</v>
      </c>
      <c r="D8286" t="str">
        <f>"61341"</f>
        <v>61341</v>
      </c>
      <c r="E8286">
        <v>73.66</v>
      </c>
    </row>
    <row r="8287" spans="1:5" x14ac:dyDescent="0.2">
      <c r="A8287">
        <v>61342</v>
      </c>
      <c r="B8287" t="s">
        <v>20</v>
      </c>
      <c r="C8287">
        <v>61342</v>
      </c>
      <c r="D8287" t="str">
        <f>"61342"</f>
        <v>61342</v>
      </c>
      <c r="E8287">
        <v>68.069999999999993</v>
      </c>
    </row>
    <row r="8288" spans="1:5" x14ac:dyDescent="0.2">
      <c r="A8288">
        <v>61344</v>
      </c>
      <c r="B8288" t="s">
        <v>20</v>
      </c>
      <c r="C8288">
        <v>61344</v>
      </c>
      <c r="D8288" t="str">
        <f>"61344"</f>
        <v>61344</v>
      </c>
      <c r="E8288">
        <v>82.35</v>
      </c>
    </row>
    <row r="8289" spans="1:5" x14ac:dyDescent="0.2">
      <c r="A8289">
        <v>61345</v>
      </c>
      <c r="B8289" t="s">
        <v>20</v>
      </c>
      <c r="C8289">
        <v>61345</v>
      </c>
      <c r="D8289" t="str">
        <f>"61345"</f>
        <v>61345</v>
      </c>
      <c r="E8289">
        <v>72.22</v>
      </c>
    </row>
    <row r="8290" spans="1:5" x14ac:dyDescent="0.2">
      <c r="A8290">
        <v>61346</v>
      </c>
      <c r="B8290" t="s">
        <v>20</v>
      </c>
      <c r="C8290">
        <v>61346</v>
      </c>
      <c r="D8290" t="str">
        <f>"61346"</f>
        <v>61346</v>
      </c>
      <c r="E8290" t="s">
        <v>6</v>
      </c>
    </row>
    <row r="8291" spans="1:5" x14ac:dyDescent="0.2">
      <c r="A8291">
        <v>61348</v>
      </c>
      <c r="B8291" t="s">
        <v>20</v>
      </c>
      <c r="C8291">
        <v>61348</v>
      </c>
      <c r="D8291" t="str">
        <f>"61348"</f>
        <v>61348</v>
      </c>
      <c r="E8291">
        <v>75.849999999999994</v>
      </c>
    </row>
    <row r="8292" spans="1:5" x14ac:dyDescent="0.2">
      <c r="A8292">
        <v>61349</v>
      </c>
      <c r="B8292" t="s">
        <v>20</v>
      </c>
      <c r="C8292">
        <v>61349</v>
      </c>
      <c r="D8292" t="str">
        <f>"61349"</f>
        <v>61349</v>
      </c>
      <c r="E8292">
        <v>68.75</v>
      </c>
    </row>
    <row r="8293" spans="1:5" x14ac:dyDescent="0.2">
      <c r="A8293">
        <v>61350</v>
      </c>
      <c r="B8293" t="s">
        <v>20</v>
      </c>
      <c r="C8293">
        <v>61350</v>
      </c>
      <c r="D8293" t="str">
        <f>"61350"</f>
        <v>61350</v>
      </c>
      <c r="E8293">
        <v>73.78</v>
      </c>
    </row>
    <row r="8294" spans="1:5" x14ac:dyDescent="0.2">
      <c r="A8294">
        <v>61353</v>
      </c>
      <c r="B8294" t="s">
        <v>20</v>
      </c>
      <c r="C8294">
        <v>61353</v>
      </c>
      <c r="D8294" t="str">
        <f>"61353"</f>
        <v>61353</v>
      </c>
      <c r="E8294">
        <v>77.78</v>
      </c>
    </row>
    <row r="8295" spans="1:5" x14ac:dyDescent="0.2">
      <c r="A8295">
        <v>61354</v>
      </c>
      <c r="B8295" t="s">
        <v>20</v>
      </c>
      <c r="C8295">
        <v>61354</v>
      </c>
      <c r="D8295" t="str">
        <f>"61354"</f>
        <v>61354</v>
      </c>
      <c r="E8295">
        <v>74.23</v>
      </c>
    </row>
    <row r="8296" spans="1:5" x14ac:dyDescent="0.2">
      <c r="A8296">
        <v>61356</v>
      </c>
      <c r="B8296" t="s">
        <v>20</v>
      </c>
      <c r="C8296">
        <v>61356</v>
      </c>
      <c r="D8296" t="str">
        <f>"61356"</f>
        <v>61356</v>
      </c>
      <c r="E8296">
        <v>72.23</v>
      </c>
    </row>
    <row r="8297" spans="1:5" x14ac:dyDescent="0.2">
      <c r="A8297">
        <v>61358</v>
      </c>
      <c r="B8297" t="s">
        <v>20</v>
      </c>
      <c r="C8297">
        <v>61358</v>
      </c>
      <c r="D8297" t="str">
        <f>"61358"</f>
        <v>61358</v>
      </c>
      <c r="E8297">
        <v>70</v>
      </c>
    </row>
    <row r="8298" spans="1:5" x14ac:dyDescent="0.2">
      <c r="A8298">
        <v>61359</v>
      </c>
      <c r="B8298" t="s">
        <v>20</v>
      </c>
      <c r="C8298">
        <v>61359</v>
      </c>
      <c r="D8298" t="str">
        <f>"61359"</f>
        <v>61359</v>
      </c>
      <c r="E8298" t="s">
        <v>6</v>
      </c>
    </row>
    <row r="8299" spans="1:5" x14ac:dyDescent="0.2">
      <c r="A8299">
        <v>61360</v>
      </c>
      <c r="B8299" t="s">
        <v>20</v>
      </c>
      <c r="C8299">
        <v>61360</v>
      </c>
      <c r="D8299" t="str">
        <f>"61360"</f>
        <v>61360</v>
      </c>
      <c r="E8299">
        <v>75.150000000000006</v>
      </c>
    </row>
    <row r="8300" spans="1:5" x14ac:dyDescent="0.2">
      <c r="A8300">
        <v>61361</v>
      </c>
      <c r="B8300" t="s">
        <v>20</v>
      </c>
      <c r="C8300">
        <v>61361</v>
      </c>
      <c r="D8300" t="str">
        <f>"61361"</f>
        <v>61361</v>
      </c>
      <c r="E8300">
        <v>68.75</v>
      </c>
    </row>
    <row r="8301" spans="1:5" x14ac:dyDescent="0.2">
      <c r="A8301">
        <v>61362</v>
      </c>
      <c r="B8301" t="s">
        <v>20</v>
      </c>
      <c r="C8301">
        <v>61362</v>
      </c>
      <c r="D8301" t="str">
        <f>"61362"</f>
        <v>61362</v>
      </c>
      <c r="E8301">
        <v>70.14</v>
      </c>
    </row>
    <row r="8302" spans="1:5" x14ac:dyDescent="0.2">
      <c r="A8302">
        <v>61363</v>
      </c>
      <c r="B8302" t="s">
        <v>20</v>
      </c>
      <c r="C8302">
        <v>61363</v>
      </c>
      <c r="D8302" t="str">
        <f>"61363"</f>
        <v>61363</v>
      </c>
      <c r="E8302" t="s">
        <v>6</v>
      </c>
    </row>
    <row r="8303" spans="1:5" x14ac:dyDescent="0.2">
      <c r="A8303">
        <v>61364</v>
      </c>
      <c r="B8303" t="s">
        <v>20</v>
      </c>
      <c r="C8303">
        <v>61364</v>
      </c>
      <c r="D8303" t="str">
        <f>"61364"</f>
        <v>61364</v>
      </c>
      <c r="E8303">
        <v>70.16</v>
      </c>
    </row>
    <row r="8304" spans="1:5" x14ac:dyDescent="0.2">
      <c r="A8304">
        <v>61367</v>
      </c>
      <c r="B8304" t="s">
        <v>20</v>
      </c>
      <c r="C8304">
        <v>61367</v>
      </c>
      <c r="D8304" t="str">
        <f>"61367"</f>
        <v>61367</v>
      </c>
      <c r="E8304">
        <v>74.36</v>
      </c>
    </row>
    <row r="8305" spans="1:5" x14ac:dyDescent="0.2">
      <c r="A8305">
        <v>61368</v>
      </c>
      <c r="B8305" t="s">
        <v>20</v>
      </c>
      <c r="C8305">
        <v>61368</v>
      </c>
      <c r="D8305" t="str">
        <f>"61368"</f>
        <v>61368</v>
      </c>
      <c r="E8305">
        <v>71.64</v>
      </c>
    </row>
    <row r="8306" spans="1:5" x14ac:dyDescent="0.2">
      <c r="A8306">
        <v>61369</v>
      </c>
      <c r="B8306" t="s">
        <v>20</v>
      </c>
      <c r="C8306">
        <v>61369</v>
      </c>
      <c r="D8306" t="str">
        <f>"61369"</f>
        <v>61369</v>
      </c>
      <c r="E8306">
        <v>75</v>
      </c>
    </row>
    <row r="8307" spans="1:5" x14ac:dyDescent="0.2">
      <c r="A8307">
        <v>61370</v>
      </c>
      <c r="B8307" t="s">
        <v>20</v>
      </c>
      <c r="C8307">
        <v>61370</v>
      </c>
      <c r="D8307" t="str">
        <f>"61370"</f>
        <v>61370</v>
      </c>
      <c r="E8307">
        <v>78.569999999999993</v>
      </c>
    </row>
    <row r="8308" spans="1:5" x14ac:dyDescent="0.2">
      <c r="A8308">
        <v>61371</v>
      </c>
      <c r="B8308" t="s">
        <v>20</v>
      </c>
      <c r="C8308">
        <v>61371</v>
      </c>
      <c r="D8308" t="str">
        <f>"61371"</f>
        <v>61371</v>
      </c>
      <c r="E8308" t="s">
        <v>6</v>
      </c>
    </row>
    <row r="8309" spans="1:5" x14ac:dyDescent="0.2">
      <c r="A8309">
        <v>61372</v>
      </c>
      <c r="B8309" t="s">
        <v>20</v>
      </c>
      <c r="C8309">
        <v>61372</v>
      </c>
      <c r="D8309" t="str">
        <f>"61372"</f>
        <v>61372</v>
      </c>
      <c r="E8309" t="s">
        <v>6</v>
      </c>
    </row>
    <row r="8310" spans="1:5" x14ac:dyDescent="0.2">
      <c r="A8310">
        <v>61373</v>
      </c>
      <c r="B8310" t="s">
        <v>20</v>
      </c>
      <c r="C8310">
        <v>61373</v>
      </c>
      <c r="D8310" t="str">
        <f>"61373"</f>
        <v>61373</v>
      </c>
      <c r="E8310">
        <v>82</v>
      </c>
    </row>
    <row r="8311" spans="1:5" x14ac:dyDescent="0.2">
      <c r="A8311">
        <v>61374</v>
      </c>
      <c r="B8311" t="s">
        <v>20</v>
      </c>
      <c r="C8311">
        <v>61374</v>
      </c>
      <c r="D8311" t="str">
        <f>"61374"</f>
        <v>61374</v>
      </c>
      <c r="E8311" t="s">
        <v>6</v>
      </c>
    </row>
    <row r="8312" spans="1:5" x14ac:dyDescent="0.2">
      <c r="A8312">
        <v>61375</v>
      </c>
      <c r="B8312" t="s">
        <v>20</v>
      </c>
      <c r="C8312">
        <v>61375</v>
      </c>
      <c r="D8312" t="str">
        <f>"61375"</f>
        <v>61375</v>
      </c>
      <c r="E8312">
        <v>72.73</v>
      </c>
    </row>
    <row r="8313" spans="1:5" x14ac:dyDescent="0.2">
      <c r="A8313">
        <v>61376</v>
      </c>
      <c r="B8313" t="s">
        <v>20</v>
      </c>
      <c r="C8313">
        <v>61376</v>
      </c>
      <c r="D8313" t="str">
        <f>"61376"</f>
        <v>61376</v>
      </c>
      <c r="E8313">
        <v>74.23</v>
      </c>
    </row>
    <row r="8314" spans="1:5" x14ac:dyDescent="0.2">
      <c r="A8314">
        <v>61377</v>
      </c>
      <c r="B8314" t="s">
        <v>20</v>
      </c>
      <c r="C8314">
        <v>61377</v>
      </c>
      <c r="D8314" t="str">
        <f>"61377"</f>
        <v>61377</v>
      </c>
      <c r="E8314">
        <v>71.88</v>
      </c>
    </row>
    <row r="8315" spans="1:5" x14ac:dyDescent="0.2">
      <c r="A8315">
        <v>61378</v>
      </c>
      <c r="B8315" t="s">
        <v>20</v>
      </c>
      <c r="C8315">
        <v>61378</v>
      </c>
      <c r="D8315" t="str">
        <f>"61378"</f>
        <v>61378</v>
      </c>
      <c r="E8315">
        <v>75</v>
      </c>
    </row>
    <row r="8316" spans="1:5" x14ac:dyDescent="0.2">
      <c r="A8316">
        <v>61379</v>
      </c>
      <c r="B8316" t="s">
        <v>20</v>
      </c>
      <c r="C8316">
        <v>61379</v>
      </c>
      <c r="D8316" t="str">
        <f>"61379"</f>
        <v>61379</v>
      </c>
      <c r="E8316">
        <v>73.77</v>
      </c>
    </row>
    <row r="8317" spans="1:5" x14ac:dyDescent="0.2">
      <c r="A8317">
        <v>61401</v>
      </c>
      <c r="B8317" t="s">
        <v>20</v>
      </c>
      <c r="C8317">
        <v>61401</v>
      </c>
      <c r="D8317" t="str">
        <f>"61401"</f>
        <v>61401</v>
      </c>
      <c r="E8317">
        <v>66.86</v>
      </c>
    </row>
    <row r="8318" spans="1:5" x14ac:dyDescent="0.2">
      <c r="A8318">
        <v>61410</v>
      </c>
      <c r="B8318" t="s">
        <v>20</v>
      </c>
      <c r="C8318">
        <v>61410</v>
      </c>
      <c r="D8318" t="str">
        <f>"61410"</f>
        <v>61410</v>
      </c>
      <c r="E8318">
        <v>69.59</v>
      </c>
    </row>
    <row r="8319" spans="1:5" x14ac:dyDescent="0.2">
      <c r="A8319">
        <v>61411</v>
      </c>
      <c r="B8319" t="s">
        <v>20</v>
      </c>
      <c r="C8319">
        <v>61411</v>
      </c>
      <c r="D8319" t="str">
        <f>"61411"</f>
        <v>61411</v>
      </c>
      <c r="E8319">
        <v>80</v>
      </c>
    </row>
    <row r="8320" spans="1:5" x14ac:dyDescent="0.2">
      <c r="A8320">
        <v>61412</v>
      </c>
      <c r="B8320" t="s">
        <v>20</v>
      </c>
      <c r="C8320">
        <v>61412</v>
      </c>
      <c r="D8320" t="str">
        <f>"61412"</f>
        <v>61412</v>
      </c>
      <c r="E8320">
        <v>76.12</v>
      </c>
    </row>
    <row r="8321" spans="1:5" x14ac:dyDescent="0.2">
      <c r="A8321">
        <v>61413</v>
      </c>
      <c r="B8321" t="s">
        <v>20</v>
      </c>
      <c r="C8321">
        <v>61413</v>
      </c>
      <c r="D8321" t="str">
        <f>"61413"</f>
        <v>61413</v>
      </c>
      <c r="E8321">
        <v>78.849999999999994</v>
      </c>
    </row>
    <row r="8322" spans="1:5" x14ac:dyDescent="0.2">
      <c r="A8322">
        <v>61414</v>
      </c>
      <c r="B8322" t="s">
        <v>20</v>
      </c>
      <c r="C8322">
        <v>61414</v>
      </c>
      <c r="D8322" t="str">
        <f>"61414"</f>
        <v>61414</v>
      </c>
      <c r="E8322">
        <v>69.05</v>
      </c>
    </row>
    <row r="8323" spans="1:5" x14ac:dyDescent="0.2">
      <c r="A8323">
        <v>61415</v>
      </c>
      <c r="B8323" t="s">
        <v>20</v>
      </c>
      <c r="C8323">
        <v>61415</v>
      </c>
      <c r="D8323" t="str">
        <f>"61415"</f>
        <v>61415</v>
      </c>
      <c r="E8323">
        <v>71.430000000000007</v>
      </c>
    </row>
    <row r="8324" spans="1:5" x14ac:dyDescent="0.2">
      <c r="A8324">
        <v>61416</v>
      </c>
      <c r="B8324" t="s">
        <v>20</v>
      </c>
      <c r="C8324">
        <v>61416</v>
      </c>
      <c r="D8324" t="str">
        <f>"61416"</f>
        <v>61416</v>
      </c>
      <c r="E8324" t="s">
        <v>6</v>
      </c>
    </row>
    <row r="8325" spans="1:5" x14ac:dyDescent="0.2">
      <c r="A8325">
        <v>61417</v>
      </c>
      <c r="B8325" t="s">
        <v>20</v>
      </c>
      <c r="C8325">
        <v>61417</v>
      </c>
      <c r="D8325" t="str">
        <f>"61417"</f>
        <v>61417</v>
      </c>
      <c r="E8325">
        <v>75</v>
      </c>
    </row>
    <row r="8326" spans="1:5" x14ac:dyDescent="0.2">
      <c r="A8326">
        <v>61418</v>
      </c>
      <c r="B8326" t="s">
        <v>20</v>
      </c>
      <c r="C8326">
        <v>61418</v>
      </c>
      <c r="D8326" t="str">
        <f>"61418"</f>
        <v>61418</v>
      </c>
      <c r="E8326">
        <v>78.569999999999993</v>
      </c>
    </row>
    <row r="8327" spans="1:5" x14ac:dyDescent="0.2">
      <c r="A8327">
        <v>61419</v>
      </c>
      <c r="B8327" t="s">
        <v>20</v>
      </c>
      <c r="C8327">
        <v>61419</v>
      </c>
      <c r="D8327" t="str">
        <f>"61419"</f>
        <v>61419</v>
      </c>
      <c r="E8327" t="s">
        <v>6</v>
      </c>
    </row>
    <row r="8328" spans="1:5" x14ac:dyDescent="0.2">
      <c r="A8328">
        <v>61420</v>
      </c>
      <c r="B8328" t="s">
        <v>20</v>
      </c>
      <c r="C8328">
        <v>61420</v>
      </c>
      <c r="D8328" t="str">
        <f>"61420"</f>
        <v>61420</v>
      </c>
      <c r="E8328">
        <v>73.47</v>
      </c>
    </row>
    <row r="8329" spans="1:5" x14ac:dyDescent="0.2">
      <c r="A8329">
        <v>61421</v>
      </c>
      <c r="B8329" t="s">
        <v>20</v>
      </c>
      <c r="C8329">
        <v>61421</v>
      </c>
      <c r="D8329" t="str">
        <f>"61421"</f>
        <v>61421</v>
      </c>
      <c r="E8329">
        <v>72.88</v>
      </c>
    </row>
    <row r="8330" spans="1:5" x14ac:dyDescent="0.2">
      <c r="A8330">
        <v>61422</v>
      </c>
      <c r="B8330" t="s">
        <v>20</v>
      </c>
      <c r="C8330">
        <v>61422</v>
      </c>
      <c r="D8330" t="str">
        <f>"61422"</f>
        <v>61422</v>
      </c>
      <c r="E8330">
        <v>67.319999999999993</v>
      </c>
    </row>
    <row r="8331" spans="1:5" x14ac:dyDescent="0.2">
      <c r="A8331">
        <v>61423</v>
      </c>
      <c r="B8331" t="s">
        <v>20</v>
      </c>
      <c r="C8331">
        <v>61423</v>
      </c>
      <c r="D8331" t="str">
        <f>"61423"</f>
        <v>61423</v>
      </c>
      <c r="E8331">
        <v>82.76</v>
      </c>
    </row>
    <row r="8332" spans="1:5" x14ac:dyDescent="0.2">
      <c r="A8332">
        <v>61424</v>
      </c>
      <c r="B8332" t="s">
        <v>20</v>
      </c>
      <c r="C8332">
        <v>61424</v>
      </c>
      <c r="D8332" t="str">
        <f>"61424"</f>
        <v>61424</v>
      </c>
      <c r="E8332" t="s">
        <v>6</v>
      </c>
    </row>
    <row r="8333" spans="1:5" x14ac:dyDescent="0.2">
      <c r="A8333">
        <v>61425</v>
      </c>
      <c r="B8333" t="s">
        <v>20</v>
      </c>
      <c r="C8333">
        <v>61425</v>
      </c>
      <c r="D8333" t="str">
        <f>"61425"</f>
        <v>61425</v>
      </c>
      <c r="E8333">
        <v>80</v>
      </c>
    </row>
    <row r="8334" spans="1:5" x14ac:dyDescent="0.2">
      <c r="A8334">
        <v>61426</v>
      </c>
      <c r="B8334" t="s">
        <v>20</v>
      </c>
      <c r="C8334">
        <v>61426</v>
      </c>
      <c r="D8334" t="str">
        <f>"61426"</f>
        <v>61426</v>
      </c>
      <c r="E8334" t="s">
        <v>6</v>
      </c>
    </row>
    <row r="8335" spans="1:5" x14ac:dyDescent="0.2">
      <c r="A8335">
        <v>61427</v>
      </c>
      <c r="B8335" t="s">
        <v>20</v>
      </c>
      <c r="C8335">
        <v>61427</v>
      </c>
      <c r="D8335" t="str">
        <f>"61427"</f>
        <v>61427</v>
      </c>
      <c r="E8335">
        <v>71.569999999999993</v>
      </c>
    </row>
    <row r="8336" spans="1:5" x14ac:dyDescent="0.2">
      <c r="A8336">
        <v>61428</v>
      </c>
      <c r="B8336" t="s">
        <v>20</v>
      </c>
      <c r="C8336">
        <v>61428</v>
      </c>
      <c r="D8336" t="str">
        <f>"61428"</f>
        <v>61428</v>
      </c>
      <c r="E8336">
        <v>83.33</v>
      </c>
    </row>
    <row r="8337" spans="1:5" x14ac:dyDescent="0.2">
      <c r="A8337">
        <v>61430</v>
      </c>
      <c r="B8337" t="s">
        <v>20</v>
      </c>
      <c r="C8337">
        <v>61430</v>
      </c>
      <c r="D8337" t="str">
        <f>"61430"</f>
        <v>61430</v>
      </c>
      <c r="E8337">
        <v>71.790000000000006</v>
      </c>
    </row>
    <row r="8338" spans="1:5" x14ac:dyDescent="0.2">
      <c r="A8338">
        <v>61431</v>
      </c>
      <c r="B8338" t="s">
        <v>20</v>
      </c>
      <c r="C8338">
        <v>61431</v>
      </c>
      <c r="D8338" t="str">
        <f>"61431"</f>
        <v>61431</v>
      </c>
      <c r="E8338">
        <v>75</v>
      </c>
    </row>
    <row r="8339" spans="1:5" x14ac:dyDescent="0.2">
      <c r="A8339">
        <v>61432</v>
      </c>
      <c r="B8339" t="s">
        <v>20</v>
      </c>
      <c r="C8339">
        <v>61432</v>
      </c>
      <c r="D8339" t="str">
        <f>"61432"</f>
        <v>61432</v>
      </c>
      <c r="E8339">
        <v>71.430000000000007</v>
      </c>
    </row>
    <row r="8340" spans="1:5" x14ac:dyDescent="0.2">
      <c r="A8340">
        <v>61434</v>
      </c>
      <c r="B8340" t="s">
        <v>20</v>
      </c>
      <c r="C8340">
        <v>61434</v>
      </c>
      <c r="D8340" t="str">
        <f>"61434"</f>
        <v>61434</v>
      </c>
      <c r="E8340">
        <v>70.27</v>
      </c>
    </row>
    <row r="8341" spans="1:5" x14ac:dyDescent="0.2">
      <c r="A8341">
        <v>61435</v>
      </c>
      <c r="B8341" t="s">
        <v>20</v>
      </c>
      <c r="C8341">
        <v>61435</v>
      </c>
      <c r="D8341" t="str">
        <f>"61435"</f>
        <v>61435</v>
      </c>
      <c r="E8341" t="s">
        <v>6</v>
      </c>
    </row>
    <row r="8342" spans="1:5" x14ac:dyDescent="0.2">
      <c r="A8342">
        <v>61436</v>
      </c>
      <c r="B8342" t="s">
        <v>20</v>
      </c>
      <c r="C8342">
        <v>61436</v>
      </c>
      <c r="D8342" t="str">
        <f>"61436"</f>
        <v>61436</v>
      </c>
      <c r="E8342">
        <v>74.42</v>
      </c>
    </row>
    <row r="8343" spans="1:5" x14ac:dyDescent="0.2">
      <c r="A8343">
        <v>61437</v>
      </c>
      <c r="B8343" t="s">
        <v>20</v>
      </c>
      <c r="C8343">
        <v>61437</v>
      </c>
      <c r="D8343" t="str">
        <f>"61437"</f>
        <v>61437</v>
      </c>
      <c r="E8343">
        <v>76.92</v>
      </c>
    </row>
    <row r="8344" spans="1:5" x14ac:dyDescent="0.2">
      <c r="A8344">
        <v>61438</v>
      </c>
      <c r="B8344" t="s">
        <v>20</v>
      </c>
      <c r="C8344">
        <v>61438</v>
      </c>
      <c r="D8344" t="str">
        <f>"61438"</f>
        <v>61438</v>
      </c>
      <c r="E8344">
        <v>75.760000000000005</v>
      </c>
    </row>
    <row r="8345" spans="1:5" x14ac:dyDescent="0.2">
      <c r="A8345">
        <v>61439</v>
      </c>
      <c r="B8345" t="s">
        <v>20</v>
      </c>
      <c r="C8345">
        <v>61439</v>
      </c>
      <c r="D8345" t="str">
        <f>"61439"</f>
        <v>61439</v>
      </c>
      <c r="E8345" t="s">
        <v>6</v>
      </c>
    </row>
    <row r="8346" spans="1:5" x14ac:dyDescent="0.2">
      <c r="A8346">
        <v>61440</v>
      </c>
      <c r="B8346" t="s">
        <v>20</v>
      </c>
      <c r="C8346">
        <v>61440</v>
      </c>
      <c r="D8346" t="str">
        <f>"61440"</f>
        <v>61440</v>
      </c>
      <c r="E8346">
        <v>71.430000000000007</v>
      </c>
    </row>
    <row r="8347" spans="1:5" x14ac:dyDescent="0.2">
      <c r="A8347">
        <v>61441</v>
      </c>
      <c r="B8347" t="s">
        <v>20</v>
      </c>
      <c r="C8347">
        <v>61441</v>
      </c>
      <c r="D8347" t="str">
        <f>"61441"</f>
        <v>61441</v>
      </c>
      <c r="E8347">
        <v>72.97</v>
      </c>
    </row>
    <row r="8348" spans="1:5" x14ac:dyDescent="0.2">
      <c r="A8348">
        <v>61442</v>
      </c>
      <c r="B8348" t="s">
        <v>20</v>
      </c>
      <c r="C8348">
        <v>61442</v>
      </c>
      <c r="D8348" t="str">
        <f>"61442"</f>
        <v>61442</v>
      </c>
      <c r="E8348">
        <v>73.33</v>
      </c>
    </row>
    <row r="8349" spans="1:5" x14ac:dyDescent="0.2">
      <c r="A8349">
        <v>61443</v>
      </c>
      <c r="B8349" t="s">
        <v>20</v>
      </c>
      <c r="C8349">
        <v>61443</v>
      </c>
      <c r="D8349" t="str">
        <f>"61443"</f>
        <v>61443</v>
      </c>
      <c r="E8349">
        <v>65.28</v>
      </c>
    </row>
    <row r="8350" spans="1:5" x14ac:dyDescent="0.2">
      <c r="A8350">
        <v>61447</v>
      </c>
      <c r="B8350" t="s">
        <v>20</v>
      </c>
      <c r="C8350">
        <v>61447</v>
      </c>
      <c r="D8350" t="str">
        <f>"61447"</f>
        <v>61447</v>
      </c>
      <c r="E8350">
        <v>69.05</v>
      </c>
    </row>
    <row r="8351" spans="1:5" x14ac:dyDescent="0.2">
      <c r="A8351">
        <v>61448</v>
      </c>
      <c r="B8351" t="s">
        <v>20</v>
      </c>
      <c r="C8351">
        <v>61448</v>
      </c>
      <c r="D8351" t="str">
        <f>"61448"</f>
        <v>61448</v>
      </c>
      <c r="E8351">
        <v>73.22</v>
      </c>
    </row>
    <row r="8352" spans="1:5" x14ac:dyDescent="0.2">
      <c r="A8352">
        <v>61449</v>
      </c>
      <c r="B8352" t="s">
        <v>20</v>
      </c>
      <c r="C8352">
        <v>61449</v>
      </c>
      <c r="D8352" t="str">
        <f>"61449"</f>
        <v>61449</v>
      </c>
      <c r="E8352">
        <v>66.67</v>
      </c>
    </row>
    <row r="8353" spans="1:5" x14ac:dyDescent="0.2">
      <c r="A8353">
        <v>61450</v>
      </c>
      <c r="B8353" t="s">
        <v>20</v>
      </c>
      <c r="C8353">
        <v>61450</v>
      </c>
      <c r="D8353" t="str">
        <f>"61450"</f>
        <v>61450</v>
      </c>
      <c r="E8353">
        <v>72.37</v>
      </c>
    </row>
    <row r="8354" spans="1:5" x14ac:dyDescent="0.2">
      <c r="A8354">
        <v>61451</v>
      </c>
      <c r="B8354" t="s">
        <v>20</v>
      </c>
      <c r="C8354">
        <v>61451</v>
      </c>
      <c r="D8354" t="str">
        <f>"61451"</f>
        <v>61451</v>
      </c>
      <c r="E8354">
        <v>73.33</v>
      </c>
    </row>
    <row r="8355" spans="1:5" x14ac:dyDescent="0.2">
      <c r="A8355">
        <v>61452</v>
      </c>
      <c r="B8355" t="s">
        <v>20</v>
      </c>
      <c r="C8355">
        <v>61452</v>
      </c>
      <c r="D8355" t="str">
        <f>"61452"</f>
        <v>61452</v>
      </c>
      <c r="E8355">
        <v>76.92</v>
      </c>
    </row>
    <row r="8356" spans="1:5" x14ac:dyDescent="0.2">
      <c r="A8356">
        <v>61453</v>
      </c>
      <c r="B8356" t="s">
        <v>20</v>
      </c>
      <c r="C8356">
        <v>61453</v>
      </c>
      <c r="D8356" t="str">
        <f>"61453"</f>
        <v>61453</v>
      </c>
      <c r="E8356">
        <v>70</v>
      </c>
    </row>
    <row r="8357" spans="1:5" x14ac:dyDescent="0.2">
      <c r="A8357">
        <v>61454</v>
      </c>
      <c r="B8357" t="s">
        <v>20</v>
      </c>
      <c r="C8357">
        <v>61454</v>
      </c>
      <c r="D8357" t="str">
        <f>"61454"</f>
        <v>61454</v>
      </c>
      <c r="E8357">
        <v>74.19</v>
      </c>
    </row>
    <row r="8358" spans="1:5" x14ac:dyDescent="0.2">
      <c r="A8358">
        <v>61455</v>
      </c>
      <c r="B8358" t="s">
        <v>20</v>
      </c>
      <c r="C8358">
        <v>61455</v>
      </c>
      <c r="D8358" t="str">
        <f>"61455"</f>
        <v>61455</v>
      </c>
      <c r="E8358">
        <v>69.27</v>
      </c>
    </row>
    <row r="8359" spans="1:5" x14ac:dyDescent="0.2">
      <c r="A8359">
        <v>61458</v>
      </c>
      <c r="B8359" t="s">
        <v>20</v>
      </c>
      <c r="C8359">
        <v>61458</v>
      </c>
      <c r="D8359" t="str">
        <f>"61458"</f>
        <v>61458</v>
      </c>
      <c r="E8359">
        <v>72.5</v>
      </c>
    </row>
    <row r="8360" spans="1:5" x14ac:dyDescent="0.2">
      <c r="A8360">
        <v>61459</v>
      </c>
      <c r="B8360" t="s">
        <v>20</v>
      </c>
      <c r="C8360">
        <v>61459</v>
      </c>
      <c r="D8360" t="str">
        <f>"61459"</f>
        <v>61459</v>
      </c>
      <c r="E8360">
        <v>70.59</v>
      </c>
    </row>
    <row r="8361" spans="1:5" x14ac:dyDescent="0.2">
      <c r="A8361">
        <v>61460</v>
      </c>
      <c r="B8361" t="s">
        <v>20</v>
      </c>
      <c r="C8361">
        <v>61460</v>
      </c>
      <c r="D8361" t="str">
        <f>"61460"</f>
        <v>61460</v>
      </c>
      <c r="E8361">
        <v>78.569999999999993</v>
      </c>
    </row>
    <row r="8362" spans="1:5" x14ac:dyDescent="0.2">
      <c r="A8362">
        <v>61462</v>
      </c>
      <c r="B8362" t="s">
        <v>20</v>
      </c>
      <c r="C8362">
        <v>61462</v>
      </c>
      <c r="D8362" t="str">
        <f>"61462"</f>
        <v>61462</v>
      </c>
      <c r="E8362">
        <v>68.22</v>
      </c>
    </row>
    <row r="8363" spans="1:5" x14ac:dyDescent="0.2">
      <c r="A8363">
        <v>61465</v>
      </c>
      <c r="B8363" t="s">
        <v>20</v>
      </c>
      <c r="C8363">
        <v>61465</v>
      </c>
      <c r="D8363" t="str">
        <f>"61465"</f>
        <v>61465</v>
      </c>
      <c r="E8363">
        <v>74.14</v>
      </c>
    </row>
    <row r="8364" spans="1:5" x14ac:dyDescent="0.2">
      <c r="A8364">
        <v>61466</v>
      </c>
      <c r="B8364" t="s">
        <v>20</v>
      </c>
      <c r="C8364">
        <v>61466</v>
      </c>
      <c r="D8364" t="str">
        <f>"61466"</f>
        <v>61466</v>
      </c>
      <c r="E8364">
        <v>75</v>
      </c>
    </row>
    <row r="8365" spans="1:5" x14ac:dyDescent="0.2">
      <c r="A8365">
        <v>61467</v>
      </c>
      <c r="B8365" t="s">
        <v>20</v>
      </c>
      <c r="C8365">
        <v>61467</v>
      </c>
      <c r="D8365" t="str">
        <f>"61467"</f>
        <v>61467</v>
      </c>
      <c r="E8365">
        <v>76.47</v>
      </c>
    </row>
    <row r="8366" spans="1:5" x14ac:dyDescent="0.2">
      <c r="A8366">
        <v>61468</v>
      </c>
      <c r="B8366" t="s">
        <v>20</v>
      </c>
      <c r="C8366">
        <v>61468</v>
      </c>
      <c r="D8366" t="str">
        <f>"61468"</f>
        <v>61468</v>
      </c>
      <c r="E8366" t="s">
        <v>6</v>
      </c>
    </row>
    <row r="8367" spans="1:5" x14ac:dyDescent="0.2">
      <c r="A8367">
        <v>61469</v>
      </c>
      <c r="B8367" t="s">
        <v>20</v>
      </c>
      <c r="C8367">
        <v>61469</v>
      </c>
      <c r="D8367" t="str">
        <f>"61469"</f>
        <v>61469</v>
      </c>
      <c r="E8367">
        <v>73.400000000000006</v>
      </c>
    </row>
    <row r="8368" spans="1:5" x14ac:dyDescent="0.2">
      <c r="A8368">
        <v>61470</v>
      </c>
      <c r="B8368" t="s">
        <v>20</v>
      </c>
      <c r="C8368">
        <v>61470</v>
      </c>
      <c r="D8368" t="str">
        <f>"61470"</f>
        <v>61470</v>
      </c>
      <c r="E8368">
        <v>66.67</v>
      </c>
    </row>
    <row r="8369" spans="1:5" x14ac:dyDescent="0.2">
      <c r="A8369">
        <v>61471</v>
      </c>
      <c r="B8369" t="s">
        <v>20</v>
      </c>
      <c r="C8369">
        <v>61471</v>
      </c>
      <c r="D8369" t="str">
        <f>"61471"</f>
        <v>61471</v>
      </c>
      <c r="E8369" t="s">
        <v>6</v>
      </c>
    </row>
    <row r="8370" spans="1:5" x14ac:dyDescent="0.2">
      <c r="A8370">
        <v>61472</v>
      </c>
      <c r="B8370" t="s">
        <v>20</v>
      </c>
      <c r="C8370">
        <v>61472</v>
      </c>
      <c r="D8370" t="str">
        <f>"61472"</f>
        <v>61472</v>
      </c>
      <c r="E8370">
        <v>76.67</v>
      </c>
    </row>
    <row r="8371" spans="1:5" x14ac:dyDescent="0.2">
      <c r="A8371">
        <v>61473</v>
      </c>
      <c r="B8371" t="s">
        <v>20</v>
      </c>
      <c r="C8371">
        <v>61473</v>
      </c>
      <c r="D8371" t="str">
        <f>"61473"</f>
        <v>61473</v>
      </c>
      <c r="E8371">
        <v>70.83</v>
      </c>
    </row>
    <row r="8372" spans="1:5" x14ac:dyDescent="0.2">
      <c r="A8372">
        <v>61474</v>
      </c>
      <c r="B8372" t="s">
        <v>20</v>
      </c>
      <c r="C8372">
        <v>61474</v>
      </c>
      <c r="D8372" t="str">
        <f>"61474"</f>
        <v>61474</v>
      </c>
      <c r="E8372">
        <v>60</v>
      </c>
    </row>
    <row r="8373" spans="1:5" x14ac:dyDescent="0.2">
      <c r="A8373">
        <v>61475</v>
      </c>
      <c r="B8373" t="s">
        <v>20</v>
      </c>
      <c r="C8373">
        <v>61475</v>
      </c>
      <c r="D8373" t="str">
        <f>"61475"</f>
        <v>61475</v>
      </c>
      <c r="E8373">
        <v>80</v>
      </c>
    </row>
    <row r="8374" spans="1:5" x14ac:dyDescent="0.2">
      <c r="A8374">
        <v>61476</v>
      </c>
      <c r="B8374" t="s">
        <v>20</v>
      </c>
      <c r="C8374">
        <v>61476</v>
      </c>
      <c r="D8374" t="str">
        <f>"61476"</f>
        <v>61476</v>
      </c>
      <c r="E8374">
        <v>75</v>
      </c>
    </row>
    <row r="8375" spans="1:5" x14ac:dyDescent="0.2">
      <c r="A8375">
        <v>61477</v>
      </c>
      <c r="B8375" t="s">
        <v>20</v>
      </c>
      <c r="C8375">
        <v>61477</v>
      </c>
      <c r="D8375" t="str">
        <f>"61477"</f>
        <v>61477</v>
      </c>
      <c r="E8375">
        <v>70.37</v>
      </c>
    </row>
    <row r="8376" spans="1:5" x14ac:dyDescent="0.2">
      <c r="A8376">
        <v>61478</v>
      </c>
      <c r="B8376" t="s">
        <v>20</v>
      </c>
      <c r="C8376">
        <v>61478</v>
      </c>
      <c r="D8376" t="str">
        <f>"61478"</f>
        <v>61478</v>
      </c>
      <c r="E8376">
        <v>71.430000000000007</v>
      </c>
    </row>
    <row r="8377" spans="1:5" x14ac:dyDescent="0.2">
      <c r="A8377">
        <v>61479</v>
      </c>
      <c r="B8377" t="s">
        <v>20</v>
      </c>
      <c r="C8377">
        <v>61479</v>
      </c>
      <c r="D8377" t="str">
        <f>"61479"</f>
        <v>61479</v>
      </c>
      <c r="E8377" t="s">
        <v>6</v>
      </c>
    </row>
    <row r="8378" spans="1:5" x14ac:dyDescent="0.2">
      <c r="A8378">
        <v>61480</v>
      </c>
      <c r="B8378" t="s">
        <v>20</v>
      </c>
      <c r="C8378">
        <v>61480</v>
      </c>
      <c r="D8378" t="str">
        <f>"61480"</f>
        <v>61480</v>
      </c>
      <c r="E8378">
        <v>70.69</v>
      </c>
    </row>
    <row r="8379" spans="1:5" x14ac:dyDescent="0.2">
      <c r="A8379">
        <v>61482</v>
      </c>
      <c r="B8379" t="s">
        <v>20</v>
      </c>
      <c r="C8379">
        <v>61482</v>
      </c>
      <c r="D8379" t="str">
        <f>"61482"</f>
        <v>61482</v>
      </c>
      <c r="E8379">
        <v>72.41</v>
      </c>
    </row>
    <row r="8380" spans="1:5" x14ac:dyDescent="0.2">
      <c r="A8380">
        <v>61483</v>
      </c>
      <c r="B8380" t="s">
        <v>20</v>
      </c>
      <c r="C8380">
        <v>61483</v>
      </c>
      <c r="D8380" t="str">
        <f>"61483"</f>
        <v>61483</v>
      </c>
      <c r="E8380">
        <v>72.62</v>
      </c>
    </row>
    <row r="8381" spans="1:5" x14ac:dyDescent="0.2">
      <c r="A8381">
        <v>61484</v>
      </c>
      <c r="B8381" t="s">
        <v>20</v>
      </c>
      <c r="C8381">
        <v>61484</v>
      </c>
      <c r="D8381" t="str">
        <f>"61484"</f>
        <v>61484</v>
      </c>
      <c r="E8381">
        <v>66.67</v>
      </c>
    </row>
    <row r="8382" spans="1:5" x14ac:dyDescent="0.2">
      <c r="A8382">
        <v>61485</v>
      </c>
      <c r="B8382" t="s">
        <v>20</v>
      </c>
      <c r="C8382">
        <v>61485</v>
      </c>
      <c r="D8382" t="str">
        <f>"61485"</f>
        <v>61485</v>
      </c>
      <c r="E8382">
        <v>75</v>
      </c>
    </row>
    <row r="8383" spans="1:5" x14ac:dyDescent="0.2">
      <c r="A8383">
        <v>61486</v>
      </c>
      <c r="B8383" t="s">
        <v>20</v>
      </c>
      <c r="C8383">
        <v>61486</v>
      </c>
      <c r="D8383" t="str">
        <f>"61486"</f>
        <v>61486</v>
      </c>
      <c r="E8383">
        <v>74.67</v>
      </c>
    </row>
    <row r="8384" spans="1:5" x14ac:dyDescent="0.2">
      <c r="A8384">
        <v>61488</v>
      </c>
      <c r="B8384" t="s">
        <v>20</v>
      </c>
      <c r="C8384">
        <v>61488</v>
      </c>
      <c r="D8384" t="str">
        <f>"61488"</f>
        <v>61488</v>
      </c>
      <c r="E8384">
        <v>69.81</v>
      </c>
    </row>
    <row r="8385" spans="1:5" x14ac:dyDescent="0.2">
      <c r="A8385">
        <v>61489</v>
      </c>
      <c r="B8385" t="s">
        <v>20</v>
      </c>
      <c r="C8385">
        <v>61489</v>
      </c>
      <c r="D8385" t="str">
        <f>"61489"</f>
        <v>61489</v>
      </c>
      <c r="E8385">
        <v>73.33</v>
      </c>
    </row>
    <row r="8386" spans="1:5" x14ac:dyDescent="0.2">
      <c r="A8386">
        <v>61490</v>
      </c>
      <c r="B8386" t="s">
        <v>20</v>
      </c>
      <c r="C8386">
        <v>61490</v>
      </c>
      <c r="D8386" t="str">
        <f>"61490"</f>
        <v>61490</v>
      </c>
      <c r="E8386">
        <v>76.36</v>
      </c>
    </row>
    <row r="8387" spans="1:5" x14ac:dyDescent="0.2">
      <c r="A8387">
        <v>61491</v>
      </c>
      <c r="B8387" t="s">
        <v>20</v>
      </c>
      <c r="C8387">
        <v>61491</v>
      </c>
      <c r="D8387" t="str">
        <f>"61491"</f>
        <v>61491</v>
      </c>
      <c r="E8387">
        <v>67.650000000000006</v>
      </c>
    </row>
    <row r="8388" spans="1:5" x14ac:dyDescent="0.2">
      <c r="A8388">
        <v>61501</v>
      </c>
      <c r="B8388" t="s">
        <v>20</v>
      </c>
      <c r="C8388">
        <v>61501</v>
      </c>
      <c r="D8388" t="str">
        <f>"61501"</f>
        <v>61501</v>
      </c>
      <c r="E8388">
        <v>69.23</v>
      </c>
    </row>
    <row r="8389" spans="1:5" x14ac:dyDescent="0.2">
      <c r="A8389">
        <v>61516</v>
      </c>
      <c r="B8389" t="s">
        <v>20</v>
      </c>
      <c r="C8389">
        <v>61516</v>
      </c>
      <c r="D8389" t="str">
        <f>"61516"</f>
        <v>61516</v>
      </c>
      <c r="E8389">
        <v>78.790000000000006</v>
      </c>
    </row>
    <row r="8390" spans="1:5" x14ac:dyDescent="0.2">
      <c r="A8390">
        <v>61517</v>
      </c>
      <c r="B8390" t="s">
        <v>20</v>
      </c>
      <c r="C8390">
        <v>61517</v>
      </c>
      <c r="D8390" t="str">
        <f>"61517"</f>
        <v>61517</v>
      </c>
      <c r="E8390">
        <v>80.12</v>
      </c>
    </row>
    <row r="8391" spans="1:5" x14ac:dyDescent="0.2">
      <c r="A8391">
        <v>61519</v>
      </c>
      <c r="B8391" t="s">
        <v>20</v>
      </c>
      <c r="C8391">
        <v>61519</v>
      </c>
      <c r="D8391" t="str">
        <f>"61519"</f>
        <v>61519</v>
      </c>
      <c r="E8391" t="s">
        <v>6</v>
      </c>
    </row>
    <row r="8392" spans="1:5" x14ac:dyDescent="0.2">
      <c r="A8392">
        <v>61520</v>
      </c>
      <c r="B8392" t="s">
        <v>20</v>
      </c>
      <c r="C8392">
        <v>61520</v>
      </c>
      <c r="D8392" t="str">
        <f>"61520"</f>
        <v>61520</v>
      </c>
      <c r="E8392">
        <v>70.14</v>
      </c>
    </row>
    <row r="8393" spans="1:5" x14ac:dyDescent="0.2">
      <c r="A8393">
        <v>61523</v>
      </c>
      <c r="B8393" t="s">
        <v>20</v>
      </c>
      <c r="C8393">
        <v>61523</v>
      </c>
      <c r="D8393" t="str">
        <f>"61523"</f>
        <v>61523</v>
      </c>
      <c r="E8393">
        <v>75.56</v>
      </c>
    </row>
    <row r="8394" spans="1:5" x14ac:dyDescent="0.2">
      <c r="A8394">
        <v>61524</v>
      </c>
      <c r="B8394" t="s">
        <v>20</v>
      </c>
      <c r="C8394">
        <v>61524</v>
      </c>
      <c r="D8394" t="str">
        <f>"61524"</f>
        <v>61524</v>
      </c>
      <c r="E8394" t="s">
        <v>6</v>
      </c>
    </row>
    <row r="8395" spans="1:5" x14ac:dyDescent="0.2">
      <c r="A8395">
        <v>61525</v>
      </c>
      <c r="B8395" t="s">
        <v>20</v>
      </c>
      <c r="C8395">
        <v>61525</v>
      </c>
      <c r="D8395" t="str">
        <f>"61525"</f>
        <v>61525</v>
      </c>
      <c r="E8395">
        <v>82.99</v>
      </c>
    </row>
    <row r="8396" spans="1:5" x14ac:dyDescent="0.2">
      <c r="A8396">
        <v>61526</v>
      </c>
      <c r="B8396" t="s">
        <v>20</v>
      </c>
      <c r="C8396">
        <v>61526</v>
      </c>
      <c r="D8396" t="str">
        <f>"61526"</f>
        <v>61526</v>
      </c>
      <c r="E8396">
        <v>77.78</v>
      </c>
    </row>
    <row r="8397" spans="1:5" x14ac:dyDescent="0.2">
      <c r="A8397">
        <v>61528</v>
      </c>
      <c r="B8397" t="s">
        <v>20</v>
      </c>
      <c r="C8397">
        <v>61528</v>
      </c>
      <c r="D8397" t="str">
        <f>"61528"</f>
        <v>61528</v>
      </c>
      <c r="E8397">
        <v>83.69</v>
      </c>
    </row>
    <row r="8398" spans="1:5" x14ac:dyDescent="0.2">
      <c r="A8398">
        <v>61529</v>
      </c>
      <c r="B8398" t="s">
        <v>20</v>
      </c>
      <c r="C8398">
        <v>61529</v>
      </c>
      <c r="D8398" t="str">
        <f>"61529"</f>
        <v>61529</v>
      </c>
      <c r="E8398">
        <v>75.91</v>
      </c>
    </row>
    <row r="8399" spans="1:5" x14ac:dyDescent="0.2">
      <c r="A8399">
        <v>61530</v>
      </c>
      <c r="B8399" t="s">
        <v>20</v>
      </c>
      <c r="C8399">
        <v>61530</v>
      </c>
      <c r="D8399" t="str">
        <f>"61530"</f>
        <v>61530</v>
      </c>
      <c r="E8399">
        <v>76.33</v>
      </c>
    </row>
    <row r="8400" spans="1:5" x14ac:dyDescent="0.2">
      <c r="A8400">
        <v>61531</v>
      </c>
      <c r="B8400" t="s">
        <v>20</v>
      </c>
      <c r="C8400">
        <v>61531</v>
      </c>
      <c r="D8400" t="str">
        <f>"61531"</f>
        <v>61531</v>
      </c>
      <c r="E8400">
        <v>71.239999999999995</v>
      </c>
    </row>
    <row r="8401" spans="1:5" x14ac:dyDescent="0.2">
      <c r="A8401">
        <v>61532</v>
      </c>
      <c r="B8401" t="s">
        <v>20</v>
      </c>
      <c r="C8401">
        <v>61532</v>
      </c>
      <c r="D8401" t="str">
        <f>"61532"</f>
        <v>61532</v>
      </c>
      <c r="E8401">
        <v>68.180000000000007</v>
      </c>
    </row>
    <row r="8402" spans="1:5" x14ac:dyDescent="0.2">
      <c r="A8402">
        <v>61533</v>
      </c>
      <c r="B8402" t="s">
        <v>20</v>
      </c>
      <c r="C8402">
        <v>61533</v>
      </c>
      <c r="D8402" t="str">
        <f>"61533"</f>
        <v>61533</v>
      </c>
      <c r="E8402">
        <v>81.48</v>
      </c>
    </row>
    <row r="8403" spans="1:5" x14ac:dyDescent="0.2">
      <c r="A8403">
        <v>61534</v>
      </c>
      <c r="B8403" t="s">
        <v>20</v>
      </c>
      <c r="C8403">
        <v>61534</v>
      </c>
      <c r="D8403" t="str">
        <f>"61534"</f>
        <v>61534</v>
      </c>
      <c r="E8403">
        <v>78.48</v>
      </c>
    </row>
    <row r="8404" spans="1:5" x14ac:dyDescent="0.2">
      <c r="A8404">
        <v>61535</v>
      </c>
      <c r="B8404" t="s">
        <v>20</v>
      </c>
      <c r="C8404">
        <v>61535</v>
      </c>
      <c r="D8404" t="str">
        <f>"61535"</f>
        <v>61535</v>
      </c>
      <c r="E8404">
        <v>82.14</v>
      </c>
    </row>
    <row r="8405" spans="1:5" x14ac:dyDescent="0.2">
      <c r="A8405">
        <v>61536</v>
      </c>
      <c r="B8405" t="s">
        <v>20</v>
      </c>
      <c r="C8405">
        <v>61536</v>
      </c>
      <c r="D8405" t="str">
        <f>"61536"</f>
        <v>61536</v>
      </c>
      <c r="E8405">
        <v>79.87</v>
      </c>
    </row>
    <row r="8406" spans="1:5" x14ac:dyDescent="0.2">
      <c r="A8406">
        <v>61537</v>
      </c>
      <c r="B8406" t="s">
        <v>20</v>
      </c>
      <c r="C8406">
        <v>61537</v>
      </c>
      <c r="D8406" t="str">
        <f>"61537"</f>
        <v>61537</v>
      </c>
      <c r="E8406">
        <v>73.02</v>
      </c>
    </row>
    <row r="8407" spans="1:5" x14ac:dyDescent="0.2">
      <c r="A8407">
        <v>61539</v>
      </c>
      <c r="B8407" t="s">
        <v>20</v>
      </c>
      <c r="C8407">
        <v>61539</v>
      </c>
      <c r="D8407" t="str">
        <f>"61539"</f>
        <v>61539</v>
      </c>
      <c r="E8407" t="s">
        <v>6</v>
      </c>
    </row>
    <row r="8408" spans="1:5" x14ac:dyDescent="0.2">
      <c r="A8408">
        <v>61540</v>
      </c>
      <c r="B8408" t="s">
        <v>20</v>
      </c>
      <c r="C8408">
        <v>61540</v>
      </c>
      <c r="D8408" t="str">
        <f>"61540"</f>
        <v>61540</v>
      </c>
      <c r="E8408">
        <v>73.33</v>
      </c>
    </row>
    <row r="8409" spans="1:5" x14ac:dyDescent="0.2">
      <c r="A8409">
        <v>61541</v>
      </c>
      <c r="B8409" t="s">
        <v>20</v>
      </c>
      <c r="C8409">
        <v>61541</v>
      </c>
      <c r="D8409" t="str">
        <f>"61541"</f>
        <v>61541</v>
      </c>
      <c r="E8409" t="s">
        <v>6</v>
      </c>
    </row>
    <row r="8410" spans="1:5" x14ac:dyDescent="0.2">
      <c r="A8410">
        <v>61542</v>
      </c>
      <c r="B8410" t="s">
        <v>20</v>
      </c>
      <c r="C8410">
        <v>61542</v>
      </c>
      <c r="D8410" t="str">
        <f>"61542"</f>
        <v>61542</v>
      </c>
      <c r="E8410">
        <v>71.97</v>
      </c>
    </row>
    <row r="8411" spans="1:5" x14ac:dyDescent="0.2">
      <c r="A8411">
        <v>61543</v>
      </c>
      <c r="B8411" t="s">
        <v>20</v>
      </c>
      <c r="C8411">
        <v>61543</v>
      </c>
      <c r="D8411" t="str">
        <f>"61543"</f>
        <v>61543</v>
      </c>
      <c r="E8411" t="s">
        <v>6</v>
      </c>
    </row>
    <row r="8412" spans="1:5" x14ac:dyDescent="0.2">
      <c r="A8412">
        <v>61544</v>
      </c>
      <c r="B8412" t="s">
        <v>20</v>
      </c>
      <c r="C8412">
        <v>61544</v>
      </c>
      <c r="D8412" t="str">
        <f>"61544"</f>
        <v>61544</v>
      </c>
      <c r="E8412">
        <v>71.88</v>
      </c>
    </row>
    <row r="8413" spans="1:5" x14ac:dyDescent="0.2">
      <c r="A8413">
        <v>61545</v>
      </c>
      <c r="B8413" t="s">
        <v>20</v>
      </c>
      <c r="C8413">
        <v>61545</v>
      </c>
      <c r="D8413" t="str">
        <f>"61545"</f>
        <v>61545</v>
      </c>
      <c r="E8413">
        <v>72.73</v>
      </c>
    </row>
    <row r="8414" spans="1:5" x14ac:dyDescent="0.2">
      <c r="A8414">
        <v>61546</v>
      </c>
      <c r="B8414" t="s">
        <v>20</v>
      </c>
      <c r="C8414">
        <v>61546</v>
      </c>
      <c r="D8414" t="str">
        <f>"61546"</f>
        <v>61546</v>
      </c>
      <c r="E8414">
        <v>72.86</v>
      </c>
    </row>
    <row r="8415" spans="1:5" x14ac:dyDescent="0.2">
      <c r="A8415">
        <v>61547</v>
      </c>
      <c r="B8415" t="s">
        <v>20</v>
      </c>
      <c r="C8415">
        <v>61547</v>
      </c>
      <c r="D8415" t="str">
        <f>"61547"</f>
        <v>61547</v>
      </c>
      <c r="E8415">
        <v>82.39</v>
      </c>
    </row>
    <row r="8416" spans="1:5" x14ac:dyDescent="0.2">
      <c r="A8416">
        <v>61548</v>
      </c>
      <c r="B8416" t="s">
        <v>20</v>
      </c>
      <c r="C8416">
        <v>61548</v>
      </c>
      <c r="D8416" t="str">
        <f>"61548"</f>
        <v>61548</v>
      </c>
      <c r="E8416">
        <v>78.83</v>
      </c>
    </row>
    <row r="8417" spans="1:5" x14ac:dyDescent="0.2">
      <c r="A8417">
        <v>61550</v>
      </c>
      <c r="B8417" t="s">
        <v>20</v>
      </c>
      <c r="C8417">
        <v>61550</v>
      </c>
      <c r="D8417" t="str">
        <f>"61550"</f>
        <v>61550</v>
      </c>
      <c r="E8417">
        <v>80.64</v>
      </c>
    </row>
    <row r="8418" spans="1:5" x14ac:dyDescent="0.2">
      <c r="A8418">
        <v>61552</v>
      </c>
      <c r="B8418" t="s">
        <v>20</v>
      </c>
      <c r="C8418">
        <v>61552</v>
      </c>
      <c r="D8418" t="str">
        <f>"61552"</f>
        <v>61552</v>
      </c>
      <c r="E8418" t="s">
        <v>6</v>
      </c>
    </row>
    <row r="8419" spans="1:5" x14ac:dyDescent="0.2">
      <c r="A8419">
        <v>61553</v>
      </c>
      <c r="B8419" t="s">
        <v>20</v>
      </c>
      <c r="C8419">
        <v>61553</v>
      </c>
      <c r="D8419" t="str">
        <f>"61553"</f>
        <v>61553</v>
      </c>
      <c r="E8419" t="s">
        <v>6</v>
      </c>
    </row>
    <row r="8420" spans="1:5" x14ac:dyDescent="0.2">
      <c r="A8420">
        <v>61554</v>
      </c>
      <c r="B8420" t="s">
        <v>20</v>
      </c>
      <c r="C8420">
        <v>61554</v>
      </c>
      <c r="D8420" t="str">
        <f>"61554"</f>
        <v>61554</v>
      </c>
      <c r="E8420">
        <v>72.92</v>
      </c>
    </row>
    <row r="8421" spans="1:5" x14ac:dyDescent="0.2">
      <c r="A8421">
        <v>61559</v>
      </c>
      <c r="B8421" t="s">
        <v>20</v>
      </c>
      <c r="C8421">
        <v>61559</v>
      </c>
      <c r="D8421" t="str">
        <f>"61559"</f>
        <v>61559</v>
      </c>
      <c r="E8421">
        <v>74.52</v>
      </c>
    </row>
    <row r="8422" spans="1:5" x14ac:dyDescent="0.2">
      <c r="A8422">
        <v>61560</v>
      </c>
      <c r="B8422" t="s">
        <v>20</v>
      </c>
      <c r="C8422">
        <v>61560</v>
      </c>
      <c r="D8422" t="str">
        <f>"61560"</f>
        <v>61560</v>
      </c>
      <c r="E8422">
        <v>80.650000000000006</v>
      </c>
    </row>
    <row r="8423" spans="1:5" x14ac:dyDescent="0.2">
      <c r="A8423">
        <v>61561</v>
      </c>
      <c r="B8423" t="s">
        <v>20</v>
      </c>
      <c r="C8423">
        <v>61561</v>
      </c>
      <c r="D8423" t="str">
        <f>"61561"</f>
        <v>61561</v>
      </c>
      <c r="E8423">
        <v>76.38</v>
      </c>
    </row>
    <row r="8424" spans="1:5" x14ac:dyDescent="0.2">
      <c r="A8424">
        <v>61562</v>
      </c>
      <c r="B8424" t="s">
        <v>20</v>
      </c>
      <c r="C8424">
        <v>61562</v>
      </c>
      <c r="D8424" t="str">
        <f>"61562"</f>
        <v>61562</v>
      </c>
      <c r="E8424" t="s">
        <v>6</v>
      </c>
    </row>
    <row r="8425" spans="1:5" x14ac:dyDescent="0.2">
      <c r="A8425">
        <v>61563</v>
      </c>
      <c r="B8425" t="s">
        <v>20</v>
      </c>
      <c r="C8425">
        <v>61563</v>
      </c>
      <c r="D8425" t="str">
        <f>"61563"</f>
        <v>61563</v>
      </c>
      <c r="E8425" t="s">
        <v>6</v>
      </c>
    </row>
    <row r="8426" spans="1:5" x14ac:dyDescent="0.2">
      <c r="A8426">
        <v>61564</v>
      </c>
      <c r="B8426" t="s">
        <v>20</v>
      </c>
      <c r="C8426">
        <v>61564</v>
      </c>
      <c r="D8426" t="str">
        <f>"61564"</f>
        <v>61564</v>
      </c>
      <c r="E8426" t="s">
        <v>6</v>
      </c>
    </row>
    <row r="8427" spans="1:5" x14ac:dyDescent="0.2">
      <c r="A8427">
        <v>61565</v>
      </c>
      <c r="B8427" t="s">
        <v>20</v>
      </c>
      <c r="C8427">
        <v>61565</v>
      </c>
      <c r="D8427" t="str">
        <f>"61565"</f>
        <v>61565</v>
      </c>
      <c r="E8427">
        <v>74.290000000000006</v>
      </c>
    </row>
    <row r="8428" spans="1:5" x14ac:dyDescent="0.2">
      <c r="A8428">
        <v>61567</v>
      </c>
      <c r="B8428" t="s">
        <v>20</v>
      </c>
      <c r="C8428">
        <v>61567</v>
      </c>
      <c r="D8428" t="str">
        <f>"61567"</f>
        <v>61567</v>
      </c>
      <c r="E8428">
        <v>66.67</v>
      </c>
    </row>
    <row r="8429" spans="1:5" x14ac:dyDescent="0.2">
      <c r="A8429">
        <v>61568</v>
      </c>
      <c r="B8429" t="s">
        <v>20</v>
      </c>
      <c r="C8429">
        <v>61568</v>
      </c>
      <c r="D8429" t="str">
        <f>"61568"</f>
        <v>61568</v>
      </c>
      <c r="E8429">
        <v>78.14</v>
      </c>
    </row>
    <row r="8430" spans="1:5" x14ac:dyDescent="0.2">
      <c r="A8430">
        <v>61569</v>
      </c>
      <c r="B8430" t="s">
        <v>20</v>
      </c>
      <c r="C8430">
        <v>61569</v>
      </c>
      <c r="D8430" t="str">
        <f>"61569"</f>
        <v>61569</v>
      </c>
      <c r="E8430">
        <v>80.36</v>
      </c>
    </row>
    <row r="8431" spans="1:5" x14ac:dyDescent="0.2">
      <c r="A8431">
        <v>61570</v>
      </c>
      <c r="B8431" t="s">
        <v>20</v>
      </c>
      <c r="C8431">
        <v>61570</v>
      </c>
      <c r="D8431" t="str">
        <f>"61570"</f>
        <v>61570</v>
      </c>
      <c r="E8431">
        <v>73.17</v>
      </c>
    </row>
    <row r="8432" spans="1:5" x14ac:dyDescent="0.2">
      <c r="A8432">
        <v>61571</v>
      </c>
      <c r="B8432" t="s">
        <v>20</v>
      </c>
      <c r="C8432">
        <v>61571</v>
      </c>
      <c r="D8432" t="str">
        <f>"61571"</f>
        <v>61571</v>
      </c>
      <c r="E8432">
        <v>78.180000000000007</v>
      </c>
    </row>
    <row r="8433" spans="1:5" x14ac:dyDescent="0.2">
      <c r="A8433">
        <v>61572</v>
      </c>
      <c r="B8433" t="s">
        <v>20</v>
      </c>
      <c r="C8433">
        <v>61572</v>
      </c>
      <c r="D8433" t="str">
        <f>"61572"</f>
        <v>61572</v>
      </c>
      <c r="E8433">
        <v>73.58</v>
      </c>
    </row>
    <row r="8434" spans="1:5" x14ac:dyDescent="0.2">
      <c r="A8434">
        <v>61602</v>
      </c>
      <c r="B8434" t="s">
        <v>20</v>
      </c>
      <c r="C8434">
        <v>61602</v>
      </c>
      <c r="D8434" t="str">
        <f>"61602"</f>
        <v>61602</v>
      </c>
      <c r="E8434">
        <v>76.19</v>
      </c>
    </row>
    <row r="8435" spans="1:5" x14ac:dyDescent="0.2">
      <c r="A8435">
        <v>61603</v>
      </c>
      <c r="B8435" t="s">
        <v>20</v>
      </c>
      <c r="C8435">
        <v>61603</v>
      </c>
      <c r="D8435" t="str">
        <f>"61603"</f>
        <v>61603</v>
      </c>
      <c r="E8435">
        <v>52.13</v>
      </c>
    </row>
    <row r="8436" spans="1:5" x14ac:dyDescent="0.2">
      <c r="A8436">
        <v>61604</v>
      </c>
      <c r="B8436" t="s">
        <v>20</v>
      </c>
      <c r="C8436">
        <v>61604</v>
      </c>
      <c r="D8436" t="str">
        <f>"61604"</f>
        <v>61604</v>
      </c>
      <c r="E8436">
        <v>64.959999999999994</v>
      </c>
    </row>
    <row r="8437" spans="1:5" x14ac:dyDescent="0.2">
      <c r="A8437">
        <v>61605</v>
      </c>
      <c r="B8437" t="s">
        <v>20</v>
      </c>
      <c r="C8437">
        <v>61605</v>
      </c>
      <c r="D8437" t="str">
        <f>"61605"</f>
        <v>61605</v>
      </c>
      <c r="E8437">
        <v>40.22</v>
      </c>
    </row>
    <row r="8438" spans="1:5" x14ac:dyDescent="0.2">
      <c r="A8438">
        <v>61606</v>
      </c>
      <c r="B8438" t="s">
        <v>20</v>
      </c>
      <c r="C8438">
        <v>61606</v>
      </c>
      <c r="D8438" t="str">
        <f>"61606"</f>
        <v>61606</v>
      </c>
      <c r="E8438">
        <v>62.02</v>
      </c>
    </row>
    <row r="8439" spans="1:5" x14ac:dyDescent="0.2">
      <c r="A8439">
        <v>61607</v>
      </c>
      <c r="B8439" t="s">
        <v>20</v>
      </c>
      <c r="C8439">
        <v>61607</v>
      </c>
      <c r="D8439" t="str">
        <f>"61607"</f>
        <v>61607</v>
      </c>
      <c r="E8439">
        <v>76.2</v>
      </c>
    </row>
    <row r="8440" spans="1:5" x14ac:dyDescent="0.2">
      <c r="A8440">
        <v>61610</v>
      </c>
      <c r="B8440" t="s">
        <v>20</v>
      </c>
      <c r="C8440">
        <v>61610</v>
      </c>
      <c r="D8440" t="str">
        <f>"61610"</f>
        <v>61610</v>
      </c>
      <c r="E8440">
        <v>68.72</v>
      </c>
    </row>
    <row r="8441" spans="1:5" x14ac:dyDescent="0.2">
      <c r="A8441">
        <v>61611</v>
      </c>
      <c r="B8441" t="s">
        <v>20</v>
      </c>
      <c r="C8441">
        <v>61611</v>
      </c>
      <c r="D8441" t="str">
        <f>"61611"</f>
        <v>61611</v>
      </c>
      <c r="E8441">
        <v>76.569999999999993</v>
      </c>
    </row>
    <row r="8442" spans="1:5" x14ac:dyDescent="0.2">
      <c r="A8442">
        <v>61613</v>
      </c>
      <c r="B8442" t="s">
        <v>20</v>
      </c>
      <c r="C8442">
        <v>61613</v>
      </c>
      <c r="D8442" t="str">
        <f>"61613"</f>
        <v>61613</v>
      </c>
      <c r="E8442" t="s">
        <v>6</v>
      </c>
    </row>
    <row r="8443" spans="1:5" x14ac:dyDescent="0.2">
      <c r="A8443">
        <v>61614</v>
      </c>
      <c r="B8443" t="s">
        <v>20</v>
      </c>
      <c r="C8443">
        <v>61614</v>
      </c>
      <c r="D8443" t="str">
        <f>"61614"</f>
        <v>61614</v>
      </c>
      <c r="E8443">
        <v>76.989999999999995</v>
      </c>
    </row>
    <row r="8444" spans="1:5" x14ac:dyDescent="0.2">
      <c r="A8444">
        <v>61615</v>
      </c>
      <c r="B8444" t="s">
        <v>20</v>
      </c>
      <c r="C8444">
        <v>61615</v>
      </c>
      <c r="D8444" t="str">
        <f>"61615"</f>
        <v>61615</v>
      </c>
      <c r="E8444">
        <v>77.86</v>
      </c>
    </row>
    <row r="8445" spans="1:5" x14ac:dyDescent="0.2">
      <c r="A8445">
        <v>61616</v>
      </c>
      <c r="B8445" t="s">
        <v>20</v>
      </c>
      <c r="C8445">
        <v>61616</v>
      </c>
      <c r="D8445" t="str">
        <f>"61616"</f>
        <v>61616</v>
      </c>
      <c r="E8445">
        <v>72.290000000000006</v>
      </c>
    </row>
    <row r="8446" spans="1:5" x14ac:dyDescent="0.2">
      <c r="A8446">
        <v>61629</v>
      </c>
      <c r="B8446" t="s">
        <v>20</v>
      </c>
      <c r="C8446">
        <v>61629</v>
      </c>
      <c r="D8446" t="str">
        <f>"61629"</f>
        <v>61629</v>
      </c>
      <c r="E8446" t="s">
        <v>6</v>
      </c>
    </row>
    <row r="8447" spans="1:5" x14ac:dyDescent="0.2">
      <c r="A8447">
        <v>61630</v>
      </c>
      <c r="B8447" t="s">
        <v>20</v>
      </c>
      <c r="C8447">
        <v>61630</v>
      </c>
      <c r="D8447" t="str">
        <f>"61630"</f>
        <v>61630</v>
      </c>
      <c r="E8447" t="s">
        <v>6</v>
      </c>
    </row>
    <row r="8448" spans="1:5" x14ac:dyDescent="0.2">
      <c r="A8448">
        <v>61636</v>
      </c>
      <c r="B8448" t="s">
        <v>20</v>
      </c>
      <c r="C8448">
        <v>61636</v>
      </c>
      <c r="D8448" t="str">
        <f>"61636"</f>
        <v>61636</v>
      </c>
      <c r="E8448" t="s">
        <v>6</v>
      </c>
    </row>
    <row r="8449" spans="1:5" x14ac:dyDescent="0.2">
      <c r="A8449">
        <v>61638</v>
      </c>
      <c r="B8449" t="s">
        <v>20</v>
      </c>
      <c r="C8449">
        <v>61638</v>
      </c>
      <c r="D8449" t="str">
        <f>"61638"</f>
        <v>61638</v>
      </c>
      <c r="E8449" t="s">
        <v>6</v>
      </c>
    </row>
    <row r="8450" spans="1:5" x14ac:dyDescent="0.2">
      <c r="A8450">
        <v>61652</v>
      </c>
      <c r="B8450" t="s">
        <v>20</v>
      </c>
      <c r="C8450">
        <v>61652</v>
      </c>
      <c r="D8450" t="str">
        <f>"61652"</f>
        <v>61652</v>
      </c>
      <c r="E8450" t="s">
        <v>6</v>
      </c>
    </row>
    <row r="8451" spans="1:5" x14ac:dyDescent="0.2">
      <c r="A8451">
        <v>61701</v>
      </c>
      <c r="B8451" t="s">
        <v>20</v>
      </c>
      <c r="C8451">
        <v>61701</v>
      </c>
      <c r="D8451" t="str">
        <f>"61701"</f>
        <v>61701</v>
      </c>
      <c r="E8451">
        <v>71.27</v>
      </c>
    </row>
    <row r="8452" spans="1:5" x14ac:dyDescent="0.2">
      <c r="A8452">
        <v>61704</v>
      </c>
      <c r="B8452" t="s">
        <v>20</v>
      </c>
      <c r="C8452">
        <v>61704</v>
      </c>
      <c r="D8452" t="str">
        <f>"61704"</f>
        <v>61704</v>
      </c>
      <c r="E8452">
        <v>79.459999999999994</v>
      </c>
    </row>
    <row r="8453" spans="1:5" x14ac:dyDescent="0.2">
      <c r="A8453">
        <v>61705</v>
      </c>
      <c r="B8453" t="s">
        <v>20</v>
      </c>
      <c r="C8453">
        <v>61705</v>
      </c>
      <c r="D8453" t="str">
        <f>"61705"</f>
        <v>61705</v>
      </c>
      <c r="E8453">
        <v>80.98</v>
      </c>
    </row>
    <row r="8454" spans="1:5" x14ac:dyDescent="0.2">
      <c r="A8454">
        <v>61709</v>
      </c>
      <c r="B8454" t="s">
        <v>20</v>
      </c>
      <c r="C8454">
        <v>61709</v>
      </c>
      <c r="D8454" t="str">
        <f>"61709"</f>
        <v>61709</v>
      </c>
      <c r="E8454" t="s">
        <v>6</v>
      </c>
    </row>
    <row r="8455" spans="1:5" x14ac:dyDescent="0.2">
      <c r="A8455">
        <v>61720</v>
      </c>
      <c r="B8455" t="s">
        <v>20</v>
      </c>
      <c r="C8455">
        <v>61720</v>
      </c>
      <c r="D8455" t="str">
        <f>"61720"</f>
        <v>61720</v>
      </c>
      <c r="E8455">
        <v>66.67</v>
      </c>
    </row>
    <row r="8456" spans="1:5" x14ac:dyDescent="0.2">
      <c r="A8456">
        <v>61721</v>
      </c>
      <c r="B8456" t="s">
        <v>20</v>
      </c>
      <c r="C8456">
        <v>61721</v>
      </c>
      <c r="D8456" t="str">
        <f>"61721"</f>
        <v>61721</v>
      </c>
      <c r="E8456">
        <v>76.92</v>
      </c>
    </row>
    <row r="8457" spans="1:5" x14ac:dyDescent="0.2">
      <c r="A8457">
        <v>61722</v>
      </c>
      <c r="B8457" t="s">
        <v>20</v>
      </c>
      <c r="C8457">
        <v>61722</v>
      </c>
      <c r="D8457" t="str">
        <f>"61722"</f>
        <v>61722</v>
      </c>
      <c r="E8457">
        <v>69.569999999999993</v>
      </c>
    </row>
    <row r="8458" spans="1:5" x14ac:dyDescent="0.2">
      <c r="A8458">
        <v>61723</v>
      </c>
      <c r="B8458" t="s">
        <v>20</v>
      </c>
      <c r="C8458">
        <v>61723</v>
      </c>
      <c r="D8458" t="str">
        <f>"61723"</f>
        <v>61723</v>
      </c>
      <c r="E8458">
        <v>76.11</v>
      </c>
    </row>
    <row r="8459" spans="1:5" x14ac:dyDescent="0.2">
      <c r="A8459">
        <v>61724</v>
      </c>
      <c r="B8459" t="s">
        <v>20</v>
      </c>
      <c r="C8459">
        <v>61724</v>
      </c>
      <c r="D8459" t="str">
        <f>"61724"</f>
        <v>61724</v>
      </c>
      <c r="E8459">
        <v>76</v>
      </c>
    </row>
    <row r="8460" spans="1:5" x14ac:dyDescent="0.2">
      <c r="A8460">
        <v>61725</v>
      </c>
      <c r="B8460" t="s">
        <v>20</v>
      </c>
      <c r="C8460">
        <v>61725</v>
      </c>
      <c r="D8460" t="str">
        <f>"61725"</f>
        <v>61725</v>
      </c>
      <c r="E8460">
        <v>79.489999999999995</v>
      </c>
    </row>
    <row r="8461" spans="1:5" x14ac:dyDescent="0.2">
      <c r="A8461">
        <v>61726</v>
      </c>
      <c r="B8461" t="s">
        <v>20</v>
      </c>
      <c r="C8461">
        <v>61726</v>
      </c>
      <c r="D8461" t="str">
        <f>"61726"</f>
        <v>61726</v>
      </c>
      <c r="E8461">
        <v>73.17</v>
      </c>
    </row>
    <row r="8462" spans="1:5" x14ac:dyDescent="0.2">
      <c r="A8462">
        <v>61727</v>
      </c>
      <c r="B8462" t="s">
        <v>20</v>
      </c>
      <c r="C8462">
        <v>61727</v>
      </c>
      <c r="D8462" t="str">
        <f>"61727"</f>
        <v>61727</v>
      </c>
      <c r="E8462">
        <v>72.38</v>
      </c>
    </row>
    <row r="8463" spans="1:5" x14ac:dyDescent="0.2">
      <c r="A8463">
        <v>61728</v>
      </c>
      <c r="B8463" t="s">
        <v>20</v>
      </c>
      <c r="C8463">
        <v>61728</v>
      </c>
      <c r="D8463" t="str">
        <f>"61728"</f>
        <v>61728</v>
      </c>
      <c r="E8463">
        <v>78.459999999999994</v>
      </c>
    </row>
    <row r="8464" spans="1:5" x14ac:dyDescent="0.2">
      <c r="A8464">
        <v>61729</v>
      </c>
      <c r="B8464" t="s">
        <v>20</v>
      </c>
      <c r="C8464">
        <v>61729</v>
      </c>
      <c r="D8464" t="str">
        <f>"61729"</f>
        <v>61729</v>
      </c>
      <c r="E8464">
        <v>83.33</v>
      </c>
    </row>
    <row r="8465" spans="1:5" x14ac:dyDescent="0.2">
      <c r="A8465">
        <v>61730</v>
      </c>
      <c r="B8465" t="s">
        <v>20</v>
      </c>
      <c r="C8465">
        <v>61730</v>
      </c>
      <c r="D8465" t="str">
        <f>"61730"</f>
        <v>61730</v>
      </c>
      <c r="E8465">
        <v>82.35</v>
      </c>
    </row>
    <row r="8466" spans="1:5" x14ac:dyDescent="0.2">
      <c r="A8466">
        <v>61731</v>
      </c>
      <c r="B8466" t="s">
        <v>20</v>
      </c>
      <c r="C8466">
        <v>61731</v>
      </c>
      <c r="D8466" t="str">
        <f>"61731"</f>
        <v>61731</v>
      </c>
      <c r="E8466">
        <v>63.64</v>
      </c>
    </row>
    <row r="8467" spans="1:5" x14ac:dyDescent="0.2">
      <c r="A8467">
        <v>61732</v>
      </c>
      <c r="B8467" t="s">
        <v>20</v>
      </c>
      <c r="C8467">
        <v>61732</v>
      </c>
      <c r="D8467" t="str">
        <f>"61732"</f>
        <v>61732</v>
      </c>
      <c r="E8467">
        <v>79.41</v>
      </c>
    </row>
    <row r="8468" spans="1:5" x14ac:dyDescent="0.2">
      <c r="A8468">
        <v>61733</v>
      </c>
      <c r="B8468" t="s">
        <v>20</v>
      </c>
      <c r="C8468">
        <v>61733</v>
      </c>
      <c r="D8468" t="str">
        <f>"61733"</f>
        <v>61733</v>
      </c>
      <c r="E8468">
        <v>80.36</v>
      </c>
    </row>
    <row r="8469" spans="1:5" x14ac:dyDescent="0.2">
      <c r="A8469">
        <v>61734</v>
      </c>
      <c r="B8469" t="s">
        <v>20</v>
      </c>
      <c r="C8469">
        <v>61734</v>
      </c>
      <c r="D8469" t="str">
        <f>"61734"</f>
        <v>61734</v>
      </c>
      <c r="E8469">
        <v>76.61</v>
      </c>
    </row>
    <row r="8470" spans="1:5" x14ac:dyDescent="0.2">
      <c r="A8470">
        <v>61735</v>
      </c>
      <c r="B8470" t="s">
        <v>20</v>
      </c>
      <c r="C8470">
        <v>61735</v>
      </c>
      <c r="D8470" t="str">
        <f>"61735"</f>
        <v>61735</v>
      </c>
      <c r="E8470">
        <v>83.33</v>
      </c>
    </row>
    <row r="8471" spans="1:5" x14ac:dyDescent="0.2">
      <c r="A8471">
        <v>61736</v>
      </c>
      <c r="B8471" t="s">
        <v>20</v>
      </c>
      <c r="C8471">
        <v>61736</v>
      </c>
      <c r="D8471" t="str">
        <f>"61736"</f>
        <v>61736</v>
      </c>
      <c r="E8471">
        <v>79.790000000000006</v>
      </c>
    </row>
    <row r="8472" spans="1:5" x14ac:dyDescent="0.2">
      <c r="A8472">
        <v>61737</v>
      </c>
      <c r="B8472" t="s">
        <v>20</v>
      </c>
      <c r="C8472">
        <v>61737</v>
      </c>
      <c r="D8472" t="str">
        <f>"61737"</f>
        <v>61737</v>
      </c>
      <c r="E8472">
        <v>82.61</v>
      </c>
    </row>
    <row r="8473" spans="1:5" x14ac:dyDescent="0.2">
      <c r="A8473">
        <v>61738</v>
      </c>
      <c r="B8473" t="s">
        <v>20</v>
      </c>
      <c r="C8473">
        <v>61738</v>
      </c>
      <c r="D8473" t="str">
        <f>"61738"</f>
        <v>61738</v>
      </c>
      <c r="E8473">
        <v>74.75</v>
      </c>
    </row>
    <row r="8474" spans="1:5" x14ac:dyDescent="0.2">
      <c r="A8474">
        <v>61739</v>
      </c>
      <c r="B8474" t="s">
        <v>20</v>
      </c>
      <c r="C8474">
        <v>61739</v>
      </c>
      <c r="D8474" t="str">
        <f>"61739"</f>
        <v>61739</v>
      </c>
      <c r="E8474">
        <v>75</v>
      </c>
    </row>
    <row r="8475" spans="1:5" x14ac:dyDescent="0.2">
      <c r="A8475">
        <v>61740</v>
      </c>
      <c r="B8475" t="s">
        <v>20</v>
      </c>
      <c r="C8475">
        <v>61740</v>
      </c>
      <c r="D8475" t="str">
        <f>"61740"</f>
        <v>61740</v>
      </c>
      <c r="E8475">
        <v>74.67</v>
      </c>
    </row>
    <row r="8476" spans="1:5" x14ac:dyDescent="0.2">
      <c r="A8476">
        <v>61741</v>
      </c>
      <c r="B8476" t="s">
        <v>20</v>
      </c>
      <c r="C8476">
        <v>61741</v>
      </c>
      <c r="D8476" t="str">
        <f>"61741"</f>
        <v>61741</v>
      </c>
      <c r="E8476">
        <v>71.430000000000007</v>
      </c>
    </row>
    <row r="8477" spans="1:5" x14ac:dyDescent="0.2">
      <c r="A8477">
        <v>61742</v>
      </c>
      <c r="B8477" t="s">
        <v>20</v>
      </c>
      <c r="C8477">
        <v>61742</v>
      </c>
      <c r="D8477" t="str">
        <f>"61742"</f>
        <v>61742</v>
      </c>
      <c r="E8477">
        <v>80</v>
      </c>
    </row>
    <row r="8478" spans="1:5" x14ac:dyDescent="0.2">
      <c r="A8478">
        <v>61743</v>
      </c>
      <c r="B8478" t="s">
        <v>20</v>
      </c>
      <c r="C8478">
        <v>61743</v>
      </c>
      <c r="D8478" t="str">
        <f>"61743"</f>
        <v>61743</v>
      </c>
      <c r="E8478">
        <v>75</v>
      </c>
    </row>
    <row r="8479" spans="1:5" x14ac:dyDescent="0.2">
      <c r="A8479">
        <v>61744</v>
      </c>
      <c r="B8479" t="s">
        <v>20</v>
      </c>
      <c r="C8479">
        <v>61744</v>
      </c>
      <c r="D8479" t="str">
        <f>"61744"</f>
        <v>61744</v>
      </c>
      <c r="E8479">
        <v>77.17</v>
      </c>
    </row>
    <row r="8480" spans="1:5" x14ac:dyDescent="0.2">
      <c r="A8480">
        <v>61745</v>
      </c>
      <c r="B8480" t="s">
        <v>20</v>
      </c>
      <c r="C8480">
        <v>61745</v>
      </c>
      <c r="D8480" t="str">
        <f>"61745"</f>
        <v>61745</v>
      </c>
      <c r="E8480">
        <v>77.069999999999993</v>
      </c>
    </row>
    <row r="8481" spans="1:5" x14ac:dyDescent="0.2">
      <c r="A8481">
        <v>61747</v>
      </c>
      <c r="B8481" t="s">
        <v>20</v>
      </c>
      <c r="C8481">
        <v>61747</v>
      </c>
      <c r="D8481" t="str">
        <f>"61747"</f>
        <v>61747</v>
      </c>
      <c r="E8481">
        <v>78.87</v>
      </c>
    </row>
    <row r="8482" spans="1:5" x14ac:dyDescent="0.2">
      <c r="A8482">
        <v>61748</v>
      </c>
      <c r="B8482" t="s">
        <v>20</v>
      </c>
      <c r="C8482">
        <v>61748</v>
      </c>
      <c r="D8482" t="str">
        <f>"61748"</f>
        <v>61748</v>
      </c>
      <c r="E8482">
        <v>81.430000000000007</v>
      </c>
    </row>
    <row r="8483" spans="1:5" x14ac:dyDescent="0.2">
      <c r="A8483">
        <v>61749</v>
      </c>
      <c r="B8483" t="s">
        <v>20</v>
      </c>
      <c r="C8483">
        <v>61749</v>
      </c>
      <c r="D8483" t="str">
        <f>"61749"</f>
        <v>61749</v>
      </c>
      <c r="E8483">
        <v>74.069999999999993</v>
      </c>
    </row>
    <row r="8484" spans="1:5" x14ac:dyDescent="0.2">
      <c r="A8484">
        <v>61750</v>
      </c>
      <c r="B8484" t="s">
        <v>20</v>
      </c>
      <c r="C8484">
        <v>61750</v>
      </c>
      <c r="D8484" t="str">
        <f>"61750"</f>
        <v>61750</v>
      </c>
      <c r="E8484" t="s">
        <v>6</v>
      </c>
    </row>
    <row r="8485" spans="1:5" x14ac:dyDescent="0.2">
      <c r="A8485">
        <v>61751</v>
      </c>
      <c r="B8485" t="s">
        <v>20</v>
      </c>
      <c r="C8485">
        <v>61751</v>
      </c>
      <c r="D8485" t="str">
        <f>"61751"</f>
        <v>61751</v>
      </c>
      <c r="E8485" t="s">
        <v>6</v>
      </c>
    </row>
    <row r="8486" spans="1:5" x14ac:dyDescent="0.2">
      <c r="A8486">
        <v>61752</v>
      </c>
      <c r="B8486" t="s">
        <v>20</v>
      </c>
      <c r="C8486">
        <v>61752</v>
      </c>
      <c r="D8486" t="str">
        <f>"61752"</f>
        <v>61752</v>
      </c>
      <c r="E8486">
        <v>79.02</v>
      </c>
    </row>
    <row r="8487" spans="1:5" x14ac:dyDescent="0.2">
      <c r="A8487">
        <v>61753</v>
      </c>
      <c r="B8487" t="s">
        <v>20</v>
      </c>
      <c r="C8487">
        <v>61753</v>
      </c>
      <c r="D8487" t="str">
        <f>"61753"</f>
        <v>61753</v>
      </c>
      <c r="E8487">
        <v>75.69</v>
      </c>
    </row>
    <row r="8488" spans="1:5" x14ac:dyDescent="0.2">
      <c r="A8488">
        <v>61754</v>
      </c>
      <c r="B8488" t="s">
        <v>20</v>
      </c>
      <c r="C8488">
        <v>61754</v>
      </c>
      <c r="D8488" t="str">
        <f>"61754"</f>
        <v>61754</v>
      </c>
      <c r="E8488">
        <v>77.97</v>
      </c>
    </row>
    <row r="8489" spans="1:5" x14ac:dyDescent="0.2">
      <c r="A8489">
        <v>61755</v>
      </c>
      <c r="B8489" t="s">
        <v>20</v>
      </c>
      <c r="C8489">
        <v>61755</v>
      </c>
      <c r="D8489" t="str">
        <f>"61755"</f>
        <v>61755</v>
      </c>
      <c r="E8489">
        <v>80.19</v>
      </c>
    </row>
    <row r="8490" spans="1:5" x14ac:dyDescent="0.2">
      <c r="A8490">
        <v>61756</v>
      </c>
      <c r="B8490" t="s">
        <v>20</v>
      </c>
      <c r="C8490">
        <v>61756</v>
      </c>
      <c r="D8490" t="str">
        <f>"61756"</f>
        <v>61756</v>
      </c>
      <c r="E8490">
        <v>74.75</v>
      </c>
    </row>
    <row r="8491" spans="1:5" x14ac:dyDescent="0.2">
      <c r="A8491">
        <v>61759</v>
      </c>
      <c r="B8491" t="s">
        <v>20</v>
      </c>
      <c r="C8491">
        <v>61759</v>
      </c>
      <c r="D8491" t="str">
        <f>"61759"</f>
        <v>61759</v>
      </c>
      <c r="E8491">
        <v>78.08</v>
      </c>
    </row>
    <row r="8492" spans="1:5" x14ac:dyDescent="0.2">
      <c r="A8492">
        <v>61760</v>
      </c>
      <c r="B8492" t="s">
        <v>20</v>
      </c>
      <c r="C8492">
        <v>61760</v>
      </c>
      <c r="D8492" t="str">
        <f>"61760"</f>
        <v>61760</v>
      </c>
      <c r="E8492">
        <v>76.92</v>
      </c>
    </row>
    <row r="8493" spans="1:5" x14ac:dyDescent="0.2">
      <c r="A8493">
        <v>61761</v>
      </c>
      <c r="B8493" t="s">
        <v>20</v>
      </c>
      <c r="C8493">
        <v>61761</v>
      </c>
      <c r="D8493" t="str">
        <f>"61761"</f>
        <v>61761</v>
      </c>
      <c r="E8493">
        <v>75.349999999999994</v>
      </c>
    </row>
    <row r="8494" spans="1:5" x14ac:dyDescent="0.2">
      <c r="A8494">
        <v>61764</v>
      </c>
      <c r="B8494" t="s">
        <v>20</v>
      </c>
      <c r="C8494">
        <v>61764</v>
      </c>
      <c r="D8494" t="str">
        <f>"61764"</f>
        <v>61764</v>
      </c>
      <c r="E8494">
        <v>72.25</v>
      </c>
    </row>
    <row r="8495" spans="1:5" x14ac:dyDescent="0.2">
      <c r="A8495">
        <v>61769</v>
      </c>
      <c r="B8495" t="s">
        <v>20</v>
      </c>
      <c r="C8495">
        <v>61769</v>
      </c>
      <c r="D8495" t="str">
        <f>"61769"</f>
        <v>61769</v>
      </c>
      <c r="E8495">
        <v>71.430000000000007</v>
      </c>
    </row>
    <row r="8496" spans="1:5" x14ac:dyDescent="0.2">
      <c r="A8496">
        <v>61770</v>
      </c>
      <c r="B8496" t="s">
        <v>20</v>
      </c>
      <c r="C8496">
        <v>61770</v>
      </c>
      <c r="D8496" t="str">
        <f>"61770"</f>
        <v>61770</v>
      </c>
      <c r="E8496">
        <v>74</v>
      </c>
    </row>
    <row r="8497" spans="1:5" x14ac:dyDescent="0.2">
      <c r="A8497">
        <v>61771</v>
      </c>
      <c r="B8497" t="s">
        <v>20</v>
      </c>
      <c r="C8497">
        <v>61771</v>
      </c>
      <c r="D8497" t="str">
        <f>"61771"</f>
        <v>61771</v>
      </c>
      <c r="E8497">
        <v>77.27</v>
      </c>
    </row>
    <row r="8498" spans="1:5" x14ac:dyDescent="0.2">
      <c r="A8498">
        <v>61772</v>
      </c>
      <c r="B8498" t="s">
        <v>20</v>
      </c>
      <c r="C8498">
        <v>61772</v>
      </c>
      <c r="D8498" t="str">
        <f>"61772"</f>
        <v>61772</v>
      </c>
      <c r="E8498">
        <v>85</v>
      </c>
    </row>
    <row r="8499" spans="1:5" x14ac:dyDescent="0.2">
      <c r="A8499">
        <v>61773</v>
      </c>
      <c r="B8499" t="s">
        <v>20</v>
      </c>
      <c r="C8499">
        <v>61773</v>
      </c>
      <c r="D8499" t="str">
        <f>"61773"</f>
        <v>61773</v>
      </c>
      <c r="E8499">
        <v>75</v>
      </c>
    </row>
    <row r="8500" spans="1:5" x14ac:dyDescent="0.2">
      <c r="A8500">
        <v>61774</v>
      </c>
      <c r="B8500" t="s">
        <v>20</v>
      </c>
      <c r="C8500">
        <v>61774</v>
      </c>
      <c r="D8500" t="str">
        <f>"61774"</f>
        <v>61774</v>
      </c>
      <c r="E8500">
        <v>76.09</v>
      </c>
    </row>
    <row r="8501" spans="1:5" x14ac:dyDescent="0.2">
      <c r="A8501">
        <v>61775</v>
      </c>
      <c r="B8501" t="s">
        <v>20</v>
      </c>
      <c r="C8501">
        <v>61775</v>
      </c>
      <c r="D8501" t="str">
        <f>"61775"</f>
        <v>61775</v>
      </c>
      <c r="E8501">
        <v>78.569999999999993</v>
      </c>
    </row>
    <row r="8502" spans="1:5" x14ac:dyDescent="0.2">
      <c r="A8502">
        <v>61776</v>
      </c>
      <c r="B8502" t="s">
        <v>20</v>
      </c>
      <c r="C8502">
        <v>61776</v>
      </c>
      <c r="D8502" t="str">
        <f>"61776"</f>
        <v>61776</v>
      </c>
      <c r="E8502">
        <v>78.38</v>
      </c>
    </row>
    <row r="8503" spans="1:5" x14ac:dyDescent="0.2">
      <c r="A8503">
        <v>61777</v>
      </c>
      <c r="B8503" t="s">
        <v>20</v>
      </c>
      <c r="C8503">
        <v>61777</v>
      </c>
      <c r="D8503" t="str">
        <f>"61777"</f>
        <v>61777</v>
      </c>
      <c r="E8503">
        <v>77.27</v>
      </c>
    </row>
    <row r="8504" spans="1:5" x14ac:dyDescent="0.2">
      <c r="A8504">
        <v>61778</v>
      </c>
      <c r="B8504" t="s">
        <v>20</v>
      </c>
      <c r="C8504">
        <v>61778</v>
      </c>
      <c r="D8504" t="str">
        <f>"61778"</f>
        <v>61778</v>
      </c>
      <c r="E8504">
        <v>73.33</v>
      </c>
    </row>
    <row r="8505" spans="1:5" x14ac:dyDescent="0.2">
      <c r="A8505">
        <v>61801</v>
      </c>
      <c r="B8505" t="s">
        <v>20</v>
      </c>
      <c r="C8505">
        <v>61801</v>
      </c>
      <c r="D8505" t="str">
        <f>"61801"</f>
        <v>61801</v>
      </c>
      <c r="E8505">
        <v>71.760000000000005</v>
      </c>
    </row>
    <row r="8506" spans="1:5" x14ac:dyDescent="0.2">
      <c r="A8506">
        <v>61802</v>
      </c>
      <c r="B8506" t="s">
        <v>20</v>
      </c>
      <c r="C8506">
        <v>61802</v>
      </c>
      <c r="D8506" t="str">
        <f>"61802"</f>
        <v>61802</v>
      </c>
      <c r="E8506">
        <v>69.44</v>
      </c>
    </row>
    <row r="8507" spans="1:5" x14ac:dyDescent="0.2">
      <c r="A8507">
        <v>61810</v>
      </c>
      <c r="B8507" t="s">
        <v>20</v>
      </c>
      <c r="C8507">
        <v>61810</v>
      </c>
      <c r="D8507" t="str">
        <f>"61810"</f>
        <v>61810</v>
      </c>
      <c r="E8507">
        <v>80</v>
      </c>
    </row>
    <row r="8508" spans="1:5" x14ac:dyDescent="0.2">
      <c r="A8508">
        <v>61811</v>
      </c>
      <c r="B8508" t="s">
        <v>20</v>
      </c>
      <c r="C8508">
        <v>61811</v>
      </c>
      <c r="D8508" t="str">
        <f>"61811"</f>
        <v>61811</v>
      </c>
      <c r="E8508">
        <v>75</v>
      </c>
    </row>
    <row r="8509" spans="1:5" x14ac:dyDescent="0.2">
      <c r="A8509">
        <v>61812</v>
      </c>
      <c r="B8509" t="s">
        <v>20</v>
      </c>
      <c r="C8509">
        <v>61812</v>
      </c>
      <c r="D8509" t="str">
        <f>"61812"</f>
        <v>61812</v>
      </c>
      <c r="E8509">
        <v>82.35</v>
      </c>
    </row>
    <row r="8510" spans="1:5" x14ac:dyDescent="0.2">
      <c r="A8510">
        <v>61813</v>
      </c>
      <c r="B8510" t="s">
        <v>20</v>
      </c>
      <c r="C8510">
        <v>61813</v>
      </c>
      <c r="D8510" t="str">
        <f>"61813"</f>
        <v>61813</v>
      </c>
      <c r="E8510">
        <v>73.03</v>
      </c>
    </row>
    <row r="8511" spans="1:5" x14ac:dyDescent="0.2">
      <c r="A8511">
        <v>61814</v>
      </c>
      <c r="B8511" t="s">
        <v>20</v>
      </c>
      <c r="C8511">
        <v>61814</v>
      </c>
      <c r="D8511" t="str">
        <f>"61814"</f>
        <v>61814</v>
      </c>
      <c r="E8511">
        <v>73.209999999999994</v>
      </c>
    </row>
    <row r="8512" spans="1:5" x14ac:dyDescent="0.2">
      <c r="A8512">
        <v>61815</v>
      </c>
      <c r="B8512" t="s">
        <v>20</v>
      </c>
      <c r="C8512">
        <v>61815</v>
      </c>
      <c r="D8512" t="str">
        <f>"61815"</f>
        <v>61815</v>
      </c>
      <c r="E8512" t="s">
        <v>6</v>
      </c>
    </row>
    <row r="8513" spans="1:5" x14ac:dyDescent="0.2">
      <c r="A8513">
        <v>61816</v>
      </c>
      <c r="B8513" t="s">
        <v>20</v>
      </c>
      <c r="C8513">
        <v>61816</v>
      </c>
      <c r="D8513" t="str">
        <f>"61816"</f>
        <v>61816</v>
      </c>
      <c r="E8513">
        <v>82.61</v>
      </c>
    </row>
    <row r="8514" spans="1:5" x14ac:dyDescent="0.2">
      <c r="A8514">
        <v>61817</v>
      </c>
      <c r="B8514" t="s">
        <v>20</v>
      </c>
      <c r="C8514">
        <v>61817</v>
      </c>
      <c r="D8514" t="str">
        <f>"61817"</f>
        <v>61817</v>
      </c>
      <c r="E8514">
        <v>75.83</v>
      </c>
    </row>
    <row r="8515" spans="1:5" x14ac:dyDescent="0.2">
      <c r="A8515">
        <v>61818</v>
      </c>
      <c r="B8515" t="s">
        <v>20</v>
      </c>
      <c r="C8515">
        <v>61818</v>
      </c>
      <c r="D8515" t="str">
        <f>"61818"</f>
        <v>61818</v>
      </c>
      <c r="E8515">
        <v>71.790000000000006</v>
      </c>
    </row>
    <row r="8516" spans="1:5" x14ac:dyDescent="0.2">
      <c r="A8516">
        <v>61820</v>
      </c>
      <c r="B8516" t="s">
        <v>20</v>
      </c>
      <c r="C8516">
        <v>61820</v>
      </c>
      <c r="D8516" t="str">
        <f>"61820"</f>
        <v>61820</v>
      </c>
      <c r="E8516">
        <v>68.02</v>
      </c>
    </row>
    <row r="8517" spans="1:5" x14ac:dyDescent="0.2">
      <c r="A8517">
        <v>61821</v>
      </c>
      <c r="B8517" t="s">
        <v>20</v>
      </c>
      <c r="C8517">
        <v>61821</v>
      </c>
      <c r="D8517" t="str">
        <f>"61821"</f>
        <v>61821</v>
      </c>
      <c r="E8517">
        <v>70.17</v>
      </c>
    </row>
    <row r="8518" spans="1:5" x14ac:dyDescent="0.2">
      <c r="A8518">
        <v>61822</v>
      </c>
      <c r="B8518" t="s">
        <v>20</v>
      </c>
      <c r="C8518">
        <v>61822</v>
      </c>
      <c r="D8518" t="str">
        <f>"61822"</f>
        <v>61822</v>
      </c>
      <c r="E8518">
        <v>79.2</v>
      </c>
    </row>
    <row r="8519" spans="1:5" x14ac:dyDescent="0.2">
      <c r="A8519">
        <v>61830</v>
      </c>
      <c r="B8519" t="s">
        <v>20</v>
      </c>
      <c r="C8519">
        <v>61830</v>
      </c>
      <c r="D8519" t="str">
        <f>"61830"</f>
        <v>61830</v>
      </c>
      <c r="E8519">
        <v>73.91</v>
      </c>
    </row>
    <row r="8520" spans="1:5" x14ac:dyDescent="0.2">
      <c r="A8520">
        <v>61831</v>
      </c>
      <c r="B8520" t="s">
        <v>20</v>
      </c>
      <c r="C8520">
        <v>61831</v>
      </c>
      <c r="D8520" t="str">
        <f>"61831"</f>
        <v>61831</v>
      </c>
      <c r="E8520" t="s">
        <v>6</v>
      </c>
    </row>
    <row r="8521" spans="1:5" x14ac:dyDescent="0.2">
      <c r="A8521">
        <v>61832</v>
      </c>
      <c r="B8521" t="s">
        <v>20</v>
      </c>
      <c r="C8521">
        <v>61832</v>
      </c>
      <c r="D8521" t="str">
        <f>"61832"</f>
        <v>61832</v>
      </c>
      <c r="E8521">
        <v>60.51</v>
      </c>
    </row>
    <row r="8522" spans="1:5" x14ac:dyDescent="0.2">
      <c r="A8522">
        <v>61833</v>
      </c>
      <c r="B8522" t="s">
        <v>20</v>
      </c>
      <c r="C8522">
        <v>61833</v>
      </c>
      <c r="D8522" t="str">
        <f>"61833"</f>
        <v>61833</v>
      </c>
      <c r="E8522">
        <v>67.739999999999995</v>
      </c>
    </row>
    <row r="8523" spans="1:5" x14ac:dyDescent="0.2">
      <c r="A8523">
        <v>61834</v>
      </c>
      <c r="B8523" t="s">
        <v>20</v>
      </c>
      <c r="C8523">
        <v>61834</v>
      </c>
      <c r="D8523" t="str">
        <f>"61834"</f>
        <v>61834</v>
      </c>
      <c r="E8523">
        <v>76.900000000000006</v>
      </c>
    </row>
    <row r="8524" spans="1:5" x14ac:dyDescent="0.2">
      <c r="A8524">
        <v>61839</v>
      </c>
      <c r="B8524" t="s">
        <v>20</v>
      </c>
      <c r="C8524">
        <v>61839</v>
      </c>
      <c r="D8524" t="str">
        <f>"61839"</f>
        <v>61839</v>
      </c>
      <c r="E8524">
        <v>75.86</v>
      </c>
    </row>
    <row r="8525" spans="1:5" x14ac:dyDescent="0.2">
      <c r="A8525">
        <v>61840</v>
      </c>
      <c r="B8525" t="s">
        <v>20</v>
      </c>
      <c r="C8525">
        <v>61840</v>
      </c>
      <c r="D8525" t="str">
        <f>"61840"</f>
        <v>61840</v>
      </c>
      <c r="E8525">
        <v>82.86</v>
      </c>
    </row>
    <row r="8526" spans="1:5" x14ac:dyDescent="0.2">
      <c r="A8526">
        <v>61841</v>
      </c>
      <c r="B8526" t="s">
        <v>20</v>
      </c>
      <c r="C8526">
        <v>61841</v>
      </c>
      <c r="D8526" t="str">
        <f>"61841"</f>
        <v>61841</v>
      </c>
      <c r="E8526">
        <v>75.81</v>
      </c>
    </row>
    <row r="8527" spans="1:5" x14ac:dyDescent="0.2">
      <c r="A8527">
        <v>61842</v>
      </c>
      <c r="B8527" t="s">
        <v>20</v>
      </c>
      <c r="C8527">
        <v>61842</v>
      </c>
      <c r="D8527" t="str">
        <f>"61842"</f>
        <v>61842</v>
      </c>
      <c r="E8527">
        <v>76.81</v>
      </c>
    </row>
    <row r="8528" spans="1:5" x14ac:dyDescent="0.2">
      <c r="A8528">
        <v>61843</v>
      </c>
      <c r="B8528" t="s">
        <v>20</v>
      </c>
      <c r="C8528">
        <v>61843</v>
      </c>
      <c r="D8528" t="str">
        <f>"61843"</f>
        <v>61843</v>
      </c>
      <c r="E8528">
        <v>73.11</v>
      </c>
    </row>
    <row r="8529" spans="1:5" x14ac:dyDescent="0.2">
      <c r="A8529">
        <v>61844</v>
      </c>
      <c r="B8529" t="s">
        <v>20</v>
      </c>
      <c r="C8529">
        <v>61844</v>
      </c>
      <c r="D8529" t="str">
        <f>"61844"</f>
        <v>61844</v>
      </c>
      <c r="E8529">
        <v>79.17</v>
      </c>
    </row>
    <row r="8530" spans="1:5" x14ac:dyDescent="0.2">
      <c r="A8530">
        <v>61845</v>
      </c>
      <c r="B8530" t="s">
        <v>20</v>
      </c>
      <c r="C8530">
        <v>61845</v>
      </c>
      <c r="D8530" t="str">
        <f>"61845"</f>
        <v>61845</v>
      </c>
      <c r="E8530">
        <v>73.680000000000007</v>
      </c>
    </row>
    <row r="8531" spans="1:5" x14ac:dyDescent="0.2">
      <c r="A8531">
        <v>61846</v>
      </c>
      <c r="B8531" t="s">
        <v>20</v>
      </c>
      <c r="C8531">
        <v>61846</v>
      </c>
      <c r="D8531" t="str">
        <f>"61846"</f>
        <v>61846</v>
      </c>
      <c r="E8531">
        <v>68.599999999999994</v>
      </c>
    </row>
    <row r="8532" spans="1:5" x14ac:dyDescent="0.2">
      <c r="A8532">
        <v>61847</v>
      </c>
      <c r="B8532" t="s">
        <v>20</v>
      </c>
      <c r="C8532">
        <v>61847</v>
      </c>
      <c r="D8532" t="str">
        <f>"61847"</f>
        <v>61847</v>
      </c>
      <c r="E8532">
        <v>81.36</v>
      </c>
    </row>
    <row r="8533" spans="1:5" x14ac:dyDescent="0.2">
      <c r="A8533">
        <v>61848</v>
      </c>
      <c r="B8533" t="s">
        <v>20</v>
      </c>
      <c r="C8533">
        <v>61848</v>
      </c>
      <c r="D8533" t="str">
        <f>"61848"</f>
        <v>61848</v>
      </c>
      <c r="E8533" t="s">
        <v>6</v>
      </c>
    </row>
    <row r="8534" spans="1:5" x14ac:dyDescent="0.2">
      <c r="A8534">
        <v>61849</v>
      </c>
      <c r="B8534" t="s">
        <v>20</v>
      </c>
      <c r="C8534">
        <v>61849</v>
      </c>
      <c r="D8534" t="str">
        <f>"61849"</f>
        <v>61849</v>
      </c>
      <c r="E8534">
        <v>80.23</v>
      </c>
    </row>
    <row r="8535" spans="1:5" x14ac:dyDescent="0.2">
      <c r="A8535">
        <v>61850</v>
      </c>
      <c r="B8535" t="s">
        <v>20</v>
      </c>
      <c r="C8535">
        <v>61850</v>
      </c>
      <c r="D8535" t="str">
        <f>"61850"</f>
        <v>61850</v>
      </c>
      <c r="E8535">
        <v>70</v>
      </c>
    </row>
    <row r="8536" spans="1:5" x14ac:dyDescent="0.2">
      <c r="A8536">
        <v>61851</v>
      </c>
      <c r="B8536" t="s">
        <v>20</v>
      </c>
      <c r="C8536">
        <v>61851</v>
      </c>
      <c r="D8536" t="str">
        <f>"61851"</f>
        <v>61851</v>
      </c>
      <c r="E8536">
        <v>85</v>
      </c>
    </row>
    <row r="8537" spans="1:5" x14ac:dyDescent="0.2">
      <c r="A8537">
        <v>61852</v>
      </c>
      <c r="B8537" t="s">
        <v>20</v>
      </c>
      <c r="C8537">
        <v>61852</v>
      </c>
      <c r="D8537" t="str">
        <f>"61852"</f>
        <v>61852</v>
      </c>
      <c r="E8537">
        <v>80</v>
      </c>
    </row>
    <row r="8538" spans="1:5" x14ac:dyDescent="0.2">
      <c r="A8538">
        <v>61853</v>
      </c>
      <c r="B8538" t="s">
        <v>20</v>
      </c>
      <c r="C8538">
        <v>61853</v>
      </c>
      <c r="D8538" t="str">
        <f>"61853"</f>
        <v>61853</v>
      </c>
      <c r="E8538">
        <v>77.97</v>
      </c>
    </row>
    <row r="8539" spans="1:5" x14ac:dyDescent="0.2">
      <c r="A8539">
        <v>61854</v>
      </c>
      <c r="B8539" t="s">
        <v>20</v>
      </c>
      <c r="C8539">
        <v>61854</v>
      </c>
      <c r="D8539" t="str">
        <f>"61854"</f>
        <v>61854</v>
      </c>
      <c r="E8539">
        <v>77.63</v>
      </c>
    </row>
    <row r="8540" spans="1:5" x14ac:dyDescent="0.2">
      <c r="A8540">
        <v>61855</v>
      </c>
      <c r="B8540" t="s">
        <v>20</v>
      </c>
      <c r="C8540">
        <v>61855</v>
      </c>
      <c r="D8540" t="str">
        <f>"61855"</f>
        <v>61855</v>
      </c>
      <c r="E8540" t="s">
        <v>6</v>
      </c>
    </row>
    <row r="8541" spans="1:5" x14ac:dyDescent="0.2">
      <c r="A8541">
        <v>61856</v>
      </c>
      <c r="B8541" t="s">
        <v>20</v>
      </c>
      <c r="C8541">
        <v>61856</v>
      </c>
      <c r="D8541" t="str">
        <f>"61856"</f>
        <v>61856</v>
      </c>
      <c r="E8541">
        <v>78.8</v>
      </c>
    </row>
    <row r="8542" spans="1:5" x14ac:dyDescent="0.2">
      <c r="A8542">
        <v>61857</v>
      </c>
      <c r="B8542" t="s">
        <v>20</v>
      </c>
      <c r="C8542">
        <v>61857</v>
      </c>
      <c r="D8542" t="str">
        <f>"61857"</f>
        <v>61857</v>
      </c>
      <c r="E8542" t="s">
        <v>6</v>
      </c>
    </row>
    <row r="8543" spans="1:5" x14ac:dyDescent="0.2">
      <c r="A8543">
        <v>61858</v>
      </c>
      <c r="B8543" t="s">
        <v>20</v>
      </c>
      <c r="C8543">
        <v>61858</v>
      </c>
      <c r="D8543" t="str">
        <f>"61858"</f>
        <v>61858</v>
      </c>
      <c r="E8543">
        <v>75.5</v>
      </c>
    </row>
    <row r="8544" spans="1:5" x14ac:dyDescent="0.2">
      <c r="A8544">
        <v>61859</v>
      </c>
      <c r="B8544" t="s">
        <v>20</v>
      </c>
      <c r="C8544">
        <v>61859</v>
      </c>
      <c r="D8544" t="str">
        <f>"61859"</f>
        <v>61859</v>
      </c>
      <c r="E8544">
        <v>81.03</v>
      </c>
    </row>
    <row r="8545" spans="1:5" x14ac:dyDescent="0.2">
      <c r="A8545">
        <v>61862</v>
      </c>
      <c r="B8545" t="s">
        <v>20</v>
      </c>
      <c r="C8545">
        <v>61862</v>
      </c>
      <c r="D8545" t="str">
        <f>"61862"</f>
        <v>61862</v>
      </c>
      <c r="E8545">
        <v>72</v>
      </c>
    </row>
    <row r="8546" spans="1:5" x14ac:dyDescent="0.2">
      <c r="A8546">
        <v>61863</v>
      </c>
      <c r="B8546" t="s">
        <v>20</v>
      </c>
      <c r="C8546">
        <v>61863</v>
      </c>
      <c r="D8546" t="str">
        <f>"61863"</f>
        <v>61863</v>
      </c>
      <c r="E8546">
        <v>86.05</v>
      </c>
    </row>
    <row r="8547" spans="1:5" x14ac:dyDescent="0.2">
      <c r="A8547">
        <v>61864</v>
      </c>
      <c r="B8547" t="s">
        <v>20</v>
      </c>
      <c r="C8547">
        <v>61864</v>
      </c>
      <c r="D8547" t="str">
        <f>"61864"</f>
        <v>61864</v>
      </c>
      <c r="E8547">
        <v>80.680000000000007</v>
      </c>
    </row>
    <row r="8548" spans="1:5" x14ac:dyDescent="0.2">
      <c r="A8548">
        <v>61865</v>
      </c>
      <c r="B8548" t="s">
        <v>20</v>
      </c>
      <c r="C8548">
        <v>61865</v>
      </c>
      <c r="D8548" t="str">
        <f>"61865"</f>
        <v>61865</v>
      </c>
      <c r="E8548">
        <v>72.58</v>
      </c>
    </row>
    <row r="8549" spans="1:5" x14ac:dyDescent="0.2">
      <c r="A8549">
        <v>61866</v>
      </c>
      <c r="B8549" t="s">
        <v>20</v>
      </c>
      <c r="C8549">
        <v>61866</v>
      </c>
      <c r="D8549" t="str">
        <f>"61866"</f>
        <v>61866</v>
      </c>
      <c r="E8549">
        <v>59.9</v>
      </c>
    </row>
    <row r="8550" spans="1:5" x14ac:dyDescent="0.2">
      <c r="A8550">
        <v>61870</v>
      </c>
      <c r="B8550" t="s">
        <v>20</v>
      </c>
      <c r="C8550">
        <v>61870</v>
      </c>
      <c r="D8550" t="str">
        <f>"61870"</f>
        <v>61870</v>
      </c>
      <c r="E8550">
        <v>69.09</v>
      </c>
    </row>
    <row r="8551" spans="1:5" x14ac:dyDescent="0.2">
      <c r="A8551">
        <v>61871</v>
      </c>
      <c r="B8551" t="s">
        <v>20</v>
      </c>
      <c r="C8551">
        <v>61871</v>
      </c>
      <c r="D8551" t="str">
        <f>"61871"</f>
        <v>61871</v>
      </c>
      <c r="E8551" t="s">
        <v>6</v>
      </c>
    </row>
    <row r="8552" spans="1:5" x14ac:dyDescent="0.2">
      <c r="A8552">
        <v>61872</v>
      </c>
      <c r="B8552" t="s">
        <v>20</v>
      </c>
      <c r="C8552">
        <v>61872</v>
      </c>
      <c r="D8552" t="str">
        <f>"61872"</f>
        <v>61872</v>
      </c>
      <c r="E8552">
        <v>79.41</v>
      </c>
    </row>
    <row r="8553" spans="1:5" x14ac:dyDescent="0.2">
      <c r="A8553">
        <v>61873</v>
      </c>
      <c r="B8553" t="s">
        <v>20</v>
      </c>
      <c r="C8553">
        <v>61873</v>
      </c>
      <c r="D8553" t="str">
        <f>"61873"</f>
        <v>61873</v>
      </c>
      <c r="E8553">
        <v>81.069999999999993</v>
      </c>
    </row>
    <row r="8554" spans="1:5" x14ac:dyDescent="0.2">
      <c r="A8554">
        <v>61874</v>
      </c>
      <c r="B8554" t="s">
        <v>20</v>
      </c>
      <c r="C8554">
        <v>61874</v>
      </c>
      <c r="D8554" t="str">
        <f>"61874"</f>
        <v>61874</v>
      </c>
      <c r="E8554">
        <v>80.63</v>
      </c>
    </row>
    <row r="8555" spans="1:5" x14ac:dyDescent="0.2">
      <c r="A8555">
        <v>61875</v>
      </c>
      <c r="B8555" t="s">
        <v>20</v>
      </c>
      <c r="C8555">
        <v>61875</v>
      </c>
      <c r="D8555" t="str">
        <f>"61875"</f>
        <v>61875</v>
      </c>
      <c r="E8555">
        <v>74.290000000000006</v>
      </c>
    </row>
    <row r="8556" spans="1:5" x14ac:dyDescent="0.2">
      <c r="A8556">
        <v>61876</v>
      </c>
      <c r="B8556" t="s">
        <v>20</v>
      </c>
      <c r="C8556">
        <v>61876</v>
      </c>
      <c r="D8556" t="str">
        <f>"61876"</f>
        <v>61876</v>
      </c>
      <c r="E8556">
        <v>67.739999999999995</v>
      </c>
    </row>
    <row r="8557" spans="1:5" x14ac:dyDescent="0.2">
      <c r="A8557">
        <v>61877</v>
      </c>
      <c r="B8557" t="s">
        <v>20</v>
      </c>
      <c r="C8557">
        <v>61877</v>
      </c>
      <c r="D8557" t="str">
        <f>"61877"</f>
        <v>61877</v>
      </c>
      <c r="E8557">
        <v>79.75</v>
      </c>
    </row>
    <row r="8558" spans="1:5" x14ac:dyDescent="0.2">
      <c r="A8558">
        <v>61878</v>
      </c>
      <c r="B8558" t="s">
        <v>20</v>
      </c>
      <c r="C8558">
        <v>61878</v>
      </c>
      <c r="D8558" t="str">
        <f>"61878"</f>
        <v>61878</v>
      </c>
      <c r="E8558">
        <v>76.06</v>
      </c>
    </row>
    <row r="8559" spans="1:5" x14ac:dyDescent="0.2">
      <c r="A8559">
        <v>61880</v>
      </c>
      <c r="B8559" t="s">
        <v>20</v>
      </c>
      <c r="C8559">
        <v>61880</v>
      </c>
      <c r="D8559" t="str">
        <f>"61880"</f>
        <v>61880</v>
      </c>
      <c r="E8559">
        <v>79.33</v>
      </c>
    </row>
    <row r="8560" spans="1:5" x14ac:dyDescent="0.2">
      <c r="A8560">
        <v>61882</v>
      </c>
      <c r="B8560" t="s">
        <v>20</v>
      </c>
      <c r="C8560">
        <v>61882</v>
      </c>
      <c r="D8560" t="str">
        <f>"61882"</f>
        <v>61882</v>
      </c>
      <c r="E8560">
        <v>78.569999999999993</v>
      </c>
    </row>
    <row r="8561" spans="1:5" x14ac:dyDescent="0.2">
      <c r="A8561">
        <v>61883</v>
      </c>
      <c r="B8561" t="s">
        <v>20</v>
      </c>
      <c r="C8561">
        <v>61883</v>
      </c>
      <c r="D8561" t="str">
        <f>"61883"</f>
        <v>61883</v>
      </c>
      <c r="E8561">
        <v>70.37</v>
      </c>
    </row>
    <row r="8562" spans="1:5" x14ac:dyDescent="0.2">
      <c r="A8562">
        <v>61884</v>
      </c>
      <c r="B8562" t="s">
        <v>20</v>
      </c>
      <c r="C8562">
        <v>61884</v>
      </c>
      <c r="D8562" t="str">
        <f>"61884"</f>
        <v>61884</v>
      </c>
      <c r="E8562">
        <v>75.44</v>
      </c>
    </row>
    <row r="8563" spans="1:5" x14ac:dyDescent="0.2">
      <c r="A8563">
        <v>61910</v>
      </c>
      <c r="B8563" t="s">
        <v>20</v>
      </c>
      <c r="C8563">
        <v>61910</v>
      </c>
      <c r="D8563" t="str">
        <f>"61910"</f>
        <v>61910</v>
      </c>
      <c r="E8563">
        <v>70.89</v>
      </c>
    </row>
    <row r="8564" spans="1:5" x14ac:dyDescent="0.2">
      <c r="A8564">
        <v>61911</v>
      </c>
      <c r="B8564" t="s">
        <v>20</v>
      </c>
      <c r="C8564">
        <v>61911</v>
      </c>
      <c r="D8564" t="str">
        <f>"61911"</f>
        <v>61911</v>
      </c>
      <c r="E8564">
        <v>71.819999999999993</v>
      </c>
    </row>
    <row r="8565" spans="1:5" x14ac:dyDescent="0.2">
      <c r="A8565">
        <v>61912</v>
      </c>
      <c r="B8565" t="s">
        <v>20</v>
      </c>
      <c r="C8565">
        <v>61912</v>
      </c>
      <c r="D8565" t="str">
        <f>"61912"</f>
        <v>61912</v>
      </c>
      <c r="E8565">
        <v>77.19</v>
      </c>
    </row>
    <row r="8566" spans="1:5" x14ac:dyDescent="0.2">
      <c r="A8566">
        <v>61913</v>
      </c>
      <c r="B8566" t="s">
        <v>20</v>
      </c>
      <c r="C8566">
        <v>61913</v>
      </c>
      <c r="D8566" t="str">
        <f>"61913"</f>
        <v>61913</v>
      </c>
      <c r="E8566">
        <v>73.33</v>
      </c>
    </row>
    <row r="8567" spans="1:5" x14ac:dyDescent="0.2">
      <c r="A8567">
        <v>61914</v>
      </c>
      <c r="B8567" t="s">
        <v>20</v>
      </c>
      <c r="C8567">
        <v>61914</v>
      </c>
      <c r="D8567" t="str">
        <f>"61914"</f>
        <v>61914</v>
      </c>
      <c r="E8567">
        <v>72.22</v>
      </c>
    </row>
    <row r="8568" spans="1:5" x14ac:dyDescent="0.2">
      <c r="A8568">
        <v>61917</v>
      </c>
      <c r="B8568" t="s">
        <v>20</v>
      </c>
      <c r="C8568">
        <v>61917</v>
      </c>
      <c r="D8568" t="str">
        <f>"61917"</f>
        <v>61917</v>
      </c>
      <c r="E8568">
        <v>72</v>
      </c>
    </row>
    <row r="8569" spans="1:5" x14ac:dyDescent="0.2">
      <c r="A8569">
        <v>61919</v>
      </c>
      <c r="B8569" t="s">
        <v>20</v>
      </c>
      <c r="C8569">
        <v>61919</v>
      </c>
      <c r="D8569" t="str">
        <f>"61919"</f>
        <v>61919</v>
      </c>
      <c r="E8569">
        <v>77.5</v>
      </c>
    </row>
    <row r="8570" spans="1:5" x14ac:dyDescent="0.2">
      <c r="A8570">
        <v>61920</v>
      </c>
      <c r="B8570" t="s">
        <v>20</v>
      </c>
      <c r="C8570">
        <v>61920</v>
      </c>
      <c r="D8570" t="str">
        <f>"61920"</f>
        <v>61920</v>
      </c>
      <c r="E8570">
        <v>69.73</v>
      </c>
    </row>
    <row r="8571" spans="1:5" x14ac:dyDescent="0.2">
      <c r="A8571">
        <v>61924</v>
      </c>
      <c r="B8571" t="s">
        <v>20</v>
      </c>
      <c r="C8571">
        <v>61924</v>
      </c>
      <c r="D8571" t="str">
        <f>"61924"</f>
        <v>61924</v>
      </c>
      <c r="E8571">
        <v>74</v>
      </c>
    </row>
    <row r="8572" spans="1:5" x14ac:dyDescent="0.2">
      <c r="A8572">
        <v>61925</v>
      </c>
      <c r="B8572" t="s">
        <v>20</v>
      </c>
      <c r="C8572">
        <v>61925</v>
      </c>
      <c r="D8572" t="str">
        <f>"61925"</f>
        <v>61925</v>
      </c>
      <c r="E8572">
        <v>73.91</v>
      </c>
    </row>
    <row r="8573" spans="1:5" x14ac:dyDescent="0.2">
      <c r="A8573">
        <v>61928</v>
      </c>
      <c r="B8573" t="s">
        <v>20</v>
      </c>
      <c r="C8573">
        <v>61928</v>
      </c>
      <c r="D8573" t="str">
        <f>"61928"</f>
        <v>61928</v>
      </c>
      <c r="E8573">
        <v>68.569999999999993</v>
      </c>
    </row>
    <row r="8574" spans="1:5" x14ac:dyDescent="0.2">
      <c r="A8574">
        <v>61929</v>
      </c>
      <c r="B8574" t="s">
        <v>20</v>
      </c>
      <c r="C8574">
        <v>61929</v>
      </c>
      <c r="D8574" t="str">
        <f>"61929"</f>
        <v>61929</v>
      </c>
      <c r="E8574">
        <v>79.41</v>
      </c>
    </row>
    <row r="8575" spans="1:5" x14ac:dyDescent="0.2">
      <c r="A8575">
        <v>61930</v>
      </c>
      <c r="B8575" t="s">
        <v>20</v>
      </c>
      <c r="C8575">
        <v>61930</v>
      </c>
      <c r="D8575" t="str">
        <f>"61930"</f>
        <v>61930</v>
      </c>
      <c r="E8575">
        <v>78.260000000000005</v>
      </c>
    </row>
    <row r="8576" spans="1:5" x14ac:dyDescent="0.2">
      <c r="A8576">
        <v>61931</v>
      </c>
      <c r="B8576" t="s">
        <v>20</v>
      </c>
      <c r="C8576">
        <v>61931</v>
      </c>
      <c r="D8576" t="str">
        <f>"61931"</f>
        <v>61931</v>
      </c>
      <c r="E8576">
        <v>73.209999999999994</v>
      </c>
    </row>
    <row r="8577" spans="1:5" x14ac:dyDescent="0.2">
      <c r="A8577">
        <v>61932</v>
      </c>
      <c r="B8577" t="s">
        <v>20</v>
      </c>
      <c r="C8577">
        <v>61932</v>
      </c>
      <c r="D8577" t="str">
        <f>"61932"</f>
        <v>61932</v>
      </c>
      <c r="E8577">
        <v>70</v>
      </c>
    </row>
    <row r="8578" spans="1:5" x14ac:dyDescent="0.2">
      <c r="A8578">
        <v>61933</v>
      </c>
      <c r="B8578" t="s">
        <v>20</v>
      </c>
      <c r="C8578">
        <v>61933</v>
      </c>
      <c r="D8578" t="str">
        <f>"61933"</f>
        <v>61933</v>
      </c>
      <c r="E8578">
        <v>68.75</v>
      </c>
    </row>
    <row r="8579" spans="1:5" x14ac:dyDescent="0.2">
      <c r="A8579">
        <v>61936</v>
      </c>
      <c r="B8579" t="s">
        <v>20</v>
      </c>
      <c r="C8579">
        <v>61936</v>
      </c>
      <c r="D8579" t="str">
        <f>"61936"</f>
        <v>61936</v>
      </c>
      <c r="E8579" t="s">
        <v>6</v>
      </c>
    </row>
    <row r="8580" spans="1:5" x14ac:dyDescent="0.2">
      <c r="A8580">
        <v>61937</v>
      </c>
      <c r="B8580" t="s">
        <v>20</v>
      </c>
      <c r="C8580">
        <v>61937</v>
      </c>
      <c r="D8580" t="str">
        <f>"61937"</f>
        <v>61937</v>
      </c>
      <c r="E8580">
        <v>70</v>
      </c>
    </row>
    <row r="8581" spans="1:5" x14ac:dyDescent="0.2">
      <c r="A8581">
        <v>61938</v>
      </c>
      <c r="B8581" t="s">
        <v>20</v>
      </c>
      <c r="C8581">
        <v>61938</v>
      </c>
      <c r="D8581" t="str">
        <f>"61938"</f>
        <v>61938</v>
      </c>
      <c r="E8581">
        <v>70.48</v>
      </c>
    </row>
    <row r="8582" spans="1:5" x14ac:dyDescent="0.2">
      <c r="A8582">
        <v>61940</v>
      </c>
      <c r="B8582" t="s">
        <v>20</v>
      </c>
      <c r="C8582">
        <v>61940</v>
      </c>
      <c r="D8582" t="str">
        <f>"61940"</f>
        <v>61940</v>
      </c>
      <c r="E8582" t="s">
        <v>6</v>
      </c>
    </row>
    <row r="8583" spans="1:5" x14ac:dyDescent="0.2">
      <c r="A8583">
        <v>61941</v>
      </c>
      <c r="B8583" t="s">
        <v>20</v>
      </c>
      <c r="C8583">
        <v>61941</v>
      </c>
      <c r="D8583" t="str">
        <f>"61941"</f>
        <v>61941</v>
      </c>
      <c r="E8583" t="s">
        <v>6</v>
      </c>
    </row>
    <row r="8584" spans="1:5" x14ac:dyDescent="0.2">
      <c r="A8584">
        <v>61942</v>
      </c>
      <c r="B8584" t="s">
        <v>20</v>
      </c>
      <c r="C8584">
        <v>61942</v>
      </c>
      <c r="D8584" t="str">
        <f>"61942"</f>
        <v>61942</v>
      </c>
      <c r="E8584">
        <v>75</v>
      </c>
    </row>
    <row r="8585" spans="1:5" x14ac:dyDescent="0.2">
      <c r="A8585">
        <v>61943</v>
      </c>
      <c r="B8585" t="s">
        <v>20</v>
      </c>
      <c r="C8585">
        <v>61943</v>
      </c>
      <c r="D8585" t="str">
        <f>"61943"</f>
        <v>61943</v>
      </c>
      <c r="E8585">
        <v>72.86</v>
      </c>
    </row>
    <row r="8586" spans="1:5" x14ac:dyDescent="0.2">
      <c r="A8586">
        <v>61944</v>
      </c>
      <c r="B8586" t="s">
        <v>20</v>
      </c>
      <c r="C8586">
        <v>61944</v>
      </c>
      <c r="D8586" t="str">
        <f>"61944"</f>
        <v>61944</v>
      </c>
      <c r="E8586">
        <v>70.22</v>
      </c>
    </row>
    <row r="8587" spans="1:5" x14ac:dyDescent="0.2">
      <c r="A8587">
        <v>61949</v>
      </c>
      <c r="B8587" t="s">
        <v>20</v>
      </c>
      <c r="C8587">
        <v>61949</v>
      </c>
      <c r="D8587" t="str">
        <f>"61949"</f>
        <v>61949</v>
      </c>
      <c r="E8587" t="s">
        <v>6</v>
      </c>
    </row>
    <row r="8588" spans="1:5" x14ac:dyDescent="0.2">
      <c r="A8588">
        <v>61951</v>
      </c>
      <c r="B8588" t="s">
        <v>20</v>
      </c>
      <c r="C8588">
        <v>61951</v>
      </c>
      <c r="D8588" t="str">
        <f>"61951"</f>
        <v>61951</v>
      </c>
      <c r="E8588">
        <v>73.53</v>
      </c>
    </row>
    <row r="8589" spans="1:5" x14ac:dyDescent="0.2">
      <c r="A8589">
        <v>61953</v>
      </c>
      <c r="B8589" t="s">
        <v>20</v>
      </c>
      <c r="C8589">
        <v>61953</v>
      </c>
      <c r="D8589" t="str">
        <f>"61953"</f>
        <v>61953</v>
      </c>
      <c r="E8589">
        <v>74.19</v>
      </c>
    </row>
    <row r="8590" spans="1:5" x14ac:dyDescent="0.2">
      <c r="A8590">
        <v>61955</v>
      </c>
      <c r="B8590" t="s">
        <v>20</v>
      </c>
      <c r="C8590">
        <v>61955</v>
      </c>
      <c r="D8590" t="str">
        <f>"61955"</f>
        <v>61955</v>
      </c>
      <c r="E8590" t="s">
        <v>6</v>
      </c>
    </row>
    <row r="8591" spans="1:5" x14ac:dyDescent="0.2">
      <c r="A8591">
        <v>61956</v>
      </c>
      <c r="B8591" t="s">
        <v>20</v>
      </c>
      <c r="C8591">
        <v>61956</v>
      </c>
      <c r="D8591" t="str">
        <f>"61956"</f>
        <v>61956</v>
      </c>
      <c r="E8591">
        <v>72.73</v>
      </c>
    </row>
    <row r="8592" spans="1:5" x14ac:dyDescent="0.2">
      <c r="A8592">
        <v>61957</v>
      </c>
      <c r="B8592" t="s">
        <v>20</v>
      </c>
      <c r="C8592">
        <v>61957</v>
      </c>
      <c r="D8592" t="str">
        <f>"61957"</f>
        <v>61957</v>
      </c>
      <c r="E8592">
        <v>69.88</v>
      </c>
    </row>
    <row r="8593" spans="1:5" x14ac:dyDescent="0.2">
      <c r="A8593">
        <v>62001</v>
      </c>
      <c r="B8593" t="s">
        <v>20</v>
      </c>
      <c r="C8593">
        <v>62001</v>
      </c>
      <c r="D8593" t="str">
        <f>"62001"</f>
        <v>62001</v>
      </c>
      <c r="E8593">
        <v>79.52</v>
      </c>
    </row>
    <row r="8594" spans="1:5" x14ac:dyDescent="0.2">
      <c r="A8594">
        <v>62002</v>
      </c>
      <c r="B8594" t="s">
        <v>20</v>
      </c>
      <c r="C8594">
        <v>62002</v>
      </c>
      <c r="D8594" t="str">
        <f>"62002"</f>
        <v>62002</v>
      </c>
      <c r="E8594">
        <v>66.69</v>
      </c>
    </row>
    <row r="8595" spans="1:5" x14ac:dyDescent="0.2">
      <c r="A8595">
        <v>62006</v>
      </c>
      <c r="B8595" t="s">
        <v>20</v>
      </c>
      <c r="C8595">
        <v>62006</v>
      </c>
      <c r="D8595" t="str">
        <f>"62006"</f>
        <v>62006</v>
      </c>
      <c r="E8595">
        <v>84</v>
      </c>
    </row>
    <row r="8596" spans="1:5" x14ac:dyDescent="0.2">
      <c r="A8596">
        <v>62009</v>
      </c>
      <c r="B8596" t="s">
        <v>20</v>
      </c>
      <c r="C8596">
        <v>62009</v>
      </c>
      <c r="D8596" t="str">
        <f>"62009"</f>
        <v>62009</v>
      </c>
      <c r="E8596">
        <v>68</v>
      </c>
    </row>
    <row r="8597" spans="1:5" x14ac:dyDescent="0.2">
      <c r="A8597">
        <v>62010</v>
      </c>
      <c r="B8597" t="s">
        <v>20</v>
      </c>
      <c r="C8597">
        <v>62010</v>
      </c>
      <c r="D8597" t="str">
        <f>"62010"</f>
        <v>62010</v>
      </c>
      <c r="E8597">
        <v>77.010000000000005</v>
      </c>
    </row>
    <row r="8598" spans="1:5" x14ac:dyDescent="0.2">
      <c r="A8598">
        <v>62011</v>
      </c>
      <c r="B8598" t="s">
        <v>20</v>
      </c>
      <c r="C8598">
        <v>62011</v>
      </c>
      <c r="D8598" t="str">
        <f>"62011"</f>
        <v>62011</v>
      </c>
      <c r="E8598">
        <v>72.73</v>
      </c>
    </row>
    <row r="8599" spans="1:5" x14ac:dyDescent="0.2">
      <c r="A8599">
        <v>62012</v>
      </c>
      <c r="B8599" t="s">
        <v>20</v>
      </c>
      <c r="C8599">
        <v>62012</v>
      </c>
      <c r="D8599" t="str">
        <f>"62012"</f>
        <v>62012</v>
      </c>
      <c r="E8599">
        <v>75.31</v>
      </c>
    </row>
    <row r="8600" spans="1:5" x14ac:dyDescent="0.2">
      <c r="A8600">
        <v>62013</v>
      </c>
      <c r="B8600" t="s">
        <v>20</v>
      </c>
      <c r="C8600">
        <v>62013</v>
      </c>
      <c r="D8600" t="str">
        <f>"62013"</f>
        <v>62013</v>
      </c>
      <c r="E8600">
        <v>78.260000000000005</v>
      </c>
    </row>
    <row r="8601" spans="1:5" x14ac:dyDescent="0.2">
      <c r="A8601">
        <v>62014</v>
      </c>
      <c r="B8601" t="s">
        <v>20</v>
      </c>
      <c r="C8601">
        <v>62014</v>
      </c>
      <c r="D8601" t="str">
        <f>"62014"</f>
        <v>62014</v>
      </c>
      <c r="E8601">
        <v>75.14</v>
      </c>
    </row>
    <row r="8602" spans="1:5" x14ac:dyDescent="0.2">
      <c r="A8602">
        <v>62015</v>
      </c>
      <c r="B8602" t="s">
        <v>20</v>
      </c>
      <c r="C8602">
        <v>62015</v>
      </c>
      <c r="D8602" t="str">
        <f>"62015"</f>
        <v>62015</v>
      </c>
      <c r="E8602">
        <v>72</v>
      </c>
    </row>
    <row r="8603" spans="1:5" x14ac:dyDescent="0.2">
      <c r="A8603">
        <v>62016</v>
      </c>
      <c r="B8603" t="s">
        <v>20</v>
      </c>
      <c r="C8603">
        <v>62016</v>
      </c>
      <c r="D8603" t="str">
        <f>"62016"</f>
        <v>62016</v>
      </c>
      <c r="E8603">
        <v>70.290000000000006</v>
      </c>
    </row>
    <row r="8604" spans="1:5" x14ac:dyDescent="0.2">
      <c r="A8604">
        <v>62017</v>
      </c>
      <c r="B8604" t="s">
        <v>20</v>
      </c>
      <c r="C8604">
        <v>62017</v>
      </c>
      <c r="D8604" t="str">
        <f>"62017"</f>
        <v>62017</v>
      </c>
      <c r="E8604">
        <v>73.91</v>
      </c>
    </row>
    <row r="8605" spans="1:5" x14ac:dyDescent="0.2">
      <c r="A8605">
        <v>62018</v>
      </c>
      <c r="B8605" t="s">
        <v>20</v>
      </c>
      <c r="C8605">
        <v>62018</v>
      </c>
      <c r="D8605" t="str">
        <f>"62018"</f>
        <v>62018</v>
      </c>
      <c r="E8605">
        <v>58.78</v>
      </c>
    </row>
    <row r="8606" spans="1:5" x14ac:dyDescent="0.2">
      <c r="A8606">
        <v>62019</v>
      </c>
      <c r="B8606" t="s">
        <v>20</v>
      </c>
      <c r="C8606">
        <v>62019</v>
      </c>
      <c r="D8606" t="str">
        <f>"62019"</f>
        <v>62019</v>
      </c>
      <c r="E8606">
        <v>80.95</v>
      </c>
    </row>
    <row r="8607" spans="1:5" x14ac:dyDescent="0.2">
      <c r="A8607">
        <v>62021</v>
      </c>
      <c r="B8607" t="s">
        <v>20</v>
      </c>
      <c r="C8607">
        <v>62021</v>
      </c>
      <c r="D8607" t="str">
        <f>"62021"</f>
        <v>62021</v>
      </c>
      <c r="E8607">
        <v>82.61</v>
      </c>
    </row>
    <row r="8608" spans="1:5" x14ac:dyDescent="0.2">
      <c r="A8608">
        <v>62022</v>
      </c>
      <c r="B8608" t="s">
        <v>20</v>
      </c>
      <c r="C8608">
        <v>62022</v>
      </c>
      <c r="D8608" t="str">
        <f>"62022"</f>
        <v>62022</v>
      </c>
      <c r="E8608">
        <v>77.19</v>
      </c>
    </row>
    <row r="8609" spans="1:5" x14ac:dyDescent="0.2">
      <c r="A8609">
        <v>62024</v>
      </c>
      <c r="B8609" t="s">
        <v>20</v>
      </c>
      <c r="C8609">
        <v>62024</v>
      </c>
      <c r="D8609" t="str">
        <f>"62024"</f>
        <v>62024</v>
      </c>
      <c r="E8609">
        <v>70.87</v>
      </c>
    </row>
    <row r="8610" spans="1:5" x14ac:dyDescent="0.2">
      <c r="A8610">
        <v>62025</v>
      </c>
      <c r="B8610" t="s">
        <v>20</v>
      </c>
      <c r="C8610">
        <v>62025</v>
      </c>
      <c r="D8610" t="str">
        <f>"62025"</f>
        <v>62025</v>
      </c>
      <c r="E8610">
        <v>78.16</v>
      </c>
    </row>
    <row r="8611" spans="1:5" x14ac:dyDescent="0.2">
      <c r="A8611">
        <v>62027</v>
      </c>
      <c r="B8611" t="s">
        <v>20</v>
      </c>
      <c r="C8611">
        <v>62027</v>
      </c>
      <c r="D8611" t="str">
        <f>"62027"</f>
        <v>62027</v>
      </c>
      <c r="E8611">
        <v>69.569999999999993</v>
      </c>
    </row>
    <row r="8612" spans="1:5" x14ac:dyDescent="0.2">
      <c r="A8612">
        <v>62028</v>
      </c>
      <c r="B8612" t="s">
        <v>20</v>
      </c>
      <c r="C8612">
        <v>62028</v>
      </c>
      <c r="D8612" t="str">
        <f>"62028"</f>
        <v>62028</v>
      </c>
      <c r="E8612">
        <v>72.09</v>
      </c>
    </row>
    <row r="8613" spans="1:5" x14ac:dyDescent="0.2">
      <c r="A8613">
        <v>62030</v>
      </c>
      <c r="B8613" t="s">
        <v>20</v>
      </c>
      <c r="C8613">
        <v>62030</v>
      </c>
      <c r="D8613" t="str">
        <f>"62030"</f>
        <v>62030</v>
      </c>
      <c r="E8613" t="s">
        <v>6</v>
      </c>
    </row>
    <row r="8614" spans="1:5" x14ac:dyDescent="0.2">
      <c r="A8614">
        <v>62031</v>
      </c>
      <c r="B8614" t="s">
        <v>20</v>
      </c>
      <c r="C8614">
        <v>62031</v>
      </c>
      <c r="D8614" t="str">
        <f>"62031"</f>
        <v>62031</v>
      </c>
      <c r="E8614">
        <v>73.17</v>
      </c>
    </row>
    <row r="8615" spans="1:5" x14ac:dyDescent="0.2">
      <c r="A8615">
        <v>62032</v>
      </c>
      <c r="B8615" t="s">
        <v>20</v>
      </c>
      <c r="C8615">
        <v>62032</v>
      </c>
      <c r="D8615" t="str">
        <f>"62032"</f>
        <v>62032</v>
      </c>
      <c r="E8615">
        <v>71.88</v>
      </c>
    </row>
    <row r="8616" spans="1:5" x14ac:dyDescent="0.2">
      <c r="A8616">
        <v>62033</v>
      </c>
      <c r="B8616" t="s">
        <v>20</v>
      </c>
      <c r="C8616">
        <v>62033</v>
      </c>
      <c r="D8616" t="str">
        <f>"62033"</f>
        <v>62033</v>
      </c>
      <c r="E8616">
        <v>72.73</v>
      </c>
    </row>
    <row r="8617" spans="1:5" x14ac:dyDescent="0.2">
      <c r="A8617">
        <v>62034</v>
      </c>
      <c r="B8617" t="s">
        <v>20</v>
      </c>
      <c r="C8617">
        <v>62034</v>
      </c>
      <c r="D8617" t="str">
        <f>"62034"</f>
        <v>62034</v>
      </c>
      <c r="E8617">
        <v>80.709999999999994</v>
      </c>
    </row>
    <row r="8618" spans="1:5" x14ac:dyDescent="0.2">
      <c r="A8618">
        <v>62035</v>
      </c>
      <c r="B8618" t="s">
        <v>20</v>
      </c>
      <c r="C8618">
        <v>62035</v>
      </c>
      <c r="D8618" t="str">
        <f>"62035"</f>
        <v>62035</v>
      </c>
      <c r="E8618">
        <v>76.56</v>
      </c>
    </row>
    <row r="8619" spans="1:5" x14ac:dyDescent="0.2">
      <c r="A8619">
        <v>62036</v>
      </c>
      <c r="B8619" t="s">
        <v>20</v>
      </c>
      <c r="C8619">
        <v>62036</v>
      </c>
      <c r="D8619" t="str">
        <f>"62036"</f>
        <v>62036</v>
      </c>
      <c r="E8619">
        <v>75</v>
      </c>
    </row>
    <row r="8620" spans="1:5" x14ac:dyDescent="0.2">
      <c r="A8620">
        <v>62037</v>
      </c>
      <c r="B8620" t="s">
        <v>20</v>
      </c>
      <c r="C8620">
        <v>62037</v>
      </c>
      <c r="D8620" t="str">
        <f>"62037"</f>
        <v>62037</v>
      </c>
      <c r="E8620">
        <v>75</v>
      </c>
    </row>
    <row r="8621" spans="1:5" x14ac:dyDescent="0.2">
      <c r="A8621">
        <v>62040</v>
      </c>
      <c r="B8621" t="s">
        <v>20</v>
      </c>
      <c r="C8621">
        <v>62040</v>
      </c>
      <c r="D8621" t="str">
        <f>"62040"</f>
        <v>62040</v>
      </c>
      <c r="E8621">
        <v>68.88</v>
      </c>
    </row>
    <row r="8622" spans="1:5" x14ac:dyDescent="0.2">
      <c r="A8622">
        <v>62044</v>
      </c>
      <c r="B8622" t="s">
        <v>20</v>
      </c>
      <c r="C8622">
        <v>62044</v>
      </c>
      <c r="D8622" t="str">
        <f>"62044"</f>
        <v>62044</v>
      </c>
      <c r="E8622">
        <v>70.59</v>
      </c>
    </row>
    <row r="8623" spans="1:5" x14ac:dyDescent="0.2">
      <c r="A8623">
        <v>62045</v>
      </c>
      <c r="B8623" t="s">
        <v>20</v>
      </c>
      <c r="C8623">
        <v>62045</v>
      </c>
      <c r="D8623" t="str">
        <f>"62045"</f>
        <v>62045</v>
      </c>
      <c r="E8623">
        <v>72.73</v>
      </c>
    </row>
    <row r="8624" spans="1:5" x14ac:dyDescent="0.2">
      <c r="A8624">
        <v>62046</v>
      </c>
      <c r="B8624" t="s">
        <v>20</v>
      </c>
      <c r="C8624">
        <v>62046</v>
      </c>
      <c r="D8624" t="str">
        <f>"62046"</f>
        <v>62046</v>
      </c>
      <c r="E8624" t="s">
        <v>6</v>
      </c>
    </row>
    <row r="8625" spans="1:5" x14ac:dyDescent="0.2">
      <c r="A8625">
        <v>62047</v>
      </c>
      <c r="B8625" t="s">
        <v>20</v>
      </c>
      <c r="C8625">
        <v>62047</v>
      </c>
      <c r="D8625" t="str">
        <f>"62047"</f>
        <v>62047</v>
      </c>
      <c r="E8625">
        <v>73.91</v>
      </c>
    </row>
    <row r="8626" spans="1:5" x14ac:dyDescent="0.2">
      <c r="A8626">
        <v>62048</v>
      </c>
      <c r="B8626" t="s">
        <v>20</v>
      </c>
      <c r="C8626">
        <v>62048</v>
      </c>
      <c r="D8626" t="str">
        <f>"62048"</f>
        <v>62048</v>
      </c>
      <c r="E8626">
        <v>70.69</v>
      </c>
    </row>
    <row r="8627" spans="1:5" x14ac:dyDescent="0.2">
      <c r="A8627">
        <v>62049</v>
      </c>
      <c r="B8627" t="s">
        <v>20</v>
      </c>
      <c r="C8627">
        <v>62049</v>
      </c>
      <c r="D8627" t="str">
        <f>"62049"</f>
        <v>62049</v>
      </c>
      <c r="E8627">
        <v>71.78</v>
      </c>
    </row>
    <row r="8628" spans="1:5" x14ac:dyDescent="0.2">
      <c r="A8628">
        <v>62050</v>
      </c>
      <c r="B8628" t="s">
        <v>20</v>
      </c>
      <c r="C8628">
        <v>62050</v>
      </c>
      <c r="D8628" t="str">
        <f>"62050"</f>
        <v>62050</v>
      </c>
      <c r="E8628">
        <v>64.709999999999994</v>
      </c>
    </row>
    <row r="8629" spans="1:5" x14ac:dyDescent="0.2">
      <c r="A8629">
        <v>62051</v>
      </c>
      <c r="B8629" t="s">
        <v>20</v>
      </c>
      <c r="C8629">
        <v>62051</v>
      </c>
      <c r="D8629" t="str">
        <f>"62051"</f>
        <v>62051</v>
      </c>
      <c r="E8629">
        <v>68.290000000000006</v>
      </c>
    </row>
    <row r="8630" spans="1:5" x14ac:dyDescent="0.2">
      <c r="A8630">
        <v>62052</v>
      </c>
      <c r="B8630" t="s">
        <v>20</v>
      </c>
      <c r="C8630">
        <v>62052</v>
      </c>
      <c r="D8630" t="str">
        <f>"62052"</f>
        <v>62052</v>
      </c>
      <c r="E8630">
        <v>73.349999999999994</v>
      </c>
    </row>
    <row r="8631" spans="1:5" x14ac:dyDescent="0.2">
      <c r="A8631">
        <v>62053</v>
      </c>
      <c r="B8631" t="s">
        <v>20</v>
      </c>
      <c r="C8631">
        <v>62053</v>
      </c>
      <c r="D8631" t="str">
        <f>"62053"</f>
        <v>62053</v>
      </c>
      <c r="E8631">
        <v>71.430000000000007</v>
      </c>
    </row>
    <row r="8632" spans="1:5" x14ac:dyDescent="0.2">
      <c r="A8632">
        <v>62054</v>
      </c>
      <c r="B8632" t="s">
        <v>20</v>
      </c>
      <c r="C8632">
        <v>62054</v>
      </c>
      <c r="D8632" t="str">
        <f>"62054"</f>
        <v>62054</v>
      </c>
      <c r="E8632">
        <v>65.709999999999994</v>
      </c>
    </row>
    <row r="8633" spans="1:5" x14ac:dyDescent="0.2">
      <c r="A8633">
        <v>62056</v>
      </c>
      <c r="B8633" t="s">
        <v>20</v>
      </c>
      <c r="C8633">
        <v>62056</v>
      </c>
      <c r="D8633" t="str">
        <f>"62056"</f>
        <v>62056</v>
      </c>
      <c r="E8633">
        <v>68.83</v>
      </c>
    </row>
    <row r="8634" spans="1:5" x14ac:dyDescent="0.2">
      <c r="A8634">
        <v>62058</v>
      </c>
      <c r="B8634" t="s">
        <v>20</v>
      </c>
      <c r="C8634">
        <v>62058</v>
      </c>
      <c r="D8634" t="str">
        <f>"62058"</f>
        <v>62058</v>
      </c>
      <c r="E8634" t="s">
        <v>6</v>
      </c>
    </row>
    <row r="8635" spans="1:5" x14ac:dyDescent="0.2">
      <c r="A8635">
        <v>62059</v>
      </c>
      <c r="B8635" t="s">
        <v>20</v>
      </c>
      <c r="C8635">
        <v>62059</v>
      </c>
      <c r="D8635" t="str">
        <f>"62059"</f>
        <v>62059</v>
      </c>
      <c r="E8635" t="s">
        <v>6</v>
      </c>
    </row>
    <row r="8636" spans="1:5" x14ac:dyDescent="0.2">
      <c r="A8636">
        <v>62060</v>
      </c>
      <c r="B8636" t="s">
        <v>20</v>
      </c>
      <c r="C8636">
        <v>62060</v>
      </c>
      <c r="D8636" t="str">
        <f>"62060"</f>
        <v>62060</v>
      </c>
      <c r="E8636">
        <v>53.37</v>
      </c>
    </row>
    <row r="8637" spans="1:5" x14ac:dyDescent="0.2">
      <c r="A8637">
        <v>62061</v>
      </c>
      <c r="B8637" t="s">
        <v>20</v>
      </c>
      <c r="C8637">
        <v>62061</v>
      </c>
      <c r="D8637" t="str">
        <f>"62061"</f>
        <v>62061</v>
      </c>
      <c r="E8637">
        <v>77.91</v>
      </c>
    </row>
    <row r="8638" spans="1:5" x14ac:dyDescent="0.2">
      <c r="A8638">
        <v>62062</v>
      </c>
      <c r="B8638" t="s">
        <v>20</v>
      </c>
      <c r="C8638">
        <v>62062</v>
      </c>
      <c r="D8638" t="str">
        <f>"62062"</f>
        <v>62062</v>
      </c>
      <c r="E8638">
        <v>81.27</v>
      </c>
    </row>
    <row r="8639" spans="1:5" x14ac:dyDescent="0.2">
      <c r="A8639">
        <v>62063</v>
      </c>
      <c r="B8639" t="s">
        <v>20</v>
      </c>
      <c r="C8639">
        <v>62063</v>
      </c>
      <c r="D8639" t="str">
        <f>"62063"</f>
        <v>62063</v>
      </c>
      <c r="E8639">
        <v>73.58</v>
      </c>
    </row>
    <row r="8640" spans="1:5" x14ac:dyDescent="0.2">
      <c r="A8640">
        <v>62067</v>
      </c>
      <c r="B8640" t="s">
        <v>20</v>
      </c>
      <c r="C8640">
        <v>62067</v>
      </c>
      <c r="D8640" t="str">
        <f>"62067"</f>
        <v>62067</v>
      </c>
      <c r="E8640">
        <v>78.510000000000005</v>
      </c>
    </row>
    <row r="8641" spans="1:5" x14ac:dyDescent="0.2">
      <c r="A8641">
        <v>62069</v>
      </c>
      <c r="B8641" t="s">
        <v>20</v>
      </c>
      <c r="C8641">
        <v>62069</v>
      </c>
      <c r="D8641" t="str">
        <f>"62069"</f>
        <v>62069</v>
      </c>
      <c r="E8641">
        <v>75.34</v>
      </c>
    </row>
    <row r="8642" spans="1:5" x14ac:dyDescent="0.2">
      <c r="A8642">
        <v>62071</v>
      </c>
      <c r="B8642" t="s">
        <v>20</v>
      </c>
      <c r="C8642">
        <v>62071</v>
      </c>
      <c r="D8642" t="str">
        <f>"62071"</f>
        <v>62071</v>
      </c>
      <c r="E8642" t="s">
        <v>6</v>
      </c>
    </row>
    <row r="8643" spans="1:5" x14ac:dyDescent="0.2">
      <c r="A8643">
        <v>62074</v>
      </c>
      <c r="B8643" t="s">
        <v>20</v>
      </c>
      <c r="C8643">
        <v>62074</v>
      </c>
      <c r="D8643" t="str">
        <f>"62074"</f>
        <v>62074</v>
      </c>
      <c r="E8643">
        <v>75</v>
      </c>
    </row>
    <row r="8644" spans="1:5" x14ac:dyDescent="0.2">
      <c r="A8644">
        <v>62075</v>
      </c>
      <c r="B8644" t="s">
        <v>20</v>
      </c>
      <c r="C8644">
        <v>62075</v>
      </c>
      <c r="D8644" t="str">
        <f>"62075"</f>
        <v>62075</v>
      </c>
      <c r="E8644">
        <v>72.22</v>
      </c>
    </row>
    <row r="8645" spans="1:5" x14ac:dyDescent="0.2">
      <c r="A8645">
        <v>62076</v>
      </c>
      <c r="B8645" t="s">
        <v>20</v>
      </c>
      <c r="C8645">
        <v>62076</v>
      </c>
      <c r="D8645" t="str">
        <f>"62076"</f>
        <v>62076</v>
      </c>
      <c r="E8645" t="s">
        <v>6</v>
      </c>
    </row>
    <row r="8646" spans="1:5" x14ac:dyDescent="0.2">
      <c r="A8646">
        <v>62077</v>
      </c>
      <c r="B8646" t="s">
        <v>20</v>
      </c>
      <c r="C8646">
        <v>62077</v>
      </c>
      <c r="D8646" t="str">
        <f>"62077"</f>
        <v>62077</v>
      </c>
      <c r="E8646" t="s">
        <v>6</v>
      </c>
    </row>
    <row r="8647" spans="1:5" x14ac:dyDescent="0.2">
      <c r="A8647">
        <v>62078</v>
      </c>
      <c r="B8647" t="s">
        <v>20</v>
      </c>
      <c r="C8647">
        <v>62078</v>
      </c>
      <c r="D8647" t="str">
        <f>"62078"</f>
        <v>62078</v>
      </c>
      <c r="E8647" t="s">
        <v>6</v>
      </c>
    </row>
    <row r="8648" spans="1:5" x14ac:dyDescent="0.2">
      <c r="A8648">
        <v>62079</v>
      </c>
      <c r="B8648" t="s">
        <v>20</v>
      </c>
      <c r="C8648">
        <v>62079</v>
      </c>
      <c r="D8648" t="str">
        <f>"62079"</f>
        <v>62079</v>
      </c>
      <c r="E8648">
        <v>73.33</v>
      </c>
    </row>
    <row r="8649" spans="1:5" x14ac:dyDescent="0.2">
      <c r="A8649">
        <v>62080</v>
      </c>
      <c r="B8649" t="s">
        <v>20</v>
      </c>
      <c r="C8649">
        <v>62080</v>
      </c>
      <c r="D8649" t="str">
        <f>"62080"</f>
        <v>62080</v>
      </c>
      <c r="E8649">
        <v>66.34</v>
      </c>
    </row>
    <row r="8650" spans="1:5" x14ac:dyDescent="0.2">
      <c r="A8650">
        <v>62081</v>
      </c>
      <c r="B8650" t="s">
        <v>20</v>
      </c>
      <c r="C8650">
        <v>62081</v>
      </c>
      <c r="D8650" t="str">
        <f>"62081"</f>
        <v>62081</v>
      </c>
      <c r="E8650">
        <v>78.569999999999993</v>
      </c>
    </row>
    <row r="8651" spans="1:5" x14ac:dyDescent="0.2">
      <c r="A8651">
        <v>62082</v>
      </c>
      <c r="B8651" t="s">
        <v>20</v>
      </c>
      <c r="C8651">
        <v>62082</v>
      </c>
      <c r="D8651" t="str">
        <f>"62082"</f>
        <v>62082</v>
      </c>
      <c r="E8651">
        <v>67.27</v>
      </c>
    </row>
    <row r="8652" spans="1:5" x14ac:dyDescent="0.2">
      <c r="A8652">
        <v>62083</v>
      </c>
      <c r="B8652" t="s">
        <v>20</v>
      </c>
      <c r="C8652">
        <v>62083</v>
      </c>
      <c r="D8652" t="str">
        <f>"62083"</f>
        <v>62083</v>
      </c>
      <c r="E8652">
        <v>58.33</v>
      </c>
    </row>
    <row r="8653" spans="1:5" x14ac:dyDescent="0.2">
      <c r="A8653">
        <v>62084</v>
      </c>
      <c r="B8653" t="s">
        <v>20</v>
      </c>
      <c r="C8653">
        <v>62084</v>
      </c>
      <c r="D8653" t="str">
        <f>"62084"</f>
        <v>62084</v>
      </c>
      <c r="E8653">
        <v>70.83</v>
      </c>
    </row>
    <row r="8654" spans="1:5" x14ac:dyDescent="0.2">
      <c r="A8654">
        <v>62085</v>
      </c>
      <c r="B8654" t="s">
        <v>20</v>
      </c>
      <c r="C8654">
        <v>62085</v>
      </c>
      <c r="D8654" t="str">
        <f>"62085"</f>
        <v>62085</v>
      </c>
      <c r="E8654" t="s">
        <v>6</v>
      </c>
    </row>
    <row r="8655" spans="1:5" x14ac:dyDescent="0.2">
      <c r="A8655">
        <v>62086</v>
      </c>
      <c r="B8655" t="s">
        <v>20</v>
      </c>
      <c r="C8655">
        <v>62086</v>
      </c>
      <c r="D8655" t="str">
        <f>"62086"</f>
        <v>62086</v>
      </c>
      <c r="E8655">
        <v>70.180000000000007</v>
      </c>
    </row>
    <row r="8656" spans="1:5" x14ac:dyDescent="0.2">
      <c r="A8656">
        <v>62087</v>
      </c>
      <c r="B8656" t="s">
        <v>20</v>
      </c>
      <c r="C8656">
        <v>62087</v>
      </c>
      <c r="D8656" t="str">
        <f>"62087"</f>
        <v>62087</v>
      </c>
      <c r="E8656">
        <v>64.56</v>
      </c>
    </row>
    <row r="8657" spans="1:5" x14ac:dyDescent="0.2">
      <c r="A8657">
        <v>62088</v>
      </c>
      <c r="B8657" t="s">
        <v>20</v>
      </c>
      <c r="C8657">
        <v>62088</v>
      </c>
      <c r="D8657" t="str">
        <f>"62088"</f>
        <v>62088</v>
      </c>
      <c r="E8657">
        <v>74.92</v>
      </c>
    </row>
    <row r="8658" spans="1:5" x14ac:dyDescent="0.2">
      <c r="A8658">
        <v>62089</v>
      </c>
      <c r="B8658" t="s">
        <v>20</v>
      </c>
      <c r="C8658">
        <v>62089</v>
      </c>
      <c r="D8658" t="str">
        <f>"62089"</f>
        <v>62089</v>
      </c>
      <c r="E8658" t="s">
        <v>6</v>
      </c>
    </row>
    <row r="8659" spans="1:5" x14ac:dyDescent="0.2">
      <c r="A8659">
        <v>62090</v>
      </c>
      <c r="B8659" t="s">
        <v>20</v>
      </c>
      <c r="C8659">
        <v>62090</v>
      </c>
      <c r="D8659" t="str">
        <f>"62090"</f>
        <v>62090</v>
      </c>
      <c r="E8659">
        <v>41.03</v>
      </c>
    </row>
    <row r="8660" spans="1:5" x14ac:dyDescent="0.2">
      <c r="A8660">
        <v>62091</v>
      </c>
      <c r="B8660" t="s">
        <v>20</v>
      </c>
      <c r="C8660">
        <v>62091</v>
      </c>
      <c r="D8660" t="str">
        <f>"62091"</f>
        <v>62091</v>
      </c>
      <c r="E8660">
        <v>56.25</v>
      </c>
    </row>
    <row r="8661" spans="1:5" x14ac:dyDescent="0.2">
      <c r="A8661">
        <v>62092</v>
      </c>
      <c r="B8661" t="s">
        <v>20</v>
      </c>
      <c r="C8661">
        <v>62092</v>
      </c>
      <c r="D8661" t="str">
        <f>"62092"</f>
        <v>62092</v>
      </c>
      <c r="E8661">
        <v>68.97</v>
      </c>
    </row>
    <row r="8662" spans="1:5" x14ac:dyDescent="0.2">
      <c r="A8662">
        <v>62093</v>
      </c>
      <c r="B8662" t="s">
        <v>20</v>
      </c>
      <c r="C8662">
        <v>62093</v>
      </c>
      <c r="D8662" t="str">
        <f>"62093"</f>
        <v>62093</v>
      </c>
      <c r="E8662" t="s">
        <v>6</v>
      </c>
    </row>
    <row r="8663" spans="1:5" x14ac:dyDescent="0.2">
      <c r="A8663">
        <v>62094</v>
      </c>
      <c r="B8663" t="s">
        <v>20</v>
      </c>
      <c r="C8663">
        <v>62094</v>
      </c>
      <c r="D8663" t="str">
        <f>"62094"</f>
        <v>62094</v>
      </c>
      <c r="E8663">
        <v>66.67</v>
      </c>
    </row>
    <row r="8664" spans="1:5" x14ac:dyDescent="0.2">
      <c r="A8664">
        <v>62095</v>
      </c>
      <c r="B8664" t="s">
        <v>20</v>
      </c>
      <c r="C8664">
        <v>62095</v>
      </c>
      <c r="D8664" t="str">
        <f>"62095"</f>
        <v>62095</v>
      </c>
      <c r="E8664">
        <v>71.37</v>
      </c>
    </row>
    <row r="8665" spans="1:5" x14ac:dyDescent="0.2">
      <c r="A8665">
        <v>62097</v>
      </c>
      <c r="B8665" t="s">
        <v>20</v>
      </c>
      <c r="C8665">
        <v>62097</v>
      </c>
      <c r="D8665" t="str">
        <f>"62097"</f>
        <v>62097</v>
      </c>
      <c r="E8665">
        <v>81.430000000000007</v>
      </c>
    </row>
    <row r="8666" spans="1:5" x14ac:dyDescent="0.2">
      <c r="A8666">
        <v>62098</v>
      </c>
      <c r="B8666" t="s">
        <v>20</v>
      </c>
      <c r="C8666">
        <v>62098</v>
      </c>
      <c r="D8666" t="str">
        <f>"62098"</f>
        <v>62098</v>
      </c>
      <c r="E8666" t="s">
        <v>6</v>
      </c>
    </row>
    <row r="8667" spans="1:5" x14ac:dyDescent="0.2">
      <c r="A8667">
        <v>62201</v>
      </c>
      <c r="B8667" t="s">
        <v>20</v>
      </c>
      <c r="C8667">
        <v>62201</v>
      </c>
      <c r="D8667" t="str">
        <f>"62201"</f>
        <v>62201</v>
      </c>
      <c r="E8667">
        <v>37.799999999999997</v>
      </c>
    </row>
    <row r="8668" spans="1:5" x14ac:dyDescent="0.2">
      <c r="A8668">
        <v>62202</v>
      </c>
      <c r="B8668" t="s">
        <v>20</v>
      </c>
      <c r="C8668">
        <v>62202</v>
      </c>
      <c r="D8668" t="str">
        <f>"62202"</f>
        <v>62202</v>
      </c>
      <c r="E8668" t="s">
        <v>6</v>
      </c>
    </row>
    <row r="8669" spans="1:5" x14ac:dyDescent="0.2">
      <c r="A8669">
        <v>62203</v>
      </c>
      <c r="B8669" t="s">
        <v>20</v>
      </c>
      <c r="C8669">
        <v>62203</v>
      </c>
      <c r="D8669" t="str">
        <f>"62203"</f>
        <v>62203</v>
      </c>
      <c r="E8669">
        <v>52.59</v>
      </c>
    </row>
    <row r="8670" spans="1:5" x14ac:dyDescent="0.2">
      <c r="A8670">
        <v>62204</v>
      </c>
      <c r="B8670" t="s">
        <v>20</v>
      </c>
      <c r="C8670">
        <v>62204</v>
      </c>
      <c r="D8670" t="str">
        <f>"62204"</f>
        <v>62204</v>
      </c>
      <c r="E8670">
        <v>39.58</v>
      </c>
    </row>
    <row r="8671" spans="1:5" x14ac:dyDescent="0.2">
      <c r="A8671">
        <v>62205</v>
      </c>
      <c r="B8671" t="s">
        <v>20</v>
      </c>
      <c r="C8671">
        <v>62205</v>
      </c>
      <c r="D8671" t="str">
        <f>"62205"</f>
        <v>62205</v>
      </c>
      <c r="E8671">
        <v>49.83</v>
      </c>
    </row>
    <row r="8672" spans="1:5" x14ac:dyDescent="0.2">
      <c r="A8672">
        <v>62206</v>
      </c>
      <c r="B8672" t="s">
        <v>20</v>
      </c>
      <c r="C8672">
        <v>62206</v>
      </c>
      <c r="D8672" t="str">
        <f>"62206"</f>
        <v>62206</v>
      </c>
      <c r="E8672">
        <v>46.74</v>
      </c>
    </row>
    <row r="8673" spans="1:5" x14ac:dyDescent="0.2">
      <c r="A8673">
        <v>62207</v>
      </c>
      <c r="B8673" t="s">
        <v>20</v>
      </c>
      <c r="C8673">
        <v>62207</v>
      </c>
      <c r="D8673" t="str">
        <f>"62207"</f>
        <v>62207</v>
      </c>
      <c r="E8673">
        <v>42.09</v>
      </c>
    </row>
    <row r="8674" spans="1:5" x14ac:dyDescent="0.2">
      <c r="A8674">
        <v>62208</v>
      </c>
      <c r="B8674" t="s">
        <v>20</v>
      </c>
      <c r="C8674">
        <v>62208</v>
      </c>
      <c r="D8674" t="str">
        <f>"62208"</f>
        <v>62208</v>
      </c>
      <c r="E8674">
        <v>75.569999999999993</v>
      </c>
    </row>
    <row r="8675" spans="1:5" x14ac:dyDescent="0.2">
      <c r="A8675">
        <v>62214</v>
      </c>
      <c r="B8675" t="s">
        <v>20</v>
      </c>
      <c r="C8675">
        <v>62214</v>
      </c>
      <c r="D8675" t="str">
        <f>"62214"</f>
        <v>62214</v>
      </c>
      <c r="E8675">
        <v>81.13</v>
      </c>
    </row>
    <row r="8676" spans="1:5" x14ac:dyDescent="0.2">
      <c r="A8676">
        <v>62215</v>
      </c>
      <c r="B8676" t="s">
        <v>20</v>
      </c>
      <c r="C8676">
        <v>62215</v>
      </c>
      <c r="D8676" t="str">
        <f>"62215"</f>
        <v>62215</v>
      </c>
      <c r="E8676">
        <v>80.23</v>
      </c>
    </row>
    <row r="8677" spans="1:5" x14ac:dyDescent="0.2">
      <c r="A8677">
        <v>62216</v>
      </c>
      <c r="B8677" t="s">
        <v>20</v>
      </c>
      <c r="C8677">
        <v>62216</v>
      </c>
      <c r="D8677" t="str">
        <f>"62216"</f>
        <v>62216</v>
      </c>
      <c r="E8677">
        <v>81.48</v>
      </c>
    </row>
    <row r="8678" spans="1:5" x14ac:dyDescent="0.2">
      <c r="A8678">
        <v>62217</v>
      </c>
      <c r="B8678" t="s">
        <v>20</v>
      </c>
      <c r="C8678">
        <v>62217</v>
      </c>
      <c r="D8678" t="str">
        <f>"62217"</f>
        <v>62217</v>
      </c>
      <c r="E8678">
        <v>72.22</v>
      </c>
    </row>
    <row r="8679" spans="1:5" x14ac:dyDescent="0.2">
      <c r="A8679">
        <v>62218</v>
      </c>
      <c r="B8679" t="s">
        <v>20</v>
      </c>
      <c r="C8679">
        <v>62218</v>
      </c>
      <c r="D8679" t="str">
        <f>"62218"</f>
        <v>62218</v>
      </c>
      <c r="E8679">
        <v>80.77</v>
      </c>
    </row>
    <row r="8680" spans="1:5" x14ac:dyDescent="0.2">
      <c r="A8680">
        <v>62219</v>
      </c>
      <c r="B8680" t="s">
        <v>20</v>
      </c>
      <c r="C8680">
        <v>62219</v>
      </c>
      <c r="D8680" t="str">
        <f>"62219"</f>
        <v>62219</v>
      </c>
      <c r="E8680" t="s">
        <v>6</v>
      </c>
    </row>
    <row r="8681" spans="1:5" x14ac:dyDescent="0.2">
      <c r="A8681">
        <v>62220</v>
      </c>
      <c r="B8681" t="s">
        <v>20</v>
      </c>
      <c r="C8681">
        <v>62220</v>
      </c>
      <c r="D8681" t="str">
        <f>"62220"</f>
        <v>62220</v>
      </c>
      <c r="E8681">
        <v>70.180000000000007</v>
      </c>
    </row>
    <row r="8682" spans="1:5" x14ac:dyDescent="0.2">
      <c r="A8682">
        <v>62221</v>
      </c>
      <c r="B8682" t="s">
        <v>20</v>
      </c>
      <c r="C8682">
        <v>62221</v>
      </c>
      <c r="D8682" t="str">
        <f>"62221"</f>
        <v>62221</v>
      </c>
      <c r="E8682">
        <v>73.599999999999994</v>
      </c>
    </row>
    <row r="8683" spans="1:5" x14ac:dyDescent="0.2">
      <c r="A8683">
        <v>62223</v>
      </c>
      <c r="B8683" t="s">
        <v>20</v>
      </c>
      <c r="C8683">
        <v>62223</v>
      </c>
      <c r="D8683" t="str">
        <f>"62223"</f>
        <v>62223</v>
      </c>
      <c r="E8683">
        <v>74.41</v>
      </c>
    </row>
    <row r="8684" spans="1:5" x14ac:dyDescent="0.2">
      <c r="A8684">
        <v>62225</v>
      </c>
      <c r="B8684" t="s">
        <v>20</v>
      </c>
      <c r="C8684">
        <v>62225</v>
      </c>
      <c r="D8684" t="str">
        <f>"62225"</f>
        <v>62225</v>
      </c>
      <c r="E8684">
        <v>68.39</v>
      </c>
    </row>
    <row r="8685" spans="1:5" x14ac:dyDescent="0.2">
      <c r="A8685">
        <v>62226</v>
      </c>
      <c r="B8685" t="s">
        <v>20</v>
      </c>
      <c r="C8685">
        <v>62226</v>
      </c>
      <c r="D8685" t="str">
        <f>"62226"</f>
        <v>62226</v>
      </c>
      <c r="E8685">
        <v>71.91</v>
      </c>
    </row>
    <row r="8686" spans="1:5" x14ac:dyDescent="0.2">
      <c r="A8686">
        <v>62230</v>
      </c>
      <c r="B8686" t="s">
        <v>20</v>
      </c>
      <c r="C8686">
        <v>62230</v>
      </c>
      <c r="D8686" t="str">
        <f>"62230"</f>
        <v>62230</v>
      </c>
      <c r="E8686">
        <v>78.53</v>
      </c>
    </row>
    <row r="8687" spans="1:5" x14ac:dyDescent="0.2">
      <c r="A8687">
        <v>62231</v>
      </c>
      <c r="B8687" t="s">
        <v>20</v>
      </c>
      <c r="C8687">
        <v>62231</v>
      </c>
      <c r="D8687" t="str">
        <f>"62231"</f>
        <v>62231</v>
      </c>
      <c r="E8687">
        <v>74.790000000000006</v>
      </c>
    </row>
    <row r="8688" spans="1:5" x14ac:dyDescent="0.2">
      <c r="A8688">
        <v>62232</v>
      </c>
      <c r="B8688" t="s">
        <v>20</v>
      </c>
      <c r="C8688">
        <v>62232</v>
      </c>
      <c r="D8688" t="str">
        <f>"62232"</f>
        <v>62232</v>
      </c>
      <c r="E8688">
        <v>69.58</v>
      </c>
    </row>
    <row r="8689" spans="1:5" x14ac:dyDescent="0.2">
      <c r="A8689">
        <v>62233</v>
      </c>
      <c r="B8689" t="s">
        <v>20</v>
      </c>
      <c r="C8689">
        <v>62233</v>
      </c>
      <c r="D8689" t="str">
        <f>"62233"</f>
        <v>62233</v>
      </c>
      <c r="E8689">
        <v>75.27</v>
      </c>
    </row>
    <row r="8690" spans="1:5" x14ac:dyDescent="0.2">
      <c r="A8690">
        <v>62234</v>
      </c>
      <c r="B8690" t="s">
        <v>20</v>
      </c>
      <c r="C8690">
        <v>62234</v>
      </c>
      <c r="D8690" t="str">
        <f>"62234"</f>
        <v>62234</v>
      </c>
      <c r="E8690">
        <v>74.11</v>
      </c>
    </row>
    <row r="8691" spans="1:5" x14ac:dyDescent="0.2">
      <c r="A8691">
        <v>62236</v>
      </c>
      <c r="B8691" t="s">
        <v>20</v>
      </c>
      <c r="C8691">
        <v>62236</v>
      </c>
      <c r="D8691" t="str">
        <f>"62236"</f>
        <v>62236</v>
      </c>
      <c r="E8691">
        <v>81.900000000000006</v>
      </c>
    </row>
    <row r="8692" spans="1:5" x14ac:dyDescent="0.2">
      <c r="A8692">
        <v>62237</v>
      </c>
      <c r="B8692" t="s">
        <v>20</v>
      </c>
      <c r="C8692">
        <v>62237</v>
      </c>
      <c r="D8692" t="str">
        <f>"62237"</f>
        <v>62237</v>
      </c>
      <c r="E8692">
        <v>71.55</v>
      </c>
    </row>
    <row r="8693" spans="1:5" x14ac:dyDescent="0.2">
      <c r="A8693">
        <v>62238</v>
      </c>
      <c r="B8693" t="s">
        <v>20</v>
      </c>
      <c r="C8693">
        <v>62238</v>
      </c>
      <c r="D8693" t="str">
        <f>"62238"</f>
        <v>62238</v>
      </c>
      <c r="E8693">
        <v>60</v>
      </c>
    </row>
    <row r="8694" spans="1:5" x14ac:dyDescent="0.2">
      <c r="A8694">
        <v>62239</v>
      </c>
      <c r="B8694" t="s">
        <v>20</v>
      </c>
      <c r="C8694">
        <v>62239</v>
      </c>
      <c r="D8694" t="str">
        <f>"62239"</f>
        <v>62239</v>
      </c>
      <c r="E8694">
        <v>72.52</v>
      </c>
    </row>
    <row r="8695" spans="1:5" x14ac:dyDescent="0.2">
      <c r="A8695">
        <v>62240</v>
      </c>
      <c r="B8695" t="s">
        <v>20</v>
      </c>
      <c r="C8695">
        <v>62240</v>
      </c>
      <c r="D8695" t="str">
        <f>"62240"</f>
        <v>62240</v>
      </c>
      <c r="E8695">
        <v>70.27</v>
      </c>
    </row>
    <row r="8696" spans="1:5" x14ac:dyDescent="0.2">
      <c r="A8696">
        <v>62241</v>
      </c>
      <c r="B8696" t="s">
        <v>20</v>
      </c>
      <c r="C8696">
        <v>62241</v>
      </c>
      <c r="D8696" t="str">
        <f>"62241"</f>
        <v>62241</v>
      </c>
      <c r="E8696">
        <v>76.47</v>
      </c>
    </row>
    <row r="8697" spans="1:5" x14ac:dyDescent="0.2">
      <c r="A8697">
        <v>62242</v>
      </c>
      <c r="B8697" t="s">
        <v>20</v>
      </c>
      <c r="C8697">
        <v>62242</v>
      </c>
      <c r="D8697" t="str">
        <f>"62242"</f>
        <v>62242</v>
      </c>
      <c r="E8697">
        <v>74.599999999999994</v>
      </c>
    </row>
    <row r="8698" spans="1:5" x14ac:dyDescent="0.2">
      <c r="A8698">
        <v>62243</v>
      </c>
      <c r="B8698" t="s">
        <v>20</v>
      </c>
      <c r="C8698">
        <v>62243</v>
      </c>
      <c r="D8698" t="str">
        <f>"62243"</f>
        <v>62243</v>
      </c>
      <c r="E8698">
        <v>78.2</v>
      </c>
    </row>
    <row r="8699" spans="1:5" x14ac:dyDescent="0.2">
      <c r="A8699">
        <v>62244</v>
      </c>
      <c r="B8699" t="s">
        <v>20</v>
      </c>
      <c r="C8699">
        <v>62244</v>
      </c>
      <c r="D8699" t="str">
        <f>"62244"</f>
        <v>62244</v>
      </c>
      <c r="E8699">
        <v>83.33</v>
      </c>
    </row>
    <row r="8700" spans="1:5" x14ac:dyDescent="0.2">
      <c r="A8700">
        <v>62245</v>
      </c>
      <c r="B8700" t="s">
        <v>20</v>
      </c>
      <c r="C8700">
        <v>62245</v>
      </c>
      <c r="D8700" t="str">
        <f>"62245"</f>
        <v>62245</v>
      </c>
      <c r="E8700">
        <v>81.11</v>
      </c>
    </row>
    <row r="8701" spans="1:5" x14ac:dyDescent="0.2">
      <c r="A8701">
        <v>62246</v>
      </c>
      <c r="B8701" t="s">
        <v>20</v>
      </c>
      <c r="C8701">
        <v>62246</v>
      </c>
      <c r="D8701" t="str">
        <f>"62246"</f>
        <v>62246</v>
      </c>
      <c r="E8701">
        <v>70.819999999999993</v>
      </c>
    </row>
    <row r="8702" spans="1:5" x14ac:dyDescent="0.2">
      <c r="A8702">
        <v>62248</v>
      </c>
      <c r="B8702" t="s">
        <v>20</v>
      </c>
      <c r="C8702">
        <v>62248</v>
      </c>
      <c r="D8702" t="str">
        <f>"62248"</f>
        <v>62248</v>
      </c>
      <c r="E8702" t="s">
        <v>6</v>
      </c>
    </row>
    <row r="8703" spans="1:5" x14ac:dyDescent="0.2">
      <c r="A8703">
        <v>62249</v>
      </c>
      <c r="B8703" t="s">
        <v>20</v>
      </c>
      <c r="C8703">
        <v>62249</v>
      </c>
      <c r="D8703" t="str">
        <f>"62249"</f>
        <v>62249</v>
      </c>
      <c r="E8703">
        <v>77.900000000000006</v>
      </c>
    </row>
    <row r="8704" spans="1:5" x14ac:dyDescent="0.2">
      <c r="A8704">
        <v>62250</v>
      </c>
      <c r="B8704" t="s">
        <v>20</v>
      </c>
      <c r="C8704">
        <v>62250</v>
      </c>
      <c r="D8704" t="str">
        <f>"62250"</f>
        <v>62250</v>
      </c>
      <c r="E8704">
        <v>65.22</v>
      </c>
    </row>
    <row r="8705" spans="1:5" x14ac:dyDescent="0.2">
      <c r="A8705">
        <v>62253</v>
      </c>
      <c r="B8705" t="s">
        <v>20</v>
      </c>
      <c r="C8705">
        <v>62253</v>
      </c>
      <c r="D8705" t="str">
        <f>"62253"</f>
        <v>62253</v>
      </c>
      <c r="E8705">
        <v>68.97</v>
      </c>
    </row>
    <row r="8706" spans="1:5" x14ac:dyDescent="0.2">
      <c r="A8706">
        <v>62254</v>
      </c>
      <c r="B8706" t="s">
        <v>20</v>
      </c>
      <c r="C8706">
        <v>62254</v>
      </c>
      <c r="D8706" t="str">
        <f>"62254"</f>
        <v>62254</v>
      </c>
      <c r="E8706">
        <v>76.47</v>
      </c>
    </row>
    <row r="8707" spans="1:5" x14ac:dyDescent="0.2">
      <c r="A8707">
        <v>62255</v>
      </c>
      <c r="B8707" t="s">
        <v>20</v>
      </c>
      <c r="C8707">
        <v>62255</v>
      </c>
      <c r="D8707" t="str">
        <f>"62255"</f>
        <v>62255</v>
      </c>
      <c r="E8707">
        <v>68.75</v>
      </c>
    </row>
    <row r="8708" spans="1:5" x14ac:dyDescent="0.2">
      <c r="A8708">
        <v>62257</v>
      </c>
      <c r="B8708" t="s">
        <v>20</v>
      </c>
      <c r="C8708">
        <v>62257</v>
      </c>
      <c r="D8708" t="str">
        <f>"62257"</f>
        <v>62257</v>
      </c>
      <c r="E8708">
        <v>75.38</v>
      </c>
    </row>
    <row r="8709" spans="1:5" x14ac:dyDescent="0.2">
      <c r="A8709">
        <v>62258</v>
      </c>
      <c r="B8709" t="s">
        <v>20</v>
      </c>
      <c r="C8709">
        <v>62258</v>
      </c>
      <c r="D8709" t="str">
        <f>"62258"</f>
        <v>62258</v>
      </c>
      <c r="E8709">
        <v>78.25</v>
      </c>
    </row>
    <row r="8710" spans="1:5" x14ac:dyDescent="0.2">
      <c r="A8710">
        <v>62260</v>
      </c>
      <c r="B8710" t="s">
        <v>20</v>
      </c>
      <c r="C8710">
        <v>62260</v>
      </c>
      <c r="D8710" t="str">
        <f>"62260"</f>
        <v>62260</v>
      </c>
      <c r="E8710">
        <v>81.45</v>
      </c>
    </row>
    <row r="8711" spans="1:5" x14ac:dyDescent="0.2">
      <c r="A8711">
        <v>62261</v>
      </c>
      <c r="B8711" t="s">
        <v>20</v>
      </c>
      <c r="C8711">
        <v>62261</v>
      </c>
      <c r="D8711" t="str">
        <f>"62261"</f>
        <v>62261</v>
      </c>
      <c r="E8711" t="s">
        <v>6</v>
      </c>
    </row>
    <row r="8712" spans="1:5" x14ac:dyDescent="0.2">
      <c r="A8712">
        <v>62262</v>
      </c>
      <c r="B8712" t="s">
        <v>20</v>
      </c>
      <c r="C8712">
        <v>62262</v>
      </c>
      <c r="D8712" t="str">
        <f>"62262"</f>
        <v>62262</v>
      </c>
      <c r="E8712">
        <v>68.06</v>
      </c>
    </row>
    <row r="8713" spans="1:5" x14ac:dyDescent="0.2">
      <c r="A8713">
        <v>62263</v>
      </c>
      <c r="B8713" t="s">
        <v>20</v>
      </c>
      <c r="C8713">
        <v>62263</v>
      </c>
      <c r="D8713" t="str">
        <f>"62263"</f>
        <v>62263</v>
      </c>
      <c r="E8713">
        <v>76.400000000000006</v>
      </c>
    </row>
    <row r="8714" spans="1:5" x14ac:dyDescent="0.2">
      <c r="A8714">
        <v>62264</v>
      </c>
      <c r="B8714" t="s">
        <v>20</v>
      </c>
      <c r="C8714">
        <v>62264</v>
      </c>
      <c r="D8714" t="str">
        <f>"62264"</f>
        <v>62264</v>
      </c>
      <c r="E8714">
        <v>77.22</v>
      </c>
    </row>
    <row r="8715" spans="1:5" x14ac:dyDescent="0.2">
      <c r="A8715">
        <v>62265</v>
      </c>
      <c r="B8715" t="s">
        <v>20</v>
      </c>
      <c r="C8715">
        <v>62265</v>
      </c>
      <c r="D8715" t="str">
        <f>"62265"</f>
        <v>62265</v>
      </c>
      <c r="E8715">
        <v>76.59</v>
      </c>
    </row>
    <row r="8716" spans="1:5" x14ac:dyDescent="0.2">
      <c r="A8716">
        <v>62266</v>
      </c>
      <c r="B8716" t="s">
        <v>20</v>
      </c>
      <c r="C8716">
        <v>62266</v>
      </c>
      <c r="D8716" t="str">
        <f>"62266"</f>
        <v>62266</v>
      </c>
      <c r="E8716" t="s">
        <v>6</v>
      </c>
    </row>
    <row r="8717" spans="1:5" x14ac:dyDescent="0.2">
      <c r="A8717">
        <v>62268</v>
      </c>
      <c r="B8717" t="s">
        <v>20</v>
      </c>
      <c r="C8717">
        <v>62268</v>
      </c>
      <c r="D8717" t="str">
        <f>"62268"</f>
        <v>62268</v>
      </c>
      <c r="E8717">
        <v>75.61</v>
      </c>
    </row>
    <row r="8718" spans="1:5" x14ac:dyDescent="0.2">
      <c r="A8718">
        <v>62269</v>
      </c>
      <c r="B8718" t="s">
        <v>20</v>
      </c>
      <c r="C8718">
        <v>62269</v>
      </c>
      <c r="D8718" t="str">
        <f>"62269"</f>
        <v>62269</v>
      </c>
      <c r="E8718">
        <v>78.23</v>
      </c>
    </row>
    <row r="8719" spans="1:5" x14ac:dyDescent="0.2">
      <c r="A8719">
        <v>62271</v>
      </c>
      <c r="B8719" t="s">
        <v>20</v>
      </c>
      <c r="C8719">
        <v>62271</v>
      </c>
      <c r="D8719" t="str">
        <f>"62271"</f>
        <v>62271</v>
      </c>
      <c r="E8719">
        <v>75.7</v>
      </c>
    </row>
    <row r="8720" spans="1:5" x14ac:dyDescent="0.2">
      <c r="A8720">
        <v>62272</v>
      </c>
      <c r="B8720" t="s">
        <v>20</v>
      </c>
      <c r="C8720">
        <v>62272</v>
      </c>
      <c r="D8720" t="str">
        <f>"62272"</f>
        <v>62272</v>
      </c>
      <c r="E8720">
        <v>61.76</v>
      </c>
    </row>
    <row r="8721" spans="1:5" x14ac:dyDescent="0.2">
      <c r="A8721">
        <v>62273</v>
      </c>
      <c r="B8721" t="s">
        <v>20</v>
      </c>
      <c r="C8721">
        <v>62273</v>
      </c>
      <c r="D8721" t="str">
        <f>"62273"</f>
        <v>62273</v>
      </c>
      <c r="E8721" t="s">
        <v>6</v>
      </c>
    </row>
    <row r="8722" spans="1:5" x14ac:dyDescent="0.2">
      <c r="A8722">
        <v>62274</v>
      </c>
      <c r="B8722" t="s">
        <v>20</v>
      </c>
      <c r="C8722">
        <v>62274</v>
      </c>
      <c r="D8722" t="str">
        <f>"62274"</f>
        <v>62274</v>
      </c>
      <c r="E8722">
        <v>73.36</v>
      </c>
    </row>
    <row r="8723" spans="1:5" x14ac:dyDescent="0.2">
      <c r="A8723">
        <v>62275</v>
      </c>
      <c r="B8723" t="s">
        <v>20</v>
      </c>
      <c r="C8723">
        <v>62275</v>
      </c>
      <c r="D8723" t="str">
        <f>"62275"</f>
        <v>62275</v>
      </c>
      <c r="E8723">
        <v>77.02</v>
      </c>
    </row>
    <row r="8724" spans="1:5" x14ac:dyDescent="0.2">
      <c r="A8724">
        <v>62277</v>
      </c>
      <c r="B8724" t="s">
        <v>20</v>
      </c>
      <c r="C8724">
        <v>62277</v>
      </c>
      <c r="D8724" t="str">
        <f>"62277"</f>
        <v>62277</v>
      </c>
      <c r="E8724">
        <v>75</v>
      </c>
    </row>
    <row r="8725" spans="1:5" x14ac:dyDescent="0.2">
      <c r="A8725">
        <v>62278</v>
      </c>
      <c r="B8725" t="s">
        <v>20</v>
      </c>
      <c r="C8725">
        <v>62278</v>
      </c>
      <c r="D8725" t="str">
        <f>"62278"</f>
        <v>62278</v>
      </c>
      <c r="E8725">
        <v>76.52</v>
      </c>
    </row>
    <row r="8726" spans="1:5" x14ac:dyDescent="0.2">
      <c r="A8726">
        <v>62279</v>
      </c>
      <c r="B8726" t="s">
        <v>20</v>
      </c>
      <c r="C8726">
        <v>62279</v>
      </c>
      <c r="D8726" t="str">
        <f>"62279"</f>
        <v>62279</v>
      </c>
      <c r="E8726" t="s">
        <v>6</v>
      </c>
    </row>
    <row r="8727" spans="1:5" x14ac:dyDescent="0.2">
      <c r="A8727">
        <v>62280</v>
      </c>
      <c r="B8727" t="s">
        <v>20</v>
      </c>
      <c r="C8727">
        <v>62280</v>
      </c>
      <c r="D8727" t="str">
        <f>"62280"</f>
        <v>62280</v>
      </c>
      <c r="E8727">
        <v>68.42</v>
      </c>
    </row>
    <row r="8728" spans="1:5" x14ac:dyDescent="0.2">
      <c r="A8728">
        <v>62281</v>
      </c>
      <c r="B8728" t="s">
        <v>20</v>
      </c>
      <c r="C8728">
        <v>62281</v>
      </c>
      <c r="D8728" t="str">
        <f>"62281"</f>
        <v>62281</v>
      </c>
      <c r="E8728">
        <v>84.21</v>
      </c>
    </row>
    <row r="8729" spans="1:5" x14ac:dyDescent="0.2">
      <c r="A8729">
        <v>62282</v>
      </c>
      <c r="B8729" t="s">
        <v>20</v>
      </c>
      <c r="C8729">
        <v>62282</v>
      </c>
      <c r="D8729" t="str">
        <f>"62282"</f>
        <v>62282</v>
      </c>
      <c r="E8729" t="s">
        <v>6</v>
      </c>
    </row>
    <row r="8730" spans="1:5" x14ac:dyDescent="0.2">
      <c r="A8730">
        <v>62284</v>
      </c>
      <c r="B8730" t="s">
        <v>20</v>
      </c>
      <c r="C8730">
        <v>62284</v>
      </c>
      <c r="D8730" t="str">
        <f>"62284"</f>
        <v>62284</v>
      </c>
      <c r="E8730">
        <v>70.83</v>
      </c>
    </row>
    <row r="8731" spans="1:5" x14ac:dyDescent="0.2">
      <c r="A8731">
        <v>62285</v>
      </c>
      <c r="B8731" t="s">
        <v>20</v>
      </c>
      <c r="C8731">
        <v>62285</v>
      </c>
      <c r="D8731" t="str">
        <f>"62285"</f>
        <v>62285</v>
      </c>
      <c r="E8731">
        <v>82.38</v>
      </c>
    </row>
    <row r="8732" spans="1:5" x14ac:dyDescent="0.2">
      <c r="A8732">
        <v>62286</v>
      </c>
      <c r="B8732" t="s">
        <v>20</v>
      </c>
      <c r="C8732">
        <v>62286</v>
      </c>
      <c r="D8732" t="str">
        <f>"62286"</f>
        <v>62286</v>
      </c>
      <c r="E8732">
        <v>68.400000000000006</v>
      </c>
    </row>
    <row r="8733" spans="1:5" x14ac:dyDescent="0.2">
      <c r="A8733">
        <v>62288</v>
      </c>
      <c r="B8733" t="s">
        <v>20</v>
      </c>
      <c r="C8733">
        <v>62288</v>
      </c>
      <c r="D8733" t="str">
        <f>"62288"</f>
        <v>62288</v>
      </c>
      <c r="E8733">
        <v>73.72</v>
      </c>
    </row>
    <row r="8734" spans="1:5" x14ac:dyDescent="0.2">
      <c r="A8734">
        <v>62289</v>
      </c>
      <c r="B8734" t="s">
        <v>20</v>
      </c>
      <c r="C8734">
        <v>62289</v>
      </c>
      <c r="D8734" t="str">
        <f>"62289"</f>
        <v>62289</v>
      </c>
      <c r="E8734" t="s">
        <v>6</v>
      </c>
    </row>
    <row r="8735" spans="1:5" x14ac:dyDescent="0.2">
      <c r="A8735">
        <v>62292</v>
      </c>
      <c r="B8735" t="s">
        <v>20</v>
      </c>
      <c r="C8735">
        <v>62292</v>
      </c>
      <c r="D8735" t="str">
        <f>"62292"</f>
        <v>62292</v>
      </c>
      <c r="E8735" t="s">
        <v>6</v>
      </c>
    </row>
    <row r="8736" spans="1:5" x14ac:dyDescent="0.2">
      <c r="A8736">
        <v>62293</v>
      </c>
      <c r="B8736" t="s">
        <v>20</v>
      </c>
      <c r="C8736">
        <v>62293</v>
      </c>
      <c r="D8736" t="str">
        <f>"62293"</f>
        <v>62293</v>
      </c>
      <c r="E8736">
        <v>78.3</v>
      </c>
    </row>
    <row r="8737" spans="1:5" x14ac:dyDescent="0.2">
      <c r="A8737">
        <v>62294</v>
      </c>
      <c r="B8737" t="s">
        <v>20</v>
      </c>
      <c r="C8737">
        <v>62294</v>
      </c>
      <c r="D8737" t="str">
        <f>"62294"</f>
        <v>62294</v>
      </c>
      <c r="E8737">
        <v>79.61</v>
      </c>
    </row>
    <row r="8738" spans="1:5" x14ac:dyDescent="0.2">
      <c r="A8738">
        <v>62295</v>
      </c>
      <c r="B8738" t="s">
        <v>20</v>
      </c>
      <c r="C8738">
        <v>62295</v>
      </c>
      <c r="D8738" t="str">
        <f>"62295"</f>
        <v>62295</v>
      </c>
      <c r="E8738">
        <v>78.569999999999993</v>
      </c>
    </row>
    <row r="8739" spans="1:5" x14ac:dyDescent="0.2">
      <c r="A8739">
        <v>62297</v>
      </c>
      <c r="B8739" t="s">
        <v>20</v>
      </c>
      <c r="C8739">
        <v>62297</v>
      </c>
      <c r="D8739" t="str">
        <f>"62297"</f>
        <v>62297</v>
      </c>
      <c r="E8739">
        <v>73.33</v>
      </c>
    </row>
    <row r="8740" spans="1:5" x14ac:dyDescent="0.2">
      <c r="A8740">
        <v>62298</v>
      </c>
      <c r="B8740" t="s">
        <v>20</v>
      </c>
      <c r="C8740">
        <v>62298</v>
      </c>
      <c r="D8740" t="str">
        <f>"62298"</f>
        <v>62298</v>
      </c>
      <c r="E8740">
        <v>80.16</v>
      </c>
    </row>
    <row r="8741" spans="1:5" x14ac:dyDescent="0.2">
      <c r="A8741">
        <v>62301</v>
      </c>
      <c r="B8741" t="s">
        <v>20</v>
      </c>
      <c r="C8741">
        <v>62301</v>
      </c>
      <c r="D8741" t="str">
        <f>"62301"</f>
        <v>62301</v>
      </c>
      <c r="E8741">
        <v>68.28</v>
      </c>
    </row>
    <row r="8742" spans="1:5" x14ac:dyDescent="0.2">
      <c r="A8742">
        <v>62305</v>
      </c>
      <c r="B8742" t="s">
        <v>20</v>
      </c>
      <c r="C8742">
        <v>62305</v>
      </c>
      <c r="D8742" t="str">
        <f>"62305"</f>
        <v>62305</v>
      </c>
      <c r="E8742">
        <v>76.11</v>
      </c>
    </row>
    <row r="8743" spans="1:5" x14ac:dyDescent="0.2">
      <c r="A8743">
        <v>62311</v>
      </c>
      <c r="B8743" t="s">
        <v>20</v>
      </c>
      <c r="C8743">
        <v>62311</v>
      </c>
      <c r="D8743" t="str">
        <f>"62311"</f>
        <v>62311</v>
      </c>
      <c r="E8743">
        <v>78.38</v>
      </c>
    </row>
    <row r="8744" spans="1:5" x14ac:dyDescent="0.2">
      <c r="A8744">
        <v>62312</v>
      </c>
      <c r="B8744" t="s">
        <v>20</v>
      </c>
      <c r="C8744">
        <v>62312</v>
      </c>
      <c r="D8744" t="str">
        <f>"62312"</f>
        <v>62312</v>
      </c>
      <c r="E8744">
        <v>68.13</v>
      </c>
    </row>
    <row r="8745" spans="1:5" x14ac:dyDescent="0.2">
      <c r="A8745">
        <v>62313</v>
      </c>
      <c r="B8745" t="s">
        <v>20</v>
      </c>
      <c r="C8745">
        <v>62313</v>
      </c>
      <c r="D8745" t="str">
        <f>"62313"</f>
        <v>62313</v>
      </c>
      <c r="E8745">
        <v>70.59</v>
      </c>
    </row>
    <row r="8746" spans="1:5" x14ac:dyDescent="0.2">
      <c r="A8746">
        <v>62314</v>
      </c>
      <c r="B8746" t="s">
        <v>20</v>
      </c>
      <c r="C8746">
        <v>62314</v>
      </c>
      <c r="D8746" t="str">
        <f>"62314"</f>
        <v>62314</v>
      </c>
      <c r="E8746">
        <v>73.91</v>
      </c>
    </row>
    <row r="8747" spans="1:5" x14ac:dyDescent="0.2">
      <c r="A8747">
        <v>62316</v>
      </c>
      <c r="B8747" t="s">
        <v>20</v>
      </c>
      <c r="C8747">
        <v>62316</v>
      </c>
      <c r="D8747" t="str">
        <f>"62316"</f>
        <v>62316</v>
      </c>
      <c r="E8747">
        <v>71.430000000000007</v>
      </c>
    </row>
    <row r="8748" spans="1:5" x14ac:dyDescent="0.2">
      <c r="A8748">
        <v>62319</v>
      </c>
      <c r="B8748" t="s">
        <v>20</v>
      </c>
      <c r="C8748">
        <v>62319</v>
      </c>
      <c r="D8748" t="str">
        <f>"62319"</f>
        <v>62319</v>
      </c>
      <c r="E8748" t="s">
        <v>6</v>
      </c>
    </row>
    <row r="8749" spans="1:5" x14ac:dyDescent="0.2">
      <c r="A8749">
        <v>62320</v>
      </c>
      <c r="B8749" t="s">
        <v>20</v>
      </c>
      <c r="C8749">
        <v>62320</v>
      </c>
      <c r="D8749" t="str">
        <f>"62320"</f>
        <v>62320</v>
      </c>
      <c r="E8749">
        <v>74.489999999999995</v>
      </c>
    </row>
    <row r="8750" spans="1:5" x14ac:dyDescent="0.2">
      <c r="A8750">
        <v>62321</v>
      </c>
      <c r="B8750" t="s">
        <v>20</v>
      </c>
      <c r="C8750">
        <v>62321</v>
      </c>
      <c r="D8750" t="str">
        <f>"62321"</f>
        <v>62321</v>
      </c>
      <c r="E8750">
        <v>74.319999999999993</v>
      </c>
    </row>
    <row r="8751" spans="1:5" x14ac:dyDescent="0.2">
      <c r="A8751">
        <v>62323</v>
      </c>
      <c r="B8751" t="s">
        <v>20</v>
      </c>
      <c r="C8751">
        <v>62323</v>
      </c>
      <c r="D8751" t="str">
        <f>"62323"</f>
        <v>62323</v>
      </c>
      <c r="E8751">
        <v>63.64</v>
      </c>
    </row>
    <row r="8752" spans="1:5" x14ac:dyDescent="0.2">
      <c r="A8752">
        <v>62324</v>
      </c>
      <c r="B8752" t="s">
        <v>20</v>
      </c>
      <c r="C8752">
        <v>62324</v>
      </c>
      <c r="D8752" t="str">
        <f>"62324"</f>
        <v>62324</v>
      </c>
      <c r="E8752">
        <v>72.88</v>
      </c>
    </row>
    <row r="8753" spans="1:5" x14ac:dyDescent="0.2">
      <c r="A8753">
        <v>62325</v>
      </c>
      <c r="B8753" t="s">
        <v>20</v>
      </c>
      <c r="C8753">
        <v>62325</v>
      </c>
      <c r="D8753" t="str">
        <f>"62325"</f>
        <v>62325</v>
      </c>
      <c r="E8753">
        <v>61.11</v>
      </c>
    </row>
    <row r="8754" spans="1:5" x14ac:dyDescent="0.2">
      <c r="A8754">
        <v>62326</v>
      </c>
      <c r="B8754" t="s">
        <v>20</v>
      </c>
      <c r="C8754">
        <v>62326</v>
      </c>
      <c r="D8754" t="str">
        <f>"62326"</f>
        <v>62326</v>
      </c>
      <c r="E8754">
        <v>71.56</v>
      </c>
    </row>
    <row r="8755" spans="1:5" x14ac:dyDescent="0.2">
      <c r="A8755">
        <v>62330</v>
      </c>
      <c r="B8755" t="s">
        <v>20</v>
      </c>
      <c r="C8755">
        <v>62330</v>
      </c>
      <c r="D8755" t="str">
        <f>"62330"</f>
        <v>62330</v>
      </c>
      <c r="E8755">
        <v>73.680000000000007</v>
      </c>
    </row>
    <row r="8756" spans="1:5" x14ac:dyDescent="0.2">
      <c r="A8756">
        <v>62334</v>
      </c>
      <c r="B8756" t="s">
        <v>20</v>
      </c>
      <c r="C8756">
        <v>62334</v>
      </c>
      <c r="D8756" t="str">
        <f>"62334"</f>
        <v>62334</v>
      </c>
      <c r="E8756" t="s">
        <v>6</v>
      </c>
    </row>
    <row r="8757" spans="1:5" x14ac:dyDescent="0.2">
      <c r="A8757">
        <v>62338</v>
      </c>
      <c r="B8757" t="s">
        <v>20</v>
      </c>
      <c r="C8757">
        <v>62338</v>
      </c>
      <c r="D8757" t="str">
        <f>"62338"</f>
        <v>62338</v>
      </c>
      <c r="E8757">
        <v>78.260000000000005</v>
      </c>
    </row>
    <row r="8758" spans="1:5" x14ac:dyDescent="0.2">
      <c r="A8758">
        <v>62339</v>
      </c>
      <c r="B8758" t="s">
        <v>20</v>
      </c>
      <c r="C8758">
        <v>62339</v>
      </c>
      <c r="D8758" t="str">
        <f>"62339"</f>
        <v>62339</v>
      </c>
      <c r="E8758">
        <v>72.09</v>
      </c>
    </row>
    <row r="8759" spans="1:5" x14ac:dyDescent="0.2">
      <c r="A8759">
        <v>62340</v>
      </c>
      <c r="B8759" t="s">
        <v>20</v>
      </c>
      <c r="C8759">
        <v>62340</v>
      </c>
      <c r="D8759" t="str">
        <f>"62340"</f>
        <v>62340</v>
      </c>
      <c r="E8759">
        <v>67.12</v>
      </c>
    </row>
    <row r="8760" spans="1:5" x14ac:dyDescent="0.2">
      <c r="A8760">
        <v>62341</v>
      </c>
      <c r="B8760" t="s">
        <v>20</v>
      </c>
      <c r="C8760">
        <v>62341</v>
      </c>
      <c r="D8760" t="str">
        <f>"62341"</f>
        <v>62341</v>
      </c>
      <c r="E8760">
        <v>73.25</v>
      </c>
    </row>
    <row r="8761" spans="1:5" x14ac:dyDescent="0.2">
      <c r="A8761">
        <v>62343</v>
      </c>
      <c r="B8761" t="s">
        <v>20</v>
      </c>
      <c r="C8761">
        <v>62343</v>
      </c>
      <c r="D8761" t="str">
        <f>"62343"</f>
        <v>62343</v>
      </c>
      <c r="E8761">
        <v>65.63</v>
      </c>
    </row>
    <row r="8762" spans="1:5" x14ac:dyDescent="0.2">
      <c r="A8762">
        <v>62344</v>
      </c>
      <c r="B8762" t="s">
        <v>20</v>
      </c>
      <c r="C8762">
        <v>62344</v>
      </c>
      <c r="D8762" t="str">
        <f>"62344"</f>
        <v>62344</v>
      </c>
      <c r="E8762" t="s">
        <v>6</v>
      </c>
    </row>
    <row r="8763" spans="1:5" x14ac:dyDescent="0.2">
      <c r="A8763">
        <v>62345</v>
      </c>
      <c r="B8763" t="s">
        <v>20</v>
      </c>
      <c r="C8763">
        <v>62345</v>
      </c>
      <c r="D8763" t="str">
        <f>"62345"</f>
        <v>62345</v>
      </c>
      <c r="E8763">
        <v>71.430000000000007</v>
      </c>
    </row>
    <row r="8764" spans="1:5" x14ac:dyDescent="0.2">
      <c r="A8764">
        <v>62346</v>
      </c>
      <c r="B8764" t="s">
        <v>20</v>
      </c>
      <c r="C8764">
        <v>62346</v>
      </c>
      <c r="D8764" t="str">
        <f>"62346"</f>
        <v>62346</v>
      </c>
      <c r="E8764">
        <v>70</v>
      </c>
    </row>
    <row r="8765" spans="1:5" x14ac:dyDescent="0.2">
      <c r="A8765">
        <v>62347</v>
      </c>
      <c r="B8765" t="s">
        <v>20</v>
      </c>
      <c r="C8765">
        <v>62347</v>
      </c>
      <c r="D8765" t="str">
        <f>"62347"</f>
        <v>62347</v>
      </c>
      <c r="E8765">
        <v>75.7</v>
      </c>
    </row>
    <row r="8766" spans="1:5" x14ac:dyDescent="0.2">
      <c r="A8766">
        <v>62349</v>
      </c>
      <c r="B8766" t="s">
        <v>20</v>
      </c>
      <c r="C8766">
        <v>62349</v>
      </c>
      <c r="D8766" t="str">
        <f>"62349"</f>
        <v>62349</v>
      </c>
      <c r="E8766">
        <v>75.86</v>
      </c>
    </row>
    <row r="8767" spans="1:5" x14ac:dyDescent="0.2">
      <c r="A8767">
        <v>62351</v>
      </c>
      <c r="B8767" t="s">
        <v>20</v>
      </c>
      <c r="C8767">
        <v>62351</v>
      </c>
      <c r="D8767" t="str">
        <f>"62351"</f>
        <v>62351</v>
      </c>
      <c r="E8767">
        <v>74.709999999999994</v>
      </c>
    </row>
    <row r="8768" spans="1:5" x14ac:dyDescent="0.2">
      <c r="A8768">
        <v>62352</v>
      </c>
      <c r="B8768" t="s">
        <v>20</v>
      </c>
      <c r="C8768">
        <v>62352</v>
      </c>
      <c r="D8768" t="str">
        <f>"62352"</f>
        <v>62352</v>
      </c>
      <c r="E8768" t="s">
        <v>6</v>
      </c>
    </row>
    <row r="8769" spans="1:5" x14ac:dyDescent="0.2">
      <c r="A8769">
        <v>62353</v>
      </c>
      <c r="B8769" t="s">
        <v>20</v>
      </c>
      <c r="C8769">
        <v>62353</v>
      </c>
      <c r="D8769" t="str">
        <f>"62353"</f>
        <v>62353</v>
      </c>
      <c r="E8769">
        <v>72.39</v>
      </c>
    </row>
    <row r="8770" spans="1:5" x14ac:dyDescent="0.2">
      <c r="A8770">
        <v>62354</v>
      </c>
      <c r="B8770" t="s">
        <v>20</v>
      </c>
      <c r="C8770">
        <v>62354</v>
      </c>
      <c r="D8770" t="str">
        <f>"62354"</f>
        <v>62354</v>
      </c>
      <c r="E8770">
        <v>67.16</v>
      </c>
    </row>
    <row r="8771" spans="1:5" x14ac:dyDescent="0.2">
      <c r="A8771">
        <v>62355</v>
      </c>
      <c r="B8771" t="s">
        <v>20</v>
      </c>
      <c r="C8771">
        <v>62355</v>
      </c>
      <c r="D8771" t="str">
        <f>"62355"</f>
        <v>62355</v>
      </c>
      <c r="E8771">
        <v>62.07</v>
      </c>
    </row>
    <row r="8772" spans="1:5" x14ac:dyDescent="0.2">
      <c r="A8772">
        <v>62356</v>
      </c>
      <c r="B8772" t="s">
        <v>20</v>
      </c>
      <c r="C8772">
        <v>62356</v>
      </c>
      <c r="D8772" t="str">
        <f>"62356"</f>
        <v>62356</v>
      </c>
      <c r="E8772">
        <v>69.569999999999993</v>
      </c>
    </row>
    <row r="8773" spans="1:5" x14ac:dyDescent="0.2">
      <c r="A8773">
        <v>62357</v>
      </c>
      <c r="B8773" t="s">
        <v>20</v>
      </c>
      <c r="C8773">
        <v>62357</v>
      </c>
      <c r="D8773" t="str">
        <f>"62357"</f>
        <v>62357</v>
      </c>
      <c r="E8773">
        <v>60</v>
      </c>
    </row>
    <row r="8774" spans="1:5" x14ac:dyDescent="0.2">
      <c r="A8774">
        <v>62358</v>
      </c>
      <c r="B8774" t="s">
        <v>20</v>
      </c>
      <c r="C8774">
        <v>62358</v>
      </c>
      <c r="D8774" t="str">
        <f>"62358"</f>
        <v>62358</v>
      </c>
      <c r="E8774">
        <v>69.7</v>
      </c>
    </row>
    <row r="8775" spans="1:5" x14ac:dyDescent="0.2">
      <c r="A8775">
        <v>62359</v>
      </c>
      <c r="B8775" t="s">
        <v>20</v>
      </c>
      <c r="C8775">
        <v>62359</v>
      </c>
      <c r="D8775" t="str">
        <f>"62359"</f>
        <v>62359</v>
      </c>
      <c r="E8775" t="s">
        <v>6</v>
      </c>
    </row>
    <row r="8776" spans="1:5" x14ac:dyDescent="0.2">
      <c r="A8776">
        <v>62360</v>
      </c>
      <c r="B8776" t="s">
        <v>20</v>
      </c>
      <c r="C8776">
        <v>62360</v>
      </c>
      <c r="D8776" t="str">
        <f>"62360"</f>
        <v>62360</v>
      </c>
      <c r="E8776">
        <v>71.599999999999994</v>
      </c>
    </row>
    <row r="8777" spans="1:5" x14ac:dyDescent="0.2">
      <c r="A8777">
        <v>62361</v>
      </c>
      <c r="B8777" t="s">
        <v>20</v>
      </c>
      <c r="C8777">
        <v>62361</v>
      </c>
      <c r="D8777" t="str">
        <f>"62361"</f>
        <v>62361</v>
      </c>
      <c r="E8777">
        <v>63.64</v>
      </c>
    </row>
    <row r="8778" spans="1:5" x14ac:dyDescent="0.2">
      <c r="A8778">
        <v>62362</v>
      </c>
      <c r="B8778" t="s">
        <v>20</v>
      </c>
      <c r="C8778">
        <v>62362</v>
      </c>
      <c r="D8778" t="str">
        <f>"62362"</f>
        <v>62362</v>
      </c>
      <c r="E8778" t="s">
        <v>6</v>
      </c>
    </row>
    <row r="8779" spans="1:5" x14ac:dyDescent="0.2">
      <c r="A8779">
        <v>62363</v>
      </c>
      <c r="B8779" t="s">
        <v>20</v>
      </c>
      <c r="C8779">
        <v>62363</v>
      </c>
      <c r="D8779" t="str">
        <f>"62363"</f>
        <v>62363</v>
      </c>
      <c r="E8779">
        <v>71.81</v>
      </c>
    </row>
    <row r="8780" spans="1:5" x14ac:dyDescent="0.2">
      <c r="A8780">
        <v>62365</v>
      </c>
      <c r="B8780" t="s">
        <v>20</v>
      </c>
      <c r="C8780">
        <v>62365</v>
      </c>
      <c r="D8780" t="str">
        <f>"62365"</f>
        <v>62365</v>
      </c>
      <c r="E8780">
        <v>73.08</v>
      </c>
    </row>
    <row r="8781" spans="1:5" x14ac:dyDescent="0.2">
      <c r="A8781">
        <v>62366</v>
      </c>
      <c r="B8781" t="s">
        <v>20</v>
      </c>
      <c r="C8781">
        <v>62366</v>
      </c>
      <c r="D8781" t="str">
        <f>"62366"</f>
        <v>62366</v>
      </c>
      <c r="E8781">
        <v>68.33</v>
      </c>
    </row>
    <row r="8782" spans="1:5" x14ac:dyDescent="0.2">
      <c r="A8782">
        <v>62367</v>
      </c>
      <c r="B8782" t="s">
        <v>20</v>
      </c>
      <c r="C8782">
        <v>62367</v>
      </c>
      <c r="D8782" t="str">
        <f>"62367"</f>
        <v>62367</v>
      </c>
      <c r="E8782">
        <v>59.62</v>
      </c>
    </row>
    <row r="8783" spans="1:5" x14ac:dyDescent="0.2">
      <c r="A8783">
        <v>62370</v>
      </c>
      <c r="B8783" t="s">
        <v>20</v>
      </c>
      <c r="C8783">
        <v>62370</v>
      </c>
      <c r="D8783" t="str">
        <f>"62370"</f>
        <v>62370</v>
      </c>
      <c r="E8783">
        <v>76.47</v>
      </c>
    </row>
    <row r="8784" spans="1:5" x14ac:dyDescent="0.2">
      <c r="A8784">
        <v>62373</v>
      </c>
      <c r="B8784" t="s">
        <v>20</v>
      </c>
      <c r="C8784">
        <v>62373</v>
      </c>
      <c r="D8784" t="str">
        <f>"62373"</f>
        <v>62373</v>
      </c>
      <c r="E8784">
        <v>73.33</v>
      </c>
    </row>
    <row r="8785" spans="1:5" x14ac:dyDescent="0.2">
      <c r="A8785">
        <v>62374</v>
      </c>
      <c r="B8785" t="s">
        <v>20</v>
      </c>
      <c r="C8785">
        <v>62374</v>
      </c>
      <c r="D8785" t="str">
        <f>"62374"</f>
        <v>62374</v>
      </c>
      <c r="E8785">
        <v>80</v>
      </c>
    </row>
    <row r="8786" spans="1:5" x14ac:dyDescent="0.2">
      <c r="A8786">
        <v>62375</v>
      </c>
      <c r="B8786" t="s">
        <v>20</v>
      </c>
      <c r="C8786">
        <v>62375</v>
      </c>
      <c r="D8786" t="str">
        <f>"62375"</f>
        <v>62375</v>
      </c>
      <c r="E8786">
        <v>73.33</v>
      </c>
    </row>
    <row r="8787" spans="1:5" x14ac:dyDescent="0.2">
      <c r="A8787">
        <v>62376</v>
      </c>
      <c r="B8787" t="s">
        <v>20</v>
      </c>
      <c r="C8787">
        <v>62376</v>
      </c>
      <c r="D8787" t="str">
        <f>"62376"</f>
        <v>62376</v>
      </c>
      <c r="E8787">
        <v>70.489999999999995</v>
      </c>
    </row>
    <row r="8788" spans="1:5" x14ac:dyDescent="0.2">
      <c r="A8788">
        <v>62378</v>
      </c>
      <c r="B8788" t="s">
        <v>20</v>
      </c>
      <c r="C8788">
        <v>62378</v>
      </c>
      <c r="D8788" t="str">
        <f>"62378"</f>
        <v>62378</v>
      </c>
      <c r="E8788">
        <v>72.5</v>
      </c>
    </row>
    <row r="8789" spans="1:5" x14ac:dyDescent="0.2">
      <c r="A8789">
        <v>62379</v>
      </c>
      <c r="B8789" t="s">
        <v>20</v>
      </c>
      <c r="C8789">
        <v>62379</v>
      </c>
      <c r="D8789" t="str">
        <f>"62379"</f>
        <v>62379</v>
      </c>
      <c r="E8789">
        <v>75.28</v>
      </c>
    </row>
    <row r="8790" spans="1:5" x14ac:dyDescent="0.2">
      <c r="A8790">
        <v>62380</v>
      </c>
      <c r="B8790" t="s">
        <v>20</v>
      </c>
      <c r="C8790">
        <v>62380</v>
      </c>
      <c r="D8790" t="str">
        <f>"62380"</f>
        <v>62380</v>
      </c>
      <c r="E8790">
        <v>78.569999999999993</v>
      </c>
    </row>
    <row r="8791" spans="1:5" x14ac:dyDescent="0.2">
      <c r="A8791">
        <v>62401</v>
      </c>
      <c r="B8791" t="s">
        <v>20</v>
      </c>
      <c r="C8791">
        <v>62401</v>
      </c>
      <c r="D8791" t="str">
        <f>"62401"</f>
        <v>62401</v>
      </c>
      <c r="E8791">
        <v>74.31</v>
      </c>
    </row>
    <row r="8792" spans="1:5" x14ac:dyDescent="0.2">
      <c r="A8792">
        <v>62410</v>
      </c>
      <c r="B8792" t="s">
        <v>20</v>
      </c>
      <c r="C8792">
        <v>62410</v>
      </c>
      <c r="D8792" t="str">
        <f>"62410"</f>
        <v>62410</v>
      </c>
      <c r="E8792">
        <v>69.05</v>
      </c>
    </row>
    <row r="8793" spans="1:5" x14ac:dyDescent="0.2">
      <c r="A8793">
        <v>62411</v>
      </c>
      <c r="B8793" t="s">
        <v>20</v>
      </c>
      <c r="C8793">
        <v>62411</v>
      </c>
      <c r="D8793" t="str">
        <f>"62411"</f>
        <v>62411</v>
      </c>
      <c r="E8793">
        <v>70.7</v>
      </c>
    </row>
    <row r="8794" spans="1:5" x14ac:dyDescent="0.2">
      <c r="A8794">
        <v>62413</v>
      </c>
      <c r="B8794" t="s">
        <v>20</v>
      </c>
      <c r="C8794">
        <v>62413</v>
      </c>
      <c r="D8794" t="str">
        <f>"62413"</f>
        <v>62413</v>
      </c>
      <c r="E8794">
        <v>77.78</v>
      </c>
    </row>
    <row r="8795" spans="1:5" x14ac:dyDescent="0.2">
      <c r="A8795">
        <v>62414</v>
      </c>
      <c r="B8795" t="s">
        <v>20</v>
      </c>
      <c r="C8795">
        <v>62414</v>
      </c>
      <c r="D8795" t="str">
        <f>"62414"</f>
        <v>62414</v>
      </c>
      <c r="E8795">
        <v>70.59</v>
      </c>
    </row>
    <row r="8796" spans="1:5" x14ac:dyDescent="0.2">
      <c r="A8796">
        <v>62417</v>
      </c>
      <c r="B8796" t="s">
        <v>20</v>
      </c>
      <c r="C8796">
        <v>62417</v>
      </c>
      <c r="D8796" t="str">
        <f>"62417"</f>
        <v>62417</v>
      </c>
      <c r="E8796">
        <v>68.25</v>
      </c>
    </row>
    <row r="8797" spans="1:5" x14ac:dyDescent="0.2">
      <c r="A8797">
        <v>62418</v>
      </c>
      <c r="B8797" t="s">
        <v>20</v>
      </c>
      <c r="C8797">
        <v>62418</v>
      </c>
      <c r="D8797" t="str">
        <f>"62418"</f>
        <v>62418</v>
      </c>
      <c r="E8797">
        <v>71.28</v>
      </c>
    </row>
    <row r="8798" spans="1:5" x14ac:dyDescent="0.2">
      <c r="A8798">
        <v>62419</v>
      </c>
      <c r="B8798" t="s">
        <v>20</v>
      </c>
      <c r="C8798">
        <v>62419</v>
      </c>
      <c r="D8798" t="str">
        <f>"62419"</f>
        <v>62419</v>
      </c>
      <c r="E8798">
        <v>68.75</v>
      </c>
    </row>
    <row r="8799" spans="1:5" x14ac:dyDescent="0.2">
      <c r="A8799">
        <v>62420</v>
      </c>
      <c r="B8799" t="s">
        <v>20</v>
      </c>
      <c r="C8799">
        <v>62420</v>
      </c>
      <c r="D8799" t="str">
        <f>"62420"</f>
        <v>62420</v>
      </c>
      <c r="E8799">
        <v>72.14</v>
      </c>
    </row>
    <row r="8800" spans="1:5" x14ac:dyDescent="0.2">
      <c r="A8800">
        <v>62421</v>
      </c>
      <c r="B8800" t="s">
        <v>20</v>
      </c>
      <c r="C8800">
        <v>62421</v>
      </c>
      <c r="D8800" t="str">
        <f>"62421"</f>
        <v>62421</v>
      </c>
      <c r="E8800">
        <v>68.569999999999993</v>
      </c>
    </row>
    <row r="8801" spans="1:5" x14ac:dyDescent="0.2">
      <c r="A8801">
        <v>62422</v>
      </c>
      <c r="B8801" t="s">
        <v>20</v>
      </c>
      <c r="C8801">
        <v>62422</v>
      </c>
      <c r="D8801" t="str">
        <f>"62422"</f>
        <v>62422</v>
      </c>
      <c r="E8801">
        <v>64.58</v>
      </c>
    </row>
    <row r="8802" spans="1:5" x14ac:dyDescent="0.2">
      <c r="A8802">
        <v>62423</v>
      </c>
      <c r="B8802" t="s">
        <v>20</v>
      </c>
      <c r="C8802">
        <v>62423</v>
      </c>
      <c r="D8802" t="str">
        <f>"62423"</f>
        <v>62423</v>
      </c>
      <c r="E8802">
        <v>78.790000000000006</v>
      </c>
    </row>
    <row r="8803" spans="1:5" x14ac:dyDescent="0.2">
      <c r="A8803">
        <v>62424</v>
      </c>
      <c r="B8803" t="s">
        <v>20</v>
      </c>
      <c r="C8803">
        <v>62424</v>
      </c>
      <c r="D8803" t="str">
        <f>"62424"</f>
        <v>62424</v>
      </c>
      <c r="E8803">
        <v>76.58</v>
      </c>
    </row>
    <row r="8804" spans="1:5" x14ac:dyDescent="0.2">
      <c r="A8804">
        <v>62425</v>
      </c>
      <c r="B8804" t="s">
        <v>20</v>
      </c>
      <c r="C8804">
        <v>62425</v>
      </c>
      <c r="D8804" t="str">
        <f>"62425"</f>
        <v>62425</v>
      </c>
      <c r="E8804">
        <v>73.08</v>
      </c>
    </row>
    <row r="8805" spans="1:5" x14ac:dyDescent="0.2">
      <c r="A8805">
        <v>62426</v>
      </c>
      <c r="B8805" t="s">
        <v>20</v>
      </c>
      <c r="C8805">
        <v>62426</v>
      </c>
      <c r="D8805" t="str">
        <f>"62426"</f>
        <v>62426</v>
      </c>
      <c r="E8805">
        <v>64.44</v>
      </c>
    </row>
    <row r="8806" spans="1:5" x14ac:dyDescent="0.2">
      <c r="A8806">
        <v>62427</v>
      </c>
      <c r="B8806" t="s">
        <v>20</v>
      </c>
      <c r="C8806">
        <v>62427</v>
      </c>
      <c r="D8806" t="str">
        <f>"62427"</f>
        <v>62427</v>
      </c>
      <c r="E8806">
        <v>73.33</v>
      </c>
    </row>
    <row r="8807" spans="1:5" x14ac:dyDescent="0.2">
      <c r="A8807">
        <v>62428</v>
      </c>
      <c r="B8807" t="s">
        <v>20</v>
      </c>
      <c r="C8807">
        <v>62428</v>
      </c>
      <c r="D8807" t="str">
        <f>"62428"</f>
        <v>62428</v>
      </c>
      <c r="E8807">
        <v>73.94</v>
      </c>
    </row>
    <row r="8808" spans="1:5" x14ac:dyDescent="0.2">
      <c r="A8808">
        <v>62431</v>
      </c>
      <c r="B8808" t="s">
        <v>20</v>
      </c>
      <c r="C8808">
        <v>62431</v>
      </c>
      <c r="D8808" t="str">
        <f>"62431"</f>
        <v>62431</v>
      </c>
      <c r="E8808">
        <v>70.83</v>
      </c>
    </row>
    <row r="8809" spans="1:5" x14ac:dyDescent="0.2">
      <c r="A8809">
        <v>62432</v>
      </c>
      <c r="B8809" t="s">
        <v>20</v>
      </c>
      <c r="C8809">
        <v>62432</v>
      </c>
      <c r="D8809" t="str">
        <f>"62432"</f>
        <v>62432</v>
      </c>
      <c r="E8809">
        <v>73.08</v>
      </c>
    </row>
    <row r="8810" spans="1:5" x14ac:dyDescent="0.2">
      <c r="A8810">
        <v>62433</v>
      </c>
      <c r="B8810" t="s">
        <v>20</v>
      </c>
      <c r="C8810">
        <v>62433</v>
      </c>
      <c r="D8810" t="str">
        <f>"62433"</f>
        <v>62433</v>
      </c>
      <c r="E8810">
        <v>74.42</v>
      </c>
    </row>
    <row r="8811" spans="1:5" x14ac:dyDescent="0.2">
      <c r="A8811">
        <v>62434</v>
      </c>
      <c r="B8811" t="s">
        <v>20</v>
      </c>
      <c r="C8811">
        <v>62434</v>
      </c>
      <c r="D8811" t="str">
        <f>"62434"</f>
        <v>62434</v>
      </c>
      <c r="E8811">
        <v>75</v>
      </c>
    </row>
    <row r="8812" spans="1:5" x14ac:dyDescent="0.2">
      <c r="A8812">
        <v>62436</v>
      </c>
      <c r="B8812" t="s">
        <v>20</v>
      </c>
      <c r="C8812">
        <v>62436</v>
      </c>
      <c r="D8812" t="str">
        <f>"62436"</f>
        <v>62436</v>
      </c>
      <c r="E8812">
        <v>68.97</v>
      </c>
    </row>
    <row r="8813" spans="1:5" x14ac:dyDescent="0.2">
      <c r="A8813">
        <v>62438</v>
      </c>
      <c r="B8813" t="s">
        <v>20</v>
      </c>
      <c r="C8813">
        <v>62438</v>
      </c>
      <c r="D8813" t="str">
        <f>"62438"</f>
        <v>62438</v>
      </c>
      <c r="E8813">
        <v>80</v>
      </c>
    </row>
    <row r="8814" spans="1:5" x14ac:dyDescent="0.2">
      <c r="A8814">
        <v>62439</v>
      </c>
      <c r="B8814" t="s">
        <v>20</v>
      </c>
      <c r="C8814">
        <v>62439</v>
      </c>
      <c r="D8814" t="str">
        <f>"62439"</f>
        <v>62439</v>
      </c>
      <c r="E8814">
        <v>70.3</v>
      </c>
    </row>
    <row r="8815" spans="1:5" x14ac:dyDescent="0.2">
      <c r="A8815">
        <v>62440</v>
      </c>
      <c r="B8815" t="s">
        <v>20</v>
      </c>
      <c r="C8815">
        <v>62440</v>
      </c>
      <c r="D8815" t="str">
        <f>"62440"</f>
        <v>62440</v>
      </c>
      <c r="E8815">
        <v>75.930000000000007</v>
      </c>
    </row>
    <row r="8816" spans="1:5" x14ac:dyDescent="0.2">
      <c r="A8816">
        <v>62441</v>
      </c>
      <c r="B8816" t="s">
        <v>20</v>
      </c>
      <c r="C8816">
        <v>62441</v>
      </c>
      <c r="D8816" t="str">
        <f>"62441"</f>
        <v>62441</v>
      </c>
      <c r="E8816">
        <v>71.040000000000006</v>
      </c>
    </row>
    <row r="8817" spans="1:5" x14ac:dyDescent="0.2">
      <c r="A8817">
        <v>62442</v>
      </c>
      <c r="B8817" t="s">
        <v>20</v>
      </c>
      <c r="C8817">
        <v>62442</v>
      </c>
      <c r="D8817" t="str">
        <f>"62442"</f>
        <v>62442</v>
      </c>
      <c r="E8817">
        <v>69.72</v>
      </c>
    </row>
    <row r="8818" spans="1:5" x14ac:dyDescent="0.2">
      <c r="A8818">
        <v>62443</v>
      </c>
      <c r="B8818" t="s">
        <v>20</v>
      </c>
      <c r="C8818">
        <v>62443</v>
      </c>
      <c r="D8818" t="str">
        <f>"62443"</f>
        <v>62443</v>
      </c>
      <c r="E8818">
        <v>72.97</v>
      </c>
    </row>
    <row r="8819" spans="1:5" x14ac:dyDescent="0.2">
      <c r="A8819">
        <v>62444</v>
      </c>
      <c r="B8819" t="s">
        <v>20</v>
      </c>
      <c r="C8819">
        <v>62444</v>
      </c>
      <c r="D8819" t="str">
        <f>"62444"</f>
        <v>62444</v>
      </c>
      <c r="E8819">
        <v>66.67</v>
      </c>
    </row>
    <row r="8820" spans="1:5" x14ac:dyDescent="0.2">
      <c r="A8820">
        <v>62445</v>
      </c>
      <c r="B8820" t="s">
        <v>20</v>
      </c>
      <c r="C8820">
        <v>62445</v>
      </c>
      <c r="D8820" t="str">
        <f>"62445"</f>
        <v>62445</v>
      </c>
      <c r="E8820">
        <v>80.95</v>
      </c>
    </row>
    <row r="8821" spans="1:5" x14ac:dyDescent="0.2">
      <c r="A8821">
        <v>62446</v>
      </c>
      <c r="B8821" t="s">
        <v>20</v>
      </c>
      <c r="C8821">
        <v>62446</v>
      </c>
      <c r="D8821" t="str">
        <f>"62446"</f>
        <v>62446</v>
      </c>
      <c r="E8821">
        <v>72.22</v>
      </c>
    </row>
    <row r="8822" spans="1:5" x14ac:dyDescent="0.2">
      <c r="A8822">
        <v>62447</v>
      </c>
      <c r="B8822" t="s">
        <v>20</v>
      </c>
      <c r="C8822">
        <v>62447</v>
      </c>
      <c r="D8822" t="str">
        <f>"62447"</f>
        <v>62447</v>
      </c>
      <c r="E8822">
        <v>73.650000000000006</v>
      </c>
    </row>
    <row r="8823" spans="1:5" x14ac:dyDescent="0.2">
      <c r="A8823">
        <v>62448</v>
      </c>
      <c r="B8823" t="s">
        <v>20</v>
      </c>
      <c r="C8823">
        <v>62448</v>
      </c>
      <c r="D8823" t="str">
        <f>"62448"</f>
        <v>62448</v>
      </c>
      <c r="E8823">
        <v>71.739999999999995</v>
      </c>
    </row>
    <row r="8824" spans="1:5" x14ac:dyDescent="0.2">
      <c r="A8824">
        <v>62449</v>
      </c>
      <c r="B8824" t="s">
        <v>20</v>
      </c>
      <c r="C8824">
        <v>62449</v>
      </c>
      <c r="D8824" t="str">
        <f>"62449"</f>
        <v>62449</v>
      </c>
      <c r="E8824">
        <v>70.5</v>
      </c>
    </row>
    <row r="8825" spans="1:5" x14ac:dyDescent="0.2">
      <c r="A8825">
        <v>62450</v>
      </c>
      <c r="B8825" t="s">
        <v>20</v>
      </c>
      <c r="C8825">
        <v>62450</v>
      </c>
      <c r="D8825" t="str">
        <f>"62450"</f>
        <v>62450</v>
      </c>
      <c r="E8825">
        <v>67.760000000000005</v>
      </c>
    </row>
    <row r="8826" spans="1:5" x14ac:dyDescent="0.2">
      <c r="A8826">
        <v>62451</v>
      </c>
      <c r="B8826" t="s">
        <v>20</v>
      </c>
      <c r="C8826">
        <v>62451</v>
      </c>
      <c r="D8826" t="str">
        <f>"62451"</f>
        <v>62451</v>
      </c>
      <c r="E8826">
        <v>72.34</v>
      </c>
    </row>
    <row r="8827" spans="1:5" x14ac:dyDescent="0.2">
      <c r="A8827">
        <v>62452</v>
      </c>
      <c r="B8827" t="s">
        <v>20</v>
      </c>
      <c r="C8827">
        <v>62452</v>
      </c>
      <c r="D8827" t="str">
        <f>"62452"</f>
        <v>62452</v>
      </c>
      <c r="E8827">
        <v>68.42</v>
      </c>
    </row>
    <row r="8828" spans="1:5" x14ac:dyDescent="0.2">
      <c r="A8828">
        <v>62454</v>
      </c>
      <c r="B8828" t="s">
        <v>20</v>
      </c>
      <c r="C8828">
        <v>62454</v>
      </c>
      <c r="D8828" t="str">
        <f>"62454"</f>
        <v>62454</v>
      </c>
      <c r="E8828">
        <v>72.38</v>
      </c>
    </row>
    <row r="8829" spans="1:5" x14ac:dyDescent="0.2">
      <c r="A8829">
        <v>62458</v>
      </c>
      <c r="B8829" t="s">
        <v>20</v>
      </c>
      <c r="C8829">
        <v>62458</v>
      </c>
      <c r="D8829" t="str">
        <f>"62458"</f>
        <v>62458</v>
      </c>
      <c r="E8829">
        <v>65.349999999999994</v>
      </c>
    </row>
    <row r="8830" spans="1:5" x14ac:dyDescent="0.2">
      <c r="A8830">
        <v>62459</v>
      </c>
      <c r="B8830" t="s">
        <v>20</v>
      </c>
      <c r="C8830">
        <v>62459</v>
      </c>
      <c r="D8830" t="str">
        <f>"62459"</f>
        <v>62459</v>
      </c>
      <c r="E8830" t="s">
        <v>6</v>
      </c>
    </row>
    <row r="8831" spans="1:5" x14ac:dyDescent="0.2">
      <c r="A8831">
        <v>62460</v>
      </c>
      <c r="B8831" t="s">
        <v>20</v>
      </c>
      <c r="C8831">
        <v>62460</v>
      </c>
      <c r="D8831" t="str">
        <f>"62460"</f>
        <v>62460</v>
      </c>
      <c r="E8831">
        <v>68.09</v>
      </c>
    </row>
    <row r="8832" spans="1:5" x14ac:dyDescent="0.2">
      <c r="A8832">
        <v>62461</v>
      </c>
      <c r="B8832" t="s">
        <v>20</v>
      </c>
      <c r="C8832">
        <v>62461</v>
      </c>
      <c r="D8832" t="str">
        <f>"62461"</f>
        <v>62461</v>
      </c>
      <c r="E8832">
        <v>77.27</v>
      </c>
    </row>
    <row r="8833" spans="1:5" x14ac:dyDescent="0.2">
      <c r="A8833">
        <v>62462</v>
      </c>
      <c r="B8833" t="s">
        <v>20</v>
      </c>
      <c r="C8833">
        <v>62462</v>
      </c>
      <c r="D8833" t="str">
        <f>"62462"</f>
        <v>62462</v>
      </c>
      <c r="E8833">
        <v>78.180000000000007</v>
      </c>
    </row>
    <row r="8834" spans="1:5" x14ac:dyDescent="0.2">
      <c r="A8834">
        <v>62463</v>
      </c>
      <c r="B8834" t="s">
        <v>20</v>
      </c>
      <c r="C8834">
        <v>62463</v>
      </c>
      <c r="D8834" t="str">
        <f>"62463"</f>
        <v>62463</v>
      </c>
      <c r="E8834">
        <v>76.67</v>
      </c>
    </row>
    <row r="8835" spans="1:5" x14ac:dyDescent="0.2">
      <c r="A8835">
        <v>62464</v>
      </c>
      <c r="B8835" t="s">
        <v>20</v>
      </c>
      <c r="C8835">
        <v>62464</v>
      </c>
      <c r="D8835" t="str">
        <f>"62464"</f>
        <v>62464</v>
      </c>
      <c r="E8835" t="s">
        <v>6</v>
      </c>
    </row>
    <row r="8836" spans="1:5" x14ac:dyDescent="0.2">
      <c r="A8836">
        <v>62465</v>
      </c>
      <c r="B8836" t="s">
        <v>20</v>
      </c>
      <c r="C8836">
        <v>62465</v>
      </c>
      <c r="D8836" t="str">
        <f>"62465"</f>
        <v>62465</v>
      </c>
      <c r="E8836">
        <v>78.569999999999993</v>
      </c>
    </row>
    <row r="8837" spans="1:5" x14ac:dyDescent="0.2">
      <c r="A8837">
        <v>62466</v>
      </c>
      <c r="B8837" t="s">
        <v>20</v>
      </c>
      <c r="C8837">
        <v>62466</v>
      </c>
      <c r="D8837" t="str">
        <f>"62466"</f>
        <v>62466</v>
      </c>
      <c r="E8837">
        <v>69.7</v>
      </c>
    </row>
    <row r="8838" spans="1:5" x14ac:dyDescent="0.2">
      <c r="A8838">
        <v>62467</v>
      </c>
      <c r="B8838" t="s">
        <v>20</v>
      </c>
      <c r="C8838">
        <v>62467</v>
      </c>
      <c r="D8838" t="str">
        <f>"62467"</f>
        <v>62467</v>
      </c>
      <c r="E8838">
        <v>81.05</v>
      </c>
    </row>
    <row r="8839" spans="1:5" x14ac:dyDescent="0.2">
      <c r="A8839">
        <v>62468</v>
      </c>
      <c r="B8839" t="s">
        <v>20</v>
      </c>
      <c r="C8839">
        <v>62468</v>
      </c>
      <c r="D8839" t="str">
        <f>"62468"</f>
        <v>62468</v>
      </c>
      <c r="E8839">
        <v>73.45</v>
      </c>
    </row>
    <row r="8840" spans="1:5" x14ac:dyDescent="0.2">
      <c r="A8840">
        <v>62469</v>
      </c>
      <c r="B8840" t="s">
        <v>20</v>
      </c>
      <c r="C8840">
        <v>62469</v>
      </c>
      <c r="D8840" t="str">
        <f>"62469"</f>
        <v>62469</v>
      </c>
      <c r="E8840">
        <v>75</v>
      </c>
    </row>
    <row r="8841" spans="1:5" x14ac:dyDescent="0.2">
      <c r="A8841">
        <v>62471</v>
      </c>
      <c r="B8841" t="s">
        <v>20</v>
      </c>
      <c r="C8841">
        <v>62471</v>
      </c>
      <c r="D8841" t="str">
        <f>"62471"</f>
        <v>62471</v>
      </c>
      <c r="E8841">
        <v>68.06</v>
      </c>
    </row>
    <row r="8842" spans="1:5" x14ac:dyDescent="0.2">
      <c r="A8842">
        <v>62473</v>
      </c>
      <c r="B8842" t="s">
        <v>20</v>
      </c>
      <c r="C8842">
        <v>62473</v>
      </c>
      <c r="D8842" t="str">
        <f>"62473"</f>
        <v>62473</v>
      </c>
      <c r="E8842">
        <v>77.61</v>
      </c>
    </row>
    <row r="8843" spans="1:5" x14ac:dyDescent="0.2">
      <c r="A8843">
        <v>62474</v>
      </c>
      <c r="B8843" t="s">
        <v>20</v>
      </c>
      <c r="C8843">
        <v>62474</v>
      </c>
      <c r="D8843" t="str">
        <f>"62474"</f>
        <v>62474</v>
      </c>
      <c r="E8843">
        <v>75.760000000000005</v>
      </c>
    </row>
    <row r="8844" spans="1:5" x14ac:dyDescent="0.2">
      <c r="A8844">
        <v>62475</v>
      </c>
      <c r="B8844" t="s">
        <v>20</v>
      </c>
      <c r="C8844">
        <v>62475</v>
      </c>
      <c r="D8844" t="str">
        <f>"62475"</f>
        <v>62475</v>
      </c>
      <c r="E8844">
        <v>73.33</v>
      </c>
    </row>
    <row r="8845" spans="1:5" x14ac:dyDescent="0.2">
      <c r="A8845">
        <v>62476</v>
      </c>
      <c r="B8845" t="s">
        <v>20</v>
      </c>
      <c r="C8845">
        <v>62476</v>
      </c>
      <c r="D8845" t="str">
        <f>"62476"</f>
        <v>62476</v>
      </c>
      <c r="E8845">
        <v>72.86</v>
      </c>
    </row>
    <row r="8846" spans="1:5" x14ac:dyDescent="0.2">
      <c r="A8846">
        <v>62477</v>
      </c>
      <c r="B8846" t="s">
        <v>20</v>
      </c>
      <c r="C8846">
        <v>62477</v>
      </c>
      <c r="D8846" t="str">
        <f>"62477"</f>
        <v>62477</v>
      </c>
      <c r="E8846">
        <v>72.5</v>
      </c>
    </row>
    <row r="8847" spans="1:5" x14ac:dyDescent="0.2">
      <c r="A8847">
        <v>62478</v>
      </c>
      <c r="B8847" t="s">
        <v>20</v>
      </c>
      <c r="C8847">
        <v>62478</v>
      </c>
      <c r="D8847" t="str">
        <f>"62478"</f>
        <v>62478</v>
      </c>
      <c r="E8847">
        <v>64.709999999999994</v>
      </c>
    </row>
    <row r="8848" spans="1:5" x14ac:dyDescent="0.2">
      <c r="A8848">
        <v>62479</v>
      </c>
      <c r="B8848" t="s">
        <v>20</v>
      </c>
      <c r="C8848">
        <v>62479</v>
      </c>
      <c r="D8848" t="str">
        <f>"62479"</f>
        <v>62479</v>
      </c>
      <c r="E8848">
        <v>80</v>
      </c>
    </row>
    <row r="8849" spans="1:5" x14ac:dyDescent="0.2">
      <c r="A8849">
        <v>62480</v>
      </c>
      <c r="B8849" t="s">
        <v>20</v>
      </c>
      <c r="C8849">
        <v>62480</v>
      </c>
      <c r="D8849" t="str">
        <f>"62480"</f>
        <v>62480</v>
      </c>
      <c r="E8849">
        <v>67.739999999999995</v>
      </c>
    </row>
    <row r="8850" spans="1:5" x14ac:dyDescent="0.2">
      <c r="A8850">
        <v>62481</v>
      </c>
      <c r="B8850" t="s">
        <v>20</v>
      </c>
      <c r="C8850">
        <v>62481</v>
      </c>
      <c r="D8850" t="str">
        <f>"62481"</f>
        <v>62481</v>
      </c>
      <c r="E8850">
        <v>75</v>
      </c>
    </row>
    <row r="8851" spans="1:5" x14ac:dyDescent="0.2">
      <c r="A8851">
        <v>62501</v>
      </c>
      <c r="B8851" t="s">
        <v>20</v>
      </c>
      <c r="C8851">
        <v>62501</v>
      </c>
      <c r="D8851" t="str">
        <f>"62501"</f>
        <v>62501</v>
      </c>
      <c r="E8851">
        <v>78.63</v>
      </c>
    </row>
    <row r="8852" spans="1:5" x14ac:dyDescent="0.2">
      <c r="A8852">
        <v>62510</v>
      </c>
      <c r="B8852" t="s">
        <v>20</v>
      </c>
      <c r="C8852">
        <v>62510</v>
      </c>
      <c r="D8852" t="str">
        <f>"62510"</f>
        <v>62510</v>
      </c>
      <c r="E8852">
        <v>75</v>
      </c>
    </row>
    <row r="8853" spans="1:5" x14ac:dyDescent="0.2">
      <c r="A8853">
        <v>62512</v>
      </c>
      <c r="B8853" t="s">
        <v>20</v>
      </c>
      <c r="C8853">
        <v>62512</v>
      </c>
      <c r="D8853" t="str">
        <f>"62512"</f>
        <v>62512</v>
      </c>
      <c r="E8853">
        <v>73.91</v>
      </c>
    </row>
    <row r="8854" spans="1:5" x14ac:dyDescent="0.2">
      <c r="A8854">
        <v>62513</v>
      </c>
      <c r="B8854" t="s">
        <v>20</v>
      </c>
      <c r="C8854">
        <v>62513</v>
      </c>
      <c r="D8854" t="str">
        <f>"62513"</f>
        <v>62513</v>
      </c>
      <c r="E8854">
        <v>74.680000000000007</v>
      </c>
    </row>
    <row r="8855" spans="1:5" x14ac:dyDescent="0.2">
      <c r="A8855">
        <v>62514</v>
      </c>
      <c r="B8855" t="s">
        <v>20</v>
      </c>
      <c r="C8855">
        <v>62514</v>
      </c>
      <c r="D8855" t="str">
        <f>"62514"</f>
        <v>62514</v>
      </c>
      <c r="E8855" t="s">
        <v>6</v>
      </c>
    </row>
    <row r="8856" spans="1:5" x14ac:dyDescent="0.2">
      <c r="A8856">
        <v>62515</v>
      </c>
      <c r="B8856" t="s">
        <v>20</v>
      </c>
      <c r="C8856">
        <v>62515</v>
      </c>
      <c r="D8856" t="str">
        <f>"62515"</f>
        <v>62515</v>
      </c>
      <c r="E8856">
        <v>76.19</v>
      </c>
    </row>
    <row r="8857" spans="1:5" x14ac:dyDescent="0.2">
      <c r="A8857">
        <v>62517</v>
      </c>
      <c r="B8857" t="s">
        <v>20</v>
      </c>
      <c r="C8857">
        <v>62517</v>
      </c>
      <c r="D8857" t="str">
        <f>"62517"</f>
        <v>62517</v>
      </c>
      <c r="E8857" t="s">
        <v>6</v>
      </c>
    </row>
    <row r="8858" spans="1:5" x14ac:dyDescent="0.2">
      <c r="A8858">
        <v>62518</v>
      </c>
      <c r="B8858" t="s">
        <v>20</v>
      </c>
      <c r="C8858">
        <v>62518</v>
      </c>
      <c r="D8858" t="str">
        <f>"62518"</f>
        <v>62518</v>
      </c>
      <c r="E8858">
        <v>73.680000000000007</v>
      </c>
    </row>
    <row r="8859" spans="1:5" x14ac:dyDescent="0.2">
      <c r="A8859">
        <v>62520</v>
      </c>
      <c r="B8859" t="s">
        <v>20</v>
      </c>
      <c r="C8859">
        <v>62520</v>
      </c>
      <c r="D8859" t="str">
        <f>"62520"</f>
        <v>62520</v>
      </c>
      <c r="E8859">
        <v>80</v>
      </c>
    </row>
    <row r="8860" spans="1:5" x14ac:dyDescent="0.2">
      <c r="A8860">
        <v>62521</v>
      </c>
      <c r="B8860" t="s">
        <v>20</v>
      </c>
      <c r="C8860">
        <v>62521</v>
      </c>
      <c r="D8860" t="str">
        <f>"62521"</f>
        <v>62521</v>
      </c>
      <c r="E8860">
        <v>69.69</v>
      </c>
    </row>
    <row r="8861" spans="1:5" x14ac:dyDescent="0.2">
      <c r="A8861">
        <v>62522</v>
      </c>
      <c r="B8861" t="s">
        <v>20</v>
      </c>
      <c r="C8861">
        <v>62522</v>
      </c>
      <c r="D8861" t="str">
        <f>"62522"</f>
        <v>62522</v>
      </c>
      <c r="E8861">
        <v>63.61</v>
      </c>
    </row>
    <row r="8862" spans="1:5" x14ac:dyDescent="0.2">
      <c r="A8862">
        <v>62523</v>
      </c>
      <c r="B8862" t="s">
        <v>20</v>
      </c>
      <c r="C8862">
        <v>62523</v>
      </c>
      <c r="D8862" t="str">
        <f>"62523"</f>
        <v>62523</v>
      </c>
      <c r="E8862">
        <v>46.15</v>
      </c>
    </row>
    <row r="8863" spans="1:5" x14ac:dyDescent="0.2">
      <c r="A8863">
        <v>62525</v>
      </c>
      <c r="B8863" t="s">
        <v>20</v>
      </c>
      <c r="C8863">
        <v>62525</v>
      </c>
      <c r="D8863" t="str">
        <f>"62525"</f>
        <v>62525</v>
      </c>
      <c r="E8863" t="s">
        <v>6</v>
      </c>
    </row>
    <row r="8864" spans="1:5" x14ac:dyDescent="0.2">
      <c r="A8864">
        <v>62526</v>
      </c>
      <c r="B8864" t="s">
        <v>20</v>
      </c>
      <c r="C8864">
        <v>62526</v>
      </c>
      <c r="D8864" t="str">
        <f>"62526"</f>
        <v>62526</v>
      </c>
      <c r="E8864">
        <v>66.25</v>
      </c>
    </row>
    <row r="8865" spans="1:5" x14ac:dyDescent="0.2">
      <c r="A8865">
        <v>62530</v>
      </c>
      <c r="B8865" t="s">
        <v>20</v>
      </c>
      <c r="C8865">
        <v>62530</v>
      </c>
      <c r="D8865" t="str">
        <f>"62530"</f>
        <v>62530</v>
      </c>
      <c r="E8865">
        <v>81.819999999999993</v>
      </c>
    </row>
    <row r="8866" spans="1:5" x14ac:dyDescent="0.2">
      <c r="A8866">
        <v>62531</v>
      </c>
      <c r="B8866" t="s">
        <v>20</v>
      </c>
      <c r="C8866">
        <v>62531</v>
      </c>
      <c r="D8866" t="str">
        <f>"62531"</f>
        <v>62531</v>
      </c>
      <c r="E8866">
        <v>76.67</v>
      </c>
    </row>
    <row r="8867" spans="1:5" x14ac:dyDescent="0.2">
      <c r="A8867">
        <v>62533</v>
      </c>
      <c r="B8867" t="s">
        <v>20</v>
      </c>
      <c r="C8867">
        <v>62533</v>
      </c>
      <c r="D8867" t="str">
        <f>"62533"</f>
        <v>62533</v>
      </c>
      <c r="E8867">
        <v>75.510000000000005</v>
      </c>
    </row>
    <row r="8868" spans="1:5" x14ac:dyDescent="0.2">
      <c r="A8868">
        <v>62534</v>
      </c>
      <c r="B8868" t="s">
        <v>20</v>
      </c>
      <c r="C8868">
        <v>62534</v>
      </c>
      <c r="D8868" t="str">
        <f>"62534"</f>
        <v>62534</v>
      </c>
      <c r="E8868">
        <v>76.36</v>
      </c>
    </row>
    <row r="8869" spans="1:5" x14ac:dyDescent="0.2">
      <c r="A8869">
        <v>62535</v>
      </c>
      <c r="B8869" t="s">
        <v>20</v>
      </c>
      <c r="C8869">
        <v>62535</v>
      </c>
      <c r="D8869" t="str">
        <f>"62535"</f>
        <v>62535</v>
      </c>
      <c r="E8869">
        <v>82.53</v>
      </c>
    </row>
    <row r="8870" spans="1:5" x14ac:dyDescent="0.2">
      <c r="A8870">
        <v>62536</v>
      </c>
      <c r="B8870" t="s">
        <v>20</v>
      </c>
      <c r="C8870">
        <v>62536</v>
      </c>
      <c r="D8870" t="str">
        <f>"62536"</f>
        <v>62536</v>
      </c>
      <c r="E8870">
        <v>82.22</v>
      </c>
    </row>
    <row r="8871" spans="1:5" x14ac:dyDescent="0.2">
      <c r="A8871">
        <v>62537</v>
      </c>
      <c r="B8871" t="s">
        <v>20</v>
      </c>
      <c r="C8871">
        <v>62537</v>
      </c>
      <c r="D8871" t="str">
        <f>"62537"</f>
        <v>62537</v>
      </c>
      <c r="E8871" t="s">
        <v>6</v>
      </c>
    </row>
    <row r="8872" spans="1:5" x14ac:dyDescent="0.2">
      <c r="A8872">
        <v>62538</v>
      </c>
      <c r="B8872" t="s">
        <v>20</v>
      </c>
      <c r="C8872">
        <v>62538</v>
      </c>
      <c r="D8872" t="str">
        <f>"62538"</f>
        <v>62538</v>
      </c>
      <c r="E8872">
        <v>73.33</v>
      </c>
    </row>
    <row r="8873" spans="1:5" x14ac:dyDescent="0.2">
      <c r="A8873">
        <v>62539</v>
      </c>
      <c r="B8873" t="s">
        <v>20</v>
      </c>
      <c r="C8873">
        <v>62539</v>
      </c>
      <c r="D8873" t="str">
        <f>"62539"</f>
        <v>62539</v>
      </c>
      <c r="E8873">
        <v>76.27</v>
      </c>
    </row>
    <row r="8874" spans="1:5" x14ac:dyDescent="0.2">
      <c r="A8874">
        <v>62540</v>
      </c>
      <c r="B8874" t="s">
        <v>20</v>
      </c>
      <c r="C8874">
        <v>62540</v>
      </c>
      <c r="D8874" t="str">
        <f>"62540"</f>
        <v>62540</v>
      </c>
      <c r="E8874" t="s">
        <v>6</v>
      </c>
    </row>
    <row r="8875" spans="1:5" x14ac:dyDescent="0.2">
      <c r="A8875">
        <v>62541</v>
      </c>
      <c r="B8875" t="s">
        <v>20</v>
      </c>
      <c r="C8875">
        <v>62541</v>
      </c>
      <c r="D8875" t="str">
        <f>"62541"</f>
        <v>62541</v>
      </c>
      <c r="E8875" t="s">
        <v>6</v>
      </c>
    </row>
    <row r="8876" spans="1:5" x14ac:dyDescent="0.2">
      <c r="A8876">
        <v>62543</v>
      </c>
      <c r="B8876" t="s">
        <v>20</v>
      </c>
      <c r="C8876">
        <v>62543</v>
      </c>
      <c r="D8876" t="str">
        <f>"62543"</f>
        <v>62543</v>
      </c>
      <c r="E8876">
        <v>66.67</v>
      </c>
    </row>
    <row r="8877" spans="1:5" x14ac:dyDescent="0.2">
      <c r="A8877">
        <v>62544</v>
      </c>
      <c r="B8877" t="s">
        <v>20</v>
      </c>
      <c r="C8877">
        <v>62544</v>
      </c>
      <c r="D8877" t="str">
        <f>"62544"</f>
        <v>62544</v>
      </c>
      <c r="E8877">
        <v>76.540000000000006</v>
      </c>
    </row>
    <row r="8878" spans="1:5" x14ac:dyDescent="0.2">
      <c r="A8878">
        <v>62545</v>
      </c>
      <c r="B8878" t="s">
        <v>20</v>
      </c>
      <c r="C8878">
        <v>62545</v>
      </c>
      <c r="D8878" t="str">
        <f>"62545"</f>
        <v>62545</v>
      </c>
      <c r="E8878">
        <v>78.69</v>
      </c>
    </row>
    <row r="8879" spans="1:5" x14ac:dyDescent="0.2">
      <c r="A8879">
        <v>62546</v>
      </c>
      <c r="B8879" t="s">
        <v>20</v>
      </c>
      <c r="C8879">
        <v>62546</v>
      </c>
      <c r="D8879" t="str">
        <f>"62546"</f>
        <v>62546</v>
      </c>
      <c r="E8879">
        <v>78.08</v>
      </c>
    </row>
    <row r="8880" spans="1:5" x14ac:dyDescent="0.2">
      <c r="A8880">
        <v>62547</v>
      </c>
      <c r="B8880" t="s">
        <v>20</v>
      </c>
      <c r="C8880">
        <v>62547</v>
      </c>
      <c r="D8880" t="str">
        <f>"62547"</f>
        <v>62547</v>
      </c>
      <c r="E8880">
        <v>73.53</v>
      </c>
    </row>
    <row r="8881" spans="1:5" x14ac:dyDescent="0.2">
      <c r="A8881">
        <v>62548</v>
      </c>
      <c r="B8881" t="s">
        <v>20</v>
      </c>
      <c r="C8881">
        <v>62548</v>
      </c>
      <c r="D8881" t="str">
        <f>"62548"</f>
        <v>62548</v>
      </c>
      <c r="E8881">
        <v>76.42</v>
      </c>
    </row>
    <row r="8882" spans="1:5" x14ac:dyDescent="0.2">
      <c r="A8882">
        <v>62549</v>
      </c>
      <c r="B8882" t="s">
        <v>20</v>
      </c>
      <c r="C8882">
        <v>62549</v>
      </c>
      <c r="D8882" t="str">
        <f>"62549"</f>
        <v>62549</v>
      </c>
      <c r="E8882">
        <v>79.86</v>
      </c>
    </row>
    <row r="8883" spans="1:5" x14ac:dyDescent="0.2">
      <c r="A8883">
        <v>62550</v>
      </c>
      <c r="B8883" t="s">
        <v>20</v>
      </c>
      <c r="C8883">
        <v>62550</v>
      </c>
      <c r="D8883" t="str">
        <f>"62550"</f>
        <v>62550</v>
      </c>
      <c r="E8883">
        <v>75.569999999999993</v>
      </c>
    </row>
    <row r="8884" spans="1:5" x14ac:dyDescent="0.2">
      <c r="A8884">
        <v>62551</v>
      </c>
      <c r="B8884" t="s">
        <v>20</v>
      </c>
      <c r="C8884">
        <v>62551</v>
      </c>
      <c r="D8884" t="str">
        <f>"62551"</f>
        <v>62551</v>
      </c>
      <c r="E8884">
        <v>72.97</v>
      </c>
    </row>
    <row r="8885" spans="1:5" x14ac:dyDescent="0.2">
      <c r="A8885">
        <v>62553</v>
      </c>
      <c r="B8885" t="s">
        <v>20</v>
      </c>
      <c r="C8885">
        <v>62553</v>
      </c>
      <c r="D8885" t="str">
        <f>"62553"</f>
        <v>62553</v>
      </c>
      <c r="E8885">
        <v>65</v>
      </c>
    </row>
    <row r="8886" spans="1:5" x14ac:dyDescent="0.2">
      <c r="A8886">
        <v>62554</v>
      </c>
      <c r="B8886" t="s">
        <v>20</v>
      </c>
      <c r="C8886">
        <v>62554</v>
      </c>
      <c r="D8886" t="str">
        <f>"62554"</f>
        <v>62554</v>
      </c>
      <c r="E8886">
        <v>78.38</v>
      </c>
    </row>
    <row r="8887" spans="1:5" x14ac:dyDescent="0.2">
      <c r="A8887">
        <v>62555</v>
      </c>
      <c r="B8887" t="s">
        <v>20</v>
      </c>
      <c r="C8887">
        <v>62555</v>
      </c>
      <c r="D8887" t="str">
        <f>"62555"</f>
        <v>62555</v>
      </c>
      <c r="E8887">
        <v>70.83</v>
      </c>
    </row>
    <row r="8888" spans="1:5" x14ac:dyDescent="0.2">
      <c r="A8888">
        <v>62556</v>
      </c>
      <c r="B8888" t="s">
        <v>20</v>
      </c>
      <c r="C8888">
        <v>62556</v>
      </c>
      <c r="D8888" t="str">
        <f>"62556"</f>
        <v>62556</v>
      </c>
      <c r="E8888">
        <v>68.75</v>
      </c>
    </row>
    <row r="8889" spans="1:5" x14ac:dyDescent="0.2">
      <c r="A8889">
        <v>62557</v>
      </c>
      <c r="B8889" t="s">
        <v>20</v>
      </c>
      <c r="C8889">
        <v>62557</v>
      </c>
      <c r="D8889" t="str">
        <f>"62557"</f>
        <v>62557</v>
      </c>
      <c r="E8889">
        <v>68.59</v>
      </c>
    </row>
    <row r="8890" spans="1:5" x14ac:dyDescent="0.2">
      <c r="A8890">
        <v>62558</v>
      </c>
      <c r="B8890" t="s">
        <v>20</v>
      </c>
      <c r="C8890">
        <v>62558</v>
      </c>
      <c r="D8890" t="str">
        <f>"62558"</f>
        <v>62558</v>
      </c>
      <c r="E8890">
        <v>78.03</v>
      </c>
    </row>
    <row r="8891" spans="1:5" x14ac:dyDescent="0.2">
      <c r="A8891">
        <v>62560</v>
      </c>
      <c r="B8891" t="s">
        <v>20</v>
      </c>
      <c r="C8891">
        <v>62560</v>
      </c>
      <c r="D8891" t="str">
        <f>"62560"</f>
        <v>62560</v>
      </c>
      <c r="E8891">
        <v>75.34</v>
      </c>
    </row>
    <row r="8892" spans="1:5" x14ac:dyDescent="0.2">
      <c r="A8892">
        <v>62561</v>
      </c>
      <c r="B8892" t="s">
        <v>20</v>
      </c>
      <c r="C8892">
        <v>62561</v>
      </c>
      <c r="D8892" t="str">
        <f>"62561"</f>
        <v>62561</v>
      </c>
      <c r="E8892">
        <v>74.7</v>
      </c>
    </row>
    <row r="8893" spans="1:5" x14ac:dyDescent="0.2">
      <c r="A8893">
        <v>62563</v>
      </c>
      <c r="B8893" t="s">
        <v>20</v>
      </c>
      <c r="C8893">
        <v>62563</v>
      </c>
      <c r="D8893" t="str">
        <f>"62563"</f>
        <v>62563</v>
      </c>
      <c r="E8893">
        <v>82.13</v>
      </c>
    </row>
    <row r="8894" spans="1:5" x14ac:dyDescent="0.2">
      <c r="A8894">
        <v>62565</v>
      </c>
      <c r="B8894" t="s">
        <v>20</v>
      </c>
      <c r="C8894">
        <v>62565</v>
      </c>
      <c r="D8894" t="str">
        <f>"62565"</f>
        <v>62565</v>
      </c>
      <c r="E8894">
        <v>71.88</v>
      </c>
    </row>
    <row r="8895" spans="1:5" x14ac:dyDescent="0.2">
      <c r="A8895">
        <v>62567</v>
      </c>
      <c r="B8895" t="s">
        <v>20</v>
      </c>
      <c r="C8895">
        <v>62567</v>
      </c>
      <c r="D8895" t="str">
        <f>"62567"</f>
        <v>62567</v>
      </c>
      <c r="E8895">
        <v>73.58</v>
      </c>
    </row>
    <row r="8896" spans="1:5" x14ac:dyDescent="0.2">
      <c r="A8896">
        <v>62568</v>
      </c>
      <c r="B8896" t="s">
        <v>20</v>
      </c>
      <c r="C8896">
        <v>62568</v>
      </c>
      <c r="D8896" t="str">
        <f>"62568"</f>
        <v>62568</v>
      </c>
      <c r="E8896">
        <v>73.099999999999994</v>
      </c>
    </row>
    <row r="8897" spans="1:5" x14ac:dyDescent="0.2">
      <c r="A8897">
        <v>62570</v>
      </c>
      <c r="B8897" t="s">
        <v>20</v>
      </c>
      <c r="C8897">
        <v>62570</v>
      </c>
      <c r="D8897" t="str">
        <f>"62570"</f>
        <v>62570</v>
      </c>
      <c r="E8897" t="s">
        <v>6</v>
      </c>
    </row>
    <row r="8898" spans="1:5" x14ac:dyDescent="0.2">
      <c r="A8898">
        <v>62571</v>
      </c>
      <c r="B8898" t="s">
        <v>20</v>
      </c>
      <c r="C8898">
        <v>62571</v>
      </c>
      <c r="D8898" t="str">
        <f>"62571"</f>
        <v>62571</v>
      </c>
      <c r="E8898">
        <v>72.41</v>
      </c>
    </row>
    <row r="8899" spans="1:5" x14ac:dyDescent="0.2">
      <c r="A8899">
        <v>62572</v>
      </c>
      <c r="B8899" t="s">
        <v>20</v>
      </c>
      <c r="C8899">
        <v>62572</v>
      </c>
      <c r="D8899" t="str">
        <f>"62572"</f>
        <v>62572</v>
      </c>
      <c r="E8899">
        <v>75</v>
      </c>
    </row>
    <row r="8900" spans="1:5" x14ac:dyDescent="0.2">
      <c r="A8900">
        <v>62573</v>
      </c>
      <c r="B8900" t="s">
        <v>20</v>
      </c>
      <c r="C8900">
        <v>62573</v>
      </c>
      <c r="D8900" t="str">
        <f>"62573"</f>
        <v>62573</v>
      </c>
      <c r="E8900">
        <v>77.94</v>
      </c>
    </row>
    <row r="8901" spans="1:5" x14ac:dyDescent="0.2">
      <c r="A8901">
        <v>62601</v>
      </c>
      <c r="B8901" t="s">
        <v>20</v>
      </c>
      <c r="C8901">
        <v>62601</v>
      </c>
      <c r="D8901" t="str">
        <f>"62601"</f>
        <v>62601</v>
      </c>
      <c r="E8901">
        <v>80.95</v>
      </c>
    </row>
    <row r="8902" spans="1:5" x14ac:dyDescent="0.2">
      <c r="A8902">
        <v>62610</v>
      </c>
      <c r="B8902" t="s">
        <v>20</v>
      </c>
      <c r="C8902">
        <v>62610</v>
      </c>
      <c r="D8902" t="str">
        <f>"62610"</f>
        <v>62610</v>
      </c>
      <c r="E8902" t="s">
        <v>6</v>
      </c>
    </row>
    <row r="8903" spans="1:5" x14ac:dyDescent="0.2">
      <c r="A8903">
        <v>62611</v>
      </c>
      <c r="B8903" t="s">
        <v>20</v>
      </c>
      <c r="C8903">
        <v>62611</v>
      </c>
      <c r="D8903" t="str">
        <f>"62611"</f>
        <v>62611</v>
      </c>
      <c r="E8903">
        <v>75.56</v>
      </c>
    </row>
    <row r="8904" spans="1:5" x14ac:dyDescent="0.2">
      <c r="A8904">
        <v>62612</v>
      </c>
      <c r="B8904" t="s">
        <v>20</v>
      </c>
      <c r="C8904">
        <v>62612</v>
      </c>
      <c r="D8904" t="str">
        <f>"62612"</f>
        <v>62612</v>
      </c>
      <c r="E8904">
        <v>74.19</v>
      </c>
    </row>
    <row r="8905" spans="1:5" x14ac:dyDescent="0.2">
      <c r="A8905">
        <v>62613</v>
      </c>
      <c r="B8905" t="s">
        <v>20</v>
      </c>
      <c r="C8905">
        <v>62613</v>
      </c>
      <c r="D8905" t="str">
        <f>"62613"</f>
        <v>62613</v>
      </c>
      <c r="E8905">
        <v>77.37</v>
      </c>
    </row>
    <row r="8906" spans="1:5" x14ac:dyDescent="0.2">
      <c r="A8906">
        <v>62615</v>
      </c>
      <c r="B8906" t="s">
        <v>20</v>
      </c>
      <c r="C8906">
        <v>62615</v>
      </c>
      <c r="D8906" t="str">
        <f>"62615"</f>
        <v>62615</v>
      </c>
      <c r="E8906">
        <v>75.19</v>
      </c>
    </row>
    <row r="8907" spans="1:5" x14ac:dyDescent="0.2">
      <c r="A8907">
        <v>62617</v>
      </c>
      <c r="B8907" t="s">
        <v>20</v>
      </c>
      <c r="C8907">
        <v>62617</v>
      </c>
      <c r="D8907" t="str">
        <f>"62617"</f>
        <v>62617</v>
      </c>
      <c r="E8907">
        <v>68.75</v>
      </c>
    </row>
    <row r="8908" spans="1:5" x14ac:dyDescent="0.2">
      <c r="A8908">
        <v>62618</v>
      </c>
      <c r="B8908" t="s">
        <v>20</v>
      </c>
      <c r="C8908">
        <v>62618</v>
      </c>
      <c r="D8908" t="str">
        <f>"62618"</f>
        <v>62618</v>
      </c>
      <c r="E8908">
        <v>64.06</v>
      </c>
    </row>
    <row r="8909" spans="1:5" x14ac:dyDescent="0.2">
      <c r="A8909">
        <v>62621</v>
      </c>
      <c r="B8909" t="s">
        <v>20</v>
      </c>
      <c r="C8909">
        <v>62621</v>
      </c>
      <c r="D8909" t="str">
        <f>"62621"</f>
        <v>62621</v>
      </c>
      <c r="E8909">
        <v>75.930000000000007</v>
      </c>
    </row>
    <row r="8910" spans="1:5" x14ac:dyDescent="0.2">
      <c r="A8910">
        <v>62624</v>
      </c>
      <c r="B8910" t="s">
        <v>20</v>
      </c>
      <c r="C8910">
        <v>62624</v>
      </c>
      <c r="D8910" t="str">
        <f>"62624"</f>
        <v>62624</v>
      </c>
      <c r="E8910">
        <v>72</v>
      </c>
    </row>
    <row r="8911" spans="1:5" x14ac:dyDescent="0.2">
      <c r="A8911">
        <v>62625</v>
      </c>
      <c r="B8911" t="s">
        <v>20</v>
      </c>
      <c r="C8911">
        <v>62625</v>
      </c>
      <c r="D8911" t="str">
        <f>"62625"</f>
        <v>62625</v>
      </c>
      <c r="E8911">
        <v>82.61</v>
      </c>
    </row>
    <row r="8912" spans="1:5" x14ac:dyDescent="0.2">
      <c r="A8912">
        <v>62626</v>
      </c>
      <c r="B8912" t="s">
        <v>20</v>
      </c>
      <c r="C8912">
        <v>62626</v>
      </c>
      <c r="D8912" t="str">
        <f>"62626"</f>
        <v>62626</v>
      </c>
      <c r="E8912">
        <v>70.05</v>
      </c>
    </row>
    <row r="8913" spans="1:5" x14ac:dyDescent="0.2">
      <c r="A8913">
        <v>62627</v>
      </c>
      <c r="B8913" t="s">
        <v>20</v>
      </c>
      <c r="C8913">
        <v>62627</v>
      </c>
      <c r="D8913" t="str">
        <f>"62627"</f>
        <v>62627</v>
      </c>
      <c r="E8913">
        <v>71.11</v>
      </c>
    </row>
    <row r="8914" spans="1:5" x14ac:dyDescent="0.2">
      <c r="A8914">
        <v>62628</v>
      </c>
      <c r="B8914" t="s">
        <v>20</v>
      </c>
      <c r="C8914">
        <v>62628</v>
      </c>
      <c r="D8914" t="str">
        <f>"62628"</f>
        <v>62628</v>
      </c>
      <c r="E8914">
        <v>74.36</v>
      </c>
    </row>
    <row r="8915" spans="1:5" x14ac:dyDescent="0.2">
      <c r="A8915">
        <v>62629</v>
      </c>
      <c r="B8915" t="s">
        <v>20</v>
      </c>
      <c r="C8915">
        <v>62629</v>
      </c>
      <c r="D8915" t="str">
        <f>"62629"</f>
        <v>62629</v>
      </c>
      <c r="E8915">
        <v>81.3</v>
      </c>
    </row>
    <row r="8916" spans="1:5" x14ac:dyDescent="0.2">
      <c r="A8916">
        <v>62630</v>
      </c>
      <c r="B8916" t="s">
        <v>20</v>
      </c>
      <c r="C8916">
        <v>62630</v>
      </c>
      <c r="D8916" t="str">
        <f>"62630"</f>
        <v>62630</v>
      </c>
      <c r="E8916">
        <v>69.569999999999993</v>
      </c>
    </row>
    <row r="8917" spans="1:5" x14ac:dyDescent="0.2">
      <c r="A8917">
        <v>62631</v>
      </c>
      <c r="B8917" t="s">
        <v>20</v>
      </c>
      <c r="C8917">
        <v>62631</v>
      </c>
      <c r="D8917" t="str">
        <f>"62631"</f>
        <v>62631</v>
      </c>
      <c r="E8917">
        <v>78.569999999999993</v>
      </c>
    </row>
    <row r="8918" spans="1:5" x14ac:dyDescent="0.2">
      <c r="A8918">
        <v>62633</v>
      </c>
      <c r="B8918" t="s">
        <v>20</v>
      </c>
      <c r="C8918">
        <v>62633</v>
      </c>
      <c r="D8918" t="str">
        <f>"62633"</f>
        <v>62633</v>
      </c>
      <c r="E8918">
        <v>75.86</v>
      </c>
    </row>
    <row r="8919" spans="1:5" x14ac:dyDescent="0.2">
      <c r="A8919">
        <v>62634</v>
      </c>
      <c r="B8919" t="s">
        <v>20</v>
      </c>
      <c r="C8919">
        <v>62634</v>
      </c>
      <c r="D8919" t="str">
        <f>"62634"</f>
        <v>62634</v>
      </c>
      <c r="E8919">
        <v>79.55</v>
      </c>
    </row>
    <row r="8920" spans="1:5" x14ac:dyDescent="0.2">
      <c r="A8920">
        <v>62635</v>
      </c>
      <c r="B8920" t="s">
        <v>20</v>
      </c>
      <c r="C8920">
        <v>62635</v>
      </c>
      <c r="D8920" t="str">
        <f>"62635"</f>
        <v>62635</v>
      </c>
      <c r="E8920">
        <v>72.22</v>
      </c>
    </row>
    <row r="8921" spans="1:5" x14ac:dyDescent="0.2">
      <c r="A8921">
        <v>62638</v>
      </c>
      <c r="B8921" t="s">
        <v>20</v>
      </c>
      <c r="C8921">
        <v>62638</v>
      </c>
      <c r="D8921" t="str">
        <f>"62638"</f>
        <v>62638</v>
      </c>
      <c r="E8921">
        <v>76.56</v>
      </c>
    </row>
    <row r="8922" spans="1:5" x14ac:dyDescent="0.2">
      <c r="A8922">
        <v>62639</v>
      </c>
      <c r="B8922" t="s">
        <v>20</v>
      </c>
      <c r="C8922">
        <v>62639</v>
      </c>
      <c r="D8922" t="str">
        <f>"62639"</f>
        <v>62639</v>
      </c>
      <c r="E8922">
        <v>76.92</v>
      </c>
    </row>
    <row r="8923" spans="1:5" x14ac:dyDescent="0.2">
      <c r="A8923">
        <v>62640</v>
      </c>
      <c r="B8923" t="s">
        <v>20</v>
      </c>
      <c r="C8923">
        <v>62640</v>
      </c>
      <c r="D8923" t="str">
        <f>"62640"</f>
        <v>62640</v>
      </c>
      <c r="E8923">
        <v>72.89</v>
      </c>
    </row>
    <row r="8924" spans="1:5" x14ac:dyDescent="0.2">
      <c r="A8924">
        <v>62642</v>
      </c>
      <c r="B8924" t="s">
        <v>20</v>
      </c>
      <c r="C8924">
        <v>62642</v>
      </c>
      <c r="D8924" t="str">
        <f>"62642"</f>
        <v>62642</v>
      </c>
      <c r="E8924">
        <v>76.92</v>
      </c>
    </row>
    <row r="8925" spans="1:5" x14ac:dyDescent="0.2">
      <c r="A8925">
        <v>62643</v>
      </c>
      <c r="B8925" t="s">
        <v>20</v>
      </c>
      <c r="C8925">
        <v>62643</v>
      </c>
      <c r="D8925" t="str">
        <f>"62643"</f>
        <v>62643</v>
      </c>
      <c r="E8925">
        <v>70.83</v>
      </c>
    </row>
    <row r="8926" spans="1:5" x14ac:dyDescent="0.2">
      <c r="A8926">
        <v>62644</v>
      </c>
      <c r="B8926" t="s">
        <v>20</v>
      </c>
      <c r="C8926">
        <v>62644</v>
      </c>
      <c r="D8926" t="str">
        <f>"62644"</f>
        <v>62644</v>
      </c>
      <c r="E8926">
        <v>68.81</v>
      </c>
    </row>
    <row r="8927" spans="1:5" x14ac:dyDescent="0.2">
      <c r="A8927">
        <v>62649</v>
      </c>
      <c r="B8927" t="s">
        <v>20</v>
      </c>
      <c r="C8927">
        <v>62649</v>
      </c>
      <c r="D8927" t="str">
        <f>"62649"</f>
        <v>62649</v>
      </c>
      <c r="E8927">
        <v>76.19</v>
      </c>
    </row>
    <row r="8928" spans="1:5" x14ac:dyDescent="0.2">
      <c r="A8928">
        <v>62650</v>
      </c>
      <c r="B8928" t="s">
        <v>20</v>
      </c>
      <c r="C8928">
        <v>62650</v>
      </c>
      <c r="D8928" t="str">
        <f>"62650"</f>
        <v>62650</v>
      </c>
      <c r="E8928">
        <v>70.989999999999995</v>
      </c>
    </row>
    <row r="8929" spans="1:5" x14ac:dyDescent="0.2">
      <c r="A8929">
        <v>62655</v>
      </c>
      <c r="B8929" t="s">
        <v>20</v>
      </c>
      <c r="C8929">
        <v>62655</v>
      </c>
      <c r="D8929" t="str">
        <f>"62655"</f>
        <v>62655</v>
      </c>
      <c r="E8929">
        <v>66.67</v>
      </c>
    </row>
    <row r="8930" spans="1:5" x14ac:dyDescent="0.2">
      <c r="A8930">
        <v>62656</v>
      </c>
      <c r="B8930" t="s">
        <v>20</v>
      </c>
      <c r="C8930">
        <v>62656</v>
      </c>
      <c r="D8930" t="str">
        <f>"62656"</f>
        <v>62656</v>
      </c>
      <c r="E8930">
        <v>71.37</v>
      </c>
    </row>
    <row r="8931" spans="1:5" x14ac:dyDescent="0.2">
      <c r="A8931">
        <v>62661</v>
      </c>
      <c r="B8931" t="s">
        <v>20</v>
      </c>
      <c r="C8931">
        <v>62661</v>
      </c>
      <c r="D8931" t="str">
        <f>"62661"</f>
        <v>62661</v>
      </c>
      <c r="E8931">
        <v>73.77</v>
      </c>
    </row>
    <row r="8932" spans="1:5" x14ac:dyDescent="0.2">
      <c r="A8932">
        <v>62663</v>
      </c>
      <c r="B8932" t="s">
        <v>20</v>
      </c>
      <c r="C8932">
        <v>62663</v>
      </c>
      <c r="D8932" t="str">
        <f>"62663"</f>
        <v>62663</v>
      </c>
      <c r="E8932" t="s">
        <v>6</v>
      </c>
    </row>
    <row r="8933" spans="1:5" x14ac:dyDescent="0.2">
      <c r="A8933">
        <v>62664</v>
      </c>
      <c r="B8933" t="s">
        <v>20</v>
      </c>
      <c r="C8933">
        <v>62664</v>
      </c>
      <c r="D8933" t="str">
        <f>"62664"</f>
        <v>62664</v>
      </c>
      <c r="E8933">
        <v>73.48</v>
      </c>
    </row>
    <row r="8934" spans="1:5" x14ac:dyDescent="0.2">
      <c r="A8934">
        <v>62665</v>
      </c>
      <c r="B8934" t="s">
        <v>20</v>
      </c>
      <c r="C8934">
        <v>62665</v>
      </c>
      <c r="D8934" t="str">
        <f>"62665"</f>
        <v>62665</v>
      </c>
      <c r="E8934">
        <v>69.349999999999994</v>
      </c>
    </row>
    <row r="8935" spans="1:5" x14ac:dyDescent="0.2">
      <c r="A8935">
        <v>62666</v>
      </c>
      <c r="B8935" t="s">
        <v>20</v>
      </c>
      <c r="C8935">
        <v>62666</v>
      </c>
      <c r="D8935" t="str">
        <f>"62666"</f>
        <v>62666</v>
      </c>
      <c r="E8935">
        <v>70</v>
      </c>
    </row>
    <row r="8936" spans="1:5" x14ac:dyDescent="0.2">
      <c r="A8936">
        <v>62667</v>
      </c>
      <c r="B8936" t="s">
        <v>20</v>
      </c>
      <c r="C8936">
        <v>62667</v>
      </c>
      <c r="D8936" t="str">
        <f>"62667"</f>
        <v>62667</v>
      </c>
      <c r="E8936">
        <v>76</v>
      </c>
    </row>
    <row r="8937" spans="1:5" x14ac:dyDescent="0.2">
      <c r="A8937">
        <v>62668</v>
      </c>
      <c r="B8937" t="s">
        <v>20</v>
      </c>
      <c r="C8937">
        <v>62668</v>
      </c>
      <c r="D8937" t="str">
        <f>"62668"</f>
        <v>62668</v>
      </c>
      <c r="E8937">
        <v>71.209999999999994</v>
      </c>
    </row>
    <row r="8938" spans="1:5" x14ac:dyDescent="0.2">
      <c r="A8938">
        <v>62670</v>
      </c>
      <c r="B8938" t="s">
        <v>20</v>
      </c>
      <c r="C8938">
        <v>62670</v>
      </c>
      <c r="D8938" t="str">
        <f>"62670"</f>
        <v>62670</v>
      </c>
      <c r="E8938">
        <v>77.56</v>
      </c>
    </row>
    <row r="8939" spans="1:5" x14ac:dyDescent="0.2">
      <c r="A8939">
        <v>62671</v>
      </c>
      <c r="B8939" t="s">
        <v>20</v>
      </c>
      <c r="C8939">
        <v>62671</v>
      </c>
      <c r="D8939" t="str">
        <f>"62671"</f>
        <v>62671</v>
      </c>
      <c r="E8939">
        <v>74.069999999999993</v>
      </c>
    </row>
    <row r="8940" spans="1:5" x14ac:dyDescent="0.2">
      <c r="A8940">
        <v>62672</v>
      </c>
      <c r="B8940" t="s">
        <v>20</v>
      </c>
      <c r="C8940">
        <v>62672</v>
      </c>
      <c r="D8940" t="str">
        <f>"62672"</f>
        <v>62672</v>
      </c>
      <c r="E8940" t="s">
        <v>6</v>
      </c>
    </row>
    <row r="8941" spans="1:5" x14ac:dyDescent="0.2">
      <c r="A8941">
        <v>62673</v>
      </c>
      <c r="B8941" t="s">
        <v>20</v>
      </c>
      <c r="C8941">
        <v>62673</v>
      </c>
      <c r="D8941" t="str">
        <f>"62673"</f>
        <v>62673</v>
      </c>
      <c r="E8941">
        <v>75</v>
      </c>
    </row>
    <row r="8942" spans="1:5" x14ac:dyDescent="0.2">
      <c r="A8942">
        <v>62674</v>
      </c>
      <c r="B8942" t="s">
        <v>20</v>
      </c>
      <c r="C8942">
        <v>62674</v>
      </c>
      <c r="D8942" t="str">
        <f>"62674"</f>
        <v>62674</v>
      </c>
      <c r="E8942">
        <v>65</v>
      </c>
    </row>
    <row r="8943" spans="1:5" x14ac:dyDescent="0.2">
      <c r="A8943">
        <v>62675</v>
      </c>
      <c r="B8943" t="s">
        <v>20</v>
      </c>
      <c r="C8943">
        <v>62675</v>
      </c>
      <c r="D8943" t="str">
        <f>"62675"</f>
        <v>62675</v>
      </c>
      <c r="E8943">
        <v>78.569999999999993</v>
      </c>
    </row>
    <row r="8944" spans="1:5" x14ac:dyDescent="0.2">
      <c r="A8944">
        <v>62677</v>
      </c>
      <c r="B8944" t="s">
        <v>20</v>
      </c>
      <c r="C8944">
        <v>62677</v>
      </c>
      <c r="D8944" t="str">
        <f>"62677"</f>
        <v>62677</v>
      </c>
      <c r="E8944">
        <v>80</v>
      </c>
    </row>
    <row r="8945" spans="1:5" x14ac:dyDescent="0.2">
      <c r="A8945">
        <v>62681</v>
      </c>
      <c r="B8945" t="s">
        <v>20</v>
      </c>
      <c r="C8945">
        <v>62681</v>
      </c>
      <c r="D8945" t="str">
        <f>"62681"</f>
        <v>62681</v>
      </c>
      <c r="E8945">
        <v>72.34</v>
      </c>
    </row>
    <row r="8946" spans="1:5" x14ac:dyDescent="0.2">
      <c r="A8946">
        <v>62682</v>
      </c>
      <c r="B8946" t="s">
        <v>20</v>
      </c>
      <c r="C8946">
        <v>62682</v>
      </c>
      <c r="D8946" t="str">
        <f>"62682"</f>
        <v>62682</v>
      </c>
      <c r="E8946">
        <v>74.36</v>
      </c>
    </row>
    <row r="8947" spans="1:5" x14ac:dyDescent="0.2">
      <c r="A8947">
        <v>62684</v>
      </c>
      <c r="B8947" t="s">
        <v>20</v>
      </c>
      <c r="C8947">
        <v>62684</v>
      </c>
      <c r="D8947" t="str">
        <f>"62684"</f>
        <v>62684</v>
      </c>
      <c r="E8947">
        <v>82.44</v>
      </c>
    </row>
    <row r="8948" spans="1:5" x14ac:dyDescent="0.2">
      <c r="A8948">
        <v>62685</v>
      </c>
      <c r="B8948" t="s">
        <v>20</v>
      </c>
      <c r="C8948">
        <v>62685</v>
      </c>
      <c r="D8948" t="str">
        <f>"62685"</f>
        <v>62685</v>
      </c>
      <c r="E8948">
        <v>76.19</v>
      </c>
    </row>
    <row r="8949" spans="1:5" x14ac:dyDescent="0.2">
      <c r="A8949">
        <v>62688</v>
      </c>
      <c r="B8949" t="s">
        <v>20</v>
      </c>
      <c r="C8949">
        <v>62688</v>
      </c>
      <c r="D8949" t="str">
        <f>"62688"</f>
        <v>62688</v>
      </c>
      <c r="E8949">
        <v>72.97</v>
      </c>
    </row>
    <row r="8950" spans="1:5" x14ac:dyDescent="0.2">
      <c r="A8950">
        <v>62689</v>
      </c>
      <c r="B8950" t="s">
        <v>20</v>
      </c>
      <c r="C8950">
        <v>62689</v>
      </c>
      <c r="D8950" t="str">
        <f>"62689"</f>
        <v>62689</v>
      </c>
      <c r="E8950" t="s">
        <v>6</v>
      </c>
    </row>
    <row r="8951" spans="1:5" x14ac:dyDescent="0.2">
      <c r="A8951">
        <v>62690</v>
      </c>
      <c r="B8951" t="s">
        <v>20</v>
      </c>
      <c r="C8951">
        <v>62690</v>
      </c>
      <c r="D8951" t="str">
        <f>"62690"</f>
        <v>62690</v>
      </c>
      <c r="E8951">
        <v>70.650000000000006</v>
      </c>
    </row>
    <row r="8952" spans="1:5" x14ac:dyDescent="0.2">
      <c r="A8952">
        <v>62691</v>
      </c>
      <c r="B8952" t="s">
        <v>20</v>
      </c>
      <c r="C8952">
        <v>62691</v>
      </c>
      <c r="D8952" t="str">
        <f>"62691"</f>
        <v>62691</v>
      </c>
      <c r="E8952">
        <v>74.55</v>
      </c>
    </row>
    <row r="8953" spans="1:5" x14ac:dyDescent="0.2">
      <c r="A8953">
        <v>62692</v>
      </c>
      <c r="B8953" t="s">
        <v>20</v>
      </c>
      <c r="C8953">
        <v>62692</v>
      </c>
      <c r="D8953" t="str">
        <f>"62692"</f>
        <v>62692</v>
      </c>
      <c r="E8953">
        <v>73.47</v>
      </c>
    </row>
    <row r="8954" spans="1:5" x14ac:dyDescent="0.2">
      <c r="A8954">
        <v>62693</v>
      </c>
      <c r="B8954" t="s">
        <v>20</v>
      </c>
      <c r="C8954">
        <v>62693</v>
      </c>
      <c r="D8954" t="str">
        <f>"62693"</f>
        <v>62693</v>
      </c>
      <c r="E8954">
        <v>82.02</v>
      </c>
    </row>
    <row r="8955" spans="1:5" x14ac:dyDescent="0.2">
      <c r="A8955">
        <v>62694</v>
      </c>
      <c r="B8955" t="s">
        <v>20</v>
      </c>
      <c r="C8955">
        <v>62694</v>
      </c>
      <c r="D8955" t="str">
        <f>"62694"</f>
        <v>62694</v>
      </c>
      <c r="E8955">
        <v>71.23</v>
      </c>
    </row>
    <row r="8956" spans="1:5" x14ac:dyDescent="0.2">
      <c r="A8956">
        <v>62695</v>
      </c>
      <c r="B8956" t="s">
        <v>20</v>
      </c>
      <c r="C8956">
        <v>62695</v>
      </c>
      <c r="D8956" t="str">
        <f>"62695"</f>
        <v>62695</v>
      </c>
      <c r="E8956" t="s">
        <v>6</v>
      </c>
    </row>
    <row r="8957" spans="1:5" x14ac:dyDescent="0.2">
      <c r="A8957">
        <v>62701</v>
      </c>
      <c r="B8957" t="s">
        <v>20</v>
      </c>
      <c r="C8957">
        <v>62701</v>
      </c>
      <c r="D8957" t="str">
        <f>"62701"</f>
        <v>62701</v>
      </c>
      <c r="E8957">
        <v>80.489999999999995</v>
      </c>
    </row>
    <row r="8958" spans="1:5" x14ac:dyDescent="0.2">
      <c r="A8958">
        <v>62702</v>
      </c>
      <c r="B8958" t="s">
        <v>20</v>
      </c>
      <c r="C8958">
        <v>62702</v>
      </c>
      <c r="D8958" t="str">
        <f>"62702"</f>
        <v>62702</v>
      </c>
      <c r="E8958">
        <v>67.31</v>
      </c>
    </row>
    <row r="8959" spans="1:5" x14ac:dyDescent="0.2">
      <c r="A8959">
        <v>62703</v>
      </c>
      <c r="B8959" t="s">
        <v>20</v>
      </c>
      <c r="C8959">
        <v>62703</v>
      </c>
      <c r="D8959" t="str">
        <f>"62703"</f>
        <v>62703</v>
      </c>
      <c r="E8959">
        <v>62.78</v>
      </c>
    </row>
    <row r="8960" spans="1:5" x14ac:dyDescent="0.2">
      <c r="A8960">
        <v>62704</v>
      </c>
      <c r="B8960" t="s">
        <v>20</v>
      </c>
      <c r="C8960">
        <v>62704</v>
      </c>
      <c r="D8960" t="str">
        <f>"62704"</f>
        <v>62704</v>
      </c>
      <c r="E8960">
        <v>76.67</v>
      </c>
    </row>
    <row r="8961" spans="1:5" x14ac:dyDescent="0.2">
      <c r="A8961">
        <v>62706</v>
      </c>
      <c r="B8961" t="s">
        <v>20</v>
      </c>
      <c r="C8961">
        <v>62706</v>
      </c>
      <c r="D8961" t="str">
        <f>"62706"</f>
        <v>62706</v>
      </c>
      <c r="E8961" t="s">
        <v>6</v>
      </c>
    </row>
    <row r="8962" spans="1:5" x14ac:dyDescent="0.2">
      <c r="A8962">
        <v>62707</v>
      </c>
      <c r="B8962" t="s">
        <v>20</v>
      </c>
      <c r="C8962">
        <v>62707</v>
      </c>
      <c r="D8962" t="str">
        <f>"62707"</f>
        <v>62707</v>
      </c>
      <c r="E8962">
        <v>77.37</v>
      </c>
    </row>
    <row r="8963" spans="1:5" x14ac:dyDescent="0.2">
      <c r="A8963">
        <v>62711</v>
      </c>
      <c r="B8963" t="s">
        <v>20</v>
      </c>
      <c r="C8963">
        <v>62711</v>
      </c>
      <c r="D8963" t="str">
        <f>"62711"</f>
        <v>62711</v>
      </c>
      <c r="E8963">
        <v>83.93</v>
      </c>
    </row>
    <row r="8964" spans="1:5" x14ac:dyDescent="0.2">
      <c r="A8964">
        <v>62712</v>
      </c>
      <c r="B8964" t="s">
        <v>20</v>
      </c>
      <c r="C8964">
        <v>62712</v>
      </c>
      <c r="D8964" t="str">
        <f>"62712"</f>
        <v>62712</v>
      </c>
      <c r="E8964">
        <v>82.94</v>
      </c>
    </row>
    <row r="8965" spans="1:5" x14ac:dyDescent="0.2">
      <c r="A8965">
        <v>62756</v>
      </c>
      <c r="B8965" t="s">
        <v>20</v>
      </c>
      <c r="C8965">
        <v>62756</v>
      </c>
      <c r="D8965" t="str">
        <f>"62756"</f>
        <v>62756</v>
      </c>
      <c r="E8965" t="s">
        <v>6</v>
      </c>
    </row>
    <row r="8966" spans="1:5" x14ac:dyDescent="0.2">
      <c r="A8966">
        <v>62764</v>
      </c>
      <c r="B8966" t="s">
        <v>20</v>
      </c>
      <c r="C8966">
        <v>62764</v>
      </c>
      <c r="D8966" t="str">
        <f>"62764"</f>
        <v>62764</v>
      </c>
      <c r="E8966" t="s">
        <v>6</v>
      </c>
    </row>
    <row r="8967" spans="1:5" x14ac:dyDescent="0.2">
      <c r="A8967">
        <v>62765</v>
      </c>
      <c r="B8967" t="s">
        <v>20</v>
      </c>
      <c r="C8967">
        <v>62765</v>
      </c>
      <c r="D8967" t="str">
        <f>"62765"</f>
        <v>62765</v>
      </c>
      <c r="E8967" t="s">
        <v>6</v>
      </c>
    </row>
    <row r="8968" spans="1:5" x14ac:dyDescent="0.2">
      <c r="A8968">
        <v>62781</v>
      </c>
      <c r="B8968" t="s">
        <v>20</v>
      </c>
      <c r="C8968">
        <v>62781</v>
      </c>
      <c r="D8968" t="str">
        <f>"62781"</f>
        <v>62781</v>
      </c>
      <c r="E8968" t="s">
        <v>6</v>
      </c>
    </row>
    <row r="8969" spans="1:5" x14ac:dyDescent="0.2">
      <c r="A8969">
        <v>62801</v>
      </c>
      <c r="B8969" t="s">
        <v>20</v>
      </c>
      <c r="C8969">
        <v>62801</v>
      </c>
      <c r="D8969" t="str">
        <f>"62801"</f>
        <v>62801</v>
      </c>
      <c r="E8969">
        <v>66.44</v>
      </c>
    </row>
    <row r="8970" spans="1:5" x14ac:dyDescent="0.2">
      <c r="A8970">
        <v>62803</v>
      </c>
      <c r="B8970" t="s">
        <v>20</v>
      </c>
      <c r="C8970">
        <v>62803</v>
      </c>
      <c r="D8970" t="str">
        <f>"62803"</f>
        <v>62803</v>
      </c>
      <c r="E8970">
        <v>77.78</v>
      </c>
    </row>
    <row r="8971" spans="1:5" x14ac:dyDescent="0.2">
      <c r="A8971">
        <v>62806</v>
      </c>
      <c r="B8971" t="s">
        <v>20</v>
      </c>
      <c r="C8971">
        <v>62806</v>
      </c>
      <c r="D8971" t="str">
        <f>"62806"</f>
        <v>62806</v>
      </c>
      <c r="E8971">
        <v>70.86</v>
      </c>
    </row>
    <row r="8972" spans="1:5" x14ac:dyDescent="0.2">
      <c r="A8972">
        <v>62807</v>
      </c>
      <c r="B8972" t="s">
        <v>20</v>
      </c>
      <c r="C8972">
        <v>62807</v>
      </c>
      <c r="D8972" t="str">
        <f>"62807"</f>
        <v>62807</v>
      </c>
      <c r="E8972">
        <v>74.36</v>
      </c>
    </row>
    <row r="8973" spans="1:5" x14ac:dyDescent="0.2">
      <c r="A8973">
        <v>62808</v>
      </c>
      <c r="B8973" t="s">
        <v>20</v>
      </c>
      <c r="C8973">
        <v>62808</v>
      </c>
      <c r="D8973" t="str">
        <f>"62808"</f>
        <v>62808</v>
      </c>
      <c r="E8973">
        <v>70.59</v>
      </c>
    </row>
    <row r="8974" spans="1:5" x14ac:dyDescent="0.2">
      <c r="A8974">
        <v>62809</v>
      </c>
      <c r="B8974" t="s">
        <v>20</v>
      </c>
      <c r="C8974">
        <v>62809</v>
      </c>
      <c r="D8974" t="str">
        <f>"62809"</f>
        <v>62809</v>
      </c>
      <c r="E8974">
        <v>75</v>
      </c>
    </row>
    <row r="8975" spans="1:5" x14ac:dyDescent="0.2">
      <c r="A8975">
        <v>62810</v>
      </c>
      <c r="B8975" t="s">
        <v>20</v>
      </c>
      <c r="C8975">
        <v>62810</v>
      </c>
      <c r="D8975" t="str">
        <f>"62810"</f>
        <v>62810</v>
      </c>
      <c r="E8975">
        <v>67.39</v>
      </c>
    </row>
    <row r="8976" spans="1:5" x14ac:dyDescent="0.2">
      <c r="A8976">
        <v>62811</v>
      </c>
      <c r="B8976" t="s">
        <v>20</v>
      </c>
      <c r="C8976">
        <v>62811</v>
      </c>
      <c r="D8976" t="str">
        <f>"62811"</f>
        <v>62811</v>
      </c>
      <c r="E8976" t="s">
        <v>6</v>
      </c>
    </row>
    <row r="8977" spans="1:5" x14ac:dyDescent="0.2">
      <c r="A8977">
        <v>62812</v>
      </c>
      <c r="B8977" t="s">
        <v>20</v>
      </c>
      <c r="C8977">
        <v>62812</v>
      </c>
      <c r="D8977" t="str">
        <f>"62812"</f>
        <v>62812</v>
      </c>
      <c r="E8977">
        <v>68.17</v>
      </c>
    </row>
    <row r="8978" spans="1:5" x14ac:dyDescent="0.2">
      <c r="A8978">
        <v>62814</v>
      </c>
      <c r="B8978" t="s">
        <v>20</v>
      </c>
      <c r="C8978">
        <v>62814</v>
      </c>
      <c r="D8978" t="str">
        <f>"62814"</f>
        <v>62814</v>
      </c>
      <c r="E8978">
        <v>73.260000000000005</v>
      </c>
    </row>
    <row r="8979" spans="1:5" x14ac:dyDescent="0.2">
      <c r="A8979">
        <v>62815</v>
      </c>
      <c r="B8979" t="s">
        <v>20</v>
      </c>
      <c r="C8979">
        <v>62815</v>
      </c>
      <c r="D8979" t="str">
        <f>"62815"</f>
        <v>62815</v>
      </c>
      <c r="E8979">
        <v>84.62</v>
      </c>
    </row>
    <row r="8980" spans="1:5" x14ac:dyDescent="0.2">
      <c r="A8980">
        <v>62816</v>
      </c>
      <c r="B8980" t="s">
        <v>20</v>
      </c>
      <c r="C8980">
        <v>62816</v>
      </c>
      <c r="D8980" t="str">
        <f>"62816"</f>
        <v>62816</v>
      </c>
      <c r="E8980">
        <v>75.47</v>
      </c>
    </row>
    <row r="8981" spans="1:5" x14ac:dyDescent="0.2">
      <c r="A8981">
        <v>62817</v>
      </c>
      <c r="B8981" t="s">
        <v>20</v>
      </c>
      <c r="C8981">
        <v>62817</v>
      </c>
      <c r="D8981" t="str">
        <f>"62817"</f>
        <v>62817</v>
      </c>
      <c r="E8981">
        <v>62.5</v>
      </c>
    </row>
    <row r="8982" spans="1:5" x14ac:dyDescent="0.2">
      <c r="A8982">
        <v>62818</v>
      </c>
      <c r="B8982" t="s">
        <v>20</v>
      </c>
      <c r="C8982">
        <v>62818</v>
      </c>
      <c r="D8982" t="str">
        <f>"62818"</f>
        <v>62818</v>
      </c>
      <c r="E8982">
        <v>68.75</v>
      </c>
    </row>
    <row r="8983" spans="1:5" x14ac:dyDescent="0.2">
      <c r="A8983">
        <v>62819</v>
      </c>
      <c r="B8983" t="s">
        <v>20</v>
      </c>
      <c r="C8983">
        <v>62819</v>
      </c>
      <c r="D8983" t="str">
        <f>"62819"</f>
        <v>62819</v>
      </c>
      <c r="E8983">
        <v>62.5</v>
      </c>
    </row>
    <row r="8984" spans="1:5" x14ac:dyDescent="0.2">
      <c r="A8984">
        <v>62820</v>
      </c>
      <c r="B8984" t="s">
        <v>20</v>
      </c>
      <c r="C8984">
        <v>62820</v>
      </c>
      <c r="D8984" t="str">
        <f>"62820"</f>
        <v>62820</v>
      </c>
      <c r="E8984" t="s">
        <v>6</v>
      </c>
    </row>
    <row r="8985" spans="1:5" x14ac:dyDescent="0.2">
      <c r="A8985">
        <v>62821</v>
      </c>
      <c r="B8985" t="s">
        <v>20</v>
      </c>
      <c r="C8985">
        <v>62821</v>
      </c>
      <c r="D8985" t="str">
        <f>"62821"</f>
        <v>62821</v>
      </c>
      <c r="E8985">
        <v>70.13</v>
      </c>
    </row>
    <row r="8986" spans="1:5" x14ac:dyDescent="0.2">
      <c r="A8986">
        <v>62822</v>
      </c>
      <c r="B8986" t="s">
        <v>20</v>
      </c>
      <c r="C8986">
        <v>62822</v>
      </c>
      <c r="D8986" t="str">
        <f>"62822"</f>
        <v>62822</v>
      </c>
      <c r="E8986">
        <v>63.93</v>
      </c>
    </row>
    <row r="8987" spans="1:5" x14ac:dyDescent="0.2">
      <c r="A8987">
        <v>62823</v>
      </c>
      <c r="B8987" t="s">
        <v>20</v>
      </c>
      <c r="C8987">
        <v>62823</v>
      </c>
      <c r="D8987" t="str">
        <f>"62823"</f>
        <v>62823</v>
      </c>
      <c r="E8987">
        <v>68.83</v>
      </c>
    </row>
    <row r="8988" spans="1:5" x14ac:dyDescent="0.2">
      <c r="A8988">
        <v>62824</v>
      </c>
      <c r="B8988" t="s">
        <v>20</v>
      </c>
      <c r="C8988">
        <v>62824</v>
      </c>
      <c r="D8988" t="str">
        <f>"62824"</f>
        <v>62824</v>
      </c>
      <c r="E8988">
        <v>68.83</v>
      </c>
    </row>
    <row r="8989" spans="1:5" x14ac:dyDescent="0.2">
      <c r="A8989">
        <v>62825</v>
      </c>
      <c r="B8989" t="s">
        <v>20</v>
      </c>
      <c r="C8989">
        <v>62825</v>
      </c>
      <c r="D8989" t="str">
        <f>"62825"</f>
        <v>62825</v>
      </c>
      <c r="E8989" t="s">
        <v>6</v>
      </c>
    </row>
    <row r="8990" spans="1:5" x14ac:dyDescent="0.2">
      <c r="A8990">
        <v>62827</v>
      </c>
      <c r="B8990" t="s">
        <v>20</v>
      </c>
      <c r="C8990">
        <v>62827</v>
      </c>
      <c r="D8990" t="str">
        <f>"62827"</f>
        <v>62827</v>
      </c>
      <c r="E8990">
        <v>76.47</v>
      </c>
    </row>
    <row r="8991" spans="1:5" x14ac:dyDescent="0.2">
      <c r="A8991">
        <v>62828</v>
      </c>
      <c r="B8991" t="s">
        <v>20</v>
      </c>
      <c r="C8991">
        <v>62828</v>
      </c>
      <c r="D8991" t="str">
        <f>"62828"</f>
        <v>62828</v>
      </c>
      <c r="E8991">
        <v>75.41</v>
      </c>
    </row>
    <row r="8992" spans="1:5" x14ac:dyDescent="0.2">
      <c r="A8992">
        <v>62830</v>
      </c>
      <c r="B8992" t="s">
        <v>20</v>
      </c>
      <c r="C8992">
        <v>62830</v>
      </c>
      <c r="D8992" t="str">
        <f>"62830"</f>
        <v>62830</v>
      </c>
      <c r="E8992">
        <v>70.489999999999995</v>
      </c>
    </row>
    <row r="8993" spans="1:5" x14ac:dyDescent="0.2">
      <c r="A8993">
        <v>62831</v>
      </c>
      <c r="B8993" t="s">
        <v>20</v>
      </c>
      <c r="C8993">
        <v>62831</v>
      </c>
      <c r="D8993" t="str">
        <f>"62831"</f>
        <v>62831</v>
      </c>
      <c r="E8993">
        <v>77.78</v>
      </c>
    </row>
    <row r="8994" spans="1:5" x14ac:dyDescent="0.2">
      <c r="A8994">
        <v>62832</v>
      </c>
      <c r="B8994" t="s">
        <v>20</v>
      </c>
      <c r="C8994">
        <v>62832</v>
      </c>
      <c r="D8994" t="str">
        <f>"62832"</f>
        <v>62832</v>
      </c>
      <c r="E8994">
        <v>69.17</v>
      </c>
    </row>
    <row r="8995" spans="1:5" x14ac:dyDescent="0.2">
      <c r="A8995">
        <v>62833</v>
      </c>
      <c r="B8995" t="s">
        <v>20</v>
      </c>
      <c r="C8995">
        <v>62833</v>
      </c>
      <c r="D8995" t="str">
        <f>"62833"</f>
        <v>62833</v>
      </c>
      <c r="E8995">
        <v>75</v>
      </c>
    </row>
    <row r="8996" spans="1:5" x14ac:dyDescent="0.2">
      <c r="A8996">
        <v>62835</v>
      </c>
      <c r="B8996" t="s">
        <v>20</v>
      </c>
      <c r="C8996">
        <v>62835</v>
      </c>
      <c r="D8996" t="str">
        <f>"62835"</f>
        <v>62835</v>
      </c>
      <c r="E8996">
        <v>66.67</v>
      </c>
    </row>
    <row r="8997" spans="1:5" x14ac:dyDescent="0.2">
      <c r="A8997">
        <v>62836</v>
      </c>
      <c r="B8997" t="s">
        <v>20</v>
      </c>
      <c r="C8997">
        <v>62836</v>
      </c>
      <c r="D8997" t="str">
        <f>"62836"</f>
        <v>62836</v>
      </c>
      <c r="E8997">
        <v>72.73</v>
      </c>
    </row>
    <row r="8998" spans="1:5" x14ac:dyDescent="0.2">
      <c r="A8998">
        <v>62837</v>
      </c>
      <c r="B8998" t="s">
        <v>20</v>
      </c>
      <c r="C8998">
        <v>62837</v>
      </c>
      <c r="D8998" t="str">
        <f>"62837"</f>
        <v>62837</v>
      </c>
      <c r="E8998">
        <v>68.150000000000006</v>
      </c>
    </row>
    <row r="8999" spans="1:5" x14ac:dyDescent="0.2">
      <c r="A8999">
        <v>62838</v>
      </c>
      <c r="B8999" t="s">
        <v>20</v>
      </c>
      <c r="C8999">
        <v>62838</v>
      </c>
      <c r="D8999" t="str">
        <f>"62838"</f>
        <v>62838</v>
      </c>
      <c r="E8999">
        <v>66.180000000000007</v>
      </c>
    </row>
    <row r="9000" spans="1:5" x14ac:dyDescent="0.2">
      <c r="A9000">
        <v>62839</v>
      </c>
      <c r="B9000" t="s">
        <v>20</v>
      </c>
      <c r="C9000">
        <v>62839</v>
      </c>
      <c r="D9000" t="str">
        <f>"62839"</f>
        <v>62839</v>
      </c>
      <c r="E9000">
        <v>67.8</v>
      </c>
    </row>
    <row r="9001" spans="1:5" x14ac:dyDescent="0.2">
      <c r="A9001">
        <v>62841</v>
      </c>
      <c r="B9001" t="s">
        <v>20</v>
      </c>
      <c r="C9001">
        <v>62841</v>
      </c>
      <c r="D9001" t="str">
        <f>"62841"</f>
        <v>62841</v>
      </c>
      <c r="E9001" t="s">
        <v>6</v>
      </c>
    </row>
    <row r="9002" spans="1:5" x14ac:dyDescent="0.2">
      <c r="A9002">
        <v>62842</v>
      </c>
      <c r="B9002" t="s">
        <v>20</v>
      </c>
      <c r="C9002">
        <v>62842</v>
      </c>
      <c r="D9002" t="str">
        <f>"62842"</f>
        <v>62842</v>
      </c>
      <c r="E9002">
        <v>69.44</v>
      </c>
    </row>
    <row r="9003" spans="1:5" x14ac:dyDescent="0.2">
      <c r="A9003">
        <v>62843</v>
      </c>
      <c r="B9003" t="s">
        <v>20</v>
      </c>
      <c r="C9003">
        <v>62843</v>
      </c>
      <c r="D9003" t="str">
        <f>"62843"</f>
        <v>62843</v>
      </c>
      <c r="E9003" t="s">
        <v>6</v>
      </c>
    </row>
    <row r="9004" spans="1:5" x14ac:dyDescent="0.2">
      <c r="A9004">
        <v>62844</v>
      </c>
      <c r="B9004" t="s">
        <v>20</v>
      </c>
      <c r="C9004">
        <v>62844</v>
      </c>
      <c r="D9004" t="str">
        <f>"62844"</f>
        <v>62844</v>
      </c>
      <c r="E9004">
        <v>68.599999999999994</v>
      </c>
    </row>
    <row r="9005" spans="1:5" x14ac:dyDescent="0.2">
      <c r="A9005">
        <v>62846</v>
      </c>
      <c r="B9005" t="s">
        <v>20</v>
      </c>
      <c r="C9005">
        <v>62846</v>
      </c>
      <c r="D9005" t="str">
        <f>"62846"</f>
        <v>62846</v>
      </c>
      <c r="E9005">
        <v>67.86</v>
      </c>
    </row>
    <row r="9006" spans="1:5" x14ac:dyDescent="0.2">
      <c r="A9006">
        <v>62848</v>
      </c>
      <c r="B9006" t="s">
        <v>20</v>
      </c>
      <c r="C9006">
        <v>62848</v>
      </c>
      <c r="D9006" t="str">
        <f>"62848"</f>
        <v>62848</v>
      </c>
      <c r="E9006" t="s">
        <v>6</v>
      </c>
    </row>
    <row r="9007" spans="1:5" x14ac:dyDescent="0.2">
      <c r="A9007">
        <v>62849</v>
      </c>
      <c r="B9007" t="s">
        <v>20</v>
      </c>
      <c r="C9007">
        <v>62849</v>
      </c>
      <c r="D9007" t="str">
        <f>"62849"</f>
        <v>62849</v>
      </c>
      <c r="E9007">
        <v>67.709999999999994</v>
      </c>
    </row>
    <row r="9008" spans="1:5" x14ac:dyDescent="0.2">
      <c r="A9008">
        <v>62850</v>
      </c>
      <c r="B9008" t="s">
        <v>20</v>
      </c>
      <c r="C9008">
        <v>62850</v>
      </c>
      <c r="D9008" t="str">
        <f>"62850"</f>
        <v>62850</v>
      </c>
      <c r="E9008">
        <v>60</v>
      </c>
    </row>
    <row r="9009" spans="1:5" x14ac:dyDescent="0.2">
      <c r="A9009">
        <v>62851</v>
      </c>
      <c r="B9009" t="s">
        <v>20</v>
      </c>
      <c r="C9009">
        <v>62851</v>
      </c>
      <c r="D9009" t="str">
        <f>"62851"</f>
        <v>62851</v>
      </c>
      <c r="E9009">
        <v>73.33</v>
      </c>
    </row>
    <row r="9010" spans="1:5" x14ac:dyDescent="0.2">
      <c r="A9010">
        <v>62852</v>
      </c>
      <c r="B9010" t="s">
        <v>20</v>
      </c>
      <c r="C9010">
        <v>62852</v>
      </c>
      <c r="D9010" t="str">
        <f>"62852"</f>
        <v>62852</v>
      </c>
      <c r="E9010" t="s">
        <v>6</v>
      </c>
    </row>
    <row r="9011" spans="1:5" x14ac:dyDescent="0.2">
      <c r="A9011">
        <v>62853</v>
      </c>
      <c r="B9011" t="s">
        <v>20</v>
      </c>
      <c r="C9011">
        <v>62853</v>
      </c>
      <c r="D9011" t="str">
        <f>"62853"</f>
        <v>62853</v>
      </c>
      <c r="E9011">
        <v>70.45</v>
      </c>
    </row>
    <row r="9012" spans="1:5" x14ac:dyDescent="0.2">
      <c r="A9012">
        <v>62854</v>
      </c>
      <c r="B9012" t="s">
        <v>20</v>
      </c>
      <c r="C9012">
        <v>62854</v>
      </c>
      <c r="D9012" t="str">
        <f>"62854"</f>
        <v>62854</v>
      </c>
      <c r="E9012">
        <v>66.23</v>
      </c>
    </row>
    <row r="9013" spans="1:5" x14ac:dyDescent="0.2">
      <c r="A9013">
        <v>62856</v>
      </c>
      <c r="B9013" t="s">
        <v>20</v>
      </c>
      <c r="C9013">
        <v>62856</v>
      </c>
      <c r="D9013" t="str">
        <f>"62856"</f>
        <v>62856</v>
      </c>
      <c r="E9013" t="s">
        <v>6</v>
      </c>
    </row>
    <row r="9014" spans="1:5" x14ac:dyDescent="0.2">
      <c r="A9014">
        <v>62858</v>
      </c>
      <c r="B9014" t="s">
        <v>20</v>
      </c>
      <c r="C9014">
        <v>62858</v>
      </c>
      <c r="D9014" t="str">
        <f>"62858"</f>
        <v>62858</v>
      </c>
      <c r="E9014">
        <v>70.45</v>
      </c>
    </row>
    <row r="9015" spans="1:5" x14ac:dyDescent="0.2">
      <c r="A9015">
        <v>62859</v>
      </c>
      <c r="B9015" t="s">
        <v>20</v>
      </c>
      <c r="C9015">
        <v>62859</v>
      </c>
      <c r="D9015" t="str">
        <f>"62859"</f>
        <v>62859</v>
      </c>
      <c r="E9015">
        <v>69.040000000000006</v>
      </c>
    </row>
    <row r="9016" spans="1:5" x14ac:dyDescent="0.2">
      <c r="A9016">
        <v>62860</v>
      </c>
      <c r="B9016" t="s">
        <v>20</v>
      </c>
      <c r="C9016">
        <v>62860</v>
      </c>
      <c r="D9016" t="str">
        <f>"62860"</f>
        <v>62860</v>
      </c>
      <c r="E9016">
        <v>69.23</v>
      </c>
    </row>
    <row r="9017" spans="1:5" x14ac:dyDescent="0.2">
      <c r="A9017">
        <v>62862</v>
      </c>
      <c r="B9017" t="s">
        <v>20</v>
      </c>
      <c r="C9017">
        <v>62862</v>
      </c>
      <c r="D9017" t="str">
        <f>"62862"</f>
        <v>62862</v>
      </c>
      <c r="E9017">
        <v>68.75</v>
      </c>
    </row>
    <row r="9018" spans="1:5" x14ac:dyDescent="0.2">
      <c r="A9018">
        <v>62863</v>
      </c>
      <c r="B9018" t="s">
        <v>20</v>
      </c>
      <c r="C9018">
        <v>62863</v>
      </c>
      <c r="D9018" t="str">
        <f>"62863"</f>
        <v>62863</v>
      </c>
      <c r="E9018">
        <v>71.56</v>
      </c>
    </row>
    <row r="9019" spans="1:5" x14ac:dyDescent="0.2">
      <c r="A9019">
        <v>62864</v>
      </c>
      <c r="B9019" t="s">
        <v>20</v>
      </c>
      <c r="C9019">
        <v>62864</v>
      </c>
      <c r="D9019" t="str">
        <f>"62864"</f>
        <v>62864</v>
      </c>
      <c r="E9019">
        <v>67.23</v>
      </c>
    </row>
    <row r="9020" spans="1:5" x14ac:dyDescent="0.2">
      <c r="A9020">
        <v>62865</v>
      </c>
      <c r="B9020" t="s">
        <v>20</v>
      </c>
      <c r="C9020">
        <v>62865</v>
      </c>
      <c r="D9020" t="str">
        <f>"62865"</f>
        <v>62865</v>
      </c>
      <c r="E9020">
        <v>74.709999999999994</v>
      </c>
    </row>
    <row r="9021" spans="1:5" x14ac:dyDescent="0.2">
      <c r="A9021">
        <v>62867</v>
      </c>
      <c r="B9021" t="s">
        <v>20</v>
      </c>
      <c r="C9021">
        <v>62867</v>
      </c>
      <c r="D9021" t="str">
        <f>"62867"</f>
        <v>62867</v>
      </c>
      <c r="E9021">
        <v>68.42</v>
      </c>
    </row>
    <row r="9022" spans="1:5" x14ac:dyDescent="0.2">
      <c r="A9022">
        <v>62868</v>
      </c>
      <c r="B9022" t="s">
        <v>20</v>
      </c>
      <c r="C9022">
        <v>62868</v>
      </c>
      <c r="D9022" t="str">
        <f>"62868"</f>
        <v>62868</v>
      </c>
      <c r="E9022">
        <v>70.59</v>
      </c>
    </row>
    <row r="9023" spans="1:5" x14ac:dyDescent="0.2">
      <c r="A9023">
        <v>62869</v>
      </c>
      <c r="B9023" t="s">
        <v>20</v>
      </c>
      <c r="C9023">
        <v>62869</v>
      </c>
      <c r="D9023" t="str">
        <f>"62869"</f>
        <v>62869</v>
      </c>
      <c r="E9023">
        <v>72.81</v>
      </c>
    </row>
    <row r="9024" spans="1:5" x14ac:dyDescent="0.2">
      <c r="A9024">
        <v>62870</v>
      </c>
      <c r="B9024" t="s">
        <v>20</v>
      </c>
      <c r="C9024">
        <v>62870</v>
      </c>
      <c r="D9024" t="str">
        <f>"62870"</f>
        <v>62870</v>
      </c>
      <c r="E9024">
        <v>67.39</v>
      </c>
    </row>
    <row r="9025" spans="1:5" x14ac:dyDescent="0.2">
      <c r="A9025">
        <v>62871</v>
      </c>
      <c r="B9025" t="s">
        <v>20</v>
      </c>
      <c r="C9025">
        <v>62871</v>
      </c>
      <c r="D9025" t="str">
        <f>"62871"</f>
        <v>62871</v>
      </c>
      <c r="E9025">
        <v>66.67</v>
      </c>
    </row>
    <row r="9026" spans="1:5" x14ac:dyDescent="0.2">
      <c r="A9026">
        <v>62872</v>
      </c>
      <c r="B9026" t="s">
        <v>20</v>
      </c>
      <c r="C9026">
        <v>62872</v>
      </c>
      <c r="D9026" t="str">
        <f>"62872"</f>
        <v>62872</v>
      </c>
      <c r="E9026">
        <v>66.67</v>
      </c>
    </row>
    <row r="9027" spans="1:5" x14ac:dyDescent="0.2">
      <c r="A9027">
        <v>62874</v>
      </c>
      <c r="B9027" t="s">
        <v>20</v>
      </c>
      <c r="C9027">
        <v>62874</v>
      </c>
      <c r="D9027" t="str">
        <f>"62874"</f>
        <v>62874</v>
      </c>
      <c r="E9027">
        <v>61.54</v>
      </c>
    </row>
    <row r="9028" spans="1:5" x14ac:dyDescent="0.2">
      <c r="A9028">
        <v>62875</v>
      </c>
      <c r="B9028" t="s">
        <v>20</v>
      </c>
      <c r="C9028">
        <v>62875</v>
      </c>
      <c r="D9028" t="str">
        <f>"62875"</f>
        <v>62875</v>
      </c>
      <c r="E9028">
        <v>76.790000000000006</v>
      </c>
    </row>
    <row r="9029" spans="1:5" x14ac:dyDescent="0.2">
      <c r="A9029">
        <v>62876</v>
      </c>
      <c r="B9029" t="s">
        <v>20</v>
      </c>
      <c r="C9029">
        <v>62876</v>
      </c>
      <c r="D9029" t="str">
        <f>"62876"</f>
        <v>62876</v>
      </c>
      <c r="E9029" t="s">
        <v>6</v>
      </c>
    </row>
    <row r="9030" spans="1:5" x14ac:dyDescent="0.2">
      <c r="A9030">
        <v>62877</v>
      </c>
      <c r="B9030" t="s">
        <v>20</v>
      </c>
      <c r="C9030">
        <v>62877</v>
      </c>
      <c r="D9030" t="str">
        <f>"62877"</f>
        <v>62877</v>
      </c>
      <c r="E9030">
        <v>73.91</v>
      </c>
    </row>
    <row r="9031" spans="1:5" x14ac:dyDescent="0.2">
      <c r="A9031">
        <v>62878</v>
      </c>
      <c r="B9031" t="s">
        <v>20</v>
      </c>
      <c r="C9031">
        <v>62878</v>
      </c>
      <c r="D9031" t="str">
        <f>"62878"</f>
        <v>62878</v>
      </c>
      <c r="E9031">
        <v>66.67</v>
      </c>
    </row>
    <row r="9032" spans="1:5" x14ac:dyDescent="0.2">
      <c r="A9032">
        <v>62880</v>
      </c>
      <c r="B9032" t="s">
        <v>20</v>
      </c>
      <c r="C9032">
        <v>62880</v>
      </c>
      <c r="D9032" t="str">
        <f>"62880"</f>
        <v>62880</v>
      </c>
      <c r="E9032">
        <v>72.73</v>
      </c>
    </row>
    <row r="9033" spans="1:5" x14ac:dyDescent="0.2">
      <c r="A9033">
        <v>62881</v>
      </c>
      <c r="B9033" t="s">
        <v>20</v>
      </c>
      <c r="C9033">
        <v>62881</v>
      </c>
      <c r="D9033" t="str">
        <f>"62881"</f>
        <v>62881</v>
      </c>
      <c r="E9033">
        <v>69.31</v>
      </c>
    </row>
    <row r="9034" spans="1:5" x14ac:dyDescent="0.2">
      <c r="A9034">
        <v>62882</v>
      </c>
      <c r="B9034" t="s">
        <v>20</v>
      </c>
      <c r="C9034">
        <v>62882</v>
      </c>
      <c r="D9034" t="str">
        <f>"62882"</f>
        <v>62882</v>
      </c>
      <c r="E9034">
        <v>62.37</v>
      </c>
    </row>
    <row r="9035" spans="1:5" x14ac:dyDescent="0.2">
      <c r="A9035">
        <v>62883</v>
      </c>
      <c r="B9035" t="s">
        <v>20</v>
      </c>
      <c r="C9035">
        <v>62883</v>
      </c>
      <c r="D9035" t="str">
        <f>"62883"</f>
        <v>62883</v>
      </c>
      <c r="E9035">
        <v>82.14</v>
      </c>
    </row>
    <row r="9036" spans="1:5" x14ac:dyDescent="0.2">
      <c r="A9036">
        <v>62884</v>
      </c>
      <c r="B9036" t="s">
        <v>20</v>
      </c>
      <c r="C9036">
        <v>62884</v>
      </c>
      <c r="D9036" t="str">
        <f>"62884"</f>
        <v>62884</v>
      </c>
      <c r="E9036">
        <v>68.22</v>
      </c>
    </row>
    <row r="9037" spans="1:5" x14ac:dyDescent="0.2">
      <c r="A9037">
        <v>62885</v>
      </c>
      <c r="B9037" t="s">
        <v>20</v>
      </c>
      <c r="C9037">
        <v>62885</v>
      </c>
      <c r="D9037" t="str">
        <f>"62885"</f>
        <v>62885</v>
      </c>
      <c r="E9037">
        <v>66.67</v>
      </c>
    </row>
    <row r="9038" spans="1:5" x14ac:dyDescent="0.2">
      <c r="A9038">
        <v>62886</v>
      </c>
      <c r="B9038" t="s">
        <v>20</v>
      </c>
      <c r="C9038">
        <v>62886</v>
      </c>
      <c r="D9038" t="str">
        <f>"62886"</f>
        <v>62886</v>
      </c>
      <c r="E9038">
        <v>62.5</v>
      </c>
    </row>
    <row r="9039" spans="1:5" x14ac:dyDescent="0.2">
      <c r="A9039">
        <v>62887</v>
      </c>
      <c r="B9039" t="s">
        <v>20</v>
      </c>
      <c r="C9039">
        <v>62887</v>
      </c>
      <c r="D9039" t="str">
        <f>"62887"</f>
        <v>62887</v>
      </c>
      <c r="E9039">
        <v>66.67</v>
      </c>
    </row>
    <row r="9040" spans="1:5" x14ac:dyDescent="0.2">
      <c r="A9040">
        <v>62888</v>
      </c>
      <c r="B9040" t="s">
        <v>20</v>
      </c>
      <c r="C9040">
        <v>62888</v>
      </c>
      <c r="D9040" t="str">
        <f>"62888"</f>
        <v>62888</v>
      </c>
      <c r="E9040">
        <v>74.16</v>
      </c>
    </row>
    <row r="9041" spans="1:5" x14ac:dyDescent="0.2">
      <c r="A9041">
        <v>62889</v>
      </c>
      <c r="B9041" t="s">
        <v>20</v>
      </c>
      <c r="C9041">
        <v>62889</v>
      </c>
      <c r="D9041" t="str">
        <f>"62889"</f>
        <v>62889</v>
      </c>
      <c r="E9041">
        <v>76.319999999999993</v>
      </c>
    </row>
    <row r="9042" spans="1:5" x14ac:dyDescent="0.2">
      <c r="A9042">
        <v>62890</v>
      </c>
      <c r="B9042" t="s">
        <v>20</v>
      </c>
      <c r="C9042">
        <v>62890</v>
      </c>
      <c r="D9042" t="str">
        <f>"62890"</f>
        <v>62890</v>
      </c>
      <c r="E9042">
        <v>70</v>
      </c>
    </row>
    <row r="9043" spans="1:5" x14ac:dyDescent="0.2">
      <c r="A9043">
        <v>62891</v>
      </c>
      <c r="B9043" t="s">
        <v>20</v>
      </c>
      <c r="C9043">
        <v>62891</v>
      </c>
      <c r="D9043" t="str">
        <f>"62891"</f>
        <v>62891</v>
      </c>
      <c r="E9043" t="s">
        <v>6</v>
      </c>
    </row>
    <row r="9044" spans="1:5" x14ac:dyDescent="0.2">
      <c r="A9044">
        <v>62892</v>
      </c>
      <c r="B9044" t="s">
        <v>20</v>
      </c>
      <c r="C9044">
        <v>62892</v>
      </c>
      <c r="D9044" t="str">
        <f>"62892"</f>
        <v>62892</v>
      </c>
      <c r="E9044">
        <v>64.290000000000006</v>
      </c>
    </row>
    <row r="9045" spans="1:5" x14ac:dyDescent="0.2">
      <c r="A9045">
        <v>62893</v>
      </c>
      <c r="B9045" t="s">
        <v>20</v>
      </c>
      <c r="C9045">
        <v>62893</v>
      </c>
      <c r="D9045" t="str">
        <f>"62893"</f>
        <v>62893</v>
      </c>
      <c r="E9045">
        <v>76.09</v>
      </c>
    </row>
    <row r="9046" spans="1:5" x14ac:dyDescent="0.2">
      <c r="A9046">
        <v>62894</v>
      </c>
      <c r="B9046" t="s">
        <v>20</v>
      </c>
      <c r="C9046">
        <v>62894</v>
      </c>
      <c r="D9046" t="str">
        <f>"62894"</f>
        <v>62894</v>
      </c>
      <c r="E9046">
        <v>70.83</v>
      </c>
    </row>
    <row r="9047" spans="1:5" x14ac:dyDescent="0.2">
      <c r="A9047">
        <v>62895</v>
      </c>
      <c r="B9047" t="s">
        <v>20</v>
      </c>
      <c r="C9047">
        <v>62895</v>
      </c>
      <c r="D9047" t="str">
        <f>"62895"</f>
        <v>62895</v>
      </c>
      <c r="E9047">
        <v>69.88</v>
      </c>
    </row>
    <row r="9048" spans="1:5" x14ac:dyDescent="0.2">
      <c r="A9048">
        <v>62896</v>
      </c>
      <c r="B9048" t="s">
        <v>20</v>
      </c>
      <c r="C9048">
        <v>62896</v>
      </c>
      <c r="D9048" t="str">
        <f>"62896"</f>
        <v>62896</v>
      </c>
      <c r="E9048">
        <v>65.849999999999994</v>
      </c>
    </row>
    <row r="9049" spans="1:5" x14ac:dyDescent="0.2">
      <c r="A9049">
        <v>62897</v>
      </c>
      <c r="B9049" t="s">
        <v>20</v>
      </c>
      <c r="C9049">
        <v>62897</v>
      </c>
      <c r="D9049" t="str">
        <f>"62897"</f>
        <v>62897</v>
      </c>
      <c r="E9049">
        <v>66.67</v>
      </c>
    </row>
    <row r="9050" spans="1:5" x14ac:dyDescent="0.2">
      <c r="A9050">
        <v>62898</v>
      </c>
      <c r="B9050" t="s">
        <v>20</v>
      </c>
      <c r="C9050">
        <v>62898</v>
      </c>
      <c r="D9050" t="str">
        <f>"62898"</f>
        <v>62898</v>
      </c>
      <c r="E9050">
        <v>73.959999999999994</v>
      </c>
    </row>
    <row r="9051" spans="1:5" x14ac:dyDescent="0.2">
      <c r="A9051">
        <v>62899</v>
      </c>
      <c r="B9051" t="s">
        <v>20</v>
      </c>
      <c r="C9051">
        <v>62899</v>
      </c>
      <c r="D9051" t="str">
        <f>"62899"</f>
        <v>62899</v>
      </c>
      <c r="E9051">
        <v>68</v>
      </c>
    </row>
    <row r="9052" spans="1:5" x14ac:dyDescent="0.2">
      <c r="A9052">
        <v>62901</v>
      </c>
      <c r="B9052" t="s">
        <v>20</v>
      </c>
      <c r="C9052">
        <v>62901</v>
      </c>
      <c r="D9052" t="str">
        <f>"62901"</f>
        <v>62901</v>
      </c>
      <c r="E9052">
        <v>61.22</v>
      </c>
    </row>
    <row r="9053" spans="1:5" x14ac:dyDescent="0.2">
      <c r="A9053">
        <v>62902</v>
      </c>
      <c r="B9053" t="s">
        <v>20</v>
      </c>
      <c r="C9053">
        <v>62902</v>
      </c>
      <c r="D9053" t="str">
        <f>"62902"</f>
        <v>62902</v>
      </c>
      <c r="E9053">
        <v>73.3</v>
      </c>
    </row>
    <row r="9054" spans="1:5" x14ac:dyDescent="0.2">
      <c r="A9054">
        <v>62903</v>
      </c>
      <c r="B9054" t="s">
        <v>20</v>
      </c>
      <c r="C9054">
        <v>62903</v>
      </c>
      <c r="D9054" t="str">
        <f>"62903"</f>
        <v>62903</v>
      </c>
      <c r="E9054">
        <v>68.38</v>
      </c>
    </row>
    <row r="9055" spans="1:5" x14ac:dyDescent="0.2">
      <c r="A9055">
        <v>62905</v>
      </c>
      <c r="B9055" t="s">
        <v>20</v>
      </c>
      <c r="C9055">
        <v>62905</v>
      </c>
      <c r="D9055" t="str">
        <f>"62905"</f>
        <v>62905</v>
      </c>
      <c r="E9055">
        <v>74.19</v>
      </c>
    </row>
    <row r="9056" spans="1:5" x14ac:dyDescent="0.2">
      <c r="A9056">
        <v>62906</v>
      </c>
      <c r="B9056" t="s">
        <v>20</v>
      </c>
      <c r="C9056">
        <v>62906</v>
      </c>
      <c r="D9056" t="str">
        <f>"62906"</f>
        <v>62906</v>
      </c>
      <c r="E9056">
        <v>70</v>
      </c>
    </row>
    <row r="9057" spans="1:5" x14ac:dyDescent="0.2">
      <c r="A9057">
        <v>62907</v>
      </c>
      <c r="B9057" t="s">
        <v>20</v>
      </c>
      <c r="C9057">
        <v>62907</v>
      </c>
      <c r="D9057" t="str">
        <f>"62907"</f>
        <v>62907</v>
      </c>
      <c r="E9057">
        <v>75.260000000000005</v>
      </c>
    </row>
    <row r="9058" spans="1:5" x14ac:dyDescent="0.2">
      <c r="A9058">
        <v>62908</v>
      </c>
      <c r="B9058" t="s">
        <v>20</v>
      </c>
      <c r="C9058">
        <v>62908</v>
      </c>
      <c r="D9058" t="str">
        <f>"62908"</f>
        <v>62908</v>
      </c>
      <c r="E9058">
        <v>66.67</v>
      </c>
    </row>
    <row r="9059" spans="1:5" x14ac:dyDescent="0.2">
      <c r="A9059">
        <v>62909</v>
      </c>
      <c r="B9059" t="s">
        <v>20</v>
      </c>
      <c r="C9059">
        <v>62909</v>
      </c>
      <c r="D9059" t="str">
        <f>"62909"</f>
        <v>62909</v>
      </c>
      <c r="E9059" t="s">
        <v>6</v>
      </c>
    </row>
    <row r="9060" spans="1:5" x14ac:dyDescent="0.2">
      <c r="A9060">
        <v>62910</v>
      </c>
      <c r="B9060" t="s">
        <v>20</v>
      </c>
      <c r="C9060">
        <v>62910</v>
      </c>
      <c r="D9060" t="str">
        <f>"62910"</f>
        <v>62910</v>
      </c>
      <c r="E9060">
        <v>65</v>
      </c>
    </row>
    <row r="9061" spans="1:5" x14ac:dyDescent="0.2">
      <c r="A9061">
        <v>62912</v>
      </c>
      <c r="B9061" t="s">
        <v>20</v>
      </c>
      <c r="C9061">
        <v>62912</v>
      </c>
      <c r="D9061" t="str">
        <f>"62912"</f>
        <v>62912</v>
      </c>
      <c r="E9061">
        <v>73.47</v>
      </c>
    </row>
    <row r="9062" spans="1:5" x14ac:dyDescent="0.2">
      <c r="A9062">
        <v>62914</v>
      </c>
      <c r="B9062" t="s">
        <v>20</v>
      </c>
      <c r="C9062">
        <v>62914</v>
      </c>
      <c r="D9062" t="str">
        <f>"62914"</f>
        <v>62914</v>
      </c>
      <c r="E9062">
        <v>51.22</v>
      </c>
    </row>
    <row r="9063" spans="1:5" x14ac:dyDescent="0.2">
      <c r="A9063">
        <v>62915</v>
      </c>
      <c r="B9063" t="s">
        <v>20</v>
      </c>
      <c r="C9063">
        <v>62915</v>
      </c>
      <c r="D9063" t="str">
        <f>"62915"</f>
        <v>62915</v>
      </c>
      <c r="E9063" t="s">
        <v>6</v>
      </c>
    </row>
    <row r="9064" spans="1:5" x14ac:dyDescent="0.2">
      <c r="A9064">
        <v>62916</v>
      </c>
      <c r="B9064" t="s">
        <v>20</v>
      </c>
      <c r="C9064">
        <v>62916</v>
      </c>
      <c r="D9064" t="str">
        <f>"62916"</f>
        <v>62916</v>
      </c>
      <c r="E9064">
        <v>75</v>
      </c>
    </row>
    <row r="9065" spans="1:5" x14ac:dyDescent="0.2">
      <c r="A9065">
        <v>62917</v>
      </c>
      <c r="B9065" t="s">
        <v>20</v>
      </c>
      <c r="C9065">
        <v>62917</v>
      </c>
      <c r="D9065" t="str">
        <f>"62917"</f>
        <v>62917</v>
      </c>
      <c r="E9065">
        <v>67</v>
      </c>
    </row>
    <row r="9066" spans="1:5" x14ac:dyDescent="0.2">
      <c r="A9066">
        <v>62918</v>
      </c>
      <c r="B9066" t="s">
        <v>20</v>
      </c>
      <c r="C9066">
        <v>62918</v>
      </c>
      <c r="D9066" t="str">
        <f>"62918"</f>
        <v>62918</v>
      </c>
      <c r="E9066">
        <v>75.11</v>
      </c>
    </row>
    <row r="9067" spans="1:5" x14ac:dyDescent="0.2">
      <c r="A9067">
        <v>62919</v>
      </c>
      <c r="B9067" t="s">
        <v>20</v>
      </c>
      <c r="C9067">
        <v>62919</v>
      </c>
      <c r="D9067" t="str">
        <f>"62919"</f>
        <v>62919</v>
      </c>
      <c r="E9067">
        <v>63.64</v>
      </c>
    </row>
    <row r="9068" spans="1:5" x14ac:dyDescent="0.2">
      <c r="A9068">
        <v>62920</v>
      </c>
      <c r="B9068" t="s">
        <v>20</v>
      </c>
      <c r="C9068">
        <v>62920</v>
      </c>
      <c r="D9068" t="str">
        <f>"62920"</f>
        <v>62920</v>
      </c>
      <c r="E9068">
        <v>72.34</v>
      </c>
    </row>
    <row r="9069" spans="1:5" x14ac:dyDescent="0.2">
      <c r="A9069">
        <v>62921</v>
      </c>
      <c r="B9069" t="s">
        <v>20</v>
      </c>
      <c r="C9069">
        <v>62921</v>
      </c>
      <c r="D9069" t="str">
        <f>"62921"</f>
        <v>62921</v>
      </c>
      <c r="E9069" t="s">
        <v>6</v>
      </c>
    </row>
    <row r="9070" spans="1:5" x14ac:dyDescent="0.2">
      <c r="A9070">
        <v>62922</v>
      </c>
      <c r="B9070" t="s">
        <v>20</v>
      </c>
      <c r="C9070">
        <v>62922</v>
      </c>
      <c r="D9070" t="str">
        <f>"62922"</f>
        <v>62922</v>
      </c>
      <c r="E9070">
        <v>74.22</v>
      </c>
    </row>
    <row r="9071" spans="1:5" x14ac:dyDescent="0.2">
      <c r="A9071">
        <v>62923</v>
      </c>
      <c r="B9071" t="s">
        <v>20</v>
      </c>
      <c r="C9071">
        <v>62923</v>
      </c>
      <c r="D9071" t="str">
        <f>"62923"</f>
        <v>62923</v>
      </c>
      <c r="E9071">
        <v>68.180000000000007</v>
      </c>
    </row>
    <row r="9072" spans="1:5" x14ac:dyDescent="0.2">
      <c r="A9072">
        <v>62924</v>
      </c>
      <c r="B9072" t="s">
        <v>20</v>
      </c>
      <c r="C9072">
        <v>62924</v>
      </c>
      <c r="D9072" t="str">
        <f>"62924"</f>
        <v>62924</v>
      </c>
      <c r="E9072">
        <v>69.92</v>
      </c>
    </row>
    <row r="9073" spans="1:5" x14ac:dyDescent="0.2">
      <c r="A9073">
        <v>62926</v>
      </c>
      <c r="B9073" t="s">
        <v>20</v>
      </c>
      <c r="C9073">
        <v>62926</v>
      </c>
      <c r="D9073" t="str">
        <f>"62926"</f>
        <v>62926</v>
      </c>
      <c r="E9073">
        <v>68.540000000000006</v>
      </c>
    </row>
    <row r="9074" spans="1:5" x14ac:dyDescent="0.2">
      <c r="A9074">
        <v>62927</v>
      </c>
      <c r="B9074" t="s">
        <v>20</v>
      </c>
      <c r="C9074">
        <v>62927</v>
      </c>
      <c r="D9074" t="str">
        <f>"62927"</f>
        <v>62927</v>
      </c>
      <c r="E9074" t="s">
        <v>6</v>
      </c>
    </row>
    <row r="9075" spans="1:5" x14ac:dyDescent="0.2">
      <c r="A9075">
        <v>62928</v>
      </c>
      <c r="B9075" t="s">
        <v>20</v>
      </c>
      <c r="C9075">
        <v>62928</v>
      </c>
      <c r="D9075" t="str">
        <f>"62928"</f>
        <v>62928</v>
      </c>
      <c r="E9075">
        <v>80</v>
      </c>
    </row>
    <row r="9076" spans="1:5" x14ac:dyDescent="0.2">
      <c r="A9076">
        <v>62930</v>
      </c>
      <c r="B9076" t="s">
        <v>20</v>
      </c>
      <c r="C9076">
        <v>62930</v>
      </c>
      <c r="D9076" t="str">
        <f>"62930"</f>
        <v>62930</v>
      </c>
      <c r="E9076">
        <v>65</v>
      </c>
    </row>
    <row r="9077" spans="1:5" x14ac:dyDescent="0.2">
      <c r="A9077">
        <v>62931</v>
      </c>
      <c r="B9077" t="s">
        <v>20</v>
      </c>
      <c r="C9077">
        <v>62931</v>
      </c>
      <c r="D9077" t="str">
        <f>"62931"</f>
        <v>62931</v>
      </c>
      <c r="E9077">
        <v>67.209999999999994</v>
      </c>
    </row>
    <row r="9078" spans="1:5" x14ac:dyDescent="0.2">
      <c r="A9078">
        <v>62932</v>
      </c>
      <c r="B9078" t="s">
        <v>20</v>
      </c>
      <c r="C9078">
        <v>62932</v>
      </c>
      <c r="D9078" t="str">
        <f>"62932"</f>
        <v>62932</v>
      </c>
      <c r="E9078">
        <v>70.97</v>
      </c>
    </row>
    <row r="9079" spans="1:5" x14ac:dyDescent="0.2">
      <c r="A9079">
        <v>62933</v>
      </c>
      <c r="B9079" t="s">
        <v>20</v>
      </c>
      <c r="C9079">
        <v>62933</v>
      </c>
      <c r="D9079" t="str">
        <f>"62933"</f>
        <v>62933</v>
      </c>
      <c r="E9079">
        <v>71.930000000000007</v>
      </c>
    </row>
    <row r="9080" spans="1:5" x14ac:dyDescent="0.2">
      <c r="A9080">
        <v>62934</v>
      </c>
      <c r="B9080" t="s">
        <v>20</v>
      </c>
      <c r="C9080">
        <v>62934</v>
      </c>
      <c r="D9080" t="str">
        <f>"62934"</f>
        <v>62934</v>
      </c>
      <c r="E9080">
        <v>67.5</v>
      </c>
    </row>
    <row r="9081" spans="1:5" x14ac:dyDescent="0.2">
      <c r="A9081">
        <v>62935</v>
      </c>
      <c r="B9081" t="s">
        <v>20</v>
      </c>
      <c r="C9081">
        <v>62935</v>
      </c>
      <c r="D9081" t="str">
        <f>"62935"</f>
        <v>62935</v>
      </c>
      <c r="E9081">
        <v>66.28</v>
      </c>
    </row>
    <row r="9082" spans="1:5" x14ac:dyDescent="0.2">
      <c r="A9082">
        <v>62938</v>
      </c>
      <c r="B9082" t="s">
        <v>20</v>
      </c>
      <c r="C9082">
        <v>62938</v>
      </c>
      <c r="D9082" t="str">
        <f>"62938"</f>
        <v>62938</v>
      </c>
      <c r="E9082">
        <v>67.33</v>
      </c>
    </row>
    <row r="9083" spans="1:5" x14ac:dyDescent="0.2">
      <c r="A9083">
        <v>62939</v>
      </c>
      <c r="B9083" t="s">
        <v>20</v>
      </c>
      <c r="C9083">
        <v>62939</v>
      </c>
      <c r="D9083" t="str">
        <f>"62939"</f>
        <v>62939</v>
      </c>
      <c r="E9083">
        <v>74.47</v>
      </c>
    </row>
    <row r="9084" spans="1:5" x14ac:dyDescent="0.2">
      <c r="A9084">
        <v>62940</v>
      </c>
      <c r="B9084" t="s">
        <v>20</v>
      </c>
      <c r="C9084">
        <v>62940</v>
      </c>
      <c r="D9084" t="str">
        <f>"62940"</f>
        <v>62940</v>
      </c>
      <c r="E9084">
        <v>76.47</v>
      </c>
    </row>
    <row r="9085" spans="1:5" x14ac:dyDescent="0.2">
      <c r="A9085">
        <v>62941</v>
      </c>
      <c r="B9085" t="s">
        <v>20</v>
      </c>
      <c r="C9085">
        <v>62941</v>
      </c>
      <c r="D9085" t="str">
        <f>"62941"</f>
        <v>62941</v>
      </c>
      <c r="E9085">
        <v>63.64</v>
      </c>
    </row>
    <row r="9086" spans="1:5" x14ac:dyDescent="0.2">
      <c r="A9086">
        <v>62942</v>
      </c>
      <c r="B9086" t="s">
        <v>20</v>
      </c>
      <c r="C9086">
        <v>62942</v>
      </c>
      <c r="D9086" t="str">
        <f>"62942"</f>
        <v>62942</v>
      </c>
      <c r="E9086">
        <v>60</v>
      </c>
    </row>
    <row r="9087" spans="1:5" x14ac:dyDescent="0.2">
      <c r="A9087">
        <v>62943</v>
      </c>
      <c r="B9087" t="s">
        <v>20</v>
      </c>
      <c r="C9087">
        <v>62943</v>
      </c>
      <c r="D9087" t="str">
        <f>"62943"</f>
        <v>62943</v>
      </c>
      <c r="E9087">
        <v>75</v>
      </c>
    </row>
    <row r="9088" spans="1:5" x14ac:dyDescent="0.2">
      <c r="A9088">
        <v>62946</v>
      </c>
      <c r="B9088" t="s">
        <v>20</v>
      </c>
      <c r="C9088">
        <v>62946</v>
      </c>
      <c r="D9088" t="str">
        <f>"62946"</f>
        <v>62946</v>
      </c>
      <c r="E9088">
        <v>66.67</v>
      </c>
    </row>
    <row r="9089" spans="1:5" x14ac:dyDescent="0.2">
      <c r="A9089">
        <v>62947</v>
      </c>
      <c r="B9089" t="s">
        <v>20</v>
      </c>
      <c r="C9089">
        <v>62947</v>
      </c>
      <c r="D9089" t="str">
        <f>"62947"</f>
        <v>62947</v>
      </c>
      <c r="E9089">
        <v>76.19</v>
      </c>
    </row>
    <row r="9090" spans="1:5" x14ac:dyDescent="0.2">
      <c r="A9090">
        <v>62948</v>
      </c>
      <c r="B9090" t="s">
        <v>20</v>
      </c>
      <c r="C9090">
        <v>62948</v>
      </c>
      <c r="D9090" t="str">
        <f>"62948"</f>
        <v>62948</v>
      </c>
      <c r="E9090">
        <v>68.97</v>
      </c>
    </row>
    <row r="9091" spans="1:5" x14ac:dyDescent="0.2">
      <c r="A9091">
        <v>62949</v>
      </c>
      <c r="B9091" t="s">
        <v>20</v>
      </c>
      <c r="C9091">
        <v>62949</v>
      </c>
      <c r="D9091" t="str">
        <f>"62949"</f>
        <v>62949</v>
      </c>
      <c r="E9091" t="s">
        <v>6</v>
      </c>
    </row>
    <row r="9092" spans="1:5" x14ac:dyDescent="0.2">
      <c r="A9092">
        <v>62950</v>
      </c>
      <c r="B9092" t="s">
        <v>20</v>
      </c>
      <c r="C9092">
        <v>62950</v>
      </c>
      <c r="D9092" t="str">
        <f>"62950"</f>
        <v>62950</v>
      </c>
      <c r="E9092" t="s">
        <v>6</v>
      </c>
    </row>
    <row r="9093" spans="1:5" x14ac:dyDescent="0.2">
      <c r="A9093">
        <v>62951</v>
      </c>
      <c r="B9093" t="s">
        <v>20</v>
      </c>
      <c r="C9093">
        <v>62951</v>
      </c>
      <c r="D9093" t="str">
        <f>"62951"</f>
        <v>62951</v>
      </c>
      <c r="E9093">
        <v>67.52</v>
      </c>
    </row>
    <row r="9094" spans="1:5" x14ac:dyDescent="0.2">
      <c r="A9094">
        <v>62952</v>
      </c>
      <c r="B9094" t="s">
        <v>20</v>
      </c>
      <c r="C9094">
        <v>62952</v>
      </c>
      <c r="D9094" t="str">
        <f>"62952"</f>
        <v>62952</v>
      </c>
      <c r="E9094">
        <v>68.84</v>
      </c>
    </row>
    <row r="9095" spans="1:5" x14ac:dyDescent="0.2">
      <c r="A9095">
        <v>62953</v>
      </c>
      <c r="B9095" t="s">
        <v>20</v>
      </c>
      <c r="C9095">
        <v>62953</v>
      </c>
      <c r="D9095" t="str">
        <f>"62953"</f>
        <v>62953</v>
      </c>
      <c r="E9095" t="s">
        <v>6</v>
      </c>
    </row>
    <row r="9096" spans="1:5" x14ac:dyDescent="0.2">
      <c r="A9096">
        <v>62954</v>
      </c>
      <c r="B9096" t="s">
        <v>20</v>
      </c>
      <c r="C9096">
        <v>62954</v>
      </c>
      <c r="D9096" t="str">
        <f>"62954"</f>
        <v>62954</v>
      </c>
      <c r="E9096">
        <v>63.16</v>
      </c>
    </row>
    <row r="9097" spans="1:5" x14ac:dyDescent="0.2">
      <c r="A9097">
        <v>62956</v>
      </c>
      <c r="B9097" t="s">
        <v>20</v>
      </c>
      <c r="C9097">
        <v>62956</v>
      </c>
      <c r="D9097" t="str">
        <f>"62956"</f>
        <v>62956</v>
      </c>
      <c r="E9097">
        <v>64.86</v>
      </c>
    </row>
    <row r="9098" spans="1:5" x14ac:dyDescent="0.2">
      <c r="A9098">
        <v>62957</v>
      </c>
      <c r="B9098" t="s">
        <v>20</v>
      </c>
      <c r="C9098">
        <v>62957</v>
      </c>
      <c r="D9098" t="str">
        <f>"62957"</f>
        <v>62957</v>
      </c>
      <c r="E9098">
        <v>57.14</v>
      </c>
    </row>
    <row r="9099" spans="1:5" x14ac:dyDescent="0.2">
      <c r="A9099">
        <v>62958</v>
      </c>
      <c r="B9099" t="s">
        <v>20</v>
      </c>
      <c r="C9099">
        <v>62958</v>
      </c>
      <c r="D9099" t="str">
        <f>"62958"</f>
        <v>62958</v>
      </c>
      <c r="E9099">
        <v>75.959999999999994</v>
      </c>
    </row>
    <row r="9100" spans="1:5" x14ac:dyDescent="0.2">
      <c r="A9100">
        <v>62959</v>
      </c>
      <c r="B9100" t="s">
        <v>20</v>
      </c>
      <c r="C9100">
        <v>62959</v>
      </c>
      <c r="D9100" t="str">
        <f>"62959"</f>
        <v>62959</v>
      </c>
      <c r="E9100">
        <v>70.77</v>
      </c>
    </row>
    <row r="9101" spans="1:5" x14ac:dyDescent="0.2">
      <c r="A9101">
        <v>62960</v>
      </c>
      <c r="B9101" t="s">
        <v>20</v>
      </c>
      <c r="C9101">
        <v>62960</v>
      </c>
      <c r="D9101" t="str">
        <f>"62960"</f>
        <v>62960</v>
      </c>
      <c r="E9101">
        <v>67.09</v>
      </c>
    </row>
    <row r="9102" spans="1:5" x14ac:dyDescent="0.2">
      <c r="A9102">
        <v>62962</v>
      </c>
      <c r="B9102" t="s">
        <v>20</v>
      </c>
      <c r="C9102">
        <v>62962</v>
      </c>
      <c r="D9102" t="str">
        <f>"62962"</f>
        <v>62962</v>
      </c>
      <c r="E9102" t="s">
        <v>6</v>
      </c>
    </row>
    <row r="9103" spans="1:5" x14ac:dyDescent="0.2">
      <c r="A9103">
        <v>62963</v>
      </c>
      <c r="B9103" t="s">
        <v>20</v>
      </c>
      <c r="C9103">
        <v>62963</v>
      </c>
      <c r="D9103" t="str">
        <f>"62963"</f>
        <v>62963</v>
      </c>
      <c r="E9103">
        <v>63.16</v>
      </c>
    </row>
    <row r="9104" spans="1:5" x14ac:dyDescent="0.2">
      <c r="A9104">
        <v>62964</v>
      </c>
      <c r="B9104" t="s">
        <v>20</v>
      </c>
      <c r="C9104">
        <v>62964</v>
      </c>
      <c r="D9104" t="str">
        <f>"62964"</f>
        <v>62964</v>
      </c>
      <c r="E9104">
        <v>63.46</v>
      </c>
    </row>
    <row r="9105" spans="1:5" x14ac:dyDescent="0.2">
      <c r="A9105">
        <v>62965</v>
      </c>
      <c r="B9105" t="s">
        <v>20</v>
      </c>
      <c r="C9105">
        <v>62965</v>
      </c>
      <c r="D9105" t="str">
        <f>"62965"</f>
        <v>62965</v>
      </c>
      <c r="E9105" t="s">
        <v>6</v>
      </c>
    </row>
    <row r="9106" spans="1:5" x14ac:dyDescent="0.2">
      <c r="A9106">
        <v>62966</v>
      </c>
      <c r="B9106" t="s">
        <v>20</v>
      </c>
      <c r="C9106">
        <v>62966</v>
      </c>
      <c r="D9106" t="str">
        <f>"62966"</f>
        <v>62966</v>
      </c>
      <c r="E9106">
        <v>69.61</v>
      </c>
    </row>
    <row r="9107" spans="1:5" x14ac:dyDescent="0.2">
      <c r="A9107">
        <v>62967</v>
      </c>
      <c r="B9107" t="s">
        <v>20</v>
      </c>
      <c r="C9107">
        <v>62967</v>
      </c>
      <c r="D9107" t="str">
        <f>"62967"</f>
        <v>62967</v>
      </c>
      <c r="E9107">
        <v>69.23</v>
      </c>
    </row>
    <row r="9108" spans="1:5" x14ac:dyDescent="0.2">
      <c r="A9108">
        <v>62969</v>
      </c>
      <c r="B9108" t="s">
        <v>20</v>
      </c>
      <c r="C9108">
        <v>62969</v>
      </c>
      <c r="D9108" t="str">
        <f>"62969"</f>
        <v>62969</v>
      </c>
      <c r="E9108">
        <v>71.430000000000007</v>
      </c>
    </row>
    <row r="9109" spans="1:5" x14ac:dyDescent="0.2">
      <c r="A9109">
        <v>62970</v>
      </c>
      <c r="B9109" t="s">
        <v>20</v>
      </c>
      <c r="C9109">
        <v>62970</v>
      </c>
      <c r="D9109" t="str">
        <f>"62970"</f>
        <v>62970</v>
      </c>
      <c r="E9109">
        <v>73.91</v>
      </c>
    </row>
    <row r="9110" spans="1:5" x14ac:dyDescent="0.2">
      <c r="A9110">
        <v>62972</v>
      </c>
      <c r="B9110" t="s">
        <v>20</v>
      </c>
      <c r="C9110">
        <v>62972</v>
      </c>
      <c r="D9110" t="str">
        <f>"62972"</f>
        <v>62972</v>
      </c>
      <c r="E9110">
        <v>71.7</v>
      </c>
    </row>
    <row r="9111" spans="1:5" x14ac:dyDescent="0.2">
      <c r="A9111">
        <v>62974</v>
      </c>
      <c r="B9111" t="s">
        <v>20</v>
      </c>
      <c r="C9111">
        <v>62974</v>
      </c>
      <c r="D9111" t="str">
        <f>"62974"</f>
        <v>62974</v>
      </c>
      <c r="E9111">
        <v>74.19</v>
      </c>
    </row>
    <row r="9112" spans="1:5" x14ac:dyDescent="0.2">
      <c r="A9112">
        <v>62975</v>
      </c>
      <c r="B9112" t="s">
        <v>20</v>
      </c>
      <c r="C9112">
        <v>62975</v>
      </c>
      <c r="D9112" t="str">
        <f>"62975"</f>
        <v>62975</v>
      </c>
      <c r="E9112">
        <v>60</v>
      </c>
    </row>
    <row r="9113" spans="1:5" x14ac:dyDescent="0.2">
      <c r="A9113">
        <v>62976</v>
      </c>
      <c r="B9113" t="s">
        <v>20</v>
      </c>
      <c r="C9113">
        <v>62976</v>
      </c>
      <c r="D9113" t="str">
        <f>"62976"</f>
        <v>62976</v>
      </c>
      <c r="E9113">
        <v>70.59</v>
      </c>
    </row>
    <row r="9114" spans="1:5" x14ac:dyDescent="0.2">
      <c r="A9114">
        <v>62977</v>
      </c>
      <c r="B9114" t="s">
        <v>20</v>
      </c>
      <c r="C9114">
        <v>62977</v>
      </c>
      <c r="D9114" t="str">
        <f>"62977"</f>
        <v>62977</v>
      </c>
      <c r="E9114">
        <v>72.41</v>
      </c>
    </row>
    <row r="9115" spans="1:5" x14ac:dyDescent="0.2">
      <c r="A9115">
        <v>62979</v>
      </c>
      <c r="B9115" t="s">
        <v>20</v>
      </c>
      <c r="C9115">
        <v>62979</v>
      </c>
      <c r="D9115" t="str">
        <f>"62979"</f>
        <v>62979</v>
      </c>
      <c r="E9115">
        <v>70.37</v>
      </c>
    </row>
    <row r="9116" spans="1:5" x14ac:dyDescent="0.2">
      <c r="A9116">
        <v>62982</v>
      </c>
      <c r="B9116" t="s">
        <v>20</v>
      </c>
      <c r="C9116">
        <v>62982</v>
      </c>
      <c r="D9116" t="str">
        <f>"62982"</f>
        <v>62982</v>
      </c>
      <c r="E9116">
        <v>57.89</v>
      </c>
    </row>
    <row r="9117" spans="1:5" x14ac:dyDescent="0.2">
      <c r="A9117">
        <v>62983</v>
      </c>
      <c r="B9117" t="s">
        <v>20</v>
      </c>
      <c r="C9117">
        <v>62983</v>
      </c>
      <c r="D9117" t="str">
        <f>"62983"</f>
        <v>62983</v>
      </c>
      <c r="E9117">
        <v>71.19</v>
      </c>
    </row>
    <row r="9118" spans="1:5" x14ac:dyDescent="0.2">
      <c r="A9118">
        <v>62984</v>
      </c>
      <c r="B9118" t="s">
        <v>20</v>
      </c>
      <c r="C9118">
        <v>62984</v>
      </c>
      <c r="D9118" t="str">
        <f>"62984"</f>
        <v>62984</v>
      </c>
      <c r="E9118">
        <v>66.150000000000006</v>
      </c>
    </row>
    <row r="9119" spans="1:5" x14ac:dyDescent="0.2">
      <c r="A9119">
        <v>62985</v>
      </c>
      <c r="B9119" t="s">
        <v>20</v>
      </c>
      <c r="C9119">
        <v>62985</v>
      </c>
      <c r="D9119" t="str">
        <f>"62985"</f>
        <v>62985</v>
      </c>
      <c r="E9119">
        <v>68.42</v>
      </c>
    </row>
    <row r="9120" spans="1:5" x14ac:dyDescent="0.2">
      <c r="A9120">
        <v>62987</v>
      </c>
      <c r="B9120" t="s">
        <v>20</v>
      </c>
      <c r="C9120">
        <v>62987</v>
      </c>
      <c r="D9120" t="str">
        <f>"62987"</f>
        <v>62987</v>
      </c>
      <c r="E9120">
        <v>69.39</v>
      </c>
    </row>
    <row r="9121" spans="1:5" x14ac:dyDescent="0.2">
      <c r="A9121">
        <v>62988</v>
      </c>
      <c r="B9121" t="s">
        <v>20</v>
      </c>
      <c r="C9121">
        <v>62988</v>
      </c>
      <c r="D9121" t="str">
        <f>"62988"</f>
        <v>62988</v>
      </c>
      <c r="E9121">
        <v>70.180000000000007</v>
      </c>
    </row>
    <row r="9122" spans="1:5" x14ac:dyDescent="0.2">
      <c r="A9122">
        <v>62990</v>
      </c>
      <c r="B9122" t="s">
        <v>20</v>
      </c>
      <c r="C9122">
        <v>62990</v>
      </c>
      <c r="D9122" t="str">
        <f>"62990"</f>
        <v>62990</v>
      </c>
      <c r="E9122">
        <v>69.23</v>
      </c>
    </row>
    <row r="9123" spans="1:5" x14ac:dyDescent="0.2">
      <c r="A9123">
        <v>62992</v>
      </c>
      <c r="B9123" t="s">
        <v>20</v>
      </c>
      <c r="C9123">
        <v>62992</v>
      </c>
      <c r="D9123" t="str">
        <f>"62992"</f>
        <v>62992</v>
      </c>
      <c r="E9123">
        <v>68.569999999999993</v>
      </c>
    </row>
    <row r="9124" spans="1:5" x14ac:dyDescent="0.2">
      <c r="A9124">
        <v>62994</v>
      </c>
      <c r="B9124" t="s">
        <v>20</v>
      </c>
      <c r="C9124">
        <v>62994</v>
      </c>
      <c r="D9124" t="str">
        <f>"62994"</f>
        <v>62994</v>
      </c>
      <c r="E9124">
        <v>74.19</v>
      </c>
    </row>
    <row r="9125" spans="1:5" x14ac:dyDescent="0.2">
      <c r="A9125">
        <v>62995</v>
      </c>
      <c r="B9125" t="s">
        <v>20</v>
      </c>
      <c r="C9125">
        <v>62995</v>
      </c>
      <c r="D9125" t="str">
        <f>"62995"</f>
        <v>62995</v>
      </c>
      <c r="E9125">
        <v>71.78</v>
      </c>
    </row>
    <row r="9126" spans="1:5" x14ac:dyDescent="0.2">
      <c r="A9126">
        <v>62996</v>
      </c>
      <c r="B9126" t="s">
        <v>20</v>
      </c>
      <c r="C9126">
        <v>62996</v>
      </c>
      <c r="D9126" t="str">
        <f>"62996"</f>
        <v>62996</v>
      </c>
      <c r="E9126">
        <v>70.83</v>
      </c>
    </row>
    <row r="9127" spans="1:5" x14ac:dyDescent="0.2">
      <c r="A9127">
        <v>62997</v>
      </c>
      <c r="B9127" t="s">
        <v>20</v>
      </c>
      <c r="C9127">
        <v>62997</v>
      </c>
      <c r="D9127" t="str">
        <f>"62997"</f>
        <v>62997</v>
      </c>
      <c r="E9127" t="s">
        <v>6</v>
      </c>
    </row>
    <row r="9128" spans="1:5" x14ac:dyDescent="0.2">
      <c r="A9128">
        <v>62998</v>
      </c>
      <c r="B9128" t="s">
        <v>20</v>
      </c>
      <c r="C9128">
        <v>62998</v>
      </c>
      <c r="D9128" t="str">
        <f>"62998"</f>
        <v>62998</v>
      </c>
      <c r="E9128">
        <v>68.75</v>
      </c>
    </row>
    <row r="9129" spans="1:5" x14ac:dyDescent="0.2">
      <c r="A9129">
        <v>62999</v>
      </c>
      <c r="B9129" t="s">
        <v>20</v>
      </c>
      <c r="C9129">
        <v>62999</v>
      </c>
      <c r="D9129" t="str">
        <f>"62999"</f>
        <v>62999</v>
      </c>
      <c r="E9129">
        <v>64.180000000000007</v>
      </c>
    </row>
    <row r="9130" spans="1:5" x14ac:dyDescent="0.2">
      <c r="A9130">
        <v>46001</v>
      </c>
      <c r="B9130" t="s">
        <v>21</v>
      </c>
      <c r="C9130">
        <v>46001</v>
      </c>
      <c r="D9130" t="str">
        <f>"46001"</f>
        <v>46001</v>
      </c>
      <c r="E9130">
        <v>69.25</v>
      </c>
    </row>
    <row r="9131" spans="1:5" x14ac:dyDescent="0.2">
      <c r="A9131">
        <v>46011</v>
      </c>
      <c r="B9131" t="s">
        <v>21</v>
      </c>
      <c r="C9131">
        <v>46011</v>
      </c>
      <c r="D9131" t="str">
        <f>"46011"</f>
        <v>46011</v>
      </c>
      <c r="E9131">
        <v>71.7</v>
      </c>
    </row>
    <row r="9132" spans="1:5" x14ac:dyDescent="0.2">
      <c r="A9132">
        <v>46012</v>
      </c>
      <c r="B9132" t="s">
        <v>21</v>
      </c>
      <c r="C9132">
        <v>46012</v>
      </c>
      <c r="D9132" t="str">
        <f>"46012"</f>
        <v>46012</v>
      </c>
      <c r="E9132">
        <v>69.59</v>
      </c>
    </row>
    <row r="9133" spans="1:5" x14ac:dyDescent="0.2">
      <c r="A9133">
        <v>46013</v>
      </c>
      <c r="B9133" t="s">
        <v>21</v>
      </c>
      <c r="C9133">
        <v>46013</v>
      </c>
      <c r="D9133" t="str">
        <f>"46013"</f>
        <v>46013</v>
      </c>
      <c r="E9133">
        <v>68.03</v>
      </c>
    </row>
    <row r="9134" spans="1:5" x14ac:dyDescent="0.2">
      <c r="A9134">
        <v>46016</v>
      </c>
      <c r="B9134" t="s">
        <v>21</v>
      </c>
      <c r="C9134">
        <v>46016</v>
      </c>
      <c r="D9134" t="str">
        <f>"46016"</f>
        <v>46016</v>
      </c>
      <c r="E9134">
        <v>50</v>
      </c>
    </row>
    <row r="9135" spans="1:5" x14ac:dyDescent="0.2">
      <c r="A9135">
        <v>46017</v>
      </c>
      <c r="B9135" t="s">
        <v>21</v>
      </c>
      <c r="C9135">
        <v>46017</v>
      </c>
      <c r="D9135" t="str">
        <f>"46017"</f>
        <v>46017</v>
      </c>
      <c r="E9135">
        <v>69.44</v>
      </c>
    </row>
    <row r="9136" spans="1:5" x14ac:dyDescent="0.2">
      <c r="A9136">
        <v>46030</v>
      </c>
      <c r="B9136" t="s">
        <v>21</v>
      </c>
      <c r="C9136">
        <v>46030</v>
      </c>
      <c r="D9136" t="str">
        <f>"46030"</f>
        <v>46030</v>
      </c>
      <c r="E9136">
        <v>72.73</v>
      </c>
    </row>
    <row r="9137" spans="1:5" x14ac:dyDescent="0.2">
      <c r="A9137">
        <v>46031</v>
      </c>
      <c r="B9137" t="s">
        <v>21</v>
      </c>
      <c r="C9137">
        <v>46031</v>
      </c>
      <c r="D9137" t="str">
        <f>"46031"</f>
        <v>46031</v>
      </c>
      <c r="E9137">
        <v>75.23</v>
      </c>
    </row>
    <row r="9138" spans="1:5" x14ac:dyDescent="0.2">
      <c r="A9138">
        <v>46032</v>
      </c>
      <c r="B9138" t="s">
        <v>21</v>
      </c>
      <c r="C9138">
        <v>46032</v>
      </c>
      <c r="D9138" t="str">
        <f>"46032"</f>
        <v>46032</v>
      </c>
      <c r="E9138">
        <v>81.06</v>
      </c>
    </row>
    <row r="9139" spans="1:5" x14ac:dyDescent="0.2">
      <c r="A9139">
        <v>46033</v>
      </c>
      <c r="B9139" t="s">
        <v>21</v>
      </c>
      <c r="C9139">
        <v>46033</v>
      </c>
      <c r="D9139" t="str">
        <f>"46033"</f>
        <v>46033</v>
      </c>
      <c r="E9139">
        <v>81.430000000000007</v>
      </c>
    </row>
    <row r="9140" spans="1:5" x14ac:dyDescent="0.2">
      <c r="A9140">
        <v>46034</v>
      </c>
      <c r="B9140" t="s">
        <v>21</v>
      </c>
      <c r="C9140">
        <v>46034</v>
      </c>
      <c r="D9140" t="str">
        <f>"46034"</f>
        <v>46034</v>
      </c>
      <c r="E9140">
        <v>75.97</v>
      </c>
    </row>
    <row r="9141" spans="1:5" x14ac:dyDescent="0.2">
      <c r="A9141">
        <v>46035</v>
      </c>
      <c r="B9141" t="s">
        <v>21</v>
      </c>
      <c r="C9141">
        <v>46035</v>
      </c>
      <c r="D9141" t="str">
        <f>"46035"</f>
        <v>46035</v>
      </c>
      <c r="E9141">
        <v>72.22</v>
      </c>
    </row>
    <row r="9142" spans="1:5" x14ac:dyDescent="0.2">
      <c r="A9142">
        <v>46036</v>
      </c>
      <c r="B9142" t="s">
        <v>21</v>
      </c>
      <c r="C9142">
        <v>46036</v>
      </c>
      <c r="D9142" t="str">
        <f>"46036"</f>
        <v>46036</v>
      </c>
      <c r="E9142">
        <v>67.64</v>
      </c>
    </row>
    <row r="9143" spans="1:5" x14ac:dyDescent="0.2">
      <c r="A9143">
        <v>46037</v>
      </c>
      <c r="B9143" t="s">
        <v>21</v>
      </c>
      <c r="C9143">
        <v>46037</v>
      </c>
      <c r="D9143" t="str">
        <f>"46037"</f>
        <v>46037</v>
      </c>
      <c r="E9143">
        <v>80.58</v>
      </c>
    </row>
    <row r="9144" spans="1:5" x14ac:dyDescent="0.2">
      <c r="A9144">
        <v>46038</v>
      </c>
      <c r="B9144" t="s">
        <v>21</v>
      </c>
      <c r="C9144">
        <v>46038</v>
      </c>
      <c r="D9144" t="str">
        <f>"46038"</f>
        <v>46038</v>
      </c>
      <c r="E9144">
        <v>79.7</v>
      </c>
    </row>
    <row r="9145" spans="1:5" x14ac:dyDescent="0.2">
      <c r="A9145">
        <v>46039</v>
      </c>
      <c r="B9145" t="s">
        <v>21</v>
      </c>
      <c r="C9145">
        <v>46039</v>
      </c>
      <c r="D9145" t="str">
        <f>"46039"</f>
        <v>46039</v>
      </c>
      <c r="E9145">
        <v>72.73</v>
      </c>
    </row>
    <row r="9146" spans="1:5" x14ac:dyDescent="0.2">
      <c r="A9146">
        <v>46040</v>
      </c>
      <c r="B9146" t="s">
        <v>21</v>
      </c>
      <c r="C9146">
        <v>46040</v>
      </c>
      <c r="D9146" t="str">
        <f>"46040"</f>
        <v>46040</v>
      </c>
      <c r="E9146">
        <v>78.58</v>
      </c>
    </row>
    <row r="9147" spans="1:5" x14ac:dyDescent="0.2">
      <c r="A9147">
        <v>46041</v>
      </c>
      <c r="B9147" t="s">
        <v>21</v>
      </c>
      <c r="C9147">
        <v>46041</v>
      </c>
      <c r="D9147" t="str">
        <f>"46041"</f>
        <v>46041</v>
      </c>
      <c r="E9147">
        <v>65.37</v>
      </c>
    </row>
    <row r="9148" spans="1:5" x14ac:dyDescent="0.2">
      <c r="A9148">
        <v>46044</v>
      </c>
      <c r="B9148" t="s">
        <v>21</v>
      </c>
      <c r="C9148">
        <v>46044</v>
      </c>
      <c r="D9148" t="str">
        <f>"46044"</f>
        <v>46044</v>
      </c>
      <c r="E9148">
        <v>73.239999999999995</v>
      </c>
    </row>
    <row r="9149" spans="1:5" x14ac:dyDescent="0.2">
      <c r="A9149">
        <v>46045</v>
      </c>
      <c r="B9149" t="s">
        <v>21</v>
      </c>
      <c r="C9149">
        <v>46045</v>
      </c>
      <c r="D9149" t="str">
        <f>"46045"</f>
        <v>46045</v>
      </c>
      <c r="E9149" t="s">
        <v>6</v>
      </c>
    </row>
    <row r="9150" spans="1:5" x14ac:dyDescent="0.2">
      <c r="A9150">
        <v>46048</v>
      </c>
      <c r="B9150" t="s">
        <v>21</v>
      </c>
      <c r="C9150">
        <v>46048</v>
      </c>
      <c r="D9150" t="str">
        <f>"46048"</f>
        <v>46048</v>
      </c>
      <c r="E9150">
        <v>72.73</v>
      </c>
    </row>
    <row r="9151" spans="1:5" x14ac:dyDescent="0.2">
      <c r="A9151">
        <v>46049</v>
      </c>
      <c r="B9151" t="s">
        <v>21</v>
      </c>
      <c r="C9151">
        <v>46049</v>
      </c>
      <c r="D9151" t="str">
        <f>"46049"</f>
        <v>46049</v>
      </c>
      <c r="E9151">
        <v>75</v>
      </c>
    </row>
    <row r="9152" spans="1:5" x14ac:dyDescent="0.2">
      <c r="A9152">
        <v>46050</v>
      </c>
      <c r="B9152" t="s">
        <v>21</v>
      </c>
      <c r="C9152">
        <v>46050</v>
      </c>
      <c r="D9152" t="str">
        <f>"46050"</f>
        <v>46050</v>
      </c>
      <c r="E9152">
        <v>70</v>
      </c>
    </row>
    <row r="9153" spans="1:5" x14ac:dyDescent="0.2">
      <c r="A9153">
        <v>46051</v>
      </c>
      <c r="B9153" t="s">
        <v>21</v>
      </c>
      <c r="C9153">
        <v>46051</v>
      </c>
      <c r="D9153" t="str">
        <f>"46051"</f>
        <v>46051</v>
      </c>
      <c r="E9153">
        <v>73.569999999999993</v>
      </c>
    </row>
    <row r="9154" spans="1:5" x14ac:dyDescent="0.2">
      <c r="A9154">
        <v>46052</v>
      </c>
      <c r="B9154" t="s">
        <v>21</v>
      </c>
      <c r="C9154">
        <v>46052</v>
      </c>
      <c r="D9154" t="str">
        <f>"46052"</f>
        <v>46052</v>
      </c>
      <c r="E9154">
        <v>73.56</v>
      </c>
    </row>
    <row r="9155" spans="1:5" x14ac:dyDescent="0.2">
      <c r="A9155">
        <v>46055</v>
      </c>
      <c r="B9155" t="s">
        <v>21</v>
      </c>
      <c r="C9155">
        <v>46055</v>
      </c>
      <c r="D9155" t="str">
        <f>"46055"</f>
        <v>46055</v>
      </c>
      <c r="E9155">
        <v>78.59</v>
      </c>
    </row>
    <row r="9156" spans="1:5" x14ac:dyDescent="0.2">
      <c r="A9156">
        <v>46056</v>
      </c>
      <c r="B9156" t="s">
        <v>21</v>
      </c>
      <c r="C9156">
        <v>46056</v>
      </c>
      <c r="D9156" t="str">
        <f>"46056"</f>
        <v>46056</v>
      </c>
      <c r="E9156">
        <v>75</v>
      </c>
    </row>
    <row r="9157" spans="1:5" x14ac:dyDescent="0.2">
      <c r="A9157">
        <v>46057</v>
      </c>
      <c r="B9157" t="s">
        <v>21</v>
      </c>
      <c r="C9157">
        <v>46057</v>
      </c>
      <c r="D9157" t="str">
        <f>"46057"</f>
        <v>46057</v>
      </c>
      <c r="E9157">
        <v>73.08</v>
      </c>
    </row>
    <row r="9158" spans="1:5" x14ac:dyDescent="0.2">
      <c r="A9158">
        <v>46058</v>
      </c>
      <c r="B9158" t="s">
        <v>21</v>
      </c>
      <c r="C9158">
        <v>46058</v>
      </c>
      <c r="D9158" t="str">
        <f>"46058"</f>
        <v>46058</v>
      </c>
      <c r="E9158">
        <v>77</v>
      </c>
    </row>
    <row r="9159" spans="1:5" x14ac:dyDescent="0.2">
      <c r="A9159">
        <v>46060</v>
      </c>
      <c r="B9159" t="s">
        <v>21</v>
      </c>
      <c r="C9159">
        <v>46060</v>
      </c>
      <c r="D9159" t="str">
        <f>"46060"</f>
        <v>46060</v>
      </c>
      <c r="E9159">
        <v>75.28</v>
      </c>
    </row>
    <row r="9160" spans="1:5" x14ac:dyDescent="0.2">
      <c r="A9160">
        <v>46062</v>
      </c>
      <c r="B9160" t="s">
        <v>21</v>
      </c>
      <c r="C9160">
        <v>46062</v>
      </c>
      <c r="D9160" t="str">
        <f>"46062"</f>
        <v>46062</v>
      </c>
      <c r="E9160">
        <v>79.38</v>
      </c>
    </row>
    <row r="9161" spans="1:5" x14ac:dyDescent="0.2">
      <c r="A9161">
        <v>46064</v>
      </c>
      <c r="B9161" t="s">
        <v>21</v>
      </c>
      <c r="C9161">
        <v>46064</v>
      </c>
      <c r="D9161" t="str">
        <f>"46064"</f>
        <v>46064</v>
      </c>
      <c r="E9161">
        <v>77.63</v>
      </c>
    </row>
    <row r="9162" spans="1:5" x14ac:dyDescent="0.2">
      <c r="A9162">
        <v>46065</v>
      </c>
      <c r="B9162" t="s">
        <v>21</v>
      </c>
      <c r="C9162">
        <v>46065</v>
      </c>
      <c r="D9162" t="str">
        <f>"46065"</f>
        <v>46065</v>
      </c>
      <c r="E9162">
        <v>72.02</v>
      </c>
    </row>
    <row r="9163" spans="1:5" x14ac:dyDescent="0.2">
      <c r="A9163">
        <v>46067</v>
      </c>
      <c r="B9163" t="s">
        <v>21</v>
      </c>
      <c r="C9163">
        <v>46067</v>
      </c>
      <c r="D9163" t="str">
        <f>"46067"</f>
        <v>46067</v>
      </c>
      <c r="E9163" t="s">
        <v>6</v>
      </c>
    </row>
    <row r="9164" spans="1:5" x14ac:dyDescent="0.2">
      <c r="A9164">
        <v>46068</v>
      </c>
      <c r="B9164" t="s">
        <v>21</v>
      </c>
      <c r="C9164">
        <v>46068</v>
      </c>
      <c r="D9164" t="str">
        <f>"46068"</f>
        <v>46068</v>
      </c>
      <c r="E9164">
        <v>77.099999999999994</v>
      </c>
    </row>
    <row r="9165" spans="1:5" x14ac:dyDescent="0.2">
      <c r="A9165">
        <v>46069</v>
      </c>
      <c r="B9165" t="s">
        <v>21</v>
      </c>
      <c r="C9165">
        <v>46069</v>
      </c>
      <c r="D9165" t="str">
        <f>"46069"</f>
        <v>46069</v>
      </c>
      <c r="E9165">
        <v>71.86</v>
      </c>
    </row>
    <row r="9166" spans="1:5" x14ac:dyDescent="0.2">
      <c r="A9166">
        <v>46070</v>
      </c>
      <c r="B9166" t="s">
        <v>21</v>
      </c>
      <c r="C9166">
        <v>46070</v>
      </c>
      <c r="D9166" t="str">
        <f>"46070"</f>
        <v>46070</v>
      </c>
      <c r="E9166">
        <v>68</v>
      </c>
    </row>
    <row r="9167" spans="1:5" x14ac:dyDescent="0.2">
      <c r="A9167">
        <v>46071</v>
      </c>
      <c r="B9167" t="s">
        <v>21</v>
      </c>
      <c r="C9167">
        <v>46071</v>
      </c>
      <c r="D9167" t="str">
        <f>"46071"</f>
        <v>46071</v>
      </c>
      <c r="E9167">
        <v>73.75</v>
      </c>
    </row>
    <row r="9168" spans="1:5" x14ac:dyDescent="0.2">
      <c r="A9168">
        <v>46072</v>
      </c>
      <c r="B9168" t="s">
        <v>21</v>
      </c>
      <c r="C9168">
        <v>46072</v>
      </c>
      <c r="D9168" t="str">
        <f>"46072"</f>
        <v>46072</v>
      </c>
      <c r="E9168">
        <v>72.97</v>
      </c>
    </row>
    <row r="9169" spans="1:5" x14ac:dyDescent="0.2">
      <c r="A9169">
        <v>46074</v>
      </c>
      <c r="B9169" t="s">
        <v>21</v>
      </c>
      <c r="C9169">
        <v>46074</v>
      </c>
      <c r="D9169" t="str">
        <f>"46074"</f>
        <v>46074</v>
      </c>
      <c r="E9169">
        <v>79.89</v>
      </c>
    </row>
    <row r="9170" spans="1:5" x14ac:dyDescent="0.2">
      <c r="A9170">
        <v>46075</v>
      </c>
      <c r="B9170" t="s">
        <v>21</v>
      </c>
      <c r="C9170">
        <v>46075</v>
      </c>
      <c r="D9170" t="str">
        <f>"46075"</f>
        <v>46075</v>
      </c>
      <c r="E9170">
        <v>82.65</v>
      </c>
    </row>
    <row r="9171" spans="1:5" x14ac:dyDescent="0.2">
      <c r="A9171">
        <v>46076</v>
      </c>
      <c r="B9171" t="s">
        <v>21</v>
      </c>
      <c r="C9171">
        <v>46076</v>
      </c>
      <c r="D9171" t="str">
        <f>"46076"</f>
        <v>46076</v>
      </c>
      <c r="E9171">
        <v>74.319999999999993</v>
      </c>
    </row>
    <row r="9172" spans="1:5" x14ac:dyDescent="0.2">
      <c r="A9172">
        <v>46077</v>
      </c>
      <c r="B9172" t="s">
        <v>21</v>
      </c>
      <c r="C9172">
        <v>46077</v>
      </c>
      <c r="D9172" t="str">
        <f>"46077"</f>
        <v>46077</v>
      </c>
      <c r="E9172">
        <v>81.83</v>
      </c>
    </row>
    <row r="9173" spans="1:5" x14ac:dyDescent="0.2">
      <c r="A9173">
        <v>46102</v>
      </c>
      <c r="B9173" t="s">
        <v>21</v>
      </c>
      <c r="C9173">
        <v>46102</v>
      </c>
      <c r="D9173" t="str">
        <f>"46102"</f>
        <v>46102</v>
      </c>
      <c r="E9173" t="s">
        <v>6</v>
      </c>
    </row>
    <row r="9174" spans="1:5" x14ac:dyDescent="0.2">
      <c r="A9174">
        <v>46103</v>
      </c>
      <c r="B9174" t="s">
        <v>21</v>
      </c>
      <c r="C9174">
        <v>46103</v>
      </c>
      <c r="D9174" t="str">
        <f>"46103"</f>
        <v>46103</v>
      </c>
      <c r="E9174" t="s">
        <v>6</v>
      </c>
    </row>
    <row r="9175" spans="1:5" x14ac:dyDescent="0.2">
      <c r="A9175">
        <v>46104</v>
      </c>
      <c r="B9175" t="s">
        <v>21</v>
      </c>
      <c r="C9175">
        <v>46104</v>
      </c>
      <c r="D9175" t="str">
        <f>"46104"</f>
        <v>46104</v>
      </c>
      <c r="E9175">
        <v>68.89</v>
      </c>
    </row>
    <row r="9176" spans="1:5" x14ac:dyDescent="0.2">
      <c r="A9176">
        <v>46105</v>
      </c>
      <c r="B9176" t="s">
        <v>21</v>
      </c>
      <c r="C9176">
        <v>46105</v>
      </c>
      <c r="D9176" t="str">
        <f>"46105"</f>
        <v>46105</v>
      </c>
      <c r="E9176">
        <v>72.41</v>
      </c>
    </row>
    <row r="9177" spans="1:5" x14ac:dyDescent="0.2">
      <c r="A9177">
        <v>46106</v>
      </c>
      <c r="B9177" t="s">
        <v>21</v>
      </c>
      <c r="C9177">
        <v>46106</v>
      </c>
      <c r="D9177" t="str">
        <f>"46106"</f>
        <v>46106</v>
      </c>
      <c r="E9177">
        <v>77.56</v>
      </c>
    </row>
    <row r="9178" spans="1:5" x14ac:dyDescent="0.2">
      <c r="A9178">
        <v>46107</v>
      </c>
      <c r="B9178" t="s">
        <v>21</v>
      </c>
      <c r="C9178">
        <v>46107</v>
      </c>
      <c r="D9178" t="str">
        <f>"46107"</f>
        <v>46107</v>
      </c>
      <c r="E9178">
        <v>69.010000000000005</v>
      </c>
    </row>
    <row r="9179" spans="1:5" x14ac:dyDescent="0.2">
      <c r="A9179">
        <v>46110</v>
      </c>
      <c r="B9179" t="s">
        <v>21</v>
      </c>
      <c r="C9179">
        <v>46110</v>
      </c>
      <c r="D9179" t="str">
        <f>"46110"</f>
        <v>46110</v>
      </c>
      <c r="E9179">
        <v>75</v>
      </c>
    </row>
    <row r="9180" spans="1:5" x14ac:dyDescent="0.2">
      <c r="A9180">
        <v>46111</v>
      </c>
      <c r="B9180" t="s">
        <v>21</v>
      </c>
      <c r="C9180">
        <v>46111</v>
      </c>
      <c r="D9180" t="str">
        <f>"46111"</f>
        <v>46111</v>
      </c>
      <c r="E9180" t="s">
        <v>6</v>
      </c>
    </row>
    <row r="9181" spans="1:5" x14ac:dyDescent="0.2">
      <c r="A9181">
        <v>46112</v>
      </c>
      <c r="B9181" t="s">
        <v>21</v>
      </c>
      <c r="C9181">
        <v>46112</v>
      </c>
      <c r="D9181" t="str">
        <f>"46112"</f>
        <v>46112</v>
      </c>
      <c r="E9181">
        <v>78.05</v>
      </c>
    </row>
    <row r="9182" spans="1:5" x14ac:dyDescent="0.2">
      <c r="A9182">
        <v>46113</v>
      </c>
      <c r="B9182" t="s">
        <v>21</v>
      </c>
      <c r="C9182">
        <v>46113</v>
      </c>
      <c r="D9182" t="str">
        <f>"46113"</f>
        <v>46113</v>
      </c>
      <c r="E9182">
        <v>73.09</v>
      </c>
    </row>
    <row r="9183" spans="1:5" x14ac:dyDescent="0.2">
      <c r="A9183">
        <v>46115</v>
      </c>
      <c r="B9183" t="s">
        <v>21</v>
      </c>
      <c r="C9183">
        <v>46115</v>
      </c>
      <c r="D9183" t="str">
        <f>"46115"</f>
        <v>46115</v>
      </c>
      <c r="E9183">
        <v>72.53</v>
      </c>
    </row>
    <row r="9184" spans="1:5" x14ac:dyDescent="0.2">
      <c r="A9184">
        <v>46117</v>
      </c>
      <c r="B9184" t="s">
        <v>21</v>
      </c>
      <c r="C9184">
        <v>46117</v>
      </c>
      <c r="D9184" t="str">
        <f>"46117"</f>
        <v>46117</v>
      </c>
      <c r="E9184">
        <v>75</v>
      </c>
    </row>
    <row r="9185" spans="1:5" x14ac:dyDescent="0.2">
      <c r="A9185">
        <v>46118</v>
      </c>
      <c r="B9185" t="s">
        <v>21</v>
      </c>
      <c r="C9185">
        <v>46118</v>
      </c>
      <c r="D9185" t="str">
        <f>"46118"</f>
        <v>46118</v>
      </c>
      <c r="E9185">
        <v>78.19</v>
      </c>
    </row>
    <row r="9186" spans="1:5" x14ac:dyDescent="0.2">
      <c r="A9186">
        <v>46120</v>
      </c>
      <c r="B9186" t="s">
        <v>21</v>
      </c>
      <c r="C9186">
        <v>46120</v>
      </c>
      <c r="D9186" t="str">
        <f>"46120"</f>
        <v>46120</v>
      </c>
      <c r="E9186">
        <v>69.06</v>
      </c>
    </row>
    <row r="9187" spans="1:5" x14ac:dyDescent="0.2">
      <c r="A9187">
        <v>46121</v>
      </c>
      <c r="B9187" t="s">
        <v>21</v>
      </c>
      <c r="C9187">
        <v>46121</v>
      </c>
      <c r="D9187" t="str">
        <f>"46121"</f>
        <v>46121</v>
      </c>
      <c r="E9187">
        <v>76.11</v>
      </c>
    </row>
    <row r="9188" spans="1:5" x14ac:dyDescent="0.2">
      <c r="A9188">
        <v>46122</v>
      </c>
      <c r="B9188" t="s">
        <v>21</v>
      </c>
      <c r="C9188">
        <v>46122</v>
      </c>
      <c r="D9188" t="str">
        <f>"46122"</f>
        <v>46122</v>
      </c>
      <c r="E9188">
        <v>76.94</v>
      </c>
    </row>
    <row r="9189" spans="1:5" x14ac:dyDescent="0.2">
      <c r="A9189">
        <v>46123</v>
      </c>
      <c r="B9189" t="s">
        <v>21</v>
      </c>
      <c r="C9189">
        <v>46123</v>
      </c>
      <c r="D9189" t="str">
        <f>"46123"</f>
        <v>46123</v>
      </c>
      <c r="E9189">
        <v>77.930000000000007</v>
      </c>
    </row>
    <row r="9190" spans="1:5" x14ac:dyDescent="0.2">
      <c r="A9190">
        <v>46124</v>
      </c>
      <c r="B9190" t="s">
        <v>21</v>
      </c>
      <c r="C9190">
        <v>46124</v>
      </c>
      <c r="D9190" t="str">
        <f>"46124"</f>
        <v>46124</v>
      </c>
      <c r="E9190">
        <v>65.92</v>
      </c>
    </row>
    <row r="9191" spans="1:5" x14ac:dyDescent="0.2">
      <c r="A9191">
        <v>46126</v>
      </c>
      <c r="B9191" t="s">
        <v>21</v>
      </c>
      <c r="C9191">
        <v>46126</v>
      </c>
      <c r="D9191" t="str">
        <f>"46126"</f>
        <v>46126</v>
      </c>
      <c r="E9191">
        <v>74.14</v>
      </c>
    </row>
    <row r="9192" spans="1:5" x14ac:dyDescent="0.2">
      <c r="A9192">
        <v>46127</v>
      </c>
      <c r="B9192" t="s">
        <v>21</v>
      </c>
      <c r="C9192">
        <v>46127</v>
      </c>
      <c r="D9192" t="str">
        <f>"46127"</f>
        <v>46127</v>
      </c>
      <c r="E9192">
        <v>75</v>
      </c>
    </row>
    <row r="9193" spans="1:5" x14ac:dyDescent="0.2">
      <c r="A9193">
        <v>46128</v>
      </c>
      <c r="B9193" t="s">
        <v>21</v>
      </c>
      <c r="C9193">
        <v>46128</v>
      </c>
      <c r="D9193" t="str">
        <f>"46128"</f>
        <v>46128</v>
      </c>
      <c r="E9193">
        <v>72.55</v>
      </c>
    </row>
    <row r="9194" spans="1:5" x14ac:dyDescent="0.2">
      <c r="A9194">
        <v>46130</v>
      </c>
      <c r="B9194" t="s">
        <v>21</v>
      </c>
      <c r="C9194">
        <v>46130</v>
      </c>
      <c r="D9194" t="str">
        <f>"46130"</f>
        <v>46130</v>
      </c>
      <c r="E9194">
        <v>77.87</v>
      </c>
    </row>
    <row r="9195" spans="1:5" x14ac:dyDescent="0.2">
      <c r="A9195">
        <v>46131</v>
      </c>
      <c r="B9195" t="s">
        <v>21</v>
      </c>
      <c r="C9195">
        <v>46131</v>
      </c>
      <c r="D9195" t="str">
        <f>"46131"</f>
        <v>46131</v>
      </c>
      <c r="E9195">
        <v>72.36</v>
      </c>
    </row>
    <row r="9196" spans="1:5" x14ac:dyDescent="0.2">
      <c r="A9196">
        <v>46133</v>
      </c>
      <c r="B9196" t="s">
        <v>21</v>
      </c>
      <c r="C9196">
        <v>46133</v>
      </c>
      <c r="D9196" t="str">
        <f>"46133"</f>
        <v>46133</v>
      </c>
      <c r="E9196">
        <v>65.849999999999994</v>
      </c>
    </row>
    <row r="9197" spans="1:5" x14ac:dyDescent="0.2">
      <c r="A9197">
        <v>46135</v>
      </c>
      <c r="B9197" t="s">
        <v>21</v>
      </c>
      <c r="C9197">
        <v>46135</v>
      </c>
      <c r="D9197" t="str">
        <f>"46135"</f>
        <v>46135</v>
      </c>
      <c r="E9197">
        <v>70.540000000000006</v>
      </c>
    </row>
    <row r="9198" spans="1:5" x14ac:dyDescent="0.2">
      <c r="A9198">
        <v>46140</v>
      </c>
      <c r="B9198" t="s">
        <v>21</v>
      </c>
      <c r="C9198">
        <v>46140</v>
      </c>
      <c r="D9198" t="str">
        <f>"46140"</f>
        <v>46140</v>
      </c>
      <c r="E9198">
        <v>75.2</v>
      </c>
    </row>
    <row r="9199" spans="1:5" x14ac:dyDescent="0.2">
      <c r="A9199">
        <v>46142</v>
      </c>
      <c r="B9199" t="s">
        <v>21</v>
      </c>
      <c r="C9199">
        <v>46142</v>
      </c>
      <c r="D9199" t="str">
        <f>"46142"</f>
        <v>46142</v>
      </c>
      <c r="E9199">
        <v>76.400000000000006</v>
      </c>
    </row>
    <row r="9200" spans="1:5" x14ac:dyDescent="0.2">
      <c r="A9200">
        <v>46143</v>
      </c>
      <c r="B9200" t="s">
        <v>21</v>
      </c>
      <c r="C9200">
        <v>46143</v>
      </c>
      <c r="D9200" t="str">
        <f>"46143"</f>
        <v>46143</v>
      </c>
      <c r="E9200">
        <v>75.41</v>
      </c>
    </row>
    <row r="9201" spans="1:5" x14ac:dyDescent="0.2">
      <c r="A9201">
        <v>46144</v>
      </c>
      <c r="B9201" t="s">
        <v>21</v>
      </c>
      <c r="C9201">
        <v>46144</v>
      </c>
      <c r="D9201" t="str">
        <f>"46144"</f>
        <v>46144</v>
      </c>
      <c r="E9201" t="s">
        <v>6</v>
      </c>
    </row>
    <row r="9202" spans="1:5" x14ac:dyDescent="0.2">
      <c r="A9202">
        <v>46146</v>
      </c>
      <c r="B9202" t="s">
        <v>21</v>
      </c>
      <c r="C9202">
        <v>46146</v>
      </c>
      <c r="D9202" t="str">
        <f>"46146"</f>
        <v>46146</v>
      </c>
      <c r="E9202" t="s">
        <v>6</v>
      </c>
    </row>
    <row r="9203" spans="1:5" x14ac:dyDescent="0.2">
      <c r="A9203">
        <v>46147</v>
      </c>
      <c r="B9203" t="s">
        <v>21</v>
      </c>
      <c r="C9203">
        <v>46147</v>
      </c>
      <c r="D9203" t="str">
        <f>"46147"</f>
        <v>46147</v>
      </c>
      <c r="E9203">
        <v>76.47</v>
      </c>
    </row>
    <row r="9204" spans="1:5" x14ac:dyDescent="0.2">
      <c r="A9204">
        <v>46148</v>
      </c>
      <c r="B9204" t="s">
        <v>21</v>
      </c>
      <c r="C9204">
        <v>46148</v>
      </c>
      <c r="D9204" t="str">
        <f>"46148"</f>
        <v>46148</v>
      </c>
      <c r="E9204">
        <v>72.61</v>
      </c>
    </row>
    <row r="9205" spans="1:5" x14ac:dyDescent="0.2">
      <c r="A9205">
        <v>46149</v>
      </c>
      <c r="B9205" t="s">
        <v>21</v>
      </c>
      <c r="C9205">
        <v>46149</v>
      </c>
      <c r="D9205" t="str">
        <f>"46149"</f>
        <v>46149</v>
      </c>
      <c r="E9205">
        <v>77.66</v>
      </c>
    </row>
    <row r="9206" spans="1:5" x14ac:dyDescent="0.2">
      <c r="A9206">
        <v>46150</v>
      </c>
      <c r="B9206" t="s">
        <v>21</v>
      </c>
      <c r="C9206">
        <v>46150</v>
      </c>
      <c r="D9206" t="str">
        <f>"46150"</f>
        <v>46150</v>
      </c>
      <c r="E9206">
        <v>72.22</v>
      </c>
    </row>
    <row r="9207" spans="1:5" x14ac:dyDescent="0.2">
      <c r="A9207">
        <v>46151</v>
      </c>
      <c r="B9207" t="s">
        <v>21</v>
      </c>
      <c r="C9207">
        <v>46151</v>
      </c>
      <c r="D9207" t="str">
        <f>"46151"</f>
        <v>46151</v>
      </c>
      <c r="E9207">
        <v>72.290000000000006</v>
      </c>
    </row>
    <row r="9208" spans="1:5" x14ac:dyDescent="0.2">
      <c r="A9208">
        <v>46154</v>
      </c>
      <c r="B9208" t="s">
        <v>21</v>
      </c>
      <c r="C9208">
        <v>46154</v>
      </c>
      <c r="D9208" t="str">
        <f>"46154"</f>
        <v>46154</v>
      </c>
      <c r="E9208" t="s">
        <v>6</v>
      </c>
    </row>
    <row r="9209" spans="1:5" x14ac:dyDescent="0.2">
      <c r="A9209">
        <v>46155</v>
      </c>
      <c r="B9209" t="s">
        <v>21</v>
      </c>
      <c r="C9209">
        <v>46155</v>
      </c>
      <c r="D9209" t="str">
        <f>"46155"</f>
        <v>46155</v>
      </c>
      <c r="E9209" t="s">
        <v>6</v>
      </c>
    </row>
    <row r="9210" spans="1:5" x14ac:dyDescent="0.2">
      <c r="A9210">
        <v>46156</v>
      </c>
      <c r="B9210" t="s">
        <v>21</v>
      </c>
      <c r="C9210">
        <v>46156</v>
      </c>
      <c r="D9210" t="str">
        <f>"46156"</f>
        <v>46156</v>
      </c>
      <c r="E9210">
        <v>67.69</v>
      </c>
    </row>
    <row r="9211" spans="1:5" x14ac:dyDescent="0.2">
      <c r="A9211">
        <v>46157</v>
      </c>
      <c r="B9211" t="s">
        <v>21</v>
      </c>
      <c r="C9211">
        <v>46157</v>
      </c>
      <c r="D9211" t="str">
        <f>"46157"</f>
        <v>46157</v>
      </c>
      <c r="E9211">
        <v>75.14</v>
      </c>
    </row>
    <row r="9212" spans="1:5" x14ac:dyDescent="0.2">
      <c r="A9212">
        <v>46158</v>
      </c>
      <c r="B9212" t="s">
        <v>21</v>
      </c>
      <c r="C9212">
        <v>46158</v>
      </c>
      <c r="D9212" t="str">
        <f>"46158"</f>
        <v>46158</v>
      </c>
      <c r="E9212">
        <v>73.8</v>
      </c>
    </row>
    <row r="9213" spans="1:5" x14ac:dyDescent="0.2">
      <c r="A9213">
        <v>46160</v>
      </c>
      <c r="B9213" t="s">
        <v>21</v>
      </c>
      <c r="C9213">
        <v>46160</v>
      </c>
      <c r="D9213" t="str">
        <f>"46160"</f>
        <v>46160</v>
      </c>
      <c r="E9213">
        <v>70.510000000000005</v>
      </c>
    </row>
    <row r="9214" spans="1:5" x14ac:dyDescent="0.2">
      <c r="A9214">
        <v>46161</v>
      </c>
      <c r="B9214" t="s">
        <v>21</v>
      </c>
      <c r="C9214">
        <v>46161</v>
      </c>
      <c r="D9214" t="str">
        <f>"46161"</f>
        <v>46161</v>
      </c>
      <c r="E9214">
        <v>74.8</v>
      </c>
    </row>
    <row r="9215" spans="1:5" x14ac:dyDescent="0.2">
      <c r="A9215">
        <v>46162</v>
      </c>
      <c r="B9215" t="s">
        <v>21</v>
      </c>
      <c r="C9215">
        <v>46162</v>
      </c>
      <c r="D9215" t="str">
        <f>"46162"</f>
        <v>46162</v>
      </c>
      <c r="E9215">
        <v>72</v>
      </c>
    </row>
    <row r="9216" spans="1:5" x14ac:dyDescent="0.2">
      <c r="A9216">
        <v>46163</v>
      </c>
      <c r="B9216" t="s">
        <v>21</v>
      </c>
      <c r="C9216">
        <v>46163</v>
      </c>
      <c r="D9216" t="str">
        <f>"46163"</f>
        <v>46163</v>
      </c>
      <c r="E9216">
        <v>79.72</v>
      </c>
    </row>
    <row r="9217" spans="1:5" x14ac:dyDescent="0.2">
      <c r="A9217">
        <v>46164</v>
      </c>
      <c r="B9217" t="s">
        <v>21</v>
      </c>
      <c r="C9217">
        <v>46164</v>
      </c>
      <c r="D9217" t="str">
        <f>"46164"</f>
        <v>46164</v>
      </c>
      <c r="E9217">
        <v>75.709999999999994</v>
      </c>
    </row>
    <row r="9218" spans="1:5" x14ac:dyDescent="0.2">
      <c r="A9218">
        <v>46165</v>
      </c>
      <c r="B9218" t="s">
        <v>21</v>
      </c>
      <c r="C9218">
        <v>46165</v>
      </c>
      <c r="D9218" t="str">
        <f>"46165"</f>
        <v>46165</v>
      </c>
      <c r="E9218">
        <v>73.61</v>
      </c>
    </row>
    <row r="9219" spans="1:5" x14ac:dyDescent="0.2">
      <c r="A9219">
        <v>46166</v>
      </c>
      <c r="B9219" t="s">
        <v>21</v>
      </c>
      <c r="C9219">
        <v>46166</v>
      </c>
      <c r="D9219" t="str">
        <f>"46166"</f>
        <v>46166</v>
      </c>
      <c r="E9219">
        <v>69.23</v>
      </c>
    </row>
    <row r="9220" spans="1:5" x14ac:dyDescent="0.2">
      <c r="A9220">
        <v>46167</v>
      </c>
      <c r="B9220" t="s">
        <v>21</v>
      </c>
      <c r="C9220">
        <v>46167</v>
      </c>
      <c r="D9220" t="str">
        <f>"46167"</f>
        <v>46167</v>
      </c>
      <c r="E9220">
        <v>78.260000000000005</v>
      </c>
    </row>
    <row r="9221" spans="1:5" x14ac:dyDescent="0.2">
      <c r="A9221">
        <v>46168</v>
      </c>
      <c r="B9221" t="s">
        <v>21</v>
      </c>
      <c r="C9221">
        <v>46168</v>
      </c>
      <c r="D9221" t="str">
        <f>"46168"</f>
        <v>46168</v>
      </c>
      <c r="E9221">
        <v>76.87</v>
      </c>
    </row>
    <row r="9222" spans="1:5" x14ac:dyDescent="0.2">
      <c r="A9222">
        <v>46170</v>
      </c>
      <c r="B9222" t="s">
        <v>21</v>
      </c>
      <c r="C9222">
        <v>46170</v>
      </c>
      <c r="D9222" t="str">
        <f>"46170"</f>
        <v>46170</v>
      </c>
      <c r="E9222" t="s">
        <v>6</v>
      </c>
    </row>
    <row r="9223" spans="1:5" x14ac:dyDescent="0.2">
      <c r="A9223">
        <v>46171</v>
      </c>
      <c r="B9223" t="s">
        <v>21</v>
      </c>
      <c r="C9223">
        <v>46171</v>
      </c>
      <c r="D9223" t="str">
        <f>"46171"</f>
        <v>46171</v>
      </c>
      <c r="E9223">
        <v>72.290000000000006</v>
      </c>
    </row>
    <row r="9224" spans="1:5" x14ac:dyDescent="0.2">
      <c r="A9224">
        <v>46172</v>
      </c>
      <c r="B9224" t="s">
        <v>21</v>
      </c>
      <c r="C9224">
        <v>46172</v>
      </c>
      <c r="D9224" t="str">
        <f>"46172"</f>
        <v>46172</v>
      </c>
      <c r="E9224">
        <v>70</v>
      </c>
    </row>
    <row r="9225" spans="1:5" x14ac:dyDescent="0.2">
      <c r="A9225">
        <v>46173</v>
      </c>
      <c r="B9225" t="s">
        <v>21</v>
      </c>
      <c r="C9225">
        <v>46173</v>
      </c>
      <c r="D9225" t="str">
        <f>"46173"</f>
        <v>46173</v>
      </c>
      <c r="E9225">
        <v>68.14</v>
      </c>
    </row>
    <row r="9226" spans="1:5" x14ac:dyDescent="0.2">
      <c r="A9226">
        <v>46175</v>
      </c>
      <c r="B9226" t="s">
        <v>21</v>
      </c>
      <c r="C9226">
        <v>46175</v>
      </c>
      <c r="D9226" t="str">
        <f>"46175"</f>
        <v>46175</v>
      </c>
      <c r="E9226">
        <v>65.38</v>
      </c>
    </row>
    <row r="9227" spans="1:5" x14ac:dyDescent="0.2">
      <c r="A9227">
        <v>46176</v>
      </c>
      <c r="B9227" t="s">
        <v>21</v>
      </c>
      <c r="C9227">
        <v>46176</v>
      </c>
      <c r="D9227" t="str">
        <f>"46176"</f>
        <v>46176</v>
      </c>
      <c r="E9227">
        <v>69.2</v>
      </c>
    </row>
    <row r="9228" spans="1:5" x14ac:dyDescent="0.2">
      <c r="A9228">
        <v>46180</v>
      </c>
      <c r="B9228" t="s">
        <v>21</v>
      </c>
      <c r="C9228">
        <v>46180</v>
      </c>
      <c r="D9228" t="str">
        <f>"46180"</f>
        <v>46180</v>
      </c>
      <c r="E9228">
        <v>75.510000000000005</v>
      </c>
    </row>
    <row r="9229" spans="1:5" x14ac:dyDescent="0.2">
      <c r="A9229">
        <v>46181</v>
      </c>
      <c r="B9229" t="s">
        <v>21</v>
      </c>
      <c r="C9229">
        <v>46181</v>
      </c>
      <c r="D9229" t="str">
        <f>"46181"</f>
        <v>46181</v>
      </c>
      <c r="E9229">
        <v>73.58</v>
      </c>
    </row>
    <row r="9230" spans="1:5" x14ac:dyDescent="0.2">
      <c r="A9230">
        <v>46182</v>
      </c>
      <c r="B9230" t="s">
        <v>21</v>
      </c>
      <c r="C9230">
        <v>46182</v>
      </c>
      <c r="D9230" t="str">
        <f>"46182"</f>
        <v>46182</v>
      </c>
      <c r="E9230">
        <v>72.73</v>
      </c>
    </row>
    <row r="9231" spans="1:5" x14ac:dyDescent="0.2">
      <c r="A9231">
        <v>46183</v>
      </c>
      <c r="B9231" t="s">
        <v>21</v>
      </c>
      <c r="C9231">
        <v>46183</v>
      </c>
      <c r="D9231" t="str">
        <f>"46183"</f>
        <v>46183</v>
      </c>
      <c r="E9231" t="s">
        <v>6</v>
      </c>
    </row>
    <row r="9232" spans="1:5" x14ac:dyDescent="0.2">
      <c r="A9232">
        <v>46184</v>
      </c>
      <c r="B9232" t="s">
        <v>21</v>
      </c>
      <c r="C9232">
        <v>46184</v>
      </c>
      <c r="D9232" t="str">
        <f>"46184"</f>
        <v>46184</v>
      </c>
      <c r="E9232">
        <v>72.73</v>
      </c>
    </row>
    <row r="9233" spans="1:5" x14ac:dyDescent="0.2">
      <c r="A9233">
        <v>46186</v>
      </c>
      <c r="B9233" t="s">
        <v>21</v>
      </c>
      <c r="C9233">
        <v>46186</v>
      </c>
      <c r="D9233" t="str">
        <f>"46186"</f>
        <v>46186</v>
      </c>
      <c r="E9233">
        <v>77.650000000000006</v>
      </c>
    </row>
    <row r="9234" spans="1:5" x14ac:dyDescent="0.2">
      <c r="A9234">
        <v>46201</v>
      </c>
      <c r="B9234" t="s">
        <v>21</v>
      </c>
      <c r="C9234">
        <v>46201</v>
      </c>
      <c r="D9234" t="str">
        <f>"46201"</f>
        <v>46201</v>
      </c>
      <c r="E9234">
        <v>55.7</v>
      </c>
    </row>
    <row r="9235" spans="1:5" x14ac:dyDescent="0.2">
      <c r="A9235">
        <v>46202</v>
      </c>
      <c r="B9235" t="s">
        <v>21</v>
      </c>
      <c r="C9235">
        <v>46202</v>
      </c>
      <c r="D9235" t="str">
        <f>"46202"</f>
        <v>46202</v>
      </c>
      <c r="E9235">
        <v>76.209999999999994</v>
      </c>
    </row>
    <row r="9236" spans="1:5" x14ac:dyDescent="0.2">
      <c r="A9236">
        <v>46203</v>
      </c>
      <c r="B9236" t="s">
        <v>21</v>
      </c>
      <c r="C9236">
        <v>46203</v>
      </c>
      <c r="D9236" t="str">
        <f>"46203"</f>
        <v>46203</v>
      </c>
      <c r="E9236">
        <v>61.39</v>
      </c>
    </row>
    <row r="9237" spans="1:5" x14ac:dyDescent="0.2">
      <c r="A9237">
        <v>46204</v>
      </c>
      <c r="B9237" t="s">
        <v>21</v>
      </c>
      <c r="C9237">
        <v>46204</v>
      </c>
      <c r="D9237" t="str">
        <f>"46204"</f>
        <v>46204</v>
      </c>
      <c r="E9237">
        <v>85.78</v>
      </c>
    </row>
    <row r="9238" spans="1:5" x14ac:dyDescent="0.2">
      <c r="A9238">
        <v>46205</v>
      </c>
      <c r="B9238" t="s">
        <v>21</v>
      </c>
      <c r="C9238">
        <v>46205</v>
      </c>
      <c r="D9238" t="str">
        <f>"46205"</f>
        <v>46205</v>
      </c>
      <c r="E9238">
        <v>70.349999999999994</v>
      </c>
    </row>
    <row r="9239" spans="1:5" x14ac:dyDescent="0.2">
      <c r="A9239">
        <v>46208</v>
      </c>
      <c r="B9239" t="s">
        <v>21</v>
      </c>
      <c r="C9239">
        <v>46208</v>
      </c>
      <c r="D9239" t="str">
        <f>"46208"</f>
        <v>46208</v>
      </c>
      <c r="E9239">
        <v>62.99</v>
      </c>
    </row>
    <row r="9240" spans="1:5" x14ac:dyDescent="0.2">
      <c r="A9240">
        <v>46214</v>
      </c>
      <c r="B9240" t="s">
        <v>21</v>
      </c>
      <c r="C9240">
        <v>46214</v>
      </c>
      <c r="D9240" t="str">
        <f>"46214"</f>
        <v>46214</v>
      </c>
      <c r="E9240">
        <v>67.28</v>
      </c>
    </row>
    <row r="9241" spans="1:5" x14ac:dyDescent="0.2">
      <c r="A9241">
        <v>46216</v>
      </c>
      <c r="B9241" t="s">
        <v>21</v>
      </c>
      <c r="C9241">
        <v>46216</v>
      </c>
      <c r="D9241" t="str">
        <f>"46216"</f>
        <v>46216</v>
      </c>
      <c r="E9241">
        <v>73.39</v>
      </c>
    </row>
    <row r="9242" spans="1:5" x14ac:dyDescent="0.2">
      <c r="A9242">
        <v>46217</v>
      </c>
      <c r="B9242" t="s">
        <v>21</v>
      </c>
      <c r="C9242">
        <v>46217</v>
      </c>
      <c r="D9242" t="str">
        <f>"46217"</f>
        <v>46217</v>
      </c>
      <c r="E9242">
        <v>74.709999999999994</v>
      </c>
    </row>
    <row r="9243" spans="1:5" x14ac:dyDescent="0.2">
      <c r="A9243">
        <v>46218</v>
      </c>
      <c r="B9243" t="s">
        <v>21</v>
      </c>
      <c r="C9243">
        <v>46218</v>
      </c>
      <c r="D9243" t="str">
        <f>"46218"</f>
        <v>46218</v>
      </c>
      <c r="E9243">
        <v>46.49</v>
      </c>
    </row>
    <row r="9244" spans="1:5" x14ac:dyDescent="0.2">
      <c r="A9244">
        <v>46219</v>
      </c>
      <c r="B9244" t="s">
        <v>21</v>
      </c>
      <c r="C9244">
        <v>46219</v>
      </c>
      <c r="D9244" t="str">
        <f>"46219"</f>
        <v>46219</v>
      </c>
      <c r="E9244">
        <v>66.2</v>
      </c>
    </row>
    <row r="9245" spans="1:5" x14ac:dyDescent="0.2">
      <c r="A9245">
        <v>46220</v>
      </c>
      <c r="B9245" t="s">
        <v>21</v>
      </c>
      <c r="C9245">
        <v>46220</v>
      </c>
      <c r="D9245" t="str">
        <f>"46220"</f>
        <v>46220</v>
      </c>
      <c r="E9245">
        <v>82.68</v>
      </c>
    </row>
    <row r="9246" spans="1:5" x14ac:dyDescent="0.2">
      <c r="A9246">
        <v>46221</v>
      </c>
      <c r="B9246" t="s">
        <v>21</v>
      </c>
      <c r="C9246">
        <v>46221</v>
      </c>
      <c r="D9246" t="str">
        <f>"46221"</f>
        <v>46221</v>
      </c>
      <c r="E9246">
        <v>65.97</v>
      </c>
    </row>
    <row r="9247" spans="1:5" x14ac:dyDescent="0.2">
      <c r="A9247">
        <v>46222</v>
      </c>
      <c r="B9247" t="s">
        <v>21</v>
      </c>
      <c r="C9247">
        <v>46222</v>
      </c>
      <c r="D9247" t="str">
        <f>"46222"</f>
        <v>46222</v>
      </c>
      <c r="E9247">
        <v>49.17</v>
      </c>
    </row>
    <row r="9248" spans="1:5" x14ac:dyDescent="0.2">
      <c r="A9248">
        <v>46224</v>
      </c>
      <c r="B9248" t="s">
        <v>21</v>
      </c>
      <c r="C9248">
        <v>46224</v>
      </c>
      <c r="D9248" t="str">
        <f>"46224"</f>
        <v>46224</v>
      </c>
      <c r="E9248">
        <v>58.35</v>
      </c>
    </row>
    <row r="9249" spans="1:5" x14ac:dyDescent="0.2">
      <c r="A9249">
        <v>46225</v>
      </c>
      <c r="B9249" t="s">
        <v>21</v>
      </c>
      <c r="C9249">
        <v>46225</v>
      </c>
      <c r="D9249" t="str">
        <f>"46225"</f>
        <v>46225</v>
      </c>
      <c r="E9249">
        <v>60.27</v>
      </c>
    </row>
    <row r="9250" spans="1:5" x14ac:dyDescent="0.2">
      <c r="A9250">
        <v>46226</v>
      </c>
      <c r="B9250" t="s">
        <v>21</v>
      </c>
      <c r="C9250">
        <v>46226</v>
      </c>
      <c r="D9250" t="str">
        <f>"46226"</f>
        <v>46226</v>
      </c>
      <c r="E9250">
        <v>55.57</v>
      </c>
    </row>
    <row r="9251" spans="1:5" x14ac:dyDescent="0.2">
      <c r="A9251">
        <v>46227</v>
      </c>
      <c r="B9251" t="s">
        <v>21</v>
      </c>
      <c r="C9251">
        <v>46227</v>
      </c>
      <c r="D9251" t="str">
        <f>"46227"</f>
        <v>46227</v>
      </c>
      <c r="E9251">
        <v>64.8</v>
      </c>
    </row>
    <row r="9252" spans="1:5" x14ac:dyDescent="0.2">
      <c r="A9252">
        <v>46228</v>
      </c>
      <c r="B9252" t="s">
        <v>21</v>
      </c>
      <c r="C9252">
        <v>46228</v>
      </c>
      <c r="D9252" t="str">
        <f>"46228"</f>
        <v>46228</v>
      </c>
      <c r="E9252">
        <v>71.69</v>
      </c>
    </row>
    <row r="9253" spans="1:5" x14ac:dyDescent="0.2">
      <c r="A9253">
        <v>46229</v>
      </c>
      <c r="B9253" t="s">
        <v>21</v>
      </c>
      <c r="C9253">
        <v>46229</v>
      </c>
      <c r="D9253" t="str">
        <f>"46229"</f>
        <v>46229</v>
      </c>
      <c r="E9253">
        <v>62.21</v>
      </c>
    </row>
    <row r="9254" spans="1:5" x14ac:dyDescent="0.2">
      <c r="A9254">
        <v>46231</v>
      </c>
      <c r="B9254" t="s">
        <v>21</v>
      </c>
      <c r="C9254">
        <v>46231</v>
      </c>
      <c r="D9254" t="str">
        <f>"46231"</f>
        <v>46231</v>
      </c>
      <c r="E9254">
        <v>69.13</v>
      </c>
    </row>
    <row r="9255" spans="1:5" x14ac:dyDescent="0.2">
      <c r="A9255">
        <v>46234</v>
      </c>
      <c r="B9255" t="s">
        <v>21</v>
      </c>
      <c r="C9255">
        <v>46234</v>
      </c>
      <c r="D9255" t="str">
        <f>"46234"</f>
        <v>46234</v>
      </c>
      <c r="E9255">
        <v>73.989999999999995</v>
      </c>
    </row>
    <row r="9256" spans="1:5" x14ac:dyDescent="0.2">
      <c r="A9256">
        <v>46235</v>
      </c>
      <c r="B9256" t="s">
        <v>21</v>
      </c>
      <c r="C9256">
        <v>46235</v>
      </c>
      <c r="D9256" t="str">
        <f>"46235"</f>
        <v>46235</v>
      </c>
      <c r="E9256">
        <v>53.81</v>
      </c>
    </row>
    <row r="9257" spans="1:5" x14ac:dyDescent="0.2">
      <c r="A9257">
        <v>46236</v>
      </c>
      <c r="B9257" t="s">
        <v>21</v>
      </c>
      <c r="C9257">
        <v>46236</v>
      </c>
      <c r="D9257" t="str">
        <f>"46236"</f>
        <v>46236</v>
      </c>
      <c r="E9257">
        <v>76.95</v>
      </c>
    </row>
    <row r="9258" spans="1:5" x14ac:dyDescent="0.2">
      <c r="A9258">
        <v>46237</v>
      </c>
      <c r="B9258" t="s">
        <v>21</v>
      </c>
      <c r="C9258">
        <v>46237</v>
      </c>
      <c r="D9258" t="str">
        <f>"46237"</f>
        <v>46237</v>
      </c>
      <c r="E9258">
        <v>75.319999999999993</v>
      </c>
    </row>
    <row r="9259" spans="1:5" x14ac:dyDescent="0.2">
      <c r="A9259">
        <v>46239</v>
      </c>
      <c r="B9259" t="s">
        <v>21</v>
      </c>
      <c r="C9259">
        <v>46239</v>
      </c>
      <c r="D9259" t="str">
        <f>"46239"</f>
        <v>46239</v>
      </c>
      <c r="E9259">
        <v>73.53</v>
      </c>
    </row>
    <row r="9260" spans="1:5" x14ac:dyDescent="0.2">
      <c r="A9260">
        <v>46240</v>
      </c>
      <c r="B9260" t="s">
        <v>21</v>
      </c>
      <c r="C9260">
        <v>46240</v>
      </c>
      <c r="D9260" t="str">
        <f>"46240"</f>
        <v>46240</v>
      </c>
      <c r="E9260">
        <v>78.81</v>
      </c>
    </row>
    <row r="9261" spans="1:5" x14ac:dyDescent="0.2">
      <c r="A9261">
        <v>46241</v>
      </c>
      <c r="B9261" t="s">
        <v>21</v>
      </c>
      <c r="C9261">
        <v>46241</v>
      </c>
      <c r="D9261" t="str">
        <f>"46241"</f>
        <v>46241</v>
      </c>
      <c r="E9261">
        <v>56.81</v>
      </c>
    </row>
    <row r="9262" spans="1:5" x14ac:dyDescent="0.2">
      <c r="A9262">
        <v>46249</v>
      </c>
      <c r="B9262" t="s">
        <v>21</v>
      </c>
      <c r="C9262">
        <v>46249</v>
      </c>
      <c r="D9262" t="str">
        <f>"46249"</f>
        <v>46249</v>
      </c>
      <c r="E9262" t="s">
        <v>6</v>
      </c>
    </row>
    <row r="9263" spans="1:5" x14ac:dyDescent="0.2">
      <c r="A9263">
        <v>46250</v>
      </c>
      <c r="B9263" t="s">
        <v>21</v>
      </c>
      <c r="C9263">
        <v>46250</v>
      </c>
      <c r="D9263" t="str">
        <f>"46250"</f>
        <v>46250</v>
      </c>
      <c r="E9263">
        <v>79.41</v>
      </c>
    </row>
    <row r="9264" spans="1:5" x14ac:dyDescent="0.2">
      <c r="A9264">
        <v>46254</v>
      </c>
      <c r="B9264" t="s">
        <v>21</v>
      </c>
      <c r="C9264">
        <v>46254</v>
      </c>
      <c r="D9264" t="str">
        <f>"46254"</f>
        <v>46254</v>
      </c>
      <c r="E9264">
        <v>61.73</v>
      </c>
    </row>
    <row r="9265" spans="1:5" x14ac:dyDescent="0.2">
      <c r="A9265">
        <v>46256</v>
      </c>
      <c r="B9265" t="s">
        <v>21</v>
      </c>
      <c r="C9265">
        <v>46256</v>
      </c>
      <c r="D9265" t="str">
        <f>"46256"</f>
        <v>46256</v>
      </c>
      <c r="E9265">
        <v>78</v>
      </c>
    </row>
    <row r="9266" spans="1:5" x14ac:dyDescent="0.2">
      <c r="A9266">
        <v>46259</v>
      </c>
      <c r="B9266" t="s">
        <v>21</v>
      </c>
      <c r="C9266">
        <v>46259</v>
      </c>
      <c r="D9266" t="str">
        <f>"46259"</f>
        <v>46259</v>
      </c>
      <c r="E9266">
        <v>79.48</v>
      </c>
    </row>
    <row r="9267" spans="1:5" x14ac:dyDescent="0.2">
      <c r="A9267">
        <v>46260</v>
      </c>
      <c r="B9267" t="s">
        <v>21</v>
      </c>
      <c r="C9267">
        <v>46260</v>
      </c>
      <c r="D9267" t="str">
        <f>"46260"</f>
        <v>46260</v>
      </c>
      <c r="E9267">
        <v>69.290000000000006</v>
      </c>
    </row>
    <row r="9268" spans="1:5" x14ac:dyDescent="0.2">
      <c r="A9268">
        <v>46268</v>
      </c>
      <c r="B9268" t="s">
        <v>21</v>
      </c>
      <c r="C9268">
        <v>46268</v>
      </c>
      <c r="D9268" t="str">
        <f>"46268"</f>
        <v>46268</v>
      </c>
      <c r="E9268">
        <v>68.819999999999993</v>
      </c>
    </row>
    <row r="9269" spans="1:5" x14ac:dyDescent="0.2">
      <c r="A9269">
        <v>46278</v>
      </c>
      <c r="B9269" t="s">
        <v>21</v>
      </c>
      <c r="C9269">
        <v>46278</v>
      </c>
      <c r="D9269" t="str">
        <f>"46278"</f>
        <v>46278</v>
      </c>
      <c r="E9269">
        <v>79.599999999999994</v>
      </c>
    </row>
    <row r="9270" spans="1:5" x14ac:dyDescent="0.2">
      <c r="A9270">
        <v>46280</v>
      </c>
      <c r="B9270" t="s">
        <v>21</v>
      </c>
      <c r="C9270">
        <v>46280</v>
      </c>
      <c r="D9270" t="str">
        <f>"46280"</f>
        <v>46280</v>
      </c>
      <c r="E9270">
        <v>80.66</v>
      </c>
    </row>
    <row r="9271" spans="1:5" x14ac:dyDescent="0.2">
      <c r="A9271">
        <v>46282</v>
      </c>
      <c r="B9271" t="s">
        <v>21</v>
      </c>
      <c r="C9271">
        <v>46282</v>
      </c>
      <c r="D9271" t="str">
        <f>"46282"</f>
        <v>46282</v>
      </c>
      <c r="E9271" t="s">
        <v>6</v>
      </c>
    </row>
    <row r="9272" spans="1:5" x14ac:dyDescent="0.2">
      <c r="A9272">
        <v>46290</v>
      </c>
      <c r="B9272" t="s">
        <v>21</v>
      </c>
      <c r="C9272">
        <v>46290</v>
      </c>
      <c r="D9272" t="str">
        <f>"46290"</f>
        <v>46290</v>
      </c>
      <c r="E9272">
        <v>80</v>
      </c>
    </row>
    <row r="9273" spans="1:5" x14ac:dyDescent="0.2">
      <c r="A9273">
        <v>46301</v>
      </c>
      <c r="B9273" t="s">
        <v>21</v>
      </c>
      <c r="C9273">
        <v>46301</v>
      </c>
      <c r="D9273" t="str">
        <f>"46301"</f>
        <v>46301</v>
      </c>
      <c r="E9273" t="s">
        <v>6</v>
      </c>
    </row>
    <row r="9274" spans="1:5" x14ac:dyDescent="0.2">
      <c r="A9274">
        <v>46302</v>
      </c>
      <c r="B9274" t="s">
        <v>21</v>
      </c>
      <c r="C9274">
        <v>46302</v>
      </c>
      <c r="D9274" t="str">
        <f>"46302"</f>
        <v>46302</v>
      </c>
      <c r="E9274" t="s">
        <v>6</v>
      </c>
    </row>
    <row r="9275" spans="1:5" x14ac:dyDescent="0.2">
      <c r="A9275">
        <v>46303</v>
      </c>
      <c r="B9275" t="s">
        <v>21</v>
      </c>
      <c r="C9275">
        <v>46303</v>
      </c>
      <c r="D9275" t="str">
        <f>"46303"</f>
        <v>46303</v>
      </c>
      <c r="E9275">
        <v>76.75</v>
      </c>
    </row>
    <row r="9276" spans="1:5" x14ac:dyDescent="0.2">
      <c r="A9276">
        <v>46304</v>
      </c>
      <c r="B9276" t="s">
        <v>21</v>
      </c>
      <c r="C9276">
        <v>46304</v>
      </c>
      <c r="D9276" t="str">
        <f>"46304"</f>
        <v>46304</v>
      </c>
      <c r="E9276">
        <v>77.55</v>
      </c>
    </row>
    <row r="9277" spans="1:5" x14ac:dyDescent="0.2">
      <c r="A9277">
        <v>46307</v>
      </c>
      <c r="B9277" t="s">
        <v>21</v>
      </c>
      <c r="C9277">
        <v>46307</v>
      </c>
      <c r="D9277" t="str">
        <f>"46307"</f>
        <v>46307</v>
      </c>
      <c r="E9277">
        <v>77.849999999999994</v>
      </c>
    </row>
    <row r="9278" spans="1:5" x14ac:dyDescent="0.2">
      <c r="A9278">
        <v>46310</v>
      </c>
      <c r="B9278" t="s">
        <v>21</v>
      </c>
      <c r="C9278">
        <v>46310</v>
      </c>
      <c r="D9278" t="str">
        <f>"46310"</f>
        <v>46310</v>
      </c>
      <c r="E9278">
        <v>72.81</v>
      </c>
    </row>
    <row r="9279" spans="1:5" x14ac:dyDescent="0.2">
      <c r="A9279">
        <v>46311</v>
      </c>
      <c r="B9279" t="s">
        <v>21</v>
      </c>
      <c r="C9279">
        <v>46311</v>
      </c>
      <c r="D9279" t="str">
        <f>"46311"</f>
        <v>46311</v>
      </c>
      <c r="E9279">
        <v>80.25</v>
      </c>
    </row>
    <row r="9280" spans="1:5" x14ac:dyDescent="0.2">
      <c r="A9280">
        <v>46312</v>
      </c>
      <c r="B9280" t="s">
        <v>21</v>
      </c>
      <c r="C9280">
        <v>46312</v>
      </c>
      <c r="D9280" t="str">
        <f>"46312"</f>
        <v>46312</v>
      </c>
      <c r="E9280">
        <v>50.25</v>
      </c>
    </row>
    <row r="9281" spans="1:5" x14ac:dyDescent="0.2">
      <c r="A9281">
        <v>46319</v>
      </c>
      <c r="B9281" t="s">
        <v>21</v>
      </c>
      <c r="C9281">
        <v>46319</v>
      </c>
      <c r="D9281" t="str">
        <f>"46319"</f>
        <v>46319</v>
      </c>
      <c r="E9281">
        <v>73.819999999999993</v>
      </c>
    </row>
    <row r="9282" spans="1:5" x14ac:dyDescent="0.2">
      <c r="A9282">
        <v>46320</v>
      </c>
      <c r="B9282" t="s">
        <v>21</v>
      </c>
      <c r="C9282">
        <v>46320</v>
      </c>
      <c r="D9282" t="str">
        <f>"46320"</f>
        <v>46320</v>
      </c>
      <c r="E9282">
        <v>49.6</v>
      </c>
    </row>
    <row r="9283" spans="1:5" x14ac:dyDescent="0.2">
      <c r="A9283">
        <v>46321</v>
      </c>
      <c r="B9283" t="s">
        <v>21</v>
      </c>
      <c r="C9283">
        <v>46321</v>
      </c>
      <c r="D9283" t="str">
        <f>"46321"</f>
        <v>46321</v>
      </c>
      <c r="E9283">
        <v>78.67</v>
      </c>
    </row>
    <row r="9284" spans="1:5" x14ac:dyDescent="0.2">
      <c r="A9284">
        <v>46322</v>
      </c>
      <c r="B9284" t="s">
        <v>21</v>
      </c>
      <c r="C9284">
        <v>46322</v>
      </c>
      <c r="D9284" t="str">
        <f>"46322"</f>
        <v>46322</v>
      </c>
      <c r="E9284">
        <v>77.02</v>
      </c>
    </row>
    <row r="9285" spans="1:5" x14ac:dyDescent="0.2">
      <c r="A9285">
        <v>46323</v>
      </c>
      <c r="B9285" t="s">
        <v>21</v>
      </c>
      <c r="C9285">
        <v>46323</v>
      </c>
      <c r="D9285" t="str">
        <f>"46323"</f>
        <v>46323</v>
      </c>
      <c r="E9285">
        <v>64.83</v>
      </c>
    </row>
    <row r="9286" spans="1:5" x14ac:dyDescent="0.2">
      <c r="A9286">
        <v>46324</v>
      </c>
      <c r="B9286" t="s">
        <v>21</v>
      </c>
      <c r="C9286">
        <v>46324</v>
      </c>
      <c r="D9286" t="str">
        <f>"46324"</f>
        <v>46324</v>
      </c>
      <c r="E9286">
        <v>63.95</v>
      </c>
    </row>
    <row r="9287" spans="1:5" x14ac:dyDescent="0.2">
      <c r="A9287">
        <v>46327</v>
      </c>
      <c r="B9287" t="s">
        <v>21</v>
      </c>
      <c r="C9287">
        <v>46327</v>
      </c>
      <c r="D9287" t="str">
        <f>"46327"</f>
        <v>46327</v>
      </c>
      <c r="E9287">
        <v>57.02</v>
      </c>
    </row>
    <row r="9288" spans="1:5" x14ac:dyDescent="0.2">
      <c r="A9288">
        <v>46340</v>
      </c>
      <c r="B9288" t="s">
        <v>21</v>
      </c>
      <c r="C9288">
        <v>46340</v>
      </c>
      <c r="D9288" t="str">
        <f>"46340"</f>
        <v>46340</v>
      </c>
      <c r="E9288">
        <v>77.59</v>
      </c>
    </row>
    <row r="9289" spans="1:5" x14ac:dyDescent="0.2">
      <c r="A9289">
        <v>46341</v>
      </c>
      <c r="B9289" t="s">
        <v>21</v>
      </c>
      <c r="C9289">
        <v>46341</v>
      </c>
      <c r="D9289" t="str">
        <f>"46341"</f>
        <v>46341</v>
      </c>
      <c r="E9289">
        <v>75.2</v>
      </c>
    </row>
    <row r="9290" spans="1:5" x14ac:dyDescent="0.2">
      <c r="A9290">
        <v>46342</v>
      </c>
      <c r="B9290" t="s">
        <v>21</v>
      </c>
      <c r="C9290">
        <v>46342</v>
      </c>
      <c r="D9290" t="str">
        <f>"46342"</f>
        <v>46342</v>
      </c>
      <c r="E9290">
        <v>72.150000000000006</v>
      </c>
    </row>
    <row r="9291" spans="1:5" x14ac:dyDescent="0.2">
      <c r="A9291">
        <v>46345</v>
      </c>
      <c r="B9291" t="s">
        <v>21</v>
      </c>
      <c r="C9291">
        <v>46345</v>
      </c>
      <c r="D9291" t="str">
        <f>"46345"</f>
        <v>46345</v>
      </c>
      <c r="E9291" t="s">
        <v>6</v>
      </c>
    </row>
    <row r="9292" spans="1:5" x14ac:dyDescent="0.2">
      <c r="A9292">
        <v>46346</v>
      </c>
      <c r="B9292" t="s">
        <v>21</v>
      </c>
      <c r="C9292">
        <v>46346</v>
      </c>
      <c r="D9292" t="str">
        <f>"46346"</f>
        <v>46346</v>
      </c>
      <c r="E9292" t="s">
        <v>6</v>
      </c>
    </row>
    <row r="9293" spans="1:5" x14ac:dyDescent="0.2">
      <c r="A9293">
        <v>46347</v>
      </c>
      <c r="B9293" t="s">
        <v>21</v>
      </c>
      <c r="C9293">
        <v>46347</v>
      </c>
      <c r="D9293" t="str">
        <f>"46347"</f>
        <v>46347</v>
      </c>
      <c r="E9293">
        <v>77.23</v>
      </c>
    </row>
    <row r="9294" spans="1:5" x14ac:dyDescent="0.2">
      <c r="A9294">
        <v>46348</v>
      </c>
      <c r="B9294" t="s">
        <v>21</v>
      </c>
      <c r="C9294">
        <v>46348</v>
      </c>
      <c r="D9294" t="str">
        <f>"46348"</f>
        <v>46348</v>
      </c>
      <c r="E9294">
        <v>72.55</v>
      </c>
    </row>
    <row r="9295" spans="1:5" x14ac:dyDescent="0.2">
      <c r="A9295">
        <v>46349</v>
      </c>
      <c r="B9295" t="s">
        <v>21</v>
      </c>
      <c r="C9295">
        <v>46349</v>
      </c>
      <c r="D9295" t="str">
        <f>"46349"</f>
        <v>46349</v>
      </c>
      <c r="E9295">
        <v>74.34</v>
      </c>
    </row>
    <row r="9296" spans="1:5" x14ac:dyDescent="0.2">
      <c r="A9296">
        <v>46350</v>
      </c>
      <c r="B9296" t="s">
        <v>21</v>
      </c>
      <c r="C9296">
        <v>46350</v>
      </c>
      <c r="D9296" t="str">
        <f>"46350"</f>
        <v>46350</v>
      </c>
      <c r="E9296">
        <v>70.959999999999994</v>
      </c>
    </row>
    <row r="9297" spans="1:5" x14ac:dyDescent="0.2">
      <c r="A9297">
        <v>46356</v>
      </c>
      <c r="B9297" t="s">
        <v>21</v>
      </c>
      <c r="C9297">
        <v>46356</v>
      </c>
      <c r="D9297" t="str">
        <f>"46356"</f>
        <v>46356</v>
      </c>
      <c r="E9297">
        <v>77.62</v>
      </c>
    </row>
    <row r="9298" spans="1:5" x14ac:dyDescent="0.2">
      <c r="A9298">
        <v>46360</v>
      </c>
      <c r="B9298" t="s">
        <v>21</v>
      </c>
      <c r="C9298">
        <v>46360</v>
      </c>
      <c r="D9298" t="str">
        <f>"46360"</f>
        <v>46360</v>
      </c>
      <c r="E9298">
        <v>64.25</v>
      </c>
    </row>
    <row r="9299" spans="1:5" x14ac:dyDescent="0.2">
      <c r="A9299">
        <v>46365</v>
      </c>
      <c r="B9299" t="s">
        <v>21</v>
      </c>
      <c r="C9299">
        <v>46365</v>
      </c>
      <c r="D9299" t="str">
        <f>"46365"</f>
        <v>46365</v>
      </c>
      <c r="E9299">
        <v>77.78</v>
      </c>
    </row>
    <row r="9300" spans="1:5" x14ac:dyDescent="0.2">
      <c r="A9300">
        <v>46366</v>
      </c>
      <c r="B9300" t="s">
        <v>21</v>
      </c>
      <c r="C9300">
        <v>46366</v>
      </c>
      <c r="D9300" t="str">
        <f>"46366"</f>
        <v>46366</v>
      </c>
      <c r="E9300">
        <v>67.97</v>
      </c>
    </row>
    <row r="9301" spans="1:5" x14ac:dyDescent="0.2">
      <c r="A9301">
        <v>46368</v>
      </c>
      <c r="B9301" t="s">
        <v>21</v>
      </c>
      <c r="C9301">
        <v>46368</v>
      </c>
      <c r="D9301" t="str">
        <f>"46368"</f>
        <v>46368</v>
      </c>
      <c r="E9301">
        <v>71.97</v>
      </c>
    </row>
    <row r="9302" spans="1:5" x14ac:dyDescent="0.2">
      <c r="A9302">
        <v>46371</v>
      </c>
      <c r="B9302" t="s">
        <v>21</v>
      </c>
      <c r="C9302">
        <v>46371</v>
      </c>
      <c r="D9302" t="str">
        <f>"46371"</f>
        <v>46371</v>
      </c>
      <c r="E9302">
        <v>74.3</v>
      </c>
    </row>
    <row r="9303" spans="1:5" x14ac:dyDescent="0.2">
      <c r="A9303">
        <v>46373</v>
      </c>
      <c r="B9303" t="s">
        <v>21</v>
      </c>
      <c r="C9303">
        <v>46373</v>
      </c>
      <c r="D9303" t="str">
        <f>"46373"</f>
        <v>46373</v>
      </c>
      <c r="E9303">
        <v>81.510000000000005</v>
      </c>
    </row>
    <row r="9304" spans="1:5" x14ac:dyDescent="0.2">
      <c r="A9304">
        <v>46374</v>
      </c>
      <c r="B9304" t="s">
        <v>21</v>
      </c>
      <c r="C9304">
        <v>46374</v>
      </c>
      <c r="D9304" t="str">
        <f>"46374"</f>
        <v>46374</v>
      </c>
      <c r="E9304">
        <v>69.569999999999993</v>
      </c>
    </row>
    <row r="9305" spans="1:5" x14ac:dyDescent="0.2">
      <c r="A9305">
        <v>46375</v>
      </c>
      <c r="B9305" t="s">
        <v>21</v>
      </c>
      <c r="C9305">
        <v>46375</v>
      </c>
      <c r="D9305" t="str">
        <f>"46375"</f>
        <v>46375</v>
      </c>
      <c r="E9305">
        <v>79.209999999999994</v>
      </c>
    </row>
    <row r="9306" spans="1:5" x14ac:dyDescent="0.2">
      <c r="A9306">
        <v>46376</v>
      </c>
      <c r="B9306" t="s">
        <v>21</v>
      </c>
      <c r="C9306">
        <v>46376</v>
      </c>
      <c r="D9306" t="str">
        <f>"46376"</f>
        <v>46376</v>
      </c>
      <c r="E9306" t="s">
        <v>6</v>
      </c>
    </row>
    <row r="9307" spans="1:5" x14ac:dyDescent="0.2">
      <c r="A9307">
        <v>46377</v>
      </c>
      <c r="B9307" t="s">
        <v>21</v>
      </c>
      <c r="C9307">
        <v>46377</v>
      </c>
      <c r="D9307" t="str">
        <f>"46377"</f>
        <v>46377</v>
      </c>
      <c r="E9307" t="s">
        <v>6</v>
      </c>
    </row>
    <row r="9308" spans="1:5" x14ac:dyDescent="0.2">
      <c r="A9308">
        <v>46379</v>
      </c>
      <c r="B9308" t="s">
        <v>21</v>
      </c>
      <c r="C9308">
        <v>46379</v>
      </c>
      <c r="D9308" t="str">
        <f>"46379"</f>
        <v>46379</v>
      </c>
      <c r="E9308" t="s">
        <v>6</v>
      </c>
    </row>
    <row r="9309" spans="1:5" x14ac:dyDescent="0.2">
      <c r="A9309">
        <v>46381</v>
      </c>
      <c r="B9309" t="s">
        <v>21</v>
      </c>
      <c r="C9309">
        <v>46381</v>
      </c>
      <c r="D9309" t="str">
        <f>"46381"</f>
        <v>46381</v>
      </c>
      <c r="E9309">
        <v>61.54</v>
      </c>
    </row>
    <row r="9310" spans="1:5" x14ac:dyDescent="0.2">
      <c r="A9310">
        <v>46382</v>
      </c>
      <c r="B9310" t="s">
        <v>21</v>
      </c>
      <c r="C9310">
        <v>46382</v>
      </c>
      <c r="D9310" t="str">
        <f>"46382"</f>
        <v>46382</v>
      </c>
      <c r="E9310">
        <v>76.7</v>
      </c>
    </row>
    <row r="9311" spans="1:5" x14ac:dyDescent="0.2">
      <c r="A9311">
        <v>46383</v>
      </c>
      <c r="B9311" t="s">
        <v>21</v>
      </c>
      <c r="C9311">
        <v>46383</v>
      </c>
      <c r="D9311" t="str">
        <f>"46383"</f>
        <v>46383</v>
      </c>
      <c r="E9311">
        <v>76.47</v>
      </c>
    </row>
    <row r="9312" spans="1:5" x14ac:dyDescent="0.2">
      <c r="A9312">
        <v>46385</v>
      </c>
      <c r="B9312" t="s">
        <v>21</v>
      </c>
      <c r="C9312">
        <v>46385</v>
      </c>
      <c r="D9312" t="str">
        <f>"46385"</f>
        <v>46385</v>
      </c>
      <c r="E9312">
        <v>78.09</v>
      </c>
    </row>
    <row r="9313" spans="1:5" x14ac:dyDescent="0.2">
      <c r="A9313">
        <v>46390</v>
      </c>
      <c r="B9313" t="s">
        <v>21</v>
      </c>
      <c r="C9313">
        <v>46390</v>
      </c>
      <c r="D9313" t="str">
        <f>"46390"</f>
        <v>46390</v>
      </c>
      <c r="E9313">
        <v>78.42</v>
      </c>
    </row>
    <row r="9314" spans="1:5" x14ac:dyDescent="0.2">
      <c r="A9314">
        <v>46391</v>
      </c>
      <c r="B9314" t="s">
        <v>21</v>
      </c>
      <c r="C9314">
        <v>46391</v>
      </c>
      <c r="D9314" t="str">
        <f>"46391"</f>
        <v>46391</v>
      </c>
      <c r="E9314">
        <v>76.92</v>
      </c>
    </row>
    <row r="9315" spans="1:5" x14ac:dyDescent="0.2">
      <c r="A9315">
        <v>46392</v>
      </c>
      <c r="B9315" t="s">
        <v>21</v>
      </c>
      <c r="C9315">
        <v>46392</v>
      </c>
      <c r="D9315" t="str">
        <f>"46392"</f>
        <v>46392</v>
      </c>
      <c r="E9315">
        <v>73.08</v>
      </c>
    </row>
    <row r="9316" spans="1:5" x14ac:dyDescent="0.2">
      <c r="A9316">
        <v>46393</v>
      </c>
      <c r="B9316" t="s">
        <v>21</v>
      </c>
      <c r="C9316">
        <v>46393</v>
      </c>
      <c r="D9316" t="str">
        <f>"46393"</f>
        <v>46393</v>
      </c>
      <c r="E9316" t="s">
        <v>6</v>
      </c>
    </row>
    <row r="9317" spans="1:5" x14ac:dyDescent="0.2">
      <c r="A9317">
        <v>46394</v>
      </c>
      <c r="B9317" t="s">
        <v>21</v>
      </c>
      <c r="C9317">
        <v>46394</v>
      </c>
      <c r="D9317" t="str">
        <f>"46394"</f>
        <v>46394</v>
      </c>
      <c r="E9317">
        <v>70.13</v>
      </c>
    </row>
    <row r="9318" spans="1:5" x14ac:dyDescent="0.2">
      <c r="A9318">
        <v>46402</v>
      </c>
      <c r="B9318" t="s">
        <v>21</v>
      </c>
      <c r="C9318">
        <v>46402</v>
      </c>
      <c r="D9318" t="str">
        <f>"46402"</f>
        <v>46402</v>
      </c>
      <c r="E9318">
        <v>41.27</v>
      </c>
    </row>
    <row r="9319" spans="1:5" x14ac:dyDescent="0.2">
      <c r="A9319">
        <v>46403</v>
      </c>
      <c r="B9319" t="s">
        <v>21</v>
      </c>
      <c r="C9319">
        <v>46403</v>
      </c>
      <c r="D9319" t="str">
        <f>"46403"</f>
        <v>46403</v>
      </c>
      <c r="E9319">
        <v>58.63</v>
      </c>
    </row>
    <row r="9320" spans="1:5" x14ac:dyDescent="0.2">
      <c r="A9320">
        <v>46404</v>
      </c>
      <c r="B9320" t="s">
        <v>21</v>
      </c>
      <c r="C9320">
        <v>46404</v>
      </c>
      <c r="D9320" t="str">
        <f>"46404"</f>
        <v>46404</v>
      </c>
      <c r="E9320">
        <v>51.01</v>
      </c>
    </row>
    <row r="9321" spans="1:5" x14ac:dyDescent="0.2">
      <c r="A9321">
        <v>46405</v>
      </c>
      <c r="B9321" t="s">
        <v>21</v>
      </c>
      <c r="C9321">
        <v>46405</v>
      </c>
      <c r="D9321" t="str">
        <f>"46405"</f>
        <v>46405</v>
      </c>
      <c r="E9321">
        <v>61.21</v>
      </c>
    </row>
    <row r="9322" spans="1:5" x14ac:dyDescent="0.2">
      <c r="A9322">
        <v>46406</v>
      </c>
      <c r="B9322" t="s">
        <v>21</v>
      </c>
      <c r="C9322">
        <v>46406</v>
      </c>
      <c r="D9322" t="str">
        <f>"46406"</f>
        <v>46406</v>
      </c>
      <c r="E9322">
        <v>47.73</v>
      </c>
    </row>
    <row r="9323" spans="1:5" x14ac:dyDescent="0.2">
      <c r="A9323">
        <v>46407</v>
      </c>
      <c r="B9323" t="s">
        <v>21</v>
      </c>
      <c r="C9323">
        <v>46407</v>
      </c>
      <c r="D9323" t="str">
        <f>"46407"</f>
        <v>46407</v>
      </c>
      <c r="E9323">
        <v>44.09</v>
      </c>
    </row>
    <row r="9324" spans="1:5" x14ac:dyDescent="0.2">
      <c r="A9324">
        <v>46408</v>
      </c>
      <c r="B9324" t="s">
        <v>21</v>
      </c>
      <c r="C9324">
        <v>46408</v>
      </c>
      <c r="D9324" t="str">
        <f>"46408"</f>
        <v>46408</v>
      </c>
      <c r="E9324">
        <v>56.73</v>
      </c>
    </row>
    <row r="9325" spans="1:5" x14ac:dyDescent="0.2">
      <c r="A9325">
        <v>46409</v>
      </c>
      <c r="B9325" t="s">
        <v>21</v>
      </c>
      <c r="C9325">
        <v>46409</v>
      </c>
      <c r="D9325" t="str">
        <f>"46409"</f>
        <v>46409</v>
      </c>
      <c r="E9325">
        <v>48.15</v>
      </c>
    </row>
    <row r="9326" spans="1:5" x14ac:dyDescent="0.2">
      <c r="A9326">
        <v>46410</v>
      </c>
      <c r="B9326" t="s">
        <v>21</v>
      </c>
      <c r="C9326">
        <v>46410</v>
      </c>
      <c r="D9326" t="str">
        <f>"46410"</f>
        <v>46410</v>
      </c>
      <c r="E9326">
        <v>67.91</v>
      </c>
    </row>
    <row r="9327" spans="1:5" x14ac:dyDescent="0.2">
      <c r="A9327">
        <v>46501</v>
      </c>
      <c r="B9327" t="s">
        <v>21</v>
      </c>
      <c r="C9327">
        <v>46501</v>
      </c>
      <c r="D9327" t="str">
        <f>"46501"</f>
        <v>46501</v>
      </c>
      <c r="E9327">
        <v>68.819999999999993</v>
      </c>
    </row>
    <row r="9328" spans="1:5" x14ac:dyDescent="0.2">
      <c r="A9328">
        <v>46504</v>
      </c>
      <c r="B9328" t="s">
        <v>21</v>
      </c>
      <c r="C9328">
        <v>46504</v>
      </c>
      <c r="D9328" t="str">
        <f>"46504"</f>
        <v>46504</v>
      </c>
      <c r="E9328">
        <v>72.78</v>
      </c>
    </row>
    <row r="9329" spans="1:5" x14ac:dyDescent="0.2">
      <c r="A9329">
        <v>46506</v>
      </c>
      <c r="B9329" t="s">
        <v>21</v>
      </c>
      <c r="C9329">
        <v>46506</v>
      </c>
      <c r="D9329" t="str">
        <f>"46506"</f>
        <v>46506</v>
      </c>
      <c r="E9329">
        <v>72.75</v>
      </c>
    </row>
    <row r="9330" spans="1:5" x14ac:dyDescent="0.2">
      <c r="A9330">
        <v>46507</v>
      </c>
      <c r="B9330" t="s">
        <v>21</v>
      </c>
      <c r="C9330">
        <v>46507</v>
      </c>
      <c r="D9330" t="str">
        <f>"46507"</f>
        <v>46507</v>
      </c>
      <c r="E9330">
        <v>75.05</v>
      </c>
    </row>
    <row r="9331" spans="1:5" x14ac:dyDescent="0.2">
      <c r="A9331">
        <v>46508</v>
      </c>
      <c r="B9331" t="s">
        <v>21</v>
      </c>
      <c r="C9331">
        <v>46508</v>
      </c>
      <c r="D9331" t="str">
        <f>"46508"</f>
        <v>46508</v>
      </c>
      <c r="E9331" t="s">
        <v>6</v>
      </c>
    </row>
    <row r="9332" spans="1:5" x14ac:dyDescent="0.2">
      <c r="A9332">
        <v>46510</v>
      </c>
      <c r="B9332" t="s">
        <v>21</v>
      </c>
      <c r="C9332">
        <v>46510</v>
      </c>
      <c r="D9332" t="str">
        <f>"46510"</f>
        <v>46510</v>
      </c>
      <c r="E9332">
        <v>72.959999999999994</v>
      </c>
    </row>
    <row r="9333" spans="1:5" x14ac:dyDescent="0.2">
      <c r="A9333">
        <v>46511</v>
      </c>
      <c r="B9333" t="s">
        <v>21</v>
      </c>
      <c r="C9333">
        <v>46511</v>
      </c>
      <c r="D9333" t="str">
        <f>"46511"</f>
        <v>46511</v>
      </c>
      <c r="E9333">
        <v>71.430000000000007</v>
      </c>
    </row>
    <row r="9334" spans="1:5" x14ac:dyDescent="0.2">
      <c r="A9334">
        <v>46514</v>
      </c>
      <c r="B9334" t="s">
        <v>21</v>
      </c>
      <c r="C9334">
        <v>46514</v>
      </c>
      <c r="D9334" t="str">
        <f>"46514"</f>
        <v>46514</v>
      </c>
      <c r="E9334">
        <v>71.709999999999994</v>
      </c>
    </row>
    <row r="9335" spans="1:5" x14ac:dyDescent="0.2">
      <c r="A9335">
        <v>46516</v>
      </c>
      <c r="B9335" t="s">
        <v>21</v>
      </c>
      <c r="C9335">
        <v>46516</v>
      </c>
      <c r="D9335" t="str">
        <f>"46516"</f>
        <v>46516</v>
      </c>
      <c r="E9335">
        <v>65.38</v>
      </c>
    </row>
    <row r="9336" spans="1:5" x14ac:dyDescent="0.2">
      <c r="A9336">
        <v>46517</v>
      </c>
      <c r="B9336" t="s">
        <v>21</v>
      </c>
      <c r="C9336">
        <v>46517</v>
      </c>
      <c r="D9336" t="str">
        <f>"46517"</f>
        <v>46517</v>
      </c>
      <c r="E9336">
        <v>67.45</v>
      </c>
    </row>
    <row r="9337" spans="1:5" x14ac:dyDescent="0.2">
      <c r="A9337">
        <v>46524</v>
      </c>
      <c r="B9337" t="s">
        <v>21</v>
      </c>
      <c r="C9337">
        <v>46524</v>
      </c>
      <c r="D9337" t="str">
        <f>"46524"</f>
        <v>46524</v>
      </c>
      <c r="E9337">
        <v>74.260000000000005</v>
      </c>
    </row>
    <row r="9338" spans="1:5" x14ac:dyDescent="0.2">
      <c r="A9338">
        <v>46526</v>
      </c>
      <c r="B9338" t="s">
        <v>21</v>
      </c>
      <c r="C9338">
        <v>46526</v>
      </c>
      <c r="D9338" t="str">
        <f>"46526"</f>
        <v>46526</v>
      </c>
      <c r="E9338">
        <v>70.489999999999995</v>
      </c>
    </row>
    <row r="9339" spans="1:5" x14ac:dyDescent="0.2">
      <c r="A9339">
        <v>46528</v>
      </c>
      <c r="B9339" t="s">
        <v>21</v>
      </c>
      <c r="C9339">
        <v>46528</v>
      </c>
      <c r="D9339" t="str">
        <f>"46528"</f>
        <v>46528</v>
      </c>
      <c r="E9339">
        <v>72.23</v>
      </c>
    </row>
    <row r="9340" spans="1:5" x14ac:dyDescent="0.2">
      <c r="A9340">
        <v>46530</v>
      </c>
      <c r="B9340" t="s">
        <v>21</v>
      </c>
      <c r="C9340">
        <v>46530</v>
      </c>
      <c r="D9340" t="str">
        <f>"46530"</f>
        <v>46530</v>
      </c>
      <c r="E9340">
        <v>79.02</v>
      </c>
    </row>
    <row r="9341" spans="1:5" x14ac:dyDescent="0.2">
      <c r="A9341">
        <v>46531</v>
      </c>
      <c r="B9341" t="s">
        <v>21</v>
      </c>
      <c r="C9341">
        <v>46531</v>
      </c>
      <c r="D9341" t="str">
        <f>"46531"</f>
        <v>46531</v>
      </c>
      <c r="E9341">
        <v>71.64</v>
      </c>
    </row>
    <row r="9342" spans="1:5" x14ac:dyDescent="0.2">
      <c r="A9342">
        <v>46532</v>
      </c>
      <c r="B9342" t="s">
        <v>21</v>
      </c>
      <c r="C9342">
        <v>46532</v>
      </c>
      <c r="D9342" t="str">
        <f>"46532"</f>
        <v>46532</v>
      </c>
      <c r="E9342">
        <v>68.75</v>
      </c>
    </row>
    <row r="9343" spans="1:5" x14ac:dyDescent="0.2">
      <c r="A9343">
        <v>46534</v>
      </c>
      <c r="B9343" t="s">
        <v>21</v>
      </c>
      <c r="C9343">
        <v>46534</v>
      </c>
      <c r="D9343" t="str">
        <f>"46534"</f>
        <v>46534</v>
      </c>
      <c r="E9343">
        <v>67.290000000000006</v>
      </c>
    </row>
    <row r="9344" spans="1:5" x14ac:dyDescent="0.2">
      <c r="A9344">
        <v>46536</v>
      </c>
      <c r="B9344" t="s">
        <v>21</v>
      </c>
      <c r="C9344">
        <v>46536</v>
      </c>
      <c r="D9344" t="str">
        <f>"46536"</f>
        <v>46536</v>
      </c>
      <c r="E9344">
        <v>72.849999999999994</v>
      </c>
    </row>
    <row r="9345" spans="1:5" x14ac:dyDescent="0.2">
      <c r="A9345">
        <v>46537</v>
      </c>
      <c r="B9345" t="s">
        <v>21</v>
      </c>
      <c r="C9345">
        <v>46537</v>
      </c>
      <c r="D9345" t="str">
        <f>"46537"</f>
        <v>46537</v>
      </c>
      <c r="E9345" t="s">
        <v>6</v>
      </c>
    </row>
    <row r="9346" spans="1:5" x14ac:dyDescent="0.2">
      <c r="A9346">
        <v>46538</v>
      </c>
      <c r="B9346" t="s">
        <v>21</v>
      </c>
      <c r="C9346">
        <v>46538</v>
      </c>
      <c r="D9346" t="str">
        <f>"46538"</f>
        <v>46538</v>
      </c>
      <c r="E9346">
        <v>76.47</v>
      </c>
    </row>
    <row r="9347" spans="1:5" x14ac:dyDescent="0.2">
      <c r="A9347">
        <v>46539</v>
      </c>
      <c r="B9347" t="s">
        <v>21</v>
      </c>
      <c r="C9347">
        <v>46539</v>
      </c>
      <c r="D9347" t="str">
        <f>"46539"</f>
        <v>46539</v>
      </c>
      <c r="E9347">
        <v>69.37</v>
      </c>
    </row>
    <row r="9348" spans="1:5" x14ac:dyDescent="0.2">
      <c r="A9348">
        <v>46540</v>
      </c>
      <c r="B9348" t="s">
        <v>21</v>
      </c>
      <c r="C9348">
        <v>46540</v>
      </c>
      <c r="D9348" t="str">
        <f>"46540"</f>
        <v>46540</v>
      </c>
      <c r="E9348">
        <v>75.67</v>
      </c>
    </row>
    <row r="9349" spans="1:5" x14ac:dyDescent="0.2">
      <c r="A9349">
        <v>46542</v>
      </c>
      <c r="B9349" t="s">
        <v>21</v>
      </c>
      <c r="C9349">
        <v>46542</v>
      </c>
      <c r="D9349" t="str">
        <f>"46542"</f>
        <v>46542</v>
      </c>
      <c r="E9349">
        <v>71.760000000000005</v>
      </c>
    </row>
    <row r="9350" spans="1:5" x14ac:dyDescent="0.2">
      <c r="A9350">
        <v>46543</v>
      </c>
      <c r="B9350" t="s">
        <v>21</v>
      </c>
      <c r="C9350">
        <v>46543</v>
      </c>
      <c r="D9350" t="str">
        <f>"46543"</f>
        <v>46543</v>
      </c>
      <c r="E9350">
        <v>76.19</v>
      </c>
    </row>
    <row r="9351" spans="1:5" x14ac:dyDescent="0.2">
      <c r="A9351">
        <v>46544</v>
      </c>
      <c r="B9351" t="s">
        <v>21</v>
      </c>
      <c r="C9351">
        <v>46544</v>
      </c>
      <c r="D9351" t="str">
        <f>"46544"</f>
        <v>46544</v>
      </c>
      <c r="E9351">
        <v>71.08</v>
      </c>
    </row>
    <row r="9352" spans="1:5" x14ac:dyDescent="0.2">
      <c r="A9352">
        <v>46545</v>
      </c>
      <c r="B9352" t="s">
        <v>21</v>
      </c>
      <c r="C9352">
        <v>46545</v>
      </c>
      <c r="D9352" t="str">
        <f>"46545"</f>
        <v>46545</v>
      </c>
      <c r="E9352">
        <v>70.42</v>
      </c>
    </row>
    <row r="9353" spans="1:5" x14ac:dyDescent="0.2">
      <c r="A9353">
        <v>46550</v>
      </c>
      <c r="B9353" t="s">
        <v>21</v>
      </c>
      <c r="C9353">
        <v>46550</v>
      </c>
      <c r="D9353" t="str">
        <f>"46550"</f>
        <v>46550</v>
      </c>
      <c r="E9353">
        <v>73.63</v>
      </c>
    </row>
    <row r="9354" spans="1:5" x14ac:dyDescent="0.2">
      <c r="A9354">
        <v>46552</v>
      </c>
      <c r="B9354" t="s">
        <v>21</v>
      </c>
      <c r="C9354">
        <v>46552</v>
      </c>
      <c r="D9354" t="str">
        <f>"46552"</f>
        <v>46552</v>
      </c>
      <c r="E9354">
        <v>74.03</v>
      </c>
    </row>
    <row r="9355" spans="1:5" x14ac:dyDescent="0.2">
      <c r="A9355">
        <v>46553</v>
      </c>
      <c r="B9355" t="s">
        <v>21</v>
      </c>
      <c r="C9355">
        <v>46553</v>
      </c>
      <c r="D9355" t="str">
        <f>"46553"</f>
        <v>46553</v>
      </c>
      <c r="E9355">
        <v>73.989999999999995</v>
      </c>
    </row>
    <row r="9356" spans="1:5" x14ac:dyDescent="0.2">
      <c r="A9356">
        <v>46554</v>
      </c>
      <c r="B9356" t="s">
        <v>21</v>
      </c>
      <c r="C9356">
        <v>46554</v>
      </c>
      <c r="D9356" t="str">
        <f>"46554"</f>
        <v>46554</v>
      </c>
      <c r="E9356">
        <v>74.760000000000005</v>
      </c>
    </row>
    <row r="9357" spans="1:5" x14ac:dyDescent="0.2">
      <c r="A9357">
        <v>46555</v>
      </c>
      <c r="B9357" t="s">
        <v>21</v>
      </c>
      <c r="C9357">
        <v>46555</v>
      </c>
      <c r="D9357" t="str">
        <f>"46555"</f>
        <v>46555</v>
      </c>
      <c r="E9357">
        <v>70.59</v>
      </c>
    </row>
    <row r="9358" spans="1:5" x14ac:dyDescent="0.2">
      <c r="A9358">
        <v>46556</v>
      </c>
      <c r="B9358" t="s">
        <v>21</v>
      </c>
      <c r="C9358">
        <v>46556</v>
      </c>
      <c r="D9358" t="str">
        <f>"46556"</f>
        <v>46556</v>
      </c>
      <c r="E9358">
        <v>60.71</v>
      </c>
    </row>
    <row r="9359" spans="1:5" x14ac:dyDescent="0.2">
      <c r="A9359">
        <v>46561</v>
      </c>
      <c r="B9359" t="s">
        <v>21</v>
      </c>
      <c r="C9359">
        <v>46561</v>
      </c>
      <c r="D9359" t="str">
        <f>"46561"</f>
        <v>46561</v>
      </c>
      <c r="E9359">
        <v>73.64</v>
      </c>
    </row>
    <row r="9360" spans="1:5" x14ac:dyDescent="0.2">
      <c r="A9360">
        <v>46562</v>
      </c>
      <c r="B9360" t="s">
        <v>21</v>
      </c>
      <c r="C9360">
        <v>46562</v>
      </c>
      <c r="D9360" t="str">
        <f>"46562"</f>
        <v>46562</v>
      </c>
      <c r="E9360">
        <v>71.239999999999995</v>
      </c>
    </row>
    <row r="9361" spans="1:5" x14ac:dyDescent="0.2">
      <c r="A9361">
        <v>46563</v>
      </c>
      <c r="B9361" t="s">
        <v>21</v>
      </c>
      <c r="C9361">
        <v>46563</v>
      </c>
      <c r="D9361" t="str">
        <f>"46563"</f>
        <v>46563</v>
      </c>
      <c r="E9361">
        <v>68.8</v>
      </c>
    </row>
    <row r="9362" spans="1:5" x14ac:dyDescent="0.2">
      <c r="A9362">
        <v>46565</v>
      </c>
      <c r="B9362" t="s">
        <v>21</v>
      </c>
      <c r="C9362">
        <v>46565</v>
      </c>
      <c r="D9362" t="str">
        <f>"46565"</f>
        <v>46565</v>
      </c>
      <c r="E9362">
        <v>75.650000000000006</v>
      </c>
    </row>
    <row r="9363" spans="1:5" x14ac:dyDescent="0.2">
      <c r="A9363">
        <v>46567</v>
      </c>
      <c r="B9363" t="s">
        <v>21</v>
      </c>
      <c r="C9363">
        <v>46567</v>
      </c>
      <c r="D9363" t="str">
        <f>"46567"</f>
        <v>46567</v>
      </c>
      <c r="E9363">
        <v>73.709999999999994</v>
      </c>
    </row>
    <row r="9364" spans="1:5" x14ac:dyDescent="0.2">
      <c r="A9364">
        <v>46570</v>
      </c>
      <c r="B9364" t="s">
        <v>21</v>
      </c>
      <c r="C9364">
        <v>46570</v>
      </c>
      <c r="D9364" t="str">
        <f>"46570"</f>
        <v>46570</v>
      </c>
      <c r="E9364">
        <v>72.92</v>
      </c>
    </row>
    <row r="9365" spans="1:5" x14ac:dyDescent="0.2">
      <c r="A9365">
        <v>46571</v>
      </c>
      <c r="B9365" t="s">
        <v>21</v>
      </c>
      <c r="C9365">
        <v>46571</v>
      </c>
      <c r="D9365" t="str">
        <f>"46571"</f>
        <v>46571</v>
      </c>
      <c r="E9365">
        <v>73.84</v>
      </c>
    </row>
    <row r="9366" spans="1:5" x14ac:dyDescent="0.2">
      <c r="A9366">
        <v>46572</v>
      </c>
      <c r="B9366" t="s">
        <v>21</v>
      </c>
      <c r="C9366">
        <v>46572</v>
      </c>
      <c r="D9366" t="str">
        <f>"46572"</f>
        <v>46572</v>
      </c>
      <c r="E9366" t="s">
        <v>6</v>
      </c>
    </row>
    <row r="9367" spans="1:5" x14ac:dyDescent="0.2">
      <c r="A9367">
        <v>46573</v>
      </c>
      <c r="B9367" t="s">
        <v>21</v>
      </c>
      <c r="C9367">
        <v>46573</v>
      </c>
      <c r="D9367" t="str">
        <f>"46573"</f>
        <v>46573</v>
      </c>
      <c r="E9367">
        <v>72.19</v>
      </c>
    </row>
    <row r="9368" spans="1:5" x14ac:dyDescent="0.2">
      <c r="A9368">
        <v>46574</v>
      </c>
      <c r="B9368" t="s">
        <v>21</v>
      </c>
      <c r="C9368">
        <v>46574</v>
      </c>
      <c r="D9368" t="str">
        <f>"46574"</f>
        <v>46574</v>
      </c>
      <c r="E9368">
        <v>71.47</v>
      </c>
    </row>
    <row r="9369" spans="1:5" x14ac:dyDescent="0.2">
      <c r="A9369">
        <v>46580</v>
      </c>
      <c r="B9369" t="s">
        <v>21</v>
      </c>
      <c r="C9369">
        <v>46580</v>
      </c>
      <c r="D9369" t="str">
        <f>"46580"</f>
        <v>46580</v>
      </c>
      <c r="E9369">
        <v>70.59</v>
      </c>
    </row>
    <row r="9370" spans="1:5" x14ac:dyDescent="0.2">
      <c r="A9370">
        <v>46582</v>
      </c>
      <c r="B9370" t="s">
        <v>21</v>
      </c>
      <c r="C9370">
        <v>46582</v>
      </c>
      <c r="D9370" t="str">
        <f>"46582"</f>
        <v>46582</v>
      </c>
      <c r="E9370">
        <v>73.77</v>
      </c>
    </row>
    <row r="9371" spans="1:5" x14ac:dyDescent="0.2">
      <c r="A9371">
        <v>46590</v>
      </c>
      <c r="B9371" t="s">
        <v>21</v>
      </c>
      <c r="C9371">
        <v>46590</v>
      </c>
      <c r="D9371" t="str">
        <f>"46590"</f>
        <v>46590</v>
      </c>
      <c r="E9371">
        <v>72.680000000000007</v>
      </c>
    </row>
    <row r="9372" spans="1:5" x14ac:dyDescent="0.2">
      <c r="A9372">
        <v>46595</v>
      </c>
      <c r="B9372" t="s">
        <v>21</v>
      </c>
      <c r="C9372">
        <v>46595</v>
      </c>
      <c r="D9372" t="str">
        <f>"46595"</f>
        <v>46595</v>
      </c>
      <c r="E9372" t="s">
        <v>6</v>
      </c>
    </row>
    <row r="9373" spans="1:5" x14ac:dyDescent="0.2">
      <c r="A9373">
        <v>46601</v>
      </c>
      <c r="B9373" t="s">
        <v>21</v>
      </c>
      <c r="C9373">
        <v>46601</v>
      </c>
      <c r="D9373" t="str">
        <f>"46601"</f>
        <v>46601</v>
      </c>
      <c r="E9373">
        <v>52.17</v>
      </c>
    </row>
    <row r="9374" spans="1:5" x14ac:dyDescent="0.2">
      <c r="A9374">
        <v>46613</v>
      </c>
      <c r="B9374" t="s">
        <v>21</v>
      </c>
      <c r="C9374">
        <v>46613</v>
      </c>
      <c r="D9374" t="str">
        <f>"46613"</f>
        <v>46613</v>
      </c>
      <c r="E9374">
        <v>51.14</v>
      </c>
    </row>
    <row r="9375" spans="1:5" x14ac:dyDescent="0.2">
      <c r="A9375">
        <v>46614</v>
      </c>
      <c r="B9375" t="s">
        <v>21</v>
      </c>
      <c r="C9375">
        <v>46614</v>
      </c>
      <c r="D9375" t="str">
        <f>"46614"</f>
        <v>46614</v>
      </c>
      <c r="E9375">
        <v>72.03</v>
      </c>
    </row>
    <row r="9376" spans="1:5" x14ac:dyDescent="0.2">
      <c r="A9376">
        <v>46615</v>
      </c>
      <c r="B9376" t="s">
        <v>21</v>
      </c>
      <c r="C9376">
        <v>46615</v>
      </c>
      <c r="D9376" t="str">
        <f>"46615"</f>
        <v>46615</v>
      </c>
      <c r="E9376">
        <v>66.760000000000005</v>
      </c>
    </row>
    <row r="9377" spans="1:5" x14ac:dyDescent="0.2">
      <c r="A9377">
        <v>46616</v>
      </c>
      <c r="B9377" t="s">
        <v>21</v>
      </c>
      <c r="C9377">
        <v>46616</v>
      </c>
      <c r="D9377" t="str">
        <f>"46616"</f>
        <v>46616</v>
      </c>
      <c r="E9377">
        <v>60.71</v>
      </c>
    </row>
    <row r="9378" spans="1:5" x14ac:dyDescent="0.2">
      <c r="A9378">
        <v>46617</v>
      </c>
      <c r="B9378" t="s">
        <v>21</v>
      </c>
      <c r="C9378">
        <v>46617</v>
      </c>
      <c r="D9378" t="str">
        <f>"46617"</f>
        <v>46617</v>
      </c>
      <c r="E9378">
        <v>73.27</v>
      </c>
    </row>
    <row r="9379" spans="1:5" x14ac:dyDescent="0.2">
      <c r="A9379">
        <v>46619</v>
      </c>
      <c r="B9379" t="s">
        <v>21</v>
      </c>
      <c r="C9379">
        <v>46619</v>
      </c>
      <c r="D9379" t="str">
        <f>"46619"</f>
        <v>46619</v>
      </c>
      <c r="E9379">
        <v>58.04</v>
      </c>
    </row>
    <row r="9380" spans="1:5" x14ac:dyDescent="0.2">
      <c r="A9380">
        <v>46628</v>
      </c>
      <c r="B9380" t="s">
        <v>21</v>
      </c>
      <c r="C9380">
        <v>46628</v>
      </c>
      <c r="D9380" t="str">
        <f>"46628"</f>
        <v>46628</v>
      </c>
      <c r="E9380">
        <v>62.87</v>
      </c>
    </row>
    <row r="9381" spans="1:5" x14ac:dyDescent="0.2">
      <c r="A9381">
        <v>46635</v>
      </c>
      <c r="B9381" t="s">
        <v>21</v>
      </c>
      <c r="C9381">
        <v>46635</v>
      </c>
      <c r="D9381" t="str">
        <f>"46635"</f>
        <v>46635</v>
      </c>
      <c r="E9381">
        <v>73.2</v>
      </c>
    </row>
    <row r="9382" spans="1:5" x14ac:dyDescent="0.2">
      <c r="A9382">
        <v>46637</v>
      </c>
      <c r="B9382" t="s">
        <v>21</v>
      </c>
      <c r="C9382">
        <v>46637</v>
      </c>
      <c r="D9382" t="str">
        <f>"46637"</f>
        <v>46637</v>
      </c>
      <c r="E9382">
        <v>72.11</v>
      </c>
    </row>
    <row r="9383" spans="1:5" x14ac:dyDescent="0.2">
      <c r="A9383">
        <v>46701</v>
      </c>
      <c r="B9383" t="s">
        <v>21</v>
      </c>
      <c r="C9383">
        <v>46701</v>
      </c>
      <c r="D9383" t="str">
        <f>"46701"</f>
        <v>46701</v>
      </c>
      <c r="E9383">
        <v>74.08</v>
      </c>
    </row>
    <row r="9384" spans="1:5" x14ac:dyDescent="0.2">
      <c r="A9384">
        <v>46702</v>
      </c>
      <c r="B9384" t="s">
        <v>21</v>
      </c>
      <c r="C9384">
        <v>46702</v>
      </c>
      <c r="D9384" t="str">
        <f>"46702"</f>
        <v>46702</v>
      </c>
      <c r="E9384">
        <v>69.16</v>
      </c>
    </row>
    <row r="9385" spans="1:5" x14ac:dyDescent="0.2">
      <c r="A9385">
        <v>46703</v>
      </c>
      <c r="B9385" t="s">
        <v>21</v>
      </c>
      <c r="C9385">
        <v>46703</v>
      </c>
      <c r="D9385" t="str">
        <f>"46703"</f>
        <v>46703</v>
      </c>
      <c r="E9385">
        <v>69.84</v>
      </c>
    </row>
    <row r="9386" spans="1:5" x14ac:dyDescent="0.2">
      <c r="A9386">
        <v>46704</v>
      </c>
      <c r="B9386" t="s">
        <v>21</v>
      </c>
      <c r="C9386">
        <v>46704</v>
      </c>
      <c r="D9386" t="str">
        <f>"46704"</f>
        <v>46704</v>
      </c>
      <c r="E9386" t="s">
        <v>6</v>
      </c>
    </row>
    <row r="9387" spans="1:5" x14ac:dyDescent="0.2">
      <c r="A9387">
        <v>46705</v>
      </c>
      <c r="B9387" t="s">
        <v>21</v>
      </c>
      <c r="C9387">
        <v>46705</v>
      </c>
      <c r="D9387" t="str">
        <f>"46705"</f>
        <v>46705</v>
      </c>
      <c r="E9387">
        <v>68.599999999999994</v>
      </c>
    </row>
    <row r="9388" spans="1:5" x14ac:dyDescent="0.2">
      <c r="A9388">
        <v>46706</v>
      </c>
      <c r="B9388" t="s">
        <v>21</v>
      </c>
      <c r="C9388">
        <v>46706</v>
      </c>
      <c r="D9388" t="str">
        <f>"46706"</f>
        <v>46706</v>
      </c>
      <c r="E9388">
        <v>72.900000000000006</v>
      </c>
    </row>
    <row r="9389" spans="1:5" x14ac:dyDescent="0.2">
      <c r="A9389">
        <v>46710</v>
      </c>
      <c r="B9389" t="s">
        <v>21</v>
      </c>
      <c r="C9389">
        <v>46710</v>
      </c>
      <c r="D9389" t="str">
        <f>"46710"</f>
        <v>46710</v>
      </c>
      <c r="E9389">
        <v>74.77</v>
      </c>
    </row>
    <row r="9390" spans="1:5" x14ac:dyDescent="0.2">
      <c r="A9390">
        <v>46711</v>
      </c>
      <c r="B9390" t="s">
        <v>21</v>
      </c>
      <c r="C9390">
        <v>46711</v>
      </c>
      <c r="D9390" t="str">
        <f>"46711"</f>
        <v>46711</v>
      </c>
      <c r="E9390">
        <v>62.18</v>
      </c>
    </row>
    <row r="9391" spans="1:5" x14ac:dyDescent="0.2">
      <c r="A9391">
        <v>46714</v>
      </c>
      <c r="B9391" t="s">
        <v>21</v>
      </c>
      <c r="C9391">
        <v>46714</v>
      </c>
      <c r="D9391" t="str">
        <f>"46714"</f>
        <v>46714</v>
      </c>
      <c r="E9391">
        <v>67.47</v>
      </c>
    </row>
    <row r="9392" spans="1:5" x14ac:dyDescent="0.2">
      <c r="A9392">
        <v>46721</v>
      </c>
      <c r="B9392" t="s">
        <v>21</v>
      </c>
      <c r="C9392">
        <v>46721</v>
      </c>
      <c r="D9392" t="str">
        <f>"46721"</f>
        <v>46721</v>
      </c>
      <c r="E9392">
        <v>69.680000000000007</v>
      </c>
    </row>
    <row r="9393" spans="1:5" x14ac:dyDescent="0.2">
      <c r="A9393">
        <v>46723</v>
      </c>
      <c r="B9393" t="s">
        <v>21</v>
      </c>
      <c r="C9393">
        <v>46723</v>
      </c>
      <c r="D9393" t="str">
        <f>"46723"</f>
        <v>46723</v>
      </c>
      <c r="E9393">
        <v>73.319999999999993</v>
      </c>
    </row>
    <row r="9394" spans="1:5" x14ac:dyDescent="0.2">
      <c r="A9394">
        <v>46725</v>
      </c>
      <c r="B9394" t="s">
        <v>21</v>
      </c>
      <c r="C9394">
        <v>46725</v>
      </c>
      <c r="D9394" t="str">
        <f>"46725"</f>
        <v>46725</v>
      </c>
      <c r="E9394">
        <v>73.66</v>
      </c>
    </row>
    <row r="9395" spans="1:5" x14ac:dyDescent="0.2">
      <c r="A9395">
        <v>46730</v>
      </c>
      <c r="B9395" t="s">
        <v>21</v>
      </c>
      <c r="C9395">
        <v>46730</v>
      </c>
      <c r="D9395" t="str">
        <f>"46730"</f>
        <v>46730</v>
      </c>
      <c r="E9395">
        <v>77.78</v>
      </c>
    </row>
    <row r="9396" spans="1:5" x14ac:dyDescent="0.2">
      <c r="A9396">
        <v>46731</v>
      </c>
      <c r="B9396" t="s">
        <v>21</v>
      </c>
      <c r="C9396">
        <v>46731</v>
      </c>
      <c r="D9396" t="str">
        <f>"46731"</f>
        <v>46731</v>
      </c>
      <c r="E9396">
        <v>79.31</v>
      </c>
    </row>
    <row r="9397" spans="1:5" x14ac:dyDescent="0.2">
      <c r="A9397">
        <v>46732</v>
      </c>
      <c r="B9397" t="s">
        <v>21</v>
      </c>
      <c r="C9397">
        <v>46732</v>
      </c>
      <c r="D9397" t="str">
        <f>"46732"</f>
        <v>46732</v>
      </c>
      <c r="E9397">
        <v>65.03</v>
      </c>
    </row>
    <row r="9398" spans="1:5" x14ac:dyDescent="0.2">
      <c r="A9398">
        <v>46733</v>
      </c>
      <c r="B9398" t="s">
        <v>21</v>
      </c>
      <c r="C9398">
        <v>46733</v>
      </c>
      <c r="D9398" t="str">
        <f>"46733"</f>
        <v>46733</v>
      </c>
      <c r="E9398">
        <v>71.650000000000006</v>
      </c>
    </row>
    <row r="9399" spans="1:5" x14ac:dyDescent="0.2">
      <c r="A9399">
        <v>46737</v>
      </c>
      <c r="B9399" t="s">
        <v>21</v>
      </c>
      <c r="C9399">
        <v>46737</v>
      </c>
      <c r="D9399" t="str">
        <f>"46737"</f>
        <v>46737</v>
      </c>
      <c r="E9399">
        <v>73.3</v>
      </c>
    </row>
    <row r="9400" spans="1:5" x14ac:dyDescent="0.2">
      <c r="A9400">
        <v>46738</v>
      </c>
      <c r="B9400" t="s">
        <v>21</v>
      </c>
      <c r="C9400">
        <v>46738</v>
      </c>
      <c r="D9400" t="str">
        <f>"46738"</f>
        <v>46738</v>
      </c>
      <c r="E9400">
        <v>67.61</v>
      </c>
    </row>
    <row r="9401" spans="1:5" x14ac:dyDescent="0.2">
      <c r="A9401">
        <v>46740</v>
      </c>
      <c r="B9401" t="s">
        <v>21</v>
      </c>
      <c r="C9401">
        <v>46740</v>
      </c>
      <c r="D9401" t="str">
        <f>"46740"</f>
        <v>46740</v>
      </c>
      <c r="E9401">
        <v>55.33</v>
      </c>
    </row>
    <row r="9402" spans="1:5" x14ac:dyDescent="0.2">
      <c r="A9402">
        <v>46741</v>
      </c>
      <c r="B9402" t="s">
        <v>21</v>
      </c>
      <c r="C9402">
        <v>46741</v>
      </c>
      <c r="D9402" t="str">
        <f>"46741"</f>
        <v>46741</v>
      </c>
      <c r="E9402">
        <v>68.13</v>
      </c>
    </row>
    <row r="9403" spans="1:5" x14ac:dyDescent="0.2">
      <c r="A9403">
        <v>46742</v>
      </c>
      <c r="B9403" t="s">
        <v>21</v>
      </c>
      <c r="C9403">
        <v>46742</v>
      </c>
      <c r="D9403" t="str">
        <f>"46742"</f>
        <v>46742</v>
      </c>
      <c r="E9403">
        <v>74.53</v>
      </c>
    </row>
    <row r="9404" spans="1:5" x14ac:dyDescent="0.2">
      <c r="A9404">
        <v>46743</v>
      </c>
      <c r="B9404" t="s">
        <v>21</v>
      </c>
      <c r="C9404">
        <v>46743</v>
      </c>
      <c r="D9404" t="str">
        <f>"46743"</f>
        <v>46743</v>
      </c>
      <c r="E9404">
        <v>72.12</v>
      </c>
    </row>
    <row r="9405" spans="1:5" x14ac:dyDescent="0.2">
      <c r="A9405">
        <v>46745</v>
      </c>
      <c r="B9405" t="s">
        <v>21</v>
      </c>
      <c r="C9405">
        <v>46745</v>
      </c>
      <c r="D9405" t="str">
        <f>"46745"</f>
        <v>46745</v>
      </c>
      <c r="E9405">
        <v>76.040000000000006</v>
      </c>
    </row>
    <row r="9406" spans="1:5" x14ac:dyDescent="0.2">
      <c r="A9406">
        <v>46746</v>
      </c>
      <c r="B9406" t="s">
        <v>21</v>
      </c>
      <c r="C9406">
        <v>46746</v>
      </c>
      <c r="D9406" t="str">
        <f>"46746"</f>
        <v>46746</v>
      </c>
      <c r="E9406">
        <v>71.959999999999994</v>
      </c>
    </row>
    <row r="9407" spans="1:5" x14ac:dyDescent="0.2">
      <c r="A9407">
        <v>46747</v>
      </c>
      <c r="B9407" t="s">
        <v>21</v>
      </c>
      <c r="C9407">
        <v>46747</v>
      </c>
      <c r="D9407" t="str">
        <f>"46747"</f>
        <v>46747</v>
      </c>
      <c r="E9407">
        <v>71.900000000000006</v>
      </c>
    </row>
    <row r="9408" spans="1:5" x14ac:dyDescent="0.2">
      <c r="A9408">
        <v>46748</v>
      </c>
      <c r="B9408" t="s">
        <v>21</v>
      </c>
      <c r="C9408">
        <v>46748</v>
      </c>
      <c r="D9408" t="str">
        <f>"46748"</f>
        <v>46748</v>
      </c>
      <c r="E9408">
        <v>75</v>
      </c>
    </row>
    <row r="9409" spans="1:5" x14ac:dyDescent="0.2">
      <c r="A9409">
        <v>46750</v>
      </c>
      <c r="B9409" t="s">
        <v>21</v>
      </c>
      <c r="C9409">
        <v>46750</v>
      </c>
      <c r="D9409" t="str">
        <f>"46750"</f>
        <v>46750</v>
      </c>
      <c r="E9409">
        <v>68.7</v>
      </c>
    </row>
    <row r="9410" spans="1:5" x14ac:dyDescent="0.2">
      <c r="A9410">
        <v>46755</v>
      </c>
      <c r="B9410" t="s">
        <v>21</v>
      </c>
      <c r="C9410">
        <v>46755</v>
      </c>
      <c r="D9410" t="str">
        <f>"46755"</f>
        <v>46755</v>
      </c>
      <c r="E9410">
        <v>67.67</v>
      </c>
    </row>
    <row r="9411" spans="1:5" x14ac:dyDescent="0.2">
      <c r="A9411">
        <v>46759</v>
      </c>
      <c r="B9411" t="s">
        <v>21</v>
      </c>
      <c r="C9411">
        <v>46759</v>
      </c>
      <c r="D9411" t="str">
        <f>"46759"</f>
        <v>46759</v>
      </c>
      <c r="E9411">
        <v>73.08</v>
      </c>
    </row>
    <row r="9412" spans="1:5" x14ac:dyDescent="0.2">
      <c r="A9412">
        <v>46760</v>
      </c>
      <c r="B9412" t="s">
        <v>21</v>
      </c>
      <c r="C9412">
        <v>46760</v>
      </c>
      <c r="D9412" t="str">
        <f>"46760"</f>
        <v>46760</v>
      </c>
      <c r="E9412">
        <v>72.13</v>
      </c>
    </row>
    <row r="9413" spans="1:5" x14ac:dyDescent="0.2">
      <c r="A9413">
        <v>46761</v>
      </c>
      <c r="B9413" t="s">
        <v>21</v>
      </c>
      <c r="C9413">
        <v>46761</v>
      </c>
      <c r="D9413" t="str">
        <f>"46761"</f>
        <v>46761</v>
      </c>
      <c r="E9413">
        <v>70.239999999999995</v>
      </c>
    </row>
    <row r="9414" spans="1:5" x14ac:dyDescent="0.2">
      <c r="A9414">
        <v>46763</v>
      </c>
      <c r="B9414" t="s">
        <v>21</v>
      </c>
      <c r="C9414">
        <v>46763</v>
      </c>
      <c r="D9414" t="str">
        <f>"46763"</f>
        <v>46763</v>
      </c>
      <c r="E9414">
        <v>76.540000000000006</v>
      </c>
    </row>
    <row r="9415" spans="1:5" x14ac:dyDescent="0.2">
      <c r="A9415">
        <v>46764</v>
      </c>
      <c r="B9415" t="s">
        <v>21</v>
      </c>
      <c r="C9415">
        <v>46764</v>
      </c>
      <c r="D9415" t="str">
        <f>"46764"</f>
        <v>46764</v>
      </c>
      <c r="E9415">
        <v>68.12</v>
      </c>
    </row>
    <row r="9416" spans="1:5" x14ac:dyDescent="0.2">
      <c r="A9416">
        <v>46765</v>
      </c>
      <c r="B9416" t="s">
        <v>21</v>
      </c>
      <c r="C9416">
        <v>46765</v>
      </c>
      <c r="D9416" t="str">
        <f>"46765"</f>
        <v>46765</v>
      </c>
      <c r="E9416">
        <v>74.430000000000007</v>
      </c>
    </row>
    <row r="9417" spans="1:5" x14ac:dyDescent="0.2">
      <c r="A9417">
        <v>46766</v>
      </c>
      <c r="B9417" t="s">
        <v>21</v>
      </c>
      <c r="C9417">
        <v>46766</v>
      </c>
      <c r="D9417" t="str">
        <f>"46766"</f>
        <v>46766</v>
      </c>
      <c r="E9417">
        <v>72</v>
      </c>
    </row>
    <row r="9418" spans="1:5" x14ac:dyDescent="0.2">
      <c r="A9418">
        <v>46767</v>
      </c>
      <c r="B9418" t="s">
        <v>21</v>
      </c>
      <c r="C9418">
        <v>46767</v>
      </c>
      <c r="D9418" t="str">
        <f>"46767"</f>
        <v>46767</v>
      </c>
      <c r="E9418">
        <v>69.31</v>
      </c>
    </row>
    <row r="9419" spans="1:5" x14ac:dyDescent="0.2">
      <c r="A9419">
        <v>46770</v>
      </c>
      <c r="B9419" t="s">
        <v>21</v>
      </c>
      <c r="C9419">
        <v>46770</v>
      </c>
      <c r="D9419" t="str">
        <f>"46770"</f>
        <v>46770</v>
      </c>
      <c r="E9419">
        <v>76.739999999999995</v>
      </c>
    </row>
    <row r="9420" spans="1:5" x14ac:dyDescent="0.2">
      <c r="A9420">
        <v>46772</v>
      </c>
      <c r="B9420" t="s">
        <v>21</v>
      </c>
      <c r="C9420">
        <v>46772</v>
      </c>
      <c r="D9420" t="str">
        <f>"46772"</f>
        <v>46772</v>
      </c>
      <c r="E9420">
        <v>58.06</v>
      </c>
    </row>
    <row r="9421" spans="1:5" x14ac:dyDescent="0.2">
      <c r="A9421">
        <v>46773</v>
      </c>
      <c r="B9421" t="s">
        <v>21</v>
      </c>
      <c r="C9421">
        <v>46773</v>
      </c>
      <c r="D9421" t="str">
        <f>"46773"</f>
        <v>46773</v>
      </c>
      <c r="E9421">
        <v>73.89</v>
      </c>
    </row>
    <row r="9422" spans="1:5" x14ac:dyDescent="0.2">
      <c r="A9422">
        <v>46774</v>
      </c>
      <c r="B9422" t="s">
        <v>21</v>
      </c>
      <c r="C9422">
        <v>46774</v>
      </c>
      <c r="D9422" t="str">
        <f>"46774"</f>
        <v>46774</v>
      </c>
      <c r="E9422">
        <v>70.94</v>
      </c>
    </row>
    <row r="9423" spans="1:5" x14ac:dyDescent="0.2">
      <c r="A9423">
        <v>46776</v>
      </c>
      <c r="B9423" t="s">
        <v>21</v>
      </c>
      <c r="C9423">
        <v>46776</v>
      </c>
      <c r="D9423" t="str">
        <f>"46776"</f>
        <v>46776</v>
      </c>
      <c r="E9423">
        <v>71.62</v>
      </c>
    </row>
    <row r="9424" spans="1:5" x14ac:dyDescent="0.2">
      <c r="A9424">
        <v>46777</v>
      </c>
      <c r="B9424" t="s">
        <v>21</v>
      </c>
      <c r="C9424">
        <v>46777</v>
      </c>
      <c r="D9424" t="str">
        <f>"46777"</f>
        <v>46777</v>
      </c>
      <c r="E9424">
        <v>73.16</v>
      </c>
    </row>
    <row r="9425" spans="1:5" x14ac:dyDescent="0.2">
      <c r="A9425">
        <v>46778</v>
      </c>
      <c r="B9425" t="s">
        <v>21</v>
      </c>
      <c r="C9425">
        <v>46778</v>
      </c>
      <c r="D9425" t="str">
        <f>"46778"</f>
        <v>46778</v>
      </c>
      <c r="E9425" t="s">
        <v>6</v>
      </c>
    </row>
    <row r="9426" spans="1:5" x14ac:dyDescent="0.2">
      <c r="A9426">
        <v>46779</v>
      </c>
      <c r="B9426" t="s">
        <v>21</v>
      </c>
      <c r="C9426">
        <v>46779</v>
      </c>
      <c r="D9426" t="str">
        <f>"46779"</f>
        <v>46779</v>
      </c>
      <c r="E9426">
        <v>73.2</v>
      </c>
    </row>
    <row r="9427" spans="1:5" x14ac:dyDescent="0.2">
      <c r="A9427">
        <v>46781</v>
      </c>
      <c r="B9427" t="s">
        <v>21</v>
      </c>
      <c r="C9427">
        <v>46781</v>
      </c>
      <c r="D9427" t="str">
        <f>"46781"</f>
        <v>46781</v>
      </c>
      <c r="E9427">
        <v>68.89</v>
      </c>
    </row>
    <row r="9428" spans="1:5" x14ac:dyDescent="0.2">
      <c r="A9428">
        <v>46783</v>
      </c>
      <c r="B9428" t="s">
        <v>21</v>
      </c>
      <c r="C9428">
        <v>46783</v>
      </c>
      <c r="D9428" t="str">
        <f>"46783"</f>
        <v>46783</v>
      </c>
      <c r="E9428">
        <v>79.069999999999993</v>
      </c>
    </row>
    <row r="9429" spans="1:5" x14ac:dyDescent="0.2">
      <c r="A9429">
        <v>46784</v>
      </c>
      <c r="B9429" t="s">
        <v>21</v>
      </c>
      <c r="C9429">
        <v>46784</v>
      </c>
      <c r="D9429" t="str">
        <f>"46784"</f>
        <v>46784</v>
      </c>
      <c r="E9429">
        <v>73.28</v>
      </c>
    </row>
    <row r="9430" spans="1:5" x14ac:dyDescent="0.2">
      <c r="A9430">
        <v>46785</v>
      </c>
      <c r="B9430" t="s">
        <v>21</v>
      </c>
      <c r="C9430">
        <v>46785</v>
      </c>
      <c r="D9430" t="str">
        <f>"46785"</f>
        <v>46785</v>
      </c>
      <c r="E9430">
        <v>72.06</v>
      </c>
    </row>
    <row r="9431" spans="1:5" x14ac:dyDescent="0.2">
      <c r="A9431">
        <v>46787</v>
      </c>
      <c r="B9431" t="s">
        <v>21</v>
      </c>
      <c r="C9431">
        <v>46787</v>
      </c>
      <c r="D9431" t="str">
        <f>"46787"</f>
        <v>46787</v>
      </c>
      <c r="E9431">
        <v>72.53</v>
      </c>
    </row>
    <row r="9432" spans="1:5" x14ac:dyDescent="0.2">
      <c r="A9432">
        <v>46788</v>
      </c>
      <c r="B9432" t="s">
        <v>21</v>
      </c>
      <c r="C9432">
        <v>46788</v>
      </c>
      <c r="D9432" t="str">
        <f>"46788"</f>
        <v>46788</v>
      </c>
      <c r="E9432">
        <v>73.790000000000006</v>
      </c>
    </row>
    <row r="9433" spans="1:5" x14ac:dyDescent="0.2">
      <c r="A9433">
        <v>46791</v>
      </c>
      <c r="B9433" t="s">
        <v>21</v>
      </c>
      <c r="C9433">
        <v>46791</v>
      </c>
      <c r="D9433" t="str">
        <f>"46791"</f>
        <v>46791</v>
      </c>
      <c r="E9433">
        <v>78.569999999999993</v>
      </c>
    </row>
    <row r="9434" spans="1:5" x14ac:dyDescent="0.2">
      <c r="A9434">
        <v>46792</v>
      </c>
      <c r="B9434" t="s">
        <v>21</v>
      </c>
      <c r="C9434">
        <v>46792</v>
      </c>
      <c r="D9434" t="str">
        <f>"46792"</f>
        <v>46792</v>
      </c>
      <c r="E9434">
        <v>72.11</v>
      </c>
    </row>
    <row r="9435" spans="1:5" x14ac:dyDescent="0.2">
      <c r="A9435">
        <v>46793</v>
      </c>
      <c r="B9435" t="s">
        <v>21</v>
      </c>
      <c r="C9435">
        <v>46793</v>
      </c>
      <c r="D9435" t="str">
        <f>"46793"</f>
        <v>46793</v>
      </c>
      <c r="E9435">
        <v>72.64</v>
      </c>
    </row>
    <row r="9436" spans="1:5" x14ac:dyDescent="0.2">
      <c r="A9436">
        <v>46794</v>
      </c>
      <c r="B9436" t="s">
        <v>21</v>
      </c>
      <c r="C9436">
        <v>46794</v>
      </c>
      <c r="D9436" t="str">
        <f>"46794"</f>
        <v>46794</v>
      </c>
      <c r="E9436">
        <v>71.430000000000007</v>
      </c>
    </row>
    <row r="9437" spans="1:5" x14ac:dyDescent="0.2">
      <c r="A9437">
        <v>46795</v>
      </c>
      <c r="B9437" t="s">
        <v>21</v>
      </c>
      <c r="C9437">
        <v>46795</v>
      </c>
      <c r="D9437" t="str">
        <f>"46795"</f>
        <v>46795</v>
      </c>
      <c r="E9437">
        <v>74.91</v>
      </c>
    </row>
    <row r="9438" spans="1:5" x14ac:dyDescent="0.2">
      <c r="A9438">
        <v>46796</v>
      </c>
      <c r="B9438" t="s">
        <v>21</v>
      </c>
      <c r="C9438">
        <v>46796</v>
      </c>
      <c r="D9438" t="str">
        <f>"46796"</f>
        <v>46796</v>
      </c>
      <c r="E9438" t="s">
        <v>6</v>
      </c>
    </row>
    <row r="9439" spans="1:5" x14ac:dyDescent="0.2">
      <c r="A9439">
        <v>46797</v>
      </c>
      <c r="B9439" t="s">
        <v>21</v>
      </c>
      <c r="C9439">
        <v>46797</v>
      </c>
      <c r="D9439" t="str">
        <f>"46797"</f>
        <v>46797</v>
      </c>
      <c r="E9439">
        <v>71.819999999999993</v>
      </c>
    </row>
    <row r="9440" spans="1:5" x14ac:dyDescent="0.2">
      <c r="A9440">
        <v>46798</v>
      </c>
      <c r="B9440" t="s">
        <v>21</v>
      </c>
      <c r="C9440">
        <v>46798</v>
      </c>
      <c r="D9440" t="str">
        <f>"46798"</f>
        <v>46798</v>
      </c>
      <c r="E9440">
        <v>76.56</v>
      </c>
    </row>
    <row r="9441" spans="1:5" x14ac:dyDescent="0.2">
      <c r="A9441">
        <v>46799</v>
      </c>
      <c r="B9441" t="s">
        <v>21</v>
      </c>
      <c r="C9441">
        <v>46799</v>
      </c>
      <c r="D9441" t="str">
        <f>"46799"</f>
        <v>46799</v>
      </c>
      <c r="E9441" t="s">
        <v>6</v>
      </c>
    </row>
    <row r="9442" spans="1:5" x14ac:dyDescent="0.2">
      <c r="A9442">
        <v>46802</v>
      </c>
      <c r="B9442" t="s">
        <v>21</v>
      </c>
      <c r="C9442">
        <v>46802</v>
      </c>
      <c r="D9442" t="str">
        <f>"46802"</f>
        <v>46802</v>
      </c>
      <c r="E9442">
        <v>63.01</v>
      </c>
    </row>
    <row r="9443" spans="1:5" x14ac:dyDescent="0.2">
      <c r="A9443">
        <v>46803</v>
      </c>
      <c r="B9443" t="s">
        <v>21</v>
      </c>
      <c r="C9443">
        <v>46803</v>
      </c>
      <c r="D9443" t="str">
        <f>"46803"</f>
        <v>46803</v>
      </c>
      <c r="E9443">
        <v>44</v>
      </c>
    </row>
    <row r="9444" spans="1:5" x14ac:dyDescent="0.2">
      <c r="A9444">
        <v>46804</v>
      </c>
      <c r="B9444" t="s">
        <v>21</v>
      </c>
      <c r="C9444">
        <v>46804</v>
      </c>
      <c r="D9444" t="str">
        <f>"46804"</f>
        <v>46804</v>
      </c>
      <c r="E9444">
        <v>78</v>
      </c>
    </row>
    <row r="9445" spans="1:5" x14ac:dyDescent="0.2">
      <c r="A9445">
        <v>46805</v>
      </c>
      <c r="B9445" t="s">
        <v>21</v>
      </c>
      <c r="C9445">
        <v>46805</v>
      </c>
      <c r="D9445" t="str">
        <f>"46805"</f>
        <v>46805</v>
      </c>
      <c r="E9445">
        <v>65.760000000000005</v>
      </c>
    </row>
    <row r="9446" spans="1:5" x14ac:dyDescent="0.2">
      <c r="A9446">
        <v>46806</v>
      </c>
      <c r="B9446" t="s">
        <v>21</v>
      </c>
      <c r="C9446">
        <v>46806</v>
      </c>
      <c r="D9446" t="str">
        <f>"46806"</f>
        <v>46806</v>
      </c>
      <c r="E9446">
        <v>44.58</v>
      </c>
    </row>
    <row r="9447" spans="1:5" x14ac:dyDescent="0.2">
      <c r="A9447">
        <v>46807</v>
      </c>
      <c r="B9447" t="s">
        <v>21</v>
      </c>
      <c r="C9447">
        <v>46807</v>
      </c>
      <c r="D9447" t="str">
        <f>"46807"</f>
        <v>46807</v>
      </c>
      <c r="E9447">
        <v>63.6</v>
      </c>
    </row>
    <row r="9448" spans="1:5" x14ac:dyDescent="0.2">
      <c r="A9448">
        <v>46808</v>
      </c>
      <c r="B9448" t="s">
        <v>21</v>
      </c>
      <c r="C9448">
        <v>46808</v>
      </c>
      <c r="D9448" t="str">
        <f>"46808"</f>
        <v>46808</v>
      </c>
      <c r="E9448">
        <v>65.959999999999994</v>
      </c>
    </row>
    <row r="9449" spans="1:5" x14ac:dyDescent="0.2">
      <c r="A9449">
        <v>46809</v>
      </c>
      <c r="B9449" t="s">
        <v>21</v>
      </c>
      <c r="C9449">
        <v>46809</v>
      </c>
      <c r="D9449" t="str">
        <f>"46809"</f>
        <v>46809</v>
      </c>
      <c r="E9449">
        <v>67.709999999999994</v>
      </c>
    </row>
    <row r="9450" spans="1:5" x14ac:dyDescent="0.2">
      <c r="A9450">
        <v>46814</v>
      </c>
      <c r="B9450" t="s">
        <v>21</v>
      </c>
      <c r="C9450">
        <v>46814</v>
      </c>
      <c r="D9450" t="str">
        <f>"46814"</f>
        <v>46814</v>
      </c>
      <c r="E9450">
        <v>78.819999999999993</v>
      </c>
    </row>
    <row r="9451" spans="1:5" x14ac:dyDescent="0.2">
      <c r="A9451">
        <v>46815</v>
      </c>
      <c r="B9451" t="s">
        <v>21</v>
      </c>
      <c r="C9451">
        <v>46815</v>
      </c>
      <c r="D9451" t="str">
        <f>"46815"</f>
        <v>46815</v>
      </c>
      <c r="E9451">
        <v>70.099999999999994</v>
      </c>
    </row>
    <row r="9452" spans="1:5" x14ac:dyDescent="0.2">
      <c r="A9452">
        <v>46816</v>
      </c>
      <c r="B9452" t="s">
        <v>21</v>
      </c>
      <c r="C9452">
        <v>46816</v>
      </c>
      <c r="D9452" t="str">
        <f>"46816"</f>
        <v>46816</v>
      </c>
      <c r="E9452">
        <v>56.95</v>
      </c>
    </row>
    <row r="9453" spans="1:5" x14ac:dyDescent="0.2">
      <c r="A9453">
        <v>46818</v>
      </c>
      <c r="B9453" t="s">
        <v>21</v>
      </c>
      <c r="C9453">
        <v>46818</v>
      </c>
      <c r="D9453" t="str">
        <f>"46818"</f>
        <v>46818</v>
      </c>
      <c r="E9453">
        <v>73.34</v>
      </c>
    </row>
    <row r="9454" spans="1:5" x14ac:dyDescent="0.2">
      <c r="A9454">
        <v>46819</v>
      </c>
      <c r="B9454" t="s">
        <v>21</v>
      </c>
      <c r="C9454">
        <v>46819</v>
      </c>
      <c r="D9454" t="str">
        <f>"46819"</f>
        <v>46819</v>
      </c>
      <c r="E9454">
        <v>70.959999999999994</v>
      </c>
    </row>
    <row r="9455" spans="1:5" x14ac:dyDescent="0.2">
      <c r="A9455">
        <v>46825</v>
      </c>
      <c r="B9455" t="s">
        <v>21</v>
      </c>
      <c r="C9455">
        <v>46825</v>
      </c>
      <c r="D9455" t="str">
        <f>"46825"</f>
        <v>46825</v>
      </c>
      <c r="E9455">
        <v>72.37</v>
      </c>
    </row>
    <row r="9456" spans="1:5" x14ac:dyDescent="0.2">
      <c r="A9456">
        <v>46835</v>
      </c>
      <c r="B9456" t="s">
        <v>21</v>
      </c>
      <c r="C9456">
        <v>46835</v>
      </c>
      <c r="D9456" t="str">
        <f>"46835"</f>
        <v>46835</v>
      </c>
      <c r="E9456">
        <v>75.790000000000006</v>
      </c>
    </row>
    <row r="9457" spans="1:5" x14ac:dyDescent="0.2">
      <c r="A9457">
        <v>46845</v>
      </c>
      <c r="B9457" t="s">
        <v>21</v>
      </c>
      <c r="C9457">
        <v>46845</v>
      </c>
      <c r="D9457" t="str">
        <f>"46845"</f>
        <v>46845</v>
      </c>
      <c r="E9457">
        <v>79.08</v>
      </c>
    </row>
    <row r="9458" spans="1:5" x14ac:dyDescent="0.2">
      <c r="A9458">
        <v>46901</v>
      </c>
      <c r="B9458" t="s">
        <v>21</v>
      </c>
      <c r="C9458">
        <v>46901</v>
      </c>
      <c r="D9458" t="str">
        <f>"46901"</f>
        <v>46901</v>
      </c>
      <c r="E9458">
        <v>66.88</v>
      </c>
    </row>
    <row r="9459" spans="1:5" x14ac:dyDescent="0.2">
      <c r="A9459">
        <v>46902</v>
      </c>
      <c r="B9459" t="s">
        <v>21</v>
      </c>
      <c r="C9459">
        <v>46902</v>
      </c>
      <c r="D9459" t="str">
        <f>"46902"</f>
        <v>46902</v>
      </c>
      <c r="E9459">
        <v>71.53</v>
      </c>
    </row>
    <row r="9460" spans="1:5" x14ac:dyDescent="0.2">
      <c r="A9460">
        <v>46910</v>
      </c>
      <c r="B9460" t="s">
        <v>21</v>
      </c>
      <c r="C9460">
        <v>46910</v>
      </c>
      <c r="D9460" t="str">
        <f>"46910"</f>
        <v>46910</v>
      </c>
      <c r="E9460">
        <v>67.95</v>
      </c>
    </row>
    <row r="9461" spans="1:5" x14ac:dyDescent="0.2">
      <c r="A9461">
        <v>46911</v>
      </c>
      <c r="B9461" t="s">
        <v>21</v>
      </c>
      <c r="C9461">
        <v>46911</v>
      </c>
      <c r="D9461" t="str">
        <f>"46911"</f>
        <v>46911</v>
      </c>
      <c r="E9461">
        <v>71.430000000000007</v>
      </c>
    </row>
    <row r="9462" spans="1:5" x14ac:dyDescent="0.2">
      <c r="A9462">
        <v>46913</v>
      </c>
      <c r="B9462" t="s">
        <v>21</v>
      </c>
      <c r="C9462">
        <v>46913</v>
      </c>
      <c r="D9462" t="str">
        <f>"46913"</f>
        <v>46913</v>
      </c>
      <c r="E9462">
        <v>76.19</v>
      </c>
    </row>
    <row r="9463" spans="1:5" x14ac:dyDescent="0.2">
      <c r="A9463">
        <v>46914</v>
      </c>
      <c r="B9463" t="s">
        <v>21</v>
      </c>
      <c r="C9463">
        <v>46914</v>
      </c>
      <c r="D9463" t="str">
        <f>"46914"</f>
        <v>46914</v>
      </c>
      <c r="E9463">
        <v>68.42</v>
      </c>
    </row>
    <row r="9464" spans="1:5" x14ac:dyDescent="0.2">
      <c r="A9464">
        <v>46915</v>
      </c>
      <c r="B9464" t="s">
        <v>21</v>
      </c>
      <c r="C9464">
        <v>46915</v>
      </c>
      <c r="D9464" t="str">
        <f>"46915"</f>
        <v>46915</v>
      </c>
      <c r="E9464">
        <v>74.290000000000006</v>
      </c>
    </row>
    <row r="9465" spans="1:5" x14ac:dyDescent="0.2">
      <c r="A9465">
        <v>46916</v>
      </c>
      <c r="B9465" t="s">
        <v>21</v>
      </c>
      <c r="C9465">
        <v>46916</v>
      </c>
      <c r="D9465" t="str">
        <f>"46916"</f>
        <v>46916</v>
      </c>
      <c r="E9465" t="s">
        <v>6</v>
      </c>
    </row>
    <row r="9466" spans="1:5" x14ac:dyDescent="0.2">
      <c r="A9466">
        <v>46917</v>
      </c>
      <c r="B9466" t="s">
        <v>21</v>
      </c>
      <c r="C9466">
        <v>46917</v>
      </c>
      <c r="D9466" t="str">
        <f>"46917"</f>
        <v>46917</v>
      </c>
      <c r="E9466">
        <v>70</v>
      </c>
    </row>
    <row r="9467" spans="1:5" x14ac:dyDescent="0.2">
      <c r="A9467">
        <v>46919</v>
      </c>
      <c r="B9467" t="s">
        <v>21</v>
      </c>
      <c r="C9467">
        <v>46919</v>
      </c>
      <c r="D9467" t="str">
        <f>"46919"</f>
        <v>46919</v>
      </c>
      <c r="E9467">
        <v>66.989999999999995</v>
      </c>
    </row>
    <row r="9468" spans="1:5" x14ac:dyDescent="0.2">
      <c r="A9468">
        <v>46920</v>
      </c>
      <c r="B9468" t="s">
        <v>21</v>
      </c>
      <c r="C9468">
        <v>46920</v>
      </c>
      <c r="D9468" t="str">
        <f>"46920"</f>
        <v>46920</v>
      </c>
      <c r="E9468">
        <v>76.47</v>
      </c>
    </row>
    <row r="9469" spans="1:5" x14ac:dyDescent="0.2">
      <c r="A9469">
        <v>46923</v>
      </c>
      <c r="B9469" t="s">
        <v>21</v>
      </c>
      <c r="C9469">
        <v>46923</v>
      </c>
      <c r="D9469" t="str">
        <f>"46923"</f>
        <v>46923</v>
      </c>
      <c r="E9469">
        <v>69.37</v>
      </c>
    </row>
    <row r="9470" spans="1:5" x14ac:dyDescent="0.2">
      <c r="A9470">
        <v>46926</v>
      </c>
      <c r="B9470" t="s">
        <v>21</v>
      </c>
      <c r="C9470">
        <v>46926</v>
      </c>
      <c r="D9470" t="str">
        <f>"46926"</f>
        <v>46926</v>
      </c>
      <c r="E9470">
        <v>70.89</v>
      </c>
    </row>
    <row r="9471" spans="1:5" x14ac:dyDescent="0.2">
      <c r="A9471">
        <v>46928</v>
      </c>
      <c r="B9471" t="s">
        <v>21</v>
      </c>
      <c r="C9471">
        <v>46928</v>
      </c>
      <c r="D9471" t="str">
        <f>"46928"</f>
        <v>46928</v>
      </c>
      <c r="E9471">
        <v>68.84</v>
      </c>
    </row>
    <row r="9472" spans="1:5" x14ac:dyDescent="0.2">
      <c r="A9472">
        <v>46929</v>
      </c>
      <c r="B9472" t="s">
        <v>21</v>
      </c>
      <c r="C9472">
        <v>46929</v>
      </c>
      <c r="D9472" t="str">
        <f>"46929"</f>
        <v>46929</v>
      </c>
      <c r="E9472">
        <v>70.2</v>
      </c>
    </row>
    <row r="9473" spans="1:5" x14ac:dyDescent="0.2">
      <c r="A9473">
        <v>46930</v>
      </c>
      <c r="B9473" t="s">
        <v>21</v>
      </c>
      <c r="C9473">
        <v>46930</v>
      </c>
      <c r="D9473" t="str">
        <f>"46930"</f>
        <v>46930</v>
      </c>
      <c r="E9473" t="s">
        <v>6</v>
      </c>
    </row>
    <row r="9474" spans="1:5" x14ac:dyDescent="0.2">
      <c r="A9474">
        <v>46931</v>
      </c>
      <c r="B9474" t="s">
        <v>21</v>
      </c>
      <c r="C9474">
        <v>46931</v>
      </c>
      <c r="D9474" t="str">
        <f>"46931"</f>
        <v>46931</v>
      </c>
      <c r="E9474" t="s">
        <v>6</v>
      </c>
    </row>
    <row r="9475" spans="1:5" x14ac:dyDescent="0.2">
      <c r="A9475">
        <v>46932</v>
      </c>
      <c r="B9475" t="s">
        <v>21</v>
      </c>
      <c r="C9475">
        <v>46932</v>
      </c>
      <c r="D9475" t="str">
        <f>"46932"</f>
        <v>46932</v>
      </c>
      <c r="E9475">
        <v>73.650000000000006</v>
      </c>
    </row>
    <row r="9476" spans="1:5" x14ac:dyDescent="0.2">
      <c r="A9476">
        <v>46933</v>
      </c>
      <c r="B9476" t="s">
        <v>21</v>
      </c>
      <c r="C9476">
        <v>46933</v>
      </c>
      <c r="D9476" t="str">
        <f>"46933"</f>
        <v>46933</v>
      </c>
      <c r="E9476">
        <v>64.739999999999995</v>
      </c>
    </row>
    <row r="9477" spans="1:5" x14ac:dyDescent="0.2">
      <c r="A9477">
        <v>46936</v>
      </c>
      <c r="B9477" t="s">
        <v>21</v>
      </c>
      <c r="C9477">
        <v>46936</v>
      </c>
      <c r="D9477" t="str">
        <f>"46936"</f>
        <v>46936</v>
      </c>
      <c r="E9477">
        <v>75.8</v>
      </c>
    </row>
    <row r="9478" spans="1:5" x14ac:dyDescent="0.2">
      <c r="A9478">
        <v>46937</v>
      </c>
      <c r="B9478" t="s">
        <v>21</v>
      </c>
      <c r="C9478">
        <v>46937</v>
      </c>
      <c r="D9478" t="str">
        <f>"46937"</f>
        <v>46937</v>
      </c>
      <c r="E9478" t="s">
        <v>6</v>
      </c>
    </row>
    <row r="9479" spans="1:5" x14ac:dyDescent="0.2">
      <c r="A9479">
        <v>46938</v>
      </c>
      <c r="B9479" t="s">
        <v>21</v>
      </c>
      <c r="C9479">
        <v>46938</v>
      </c>
      <c r="D9479" t="str">
        <f>"46938"</f>
        <v>46938</v>
      </c>
      <c r="E9479">
        <v>66.180000000000007</v>
      </c>
    </row>
    <row r="9480" spans="1:5" x14ac:dyDescent="0.2">
      <c r="A9480">
        <v>46939</v>
      </c>
      <c r="B9480" t="s">
        <v>21</v>
      </c>
      <c r="C9480">
        <v>46939</v>
      </c>
      <c r="D9480" t="str">
        <f>"46939"</f>
        <v>46939</v>
      </c>
      <c r="E9480">
        <v>70.33</v>
      </c>
    </row>
    <row r="9481" spans="1:5" x14ac:dyDescent="0.2">
      <c r="A9481">
        <v>46940</v>
      </c>
      <c r="B9481" t="s">
        <v>21</v>
      </c>
      <c r="C9481">
        <v>46940</v>
      </c>
      <c r="D9481" t="str">
        <f>"46940"</f>
        <v>46940</v>
      </c>
      <c r="E9481">
        <v>69.64</v>
      </c>
    </row>
    <row r="9482" spans="1:5" x14ac:dyDescent="0.2">
      <c r="A9482">
        <v>46941</v>
      </c>
      <c r="B9482" t="s">
        <v>21</v>
      </c>
      <c r="C9482">
        <v>46941</v>
      </c>
      <c r="D9482" t="str">
        <f>"46941"</f>
        <v>46941</v>
      </c>
      <c r="E9482">
        <v>72.22</v>
      </c>
    </row>
    <row r="9483" spans="1:5" x14ac:dyDescent="0.2">
      <c r="A9483">
        <v>46943</v>
      </c>
      <c r="B9483" t="s">
        <v>21</v>
      </c>
      <c r="C9483">
        <v>46943</v>
      </c>
      <c r="D9483" t="str">
        <f>"46943"</f>
        <v>46943</v>
      </c>
      <c r="E9483">
        <v>50</v>
      </c>
    </row>
    <row r="9484" spans="1:5" x14ac:dyDescent="0.2">
      <c r="A9484">
        <v>46945</v>
      </c>
      <c r="B9484" t="s">
        <v>21</v>
      </c>
      <c r="C9484">
        <v>46945</v>
      </c>
      <c r="D9484" t="str">
        <f>"46945"</f>
        <v>46945</v>
      </c>
      <c r="E9484" t="s">
        <v>6</v>
      </c>
    </row>
    <row r="9485" spans="1:5" x14ac:dyDescent="0.2">
      <c r="A9485">
        <v>46946</v>
      </c>
      <c r="B9485" t="s">
        <v>21</v>
      </c>
      <c r="C9485">
        <v>46946</v>
      </c>
      <c r="D9485" t="str">
        <f>"46946"</f>
        <v>46946</v>
      </c>
      <c r="E9485" t="s">
        <v>6</v>
      </c>
    </row>
    <row r="9486" spans="1:5" x14ac:dyDescent="0.2">
      <c r="A9486">
        <v>46947</v>
      </c>
      <c r="B9486" t="s">
        <v>21</v>
      </c>
      <c r="C9486">
        <v>46947</v>
      </c>
      <c r="D9486" t="str">
        <f>"46947"</f>
        <v>46947</v>
      </c>
      <c r="E9486">
        <v>64.81</v>
      </c>
    </row>
    <row r="9487" spans="1:5" x14ac:dyDescent="0.2">
      <c r="A9487">
        <v>46950</v>
      </c>
      <c r="B9487" t="s">
        <v>21</v>
      </c>
      <c r="C9487">
        <v>46950</v>
      </c>
      <c r="D9487" t="str">
        <f>"46950"</f>
        <v>46950</v>
      </c>
      <c r="E9487">
        <v>71.88</v>
      </c>
    </row>
    <row r="9488" spans="1:5" x14ac:dyDescent="0.2">
      <c r="A9488">
        <v>46951</v>
      </c>
      <c r="B9488" t="s">
        <v>21</v>
      </c>
      <c r="C9488">
        <v>46951</v>
      </c>
      <c r="D9488" t="str">
        <f>"46951"</f>
        <v>46951</v>
      </c>
      <c r="E9488">
        <v>70.83</v>
      </c>
    </row>
    <row r="9489" spans="1:5" x14ac:dyDescent="0.2">
      <c r="A9489">
        <v>46952</v>
      </c>
      <c r="B9489" t="s">
        <v>21</v>
      </c>
      <c r="C9489">
        <v>46952</v>
      </c>
      <c r="D9489" t="str">
        <f>"46952"</f>
        <v>46952</v>
      </c>
      <c r="E9489">
        <v>66.150000000000006</v>
      </c>
    </row>
    <row r="9490" spans="1:5" x14ac:dyDescent="0.2">
      <c r="A9490">
        <v>46953</v>
      </c>
      <c r="B9490" t="s">
        <v>21</v>
      </c>
      <c r="C9490">
        <v>46953</v>
      </c>
      <c r="D9490" t="str">
        <f>"46953"</f>
        <v>46953</v>
      </c>
      <c r="E9490">
        <v>59.06</v>
      </c>
    </row>
    <row r="9491" spans="1:5" x14ac:dyDescent="0.2">
      <c r="A9491">
        <v>46957</v>
      </c>
      <c r="B9491" t="s">
        <v>21</v>
      </c>
      <c r="C9491">
        <v>46957</v>
      </c>
      <c r="D9491" t="str">
        <f>"46957"</f>
        <v>46957</v>
      </c>
      <c r="E9491" t="s">
        <v>6</v>
      </c>
    </row>
    <row r="9492" spans="1:5" x14ac:dyDescent="0.2">
      <c r="A9492">
        <v>46958</v>
      </c>
      <c r="B9492" t="s">
        <v>21</v>
      </c>
      <c r="C9492">
        <v>46958</v>
      </c>
      <c r="D9492" t="str">
        <f>"46958"</f>
        <v>46958</v>
      </c>
      <c r="E9492" t="s">
        <v>6</v>
      </c>
    </row>
    <row r="9493" spans="1:5" x14ac:dyDescent="0.2">
      <c r="A9493">
        <v>46959</v>
      </c>
      <c r="B9493" t="s">
        <v>21</v>
      </c>
      <c r="C9493">
        <v>46959</v>
      </c>
      <c r="D9493" t="str">
        <f>"46959"</f>
        <v>46959</v>
      </c>
      <c r="E9493" t="s">
        <v>6</v>
      </c>
    </row>
    <row r="9494" spans="1:5" x14ac:dyDescent="0.2">
      <c r="A9494">
        <v>46960</v>
      </c>
      <c r="B9494" t="s">
        <v>21</v>
      </c>
      <c r="C9494">
        <v>46960</v>
      </c>
      <c r="D9494" t="str">
        <f>"46960"</f>
        <v>46960</v>
      </c>
      <c r="E9494">
        <v>67.92</v>
      </c>
    </row>
    <row r="9495" spans="1:5" x14ac:dyDescent="0.2">
      <c r="A9495">
        <v>46961</v>
      </c>
      <c r="B9495" t="s">
        <v>21</v>
      </c>
      <c r="C9495">
        <v>46961</v>
      </c>
      <c r="D9495" t="str">
        <f>"46961"</f>
        <v>46961</v>
      </c>
      <c r="E9495" t="s">
        <v>6</v>
      </c>
    </row>
    <row r="9496" spans="1:5" x14ac:dyDescent="0.2">
      <c r="A9496">
        <v>46962</v>
      </c>
      <c r="B9496" t="s">
        <v>21</v>
      </c>
      <c r="C9496">
        <v>46962</v>
      </c>
      <c r="D9496" t="str">
        <f>"46962"</f>
        <v>46962</v>
      </c>
      <c r="E9496">
        <v>66.5</v>
      </c>
    </row>
    <row r="9497" spans="1:5" x14ac:dyDescent="0.2">
      <c r="A9497">
        <v>46967</v>
      </c>
      <c r="B9497" t="s">
        <v>21</v>
      </c>
      <c r="C9497">
        <v>46967</v>
      </c>
      <c r="D9497" t="str">
        <f>"46967"</f>
        <v>46967</v>
      </c>
      <c r="E9497" t="s">
        <v>6</v>
      </c>
    </row>
    <row r="9498" spans="1:5" x14ac:dyDescent="0.2">
      <c r="A9498">
        <v>46968</v>
      </c>
      <c r="B9498" t="s">
        <v>21</v>
      </c>
      <c r="C9498">
        <v>46968</v>
      </c>
      <c r="D9498" t="str">
        <f>"46968"</f>
        <v>46968</v>
      </c>
      <c r="E9498" t="s">
        <v>6</v>
      </c>
    </row>
    <row r="9499" spans="1:5" x14ac:dyDescent="0.2">
      <c r="A9499">
        <v>46970</v>
      </c>
      <c r="B9499" t="s">
        <v>21</v>
      </c>
      <c r="C9499">
        <v>46970</v>
      </c>
      <c r="D9499" t="str">
        <f>"46970"</f>
        <v>46970</v>
      </c>
      <c r="E9499">
        <v>66.67</v>
      </c>
    </row>
    <row r="9500" spans="1:5" x14ac:dyDescent="0.2">
      <c r="A9500">
        <v>46974</v>
      </c>
      <c r="B9500" t="s">
        <v>21</v>
      </c>
      <c r="C9500">
        <v>46974</v>
      </c>
      <c r="D9500" t="str">
        <f>"46974"</f>
        <v>46974</v>
      </c>
      <c r="E9500">
        <v>67.53</v>
      </c>
    </row>
    <row r="9501" spans="1:5" x14ac:dyDescent="0.2">
      <c r="A9501">
        <v>46975</v>
      </c>
      <c r="B9501" t="s">
        <v>21</v>
      </c>
      <c r="C9501">
        <v>46975</v>
      </c>
      <c r="D9501" t="str">
        <f>"46975"</f>
        <v>46975</v>
      </c>
      <c r="E9501">
        <v>67.239999999999995</v>
      </c>
    </row>
    <row r="9502" spans="1:5" x14ac:dyDescent="0.2">
      <c r="A9502">
        <v>46977</v>
      </c>
      <c r="B9502" t="s">
        <v>21</v>
      </c>
      <c r="C9502">
        <v>46977</v>
      </c>
      <c r="D9502" t="str">
        <f>"46977"</f>
        <v>46977</v>
      </c>
      <c r="E9502" t="s">
        <v>6</v>
      </c>
    </row>
    <row r="9503" spans="1:5" x14ac:dyDescent="0.2">
      <c r="A9503">
        <v>46978</v>
      </c>
      <c r="B9503" t="s">
        <v>21</v>
      </c>
      <c r="C9503">
        <v>46978</v>
      </c>
      <c r="D9503" t="str">
        <f>"46978"</f>
        <v>46978</v>
      </c>
      <c r="E9503">
        <v>69</v>
      </c>
    </row>
    <row r="9504" spans="1:5" x14ac:dyDescent="0.2">
      <c r="A9504">
        <v>46979</v>
      </c>
      <c r="B9504" t="s">
        <v>21</v>
      </c>
      <c r="C9504">
        <v>46979</v>
      </c>
      <c r="D9504" t="str">
        <f>"46979"</f>
        <v>46979</v>
      </c>
      <c r="E9504">
        <v>76.37</v>
      </c>
    </row>
    <row r="9505" spans="1:5" x14ac:dyDescent="0.2">
      <c r="A9505">
        <v>46980</v>
      </c>
      <c r="B9505" t="s">
        <v>21</v>
      </c>
      <c r="C9505">
        <v>46980</v>
      </c>
      <c r="D9505" t="str">
        <f>"46980"</f>
        <v>46980</v>
      </c>
      <c r="E9505" t="s">
        <v>6</v>
      </c>
    </row>
    <row r="9506" spans="1:5" x14ac:dyDescent="0.2">
      <c r="A9506">
        <v>46982</v>
      </c>
      <c r="B9506" t="s">
        <v>21</v>
      </c>
      <c r="C9506">
        <v>46982</v>
      </c>
      <c r="D9506" t="str">
        <f>"46982"</f>
        <v>46982</v>
      </c>
      <c r="E9506">
        <v>69.489999999999995</v>
      </c>
    </row>
    <row r="9507" spans="1:5" x14ac:dyDescent="0.2">
      <c r="A9507">
        <v>46984</v>
      </c>
      <c r="B9507" t="s">
        <v>21</v>
      </c>
      <c r="C9507">
        <v>46984</v>
      </c>
      <c r="D9507" t="str">
        <f>"46984"</f>
        <v>46984</v>
      </c>
      <c r="E9507" t="s">
        <v>6</v>
      </c>
    </row>
    <row r="9508" spans="1:5" x14ac:dyDescent="0.2">
      <c r="A9508">
        <v>46985</v>
      </c>
      <c r="B9508" t="s">
        <v>21</v>
      </c>
      <c r="C9508">
        <v>46985</v>
      </c>
      <c r="D9508" t="str">
        <f>"46985"</f>
        <v>46985</v>
      </c>
      <c r="E9508">
        <v>69.23</v>
      </c>
    </row>
    <row r="9509" spans="1:5" x14ac:dyDescent="0.2">
      <c r="A9509">
        <v>46986</v>
      </c>
      <c r="B9509" t="s">
        <v>21</v>
      </c>
      <c r="C9509">
        <v>46986</v>
      </c>
      <c r="D9509" t="str">
        <f>"46986"</f>
        <v>46986</v>
      </c>
      <c r="E9509">
        <v>72.94</v>
      </c>
    </row>
    <row r="9510" spans="1:5" x14ac:dyDescent="0.2">
      <c r="A9510">
        <v>46987</v>
      </c>
      <c r="B9510" t="s">
        <v>21</v>
      </c>
      <c r="C9510">
        <v>46987</v>
      </c>
      <c r="D9510" t="str">
        <f>"46987"</f>
        <v>46987</v>
      </c>
      <c r="E9510" t="s">
        <v>6</v>
      </c>
    </row>
    <row r="9511" spans="1:5" x14ac:dyDescent="0.2">
      <c r="A9511">
        <v>46988</v>
      </c>
      <c r="B9511" t="s">
        <v>21</v>
      </c>
      <c r="C9511">
        <v>46988</v>
      </c>
      <c r="D9511" t="str">
        <f>"46988"</f>
        <v>46988</v>
      </c>
      <c r="E9511">
        <v>69.44</v>
      </c>
    </row>
    <row r="9512" spans="1:5" x14ac:dyDescent="0.2">
      <c r="A9512">
        <v>46989</v>
      </c>
      <c r="B9512" t="s">
        <v>21</v>
      </c>
      <c r="C9512">
        <v>46989</v>
      </c>
      <c r="D9512" t="str">
        <f>"46989"</f>
        <v>46989</v>
      </c>
      <c r="E9512">
        <v>68.709999999999994</v>
      </c>
    </row>
    <row r="9513" spans="1:5" x14ac:dyDescent="0.2">
      <c r="A9513">
        <v>46990</v>
      </c>
      <c r="B9513" t="s">
        <v>21</v>
      </c>
      <c r="C9513">
        <v>46990</v>
      </c>
      <c r="D9513" t="str">
        <f>"46990"</f>
        <v>46990</v>
      </c>
      <c r="E9513">
        <v>72.22</v>
      </c>
    </row>
    <row r="9514" spans="1:5" x14ac:dyDescent="0.2">
      <c r="A9514">
        <v>46991</v>
      </c>
      <c r="B9514" t="s">
        <v>21</v>
      </c>
      <c r="C9514">
        <v>46991</v>
      </c>
      <c r="D9514" t="str">
        <f>"46991"</f>
        <v>46991</v>
      </c>
      <c r="E9514">
        <v>69.62</v>
      </c>
    </row>
    <row r="9515" spans="1:5" x14ac:dyDescent="0.2">
      <c r="A9515">
        <v>46992</v>
      </c>
      <c r="B9515" t="s">
        <v>21</v>
      </c>
      <c r="C9515">
        <v>46992</v>
      </c>
      <c r="D9515" t="str">
        <f>"46992"</f>
        <v>46992</v>
      </c>
      <c r="E9515">
        <v>68.430000000000007</v>
      </c>
    </row>
    <row r="9516" spans="1:5" x14ac:dyDescent="0.2">
      <c r="A9516">
        <v>46994</v>
      </c>
      <c r="B9516" t="s">
        <v>21</v>
      </c>
      <c r="C9516">
        <v>46994</v>
      </c>
      <c r="D9516" t="str">
        <f>"46994"</f>
        <v>46994</v>
      </c>
      <c r="E9516">
        <v>72.8</v>
      </c>
    </row>
    <row r="9517" spans="1:5" x14ac:dyDescent="0.2">
      <c r="A9517">
        <v>46995</v>
      </c>
      <c r="B9517" t="s">
        <v>21</v>
      </c>
      <c r="C9517">
        <v>46995</v>
      </c>
      <c r="D9517" t="str">
        <f>"46995"</f>
        <v>46995</v>
      </c>
      <c r="E9517" t="s">
        <v>6</v>
      </c>
    </row>
    <row r="9518" spans="1:5" x14ac:dyDescent="0.2">
      <c r="A9518">
        <v>46996</v>
      </c>
      <c r="B9518" t="s">
        <v>21</v>
      </c>
      <c r="C9518">
        <v>46996</v>
      </c>
      <c r="D9518" t="str">
        <f>"46996"</f>
        <v>46996</v>
      </c>
      <c r="E9518">
        <v>68.569999999999993</v>
      </c>
    </row>
    <row r="9519" spans="1:5" x14ac:dyDescent="0.2">
      <c r="A9519">
        <v>46998</v>
      </c>
      <c r="B9519" t="s">
        <v>21</v>
      </c>
      <c r="C9519">
        <v>46998</v>
      </c>
      <c r="D9519" t="str">
        <f>"46998"</f>
        <v>46998</v>
      </c>
      <c r="E9519" t="s">
        <v>6</v>
      </c>
    </row>
    <row r="9520" spans="1:5" x14ac:dyDescent="0.2">
      <c r="A9520">
        <v>47001</v>
      </c>
      <c r="B9520" t="s">
        <v>21</v>
      </c>
      <c r="C9520">
        <v>47001</v>
      </c>
      <c r="D9520" t="str">
        <f>"47001"</f>
        <v>47001</v>
      </c>
      <c r="E9520">
        <v>70.819999999999993</v>
      </c>
    </row>
    <row r="9521" spans="1:5" x14ac:dyDescent="0.2">
      <c r="A9521">
        <v>47003</v>
      </c>
      <c r="B9521" t="s">
        <v>21</v>
      </c>
      <c r="C9521">
        <v>47003</v>
      </c>
      <c r="D9521" t="str">
        <f>"47003"</f>
        <v>47003</v>
      </c>
      <c r="E9521">
        <v>71.430000000000007</v>
      </c>
    </row>
    <row r="9522" spans="1:5" x14ac:dyDescent="0.2">
      <c r="A9522">
        <v>47006</v>
      </c>
      <c r="B9522" t="s">
        <v>21</v>
      </c>
      <c r="C9522">
        <v>47006</v>
      </c>
      <c r="D9522" t="str">
        <f>"47006"</f>
        <v>47006</v>
      </c>
      <c r="E9522">
        <v>71.98</v>
      </c>
    </row>
    <row r="9523" spans="1:5" x14ac:dyDescent="0.2">
      <c r="A9523">
        <v>47010</v>
      </c>
      <c r="B9523" t="s">
        <v>21</v>
      </c>
      <c r="C9523">
        <v>47010</v>
      </c>
      <c r="D9523" t="str">
        <f>"47010"</f>
        <v>47010</v>
      </c>
      <c r="E9523">
        <v>75</v>
      </c>
    </row>
    <row r="9524" spans="1:5" x14ac:dyDescent="0.2">
      <c r="A9524">
        <v>47011</v>
      </c>
      <c r="B9524" t="s">
        <v>21</v>
      </c>
      <c r="C9524">
        <v>47011</v>
      </c>
      <c r="D9524" t="str">
        <f>"47011"</f>
        <v>47011</v>
      </c>
      <c r="E9524">
        <v>67.44</v>
      </c>
    </row>
    <row r="9525" spans="1:5" x14ac:dyDescent="0.2">
      <c r="A9525">
        <v>47012</v>
      </c>
      <c r="B9525" t="s">
        <v>21</v>
      </c>
      <c r="C9525">
        <v>47012</v>
      </c>
      <c r="D9525" t="str">
        <f>"47012"</f>
        <v>47012</v>
      </c>
      <c r="E9525">
        <v>71.91</v>
      </c>
    </row>
    <row r="9526" spans="1:5" x14ac:dyDescent="0.2">
      <c r="A9526">
        <v>47016</v>
      </c>
      <c r="B9526" t="s">
        <v>21</v>
      </c>
      <c r="C9526">
        <v>47016</v>
      </c>
      <c r="D9526" t="str">
        <f>"47016"</f>
        <v>47016</v>
      </c>
      <c r="E9526">
        <v>75.56</v>
      </c>
    </row>
    <row r="9527" spans="1:5" x14ac:dyDescent="0.2">
      <c r="A9527">
        <v>47017</v>
      </c>
      <c r="B9527" t="s">
        <v>21</v>
      </c>
      <c r="C9527">
        <v>47017</v>
      </c>
      <c r="D9527" t="str">
        <f>"47017"</f>
        <v>47017</v>
      </c>
      <c r="E9527">
        <v>62.07</v>
      </c>
    </row>
    <row r="9528" spans="1:5" x14ac:dyDescent="0.2">
      <c r="A9528">
        <v>47018</v>
      </c>
      <c r="B9528" t="s">
        <v>21</v>
      </c>
      <c r="C9528">
        <v>47018</v>
      </c>
      <c r="D9528" t="str">
        <f>"47018"</f>
        <v>47018</v>
      </c>
      <c r="E9528">
        <v>70.39</v>
      </c>
    </row>
    <row r="9529" spans="1:5" x14ac:dyDescent="0.2">
      <c r="A9529">
        <v>47020</v>
      </c>
      <c r="B9529" t="s">
        <v>21</v>
      </c>
      <c r="C9529">
        <v>47020</v>
      </c>
      <c r="D9529" t="str">
        <f>"47020"</f>
        <v>47020</v>
      </c>
      <c r="E9529">
        <v>66.67</v>
      </c>
    </row>
    <row r="9530" spans="1:5" x14ac:dyDescent="0.2">
      <c r="A9530">
        <v>47021</v>
      </c>
      <c r="B9530" t="s">
        <v>21</v>
      </c>
      <c r="C9530">
        <v>47021</v>
      </c>
      <c r="D9530" t="str">
        <f>"47021"</f>
        <v>47021</v>
      </c>
      <c r="E9530" t="s">
        <v>6</v>
      </c>
    </row>
    <row r="9531" spans="1:5" x14ac:dyDescent="0.2">
      <c r="A9531">
        <v>47022</v>
      </c>
      <c r="B9531" t="s">
        <v>21</v>
      </c>
      <c r="C9531">
        <v>47022</v>
      </c>
      <c r="D9531" t="str">
        <f>"47022"</f>
        <v>47022</v>
      </c>
      <c r="E9531">
        <v>79.11</v>
      </c>
    </row>
    <row r="9532" spans="1:5" x14ac:dyDescent="0.2">
      <c r="A9532">
        <v>47023</v>
      </c>
      <c r="B9532" t="s">
        <v>21</v>
      </c>
      <c r="C9532">
        <v>47023</v>
      </c>
      <c r="D9532" t="str">
        <f>"47023"</f>
        <v>47023</v>
      </c>
      <c r="E9532">
        <v>67.11</v>
      </c>
    </row>
    <row r="9533" spans="1:5" x14ac:dyDescent="0.2">
      <c r="A9533">
        <v>47024</v>
      </c>
      <c r="B9533" t="s">
        <v>21</v>
      </c>
      <c r="C9533">
        <v>47024</v>
      </c>
      <c r="D9533" t="str">
        <f>"47024"</f>
        <v>47024</v>
      </c>
      <c r="E9533">
        <v>64.709999999999994</v>
      </c>
    </row>
    <row r="9534" spans="1:5" x14ac:dyDescent="0.2">
      <c r="A9534">
        <v>47025</v>
      </c>
      <c r="B9534" t="s">
        <v>21</v>
      </c>
      <c r="C9534">
        <v>47025</v>
      </c>
      <c r="D9534" t="str">
        <f>"47025"</f>
        <v>47025</v>
      </c>
      <c r="E9534">
        <v>76.19</v>
      </c>
    </row>
    <row r="9535" spans="1:5" x14ac:dyDescent="0.2">
      <c r="A9535">
        <v>47030</v>
      </c>
      <c r="B9535" t="s">
        <v>21</v>
      </c>
      <c r="C9535">
        <v>47030</v>
      </c>
      <c r="D9535" t="str">
        <f>"47030"</f>
        <v>47030</v>
      </c>
      <c r="E9535">
        <v>65.709999999999994</v>
      </c>
    </row>
    <row r="9536" spans="1:5" x14ac:dyDescent="0.2">
      <c r="A9536">
        <v>47031</v>
      </c>
      <c r="B9536" t="s">
        <v>21</v>
      </c>
      <c r="C9536">
        <v>47031</v>
      </c>
      <c r="D9536" t="str">
        <f>"47031"</f>
        <v>47031</v>
      </c>
      <c r="E9536">
        <v>68.53</v>
      </c>
    </row>
    <row r="9537" spans="1:5" x14ac:dyDescent="0.2">
      <c r="A9537">
        <v>47032</v>
      </c>
      <c r="B9537" t="s">
        <v>21</v>
      </c>
      <c r="C9537">
        <v>47032</v>
      </c>
      <c r="D9537" t="str">
        <f>"47032"</f>
        <v>47032</v>
      </c>
      <c r="E9537">
        <v>70.349999999999994</v>
      </c>
    </row>
    <row r="9538" spans="1:5" x14ac:dyDescent="0.2">
      <c r="A9538">
        <v>47035</v>
      </c>
      <c r="B9538" t="s">
        <v>21</v>
      </c>
      <c r="C9538">
        <v>47035</v>
      </c>
      <c r="D9538" t="str">
        <f>"47035"</f>
        <v>47035</v>
      </c>
      <c r="E9538" t="s">
        <v>6</v>
      </c>
    </row>
    <row r="9539" spans="1:5" x14ac:dyDescent="0.2">
      <c r="A9539">
        <v>47036</v>
      </c>
      <c r="B9539" t="s">
        <v>21</v>
      </c>
      <c r="C9539">
        <v>47036</v>
      </c>
      <c r="D9539" t="str">
        <f>"47036"</f>
        <v>47036</v>
      </c>
      <c r="E9539">
        <v>76.790000000000006</v>
      </c>
    </row>
    <row r="9540" spans="1:5" x14ac:dyDescent="0.2">
      <c r="A9540">
        <v>47037</v>
      </c>
      <c r="B9540" t="s">
        <v>21</v>
      </c>
      <c r="C9540">
        <v>47037</v>
      </c>
      <c r="D9540" t="str">
        <f>"47037"</f>
        <v>47037</v>
      </c>
      <c r="E9540">
        <v>68.88</v>
      </c>
    </row>
    <row r="9541" spans="1:5" x14ac:dyDescent="0.2">
      <c r="A9541">
        <v>47038</v>
      </c>
      <c r="B9541" t="s">
        <v>21</v>
      </c>
      <c r="C9541">
        <v>47038</v>
      </c>
      <c r="D9541" t="str">
        <f>"47038"</f>
        <v>47038</v>
      </c>
      <c r="E9541">
        <v>65.959999999999994</v>
      </c>
    </row>
    <row r="9542" spans="1:5" x14ac:dyDescent="0.2">
      <c r="A9542">
        <v>47039</v>
      </c>
      <c r="B9542" t="s">
        <v>21</v>
      </c>
      <c r="C9542">
        <v>47039</v>
      </c>
      <c r="D9542" t="str">
        <f>"47039"</f>
        <v>47039</v>
      </c>
      <c r="E9542" t="s">
        <v>6</v>
      </c>
    </row>
    <row r="9543" spans="1:5" x14ac:dyDescent="0.2">
      <c r="A9543">
        <v>47040</v>
      </c>
      <c r="B9543" t="s">
        <v>21</v>
      </c>
      <c r="C9543">
        <v>47040</v>
      </c>
      <c r="D9543" t="str">
        <f>"47040"</f>
        <v>47040</v>
      </c>
      <c r="E9543">
        <v>71.010000000000005</v>
      </c>
    </row>
    <row r="9544" spans="1:5" x14ac:dyDescent="0.2">
      <c r="A9544">
        <v>47041</v>
      </c>
      <c r="B9544" t="s">
        <v>21</v>
      </c>
      <c r="C9544">
        <v>47041</v>
      </c>
      <c r="D9544" t="str">
        <f>"47041"</f>
        <v>47041</v>
      </c>
      <c r="E9544">
        <v>71.849999999999994</v>
      </c>
    </row>
    <row r="9545" spans="1:5" x14ac:dyDescent="0.2">
      <c r="A9545">
        <v>47042</v>
      </c>
      <c r="B9545" t="s">
        <v>21</v>
      </c>
      <c r="C9545">
        <v>47042</v>
      </c>
      <c r="D9545" t="str">
        <f>"47042"</f>
        <v>47042</v>
      </c>
      <c r="E9545">
        <v>69.900000000000006</v>
      </c>
    </row>
    <row r="9546" spans="1:5" x14ac:dyDescent="0.2">
      <c r="A9546">
        <v>47043</v>
      </c>
      <c r="B9546" t="s">
        <v>21</v>
      </c>
      <c r="C9546">
        <v>47043</v>
      </c>
      <c r="D9546" t="str">
        <f>"47043"</f>
        <v>47043</v>
      </c>
      <c r="E9546">
        <v>65.069999999999993</v>
      </c>
    </row>
    <row r="9547" spans="1:5" x14ac:dyDescent="0.2">
      <c r="A9547">
        <v>47060</v>
      </c>
      <c r="B9547" t="s">
        <v>21</v>
      </c>
      <c r="C9547">
        <v>47060</v>
      </c>
      <c r="D9547" t="str">
        <f>"47060"</f>
        <v>47060</v>
      </c>
      <c r="E9547">
        <v>77.58</v>
      </c>
    </row>
    <row r="9548" spans="1:5" x14ac:dyDescent="0.2">
      <c r="A9548">
        <v>47102</v>
      </c>
      <c r="B9548" t="s">
        <v>21</v>
      </c>
      <c r="C9548">
        <v>47102</v>
      </c>
      <c r="D9548" t="str">
        <f>"47102"</f>
        <v>47102</v>
      </c>
      <c r="E9548">
        <v>64.709999999999994</v>
      </c>
    </row>
    <row r="9549" spans="1:5" x14ac:dyDescent="0.2">
      <c r="A9549">
        <v>47104</v>
      </c>
      <c r="B9549" t="s">
        <v>21</v>
      </c>
      <c r="C9549">
        <v>47104</v>
      </c>
      <c r="D9549" t="str">
        <f>"47104"</f>
        <v>47104</v>
      </c>
      <c r="E9549" t="s">
        <v>6</v>
      </c>
    </row>
    <row r="9550" spans="1:5" x14ac:dyDescent="0.2">
      <c r="A9550">
        <v>47106</v>
      </c>
      <c r="B9550" t="s">
        <v>21</v>
      </c>
      <c r="C9550">
        <v>47106</v>
      </c>
      <c r="D9550" t="str">
        <f>"47106"</f>
        <v>47106</v>
      </c>
      <c r="E9550">
        <v>76.260000000000005</v>
      </c>
    </row>
    <row r="9551" spans="1:5" x14ac:dyDescent="0.2">
      <c r="A9551">
        <v>47108</v>
      </c>
      <c r="B9551" t="s">
        <v>21</v>
      </c>
      <c r="C9551">
        <v>47108</v>
      </c>
      <c r="D9551" t="str">
        <f>"47108"</f>
        <v>47108</v>
      </c>
      <c r="E9551">
        <v>65.31</v>
      </c>
    </row>
    <row r="9552" spans="1:5" x14ac:dyDescent="0.2">
      <c r="A9552">
        <v>47110</v>
      </c>
      <c r="B9552" t="s">
        <v>21</v>
      </c>
      <c r="C9552">
        <v>47110</v>
      </c>
      <c r="D9552" t="str">
        <f>"47110"</f>
        <v>47110</v>
      </c>
      <c r="E9552">
        <v>55</v>
      </c>
    </row>
    <row r="9553" spans="1:5" x14ac:dyDescent="0.2">
      <c r="A9553">
        <v>47111</v>
      </c>
      <c r="B9553" t="s">
        <v>21</v>
      </c>
      <c r="C9553">
        <v>47111</v>
      </c>
      <c r="D9553" t="str">
        <f>"47111"</f>
        <v>47111</v>
      </c>
      <c r="E9553">
        <v>74.53</v>
      </c>
    </row>
    <row r="9554" spans="1:5" x14ac:dyDescent="0.2">
      <c r="A9554">
        <v>47112</v>
      </c>
      <c r="B9554" t="s">
        <v>21</v>
      </c>
      <c r="C9554">
        <v>47112</v>
      </c>
      <c r="D9554" t="str">
        <f>"47112"</f>
        <v>47112</v>
      </c>
      <c r="E9554">
        <v>71.430000000000007</v>
      </c>
    </row>
    <row r="9555" spans="1:5" x14ac:dyDescent="0.2">
      <c r="A9555">
        <v>47114</v>
      </c>
      <c r="B9555" t="s">
        <v>21</v>
      </c>
      <c r="C9555">
        <v>47114</v>
      </c>
      <c r="D9555" t="str">
        <f>"47114"</f>
        <v>47114</v>
      </c>
      <c r="E9555">
        <v>71.430000000000007</v>
      </c>
    </row>
    <row r="9556" spans="1:5" x14ac:dyDescent="0.2">
      <c r="A9556">
        <v>47115</v>
      </c>
      <c r="B9556" t="s">
        <v>21</v>
      </c>
      <c r="C9556">
        <v>47115</v>
      </c>
      <c r="D9556" t="str">
        <f>"47115"</f>
        <v>47115</v>
      </c>
      <c r="E9556">
        <v>70.91</v>
      </c>
    </row>
    <row r="9557" spans="1:5" x14ac:dyDescent="0.2">
      <c r="A9557">
        <v>47116</v>
      </c>
      <c r="B9557" t="s">
        <v>21</v>
      </c>
      <c r="C9557">
        <v>47116</v>
      </c>
      <c r="D9557" t="str">
        <f>"47116"</f>
        <v>47116</v>
      </c>
      <c r="E9557">
        <v>63.64</v>
      </c>
    </row>
    <row r="9558" spans="1:5" x14ac:dyDescent="0.2">
      <c r="A9558">
        <v>47117</v>
      </c>
      <c r="B9558" t="s">
        <v>21</v>
      </c>
      <c r="C9558">
        <v>47117</v>
      </c>
      <c r="D9558" t="str">
        <f>"47117"</f>
        <v>47117</v>
      </c>
      <c r="E9558">
        <v>74.87</v>
      </c>
    </row>
    <row r="9559" spans="1:5" x14ac:dyDescent="0.2">
      <c r="A9559">
        <v>47118</v>
      </c>
      <c r="B9559" t="s">
        <v>21</v>
      </c>
      <c r="C9559">
        <v>47118</v>
      </c>
      <c r="D9559" t="str">
        <f>"47118"</f>
        <v>47118</v>
      </c>
      <c r="E9559">
        <v>63.19</v>
      </c>
    </row>
    <row r="9560" spans="1:5" x14ac:dyDescent="0.2">
      <c r="A9560">
        <v>47119</v>
      </c>
      <c r="B9560" t="s">
        <v>21</v>
      </c>
      <c r="C9560">
        <v>47119</v>
      </c>
      <c r="D9560" t="str">
        <f>"47119"</f>
        <v>47119</v>
      </c>
      <c r="E9560">
        <v>80.38</v>
      </c>
    </row>
    <row r="9561" spans="1:5" x14ac:dyDescent="0.2">
      <c r="A9561">
        <v>47120</v>
      </c>
      <c r="B9561" t="s">
        <v>21</v>
      </c>
      <c r="C9561">
        <v>47120</v>
      </c>
      <c r="D9561" t="str">
        <f>"47120"</f>
        <v>47120</v>
      </c>
      <c r="E9561">
        <v>65.849999999999994</v>
      </c>
    </row>
    <row r="9562" spans="1:5" x14ac:dyDescent="0.2">
      <c r="A9562">
        <v>47122</v>
      </c>
      <c r="B9562" t="s">
        <v>21</v>
      </c>
      <c r="C9562">
        <v>47122</v>
      </c>
      <c r="D9562" t="str">
        <f>"47122"</f>
        <v>47122</v>
      </c>
      <c r="E9562">
        <v>79.319999999999993</v>
      </c>
    </row>
    <row r="9563" spans="1:5" x14ac:dyDescent="0.2">
      <c r="A9563">
        <v>47123</v>
      </c>
      <c r="B9563" t="s">
        <v>21</v>
      </c>
      <c r="C9563">
        <v>47123</v>
      </c>
      <c r="D9563" t="str">
        <f>"47123"</f>
        <v>47123</v>
      </c>
      <c r="E9563" t="s">
        <v>6</v>
      </c>
    </row>
    <row r="9564" spans="1:5" x14ac:dyDescent="0.2">
      <c r="A9564">
        <v>47124</v>
      </c>
      <c r="B9564" t="s">
        <v>21</v>
      </c>
      <c r="C9564">
        <v>47124</v>
      </c>
      <c r="D9564" t="str">
        <f>"47124"</f>
        <v>47124</v>
      </c>
      <c r="E9564">
        <v>77.59</v>
      </c>
    </row>
    <row r="9565" spans="1:5" x14ac:dyDescent="0.2">
      <c r="A9565">
        <v>47125</v>
      </c>
      <c r="B9565" t="s">
        <v>21</v>
      </c>
      <c r="C9565">
        <v>47125</v>
      </c>
      <c r="D9565" t="str">
        <f>"47125"</f>
        <v>47125</v>
      </c>
      <c r="E9565">
        <v>64.290000000000006</v>
      </c>
    </row>
    <row r="9566" spans="1:5" x14ac:dyDescent="0.2">
      <c r="A9566">
        <v>47126</v>
      </c>
      <c r="B9566" t="s">
        <v>21</v>
      </c>
      <c r="C9566">
        <v>47126</v>
      </c>
      <c r="D9566" t="str">
        <f>"47126"</f>
        <v>47126</v>
      </c>
      <c r="E9566">
        <v>76.19</v>
      </c>
    </row>
    <row r="9567" spans="1:5" x14ac:dyDescent="0.2">
      <c r="A9567">
        <v>47129</v>
      </c>
      <c r="B9567" t="s">
        <v>21</v>
      </c>
      <c r="C9567">
        <v>47129</v>
      </c>
      <c r="D9567" t="str">
        <f>"47129"</f>
        <v>47129</v>
      </c>
      <c r="E9567">
        <v>66.989999999999995</v>
      </c>
    </row>
    <row r="9568" spans="1:5" x14ac:dyDescent="0.2">
      <c r="A9568">
        <v>47130</v>
      </c>
      <c r="B9568" t="s">
        <v>21</v>
      </c>
      <c r="C9568">
        <v>47130</v>
      </c>
      <c r="D9568" t="str">
        <f>"47130"</f>
        <v>47130</v>
      </c>
      <c r="E9568">
        <v>73.22</v>
      </c>
    </row>
    <row r="9569" spans="1:5" x14ac:dyDescent="0.2">
      <c r="A9569">
        <v>47135</v>
      </c>
      <c r="B9569" t="s">
        <v>21</v>
      </c>
      <c r="C9569">
        <v>47135</v>
      </c>
      <c r="D9569" t="str">
        <f>"47135"</f>
        <v>47135</v>
      </c>
      <c r="E9569">
        <v>73.680000000000007</v>
      </c>
    </row>
    <row r="9570" spans="1:5" x14ac:dyDescent="0.2">
      <c r="A9570">
        <v>47136</v>
      </c>
      <c r="B9570" t="s">
        <v>21</v>
      </c>
      <c r="C9570">
        <v>47136</v>
      </c>
      <c r="D9570" t="str">
        <f>"47136"</f>
        <v>47136</v>
      </c>
      <c r="E9570">
        <v>81.25</v>
      </c>
    </row>
    <row r="9571" spans="1:5" x14ac:dyDescent="0.2">
      <c r="A9571">
        <v>47137</v>
      </c>
      <c r="B9571" t="s">
        <v>21</v>
      </c>
      <c r="C9571">
        <v>47137</v>
      </c>
      <c r="D9571" t="str">
        <f>"47137"</f>
        <v>47137</v>
      </c>
      <c r="E9571">
        <v>65</v>
      </c>
    </row>
    <row r="9572" spans="1:5" x14ac:dyDescent="0.2">
      <c r="A9572">
        <v>47138</v>
      </c>
      <c r="B9572" t="s">
        <v>21</v>
      </c>
      <c r="C9572">
        <v>47138</v>
      </c>
      <c r="D9572" t="str">
        <f>"47138"</f>
        <v>47138</v>
      </c>
      <c r="E9572">
        <v>70.05</v>
      </c>
    </row>
    <row r="9573" spans="1:5" x14ac:dyDescent="0.2">
      <c r="A9573">
        <v>47140</v>
      </c>
      <c r="B9573" t="s">
        <v>21</v>
      </c>
      <c r="C9573">
        <v>47140</v>
      </c>
      <c r="D9573" t="str">
        <f>"47140"</f>
        <v>47140</v>
      </c>
      <c r="E9573">
        <v>62.93</v>
      </c>
    </row>
    <row r="9574" spans="1:5" x14ac:dyDescent="0.2">
      <c r="A9574">
        <v>47141</v>
      </c>
      <c r="B9574" t="s">
        <v>21</v>
      </c>
      <c r="C9574">
        <v>47141</v>
      </c>
      <c r="D9574" t="str">
        <f>"47141"</f>
        <v>47141</v>
      </c>
      <c r="E9574">
        <v>73.97</v>
      </c>
    </row>
    <row r="9575" spans="1:5" x14ac:dyDescent="0.2">
      <c r="A9575">
        <v>47142</v>
      </c>
      <c r="B9575" t="s">
        <v>21</v>
      </c>
      <c r="C9575">
        <v>47142</v>
      </c>
      <c r="D9575" t="str">
        <f>"47142"</f>
        <v>47142</v>
      </c>
      <c r="E9575">
        <v>70.27</v>
      </c>
    </row>
    <row r="9576" spans="1:5" x14ac:dyDescent="0.2">
      <c r="A9576">
        <v>47143</v>
      </c>
      <c r="B9576" t="s">
        <v>21</v>
      </c>
      <c r="C9576">
        <v>47143</v>
      </c>
      <c r="D9576" t="str">
        <f>"47143"</f>
        <v>47143</v>
      </c>
      <c r="E9576">
        <v>77.59</v>
      </c>
    </row>
    <row r="9577" spans="1:5" x14ac:dyDescent="0.2">
      <c r="A9577">
        <v>47145</v>
      </c>
      <c r="B9577" t="s">
        <v>21</v>
      </c>
      <c r="C9577">
        <v>47145</v>
      </c>
      <c r="D9577" t="str">
        <f>"47145"</f>
        <v>47145</v>
      </c>
      <c r="E9577">
        <v>68.599999999999994</v>
      </c>
    </row>
    <row r="9578" spans="1:5" x14ac:dyDescent="0.2">
      <c r="A9578">
        <v>47147</v>
      </c>
      <c r="B9578" t="s">
        <v>21</v>
      </c>
      <c r="C9578">
        <v>47147</v>
      </c>
      <c r="D9578" t="str">
        <f>"47147"</f>
        <v>47147</v>
      </c>
      <c r="E9578">
        <v>71.11</v>
      </c>
    </row>
    <row r="9579" spans="1:5" x14ac:dyDescent="0.2">
      <c r="A9579">
        <v>47150</v>
      </c>
      <c r="B9579" t="s">
        <v>21</v>
      </c>
      <c r="C9579">
        <v>47150</v>
      </c>
      <c r="D9579" t="str">
        <f>"47150"</f>
        <v>47150</v>
      </c>
      <c r="E9579">
        <v>71.7</v>
      </c>
    </row>
    <row r="9580" spans="1:5" x14ac:dyDescent="0.2">
      <c r="A9580">
        <v>47160</v>
      </c>
      <c r="B9580" t="s">
        <v>21</v>
      </c>
      <c r="C9580">
        <v>47160</v>
      </c>
      <c r="D9580" t="str">
        <f>"47160"</f>
        <v>47160</v>
      </c>
      <c r="E9580" t="s">
        <v>6</v>
      </c>
    </row>
    <row r="9581" spans="1:5" x14ac:dyDescent="0.2">
      <c r="A9581">
        <v>47161</v>
      </c>
      <c r="B9581" t="s">
        <v>21</v>
      </c>
      <c r="C9581">
        <v>47161</v>
      </c>
      <c r="D9581" t="str">
        <f>"47161"</f>
        <v>47161</v>
      </c>
      <c r="E9581">
        <v>73.260000000000005</v>
      </c>
    </row>
    <row r="9582" spans="1:5" x14ac:dyDescent="0.2">
      <c r="A9582">
        <v>47162</v>
      </c>
      <c r="B9582" t="s">
        <v>21</v>
      </c>
      <c r="C9582">
        <v>47162</v>
      </c>
      <c r="D9582" t="str">
        <f>"47162"</f>
        <v>47162</v>
      </c>
      <c r="E9582">
        <v>75</v>
      </c>
    </row>
    <row r="9583" spans="1:5" x14ac:dyDescent="0.2">
      <c r="A9583">
        <v>47163</v>
      </c>
      <c r="B9583" t="s">
        <v>21</v>
      </c>
      <c r="C9583">
        <v>47163</v>
      </c>
      <c r="D9583" t="str">
        <f>"47163"</f>
        <v>47163</v>
      </c>
      <c r="E9583">
        <v>73.91</v>
      </c>
    </row>
    <row r="9584" spans="1:5" x14ac:dyDescent="0.2">
      <c r="A9584">
        <v>47164</v>
      </c>
      <c r="B9584" t="s">
        <v>21</v>
      </c>
      <c r="C9584">
        <v>47164</v>
      </c>
      <c r="D9584" t="str">
        <f>"47164"</f>
        <v>47164</v>
      </c>
      <c r="E9584">
        <v>69.94</v>
      </c>
    </row>
    <row r="9585" spans="1:5" x14ac:dyDescent="0.2">
      <c r="A9585">
        <v>47165</v>
      </c>
      <c r="B9585" t="s">
        <v>21</v>
      </c>
      <c r="C9585">
        <v>47165</v>
      </c>
      <c r="D9585" t="str">
        <f>"47165"</f>
        <v>47165</v>
      </c>
      <c r="E9585">
        <v>70.150000000000006</v>
      </c>
    </row>
    <row r="9586" spans="1:5" x14ac:dyDescent="0.2">
      <c r="A9586">
        <v>47166</v>
      </c>
      <c r="B9586" t="s">
        <v>21</v>
      </c>
      <c r="C9586">
        <v>47166</v>
      </c>
      <c r="D9586" t="str">
        <f>"47166"</f>
        <v>47166</v>
      </c>
      <c r="E9586">
        <v>72.06</v>
      </c>
    </row>
    <row r="9587" spans="1:5" x14ac:dyDescent="0.2">
      <c r="A9587">
        <v>47167</v>
      </c>
      <c r="B9587" t="s">
        <v>21</v>
      </c>
      <c r="C9587">
        <v>47167</v>
      </c>
      <c r="D9587" t="str">
        <f>"47167"</f>
        <v>47167</v>
      </c>
      <c r="E9587">
        <v>67.150000000000006</v>
      </c>
    </row>
    <row r="9588" spans="1:5" x14ac:dyDescent="0.2">
      <c r="A9588">
        <v>47170</v>
      </c>
      <c r="B9588" t="s">
        <v>21</v>
      </c>
      <c r="C9588">
        <v>47170</v>
      </c>
      <c r="D9588" t="str">
        <f>"47170"</f>
        <v>47170</v>
      </c>
      <c r="E9588">
        <v>69.14</v>
      </c>
    </row>
    <row r="9589" spans="1:5" x14ac:dyDescent="0.2">
      <c r="A9589">
        <v>47172</v>
      </c>
      <c r="B9589" t="s">
        <v>21</v>
      </c>
      <c r="C9589">
        <v>47172</v>
      </c>
      <c r="D9589" t="str">
        <f>"47172"</f>
        <v>47172</v>
      </c>
      <c r="E9589">
        <v>76.77</v>
      </c>
    </row>
    <row r="9590" spans="1:5" x14ac:dyDescent="0.2">
      <c r="A9590">
        <v>47174</v>
      </c>
      <c r="B9590" t="s">
        <v>21</v>
      </c>
      <c r="C9590">
        <v>47174</v>
      </c>
      <c r="D9590" t="str">
        <f>"47174"</f>
        <v>47174</v>
      </c>
      <c r="E9590" t="s">
        <v>6</v>
      </c>
    </row>
    <row r="9591" spans="1:5" x14ac:dyDescent="0.2">
      <c r="A9591">
        <v>47175</v>
      </c>
      <c r="B9591" t="s">
        <v>21</v>
      </c>
      <c r="C9591">
        <v>47175</v>
      </c>
      <c r="D9591" t="str">
        <f>"47175"</f>
        <v>47175</v>
      </c>
      <c r="E9591">
        <v>71.05</v>
      </c>
    </row>
    <row r="9592" spans="1:5" x14ac:dyDescent="0.2">
      <c r="A9592">
        <v>47177</v>
      </c>
      <c r="B9592" t="s">
        <v>21</v>
      </c>
      <c r="C9592">
        <v>47177</v>
      </c>
      <c r="D9592" t="str">
        <f>"47177"</f>
        <v>47177</v>
      </c>
      <c r="E9592">
        <v>74.14</v>
      </c>
    </row>
    <row r="9593" spans="1:5" x14ac:dyDescent="0.2">
      <c r="A9593">
        <v>47201</v>
      </c>
      <c r="B9593" t="s">
        <v>21</v>
      </c>
      <c r="C9593">
        <v>47201</v>
      </c>
      <c r="D9593" t="str">
        <f>"47201"</f>
        <v>47201</v>
      </c>
      <c r="E9593">
        <v>72.680000000000007</v>
      </c>
    </row>
    <row r="9594" spans="1:5" x14ac:dyDescent="0.2">
      <c r="A9594">
        <v>47203</v>
      </c>
      <c r="B9594" t="s">
        <v>21</v>
      </c>
      <c r="C9594">
        <v>47203</v>
      </c>
      <c r="D9594" t="str">
        <f>"47203"</f>
        <v>47203</v>
      </c>
      <c r="E9594">
        <v>73.72</v>
      </c>
    </row>
    <row r="9595" spans="1:5" x14ac:dyDescent="0.2">
      <c r="A9595">
        <v>47220</v>
      </c>
      <c r="B9595" t="s">
        <v>21</v>
      </c>
      <c r="C9595">
        <v>47220</v>
      </c>
      <c r="D9595" t="str">
        <f>"47220"</f>
        <v>47220</v>
      </c>
      <c r="E9595">
        <v>69.48</v>
      </c>
    </row>
    <row r="9596" spans="1:5" x14ac:dyDescent="0.2">
      <c r="A9596">
        <v>47223</v>
      </c>
      <c r="B9596" t="s">
        <v>21</v>
      </c>
      <c r="C9596">
        <v>47223</v>
      </c>
      <c r="D9596" t="str">
        <f>"47223"</f>
        <v>47223</v>
      </c>
      <c r="E9596">
        <v>66.67</v>
      </c>
    </row>
    <row r="9597" spans="1:5" x14ac:dyDescent="0.2">
      <c r="A9597">
        <v>47224</v>
      </c>
      <c r="B9597" t="s">
        <v>21</v>
      </c>
      <c r="C9597">
        <v>47224</v>
      </c>
      <c r="D9597" t="str">
        <f>"47224"</f>
        <v>47224</v>
      </c>
      <c r="E9597">
        <v>60</v>
      </c>
    </row>
    <row r="9598" spans="1:5" x14ac:dyDescent="0.2">
      <c r="A9598">
        <v>47226</v>
      </c>
      <c r="B9598" t="s">
        <v>21</v>
      </c>
      <c r="C9598">
        <v>47226</v>
      </c>
      <c r="D9598" t="str">
        <f>"47226"</f>
        <v>47226</v>
      </c>
      <c r="E9598" t="s">
        <v>6</v>
      </c>
    </row>
    <row r="9599" spans="1:5" x14ac:dyDescent="0.2">
      <c r="A9599">
        <v>47227</v>
      </c>
      <c r="B9599" t="s">
        <v>21</v>
      </c>
      <c r="C9599">
        <v>47227</v>
      </c>
      <c r="D9599" t="str">
        <f>"47227"</f>
        <v>47227</v>
      </c>
      <c r="E9599">
        <v>73.61</v>
      </c>
    </row>
    <row r="9600" spans="1:5" x14ac:dyDescent="0.2">
      <c r="A9600">
        <v>47229</v>
      </c>
      <c r="B9600" t="s">
        <v>21</v>
      </c>
      <c r="C9600">
        <v>47229</v>
      </c>
      <c r="D9600" t="str">
        <f>"47229"</f>
        <v>47229</v>
      </c>
      <c r="E9600">
        <v>67.59</v>
      </c>
    </row>
    <row r="9601" spans="1:5" x14ac:dyDescent="0.2">
      <c r="A9601">
        <v>47230</v>
      </c>
      <c r="B9601" t="s">
        <v>21</v>
      </c>
      <c r="C9601">
        <v>47230</v>
      </c>
      <c r="D9601" t="str">
        <f>"47230"</f>
        <v>47230</v>
      </c>
      <c r="E9601">
        <v>72.22</v>
      </c>
    </row>
    <row r="9602" spans="1:5" x14ac:dyDescent="0.2">
      <c r="A9602">
        <v>47231</v>
      </c>
      <c r="B9602" t="s">
        <v>21</v>
      </c>
      <c r="C9602">
        <v>47231</v>
      </c>
      <c r="D9602" t="str">
        <f>"47231"</f>
        <v>47231</v>
      </c>
      <c r="E9602">
        <v>64.709999999999994</v>
      </c>
    </row>
    <row r="9603" spans="1:5" x14ac:dyDescent="0.2">
      <c r="A9603">
        <v>47232</v>
      </c>
      <c r="B9603" t="s">
        <v>21</v>
      </c>
      <c r="C9603">
        <v>47232</v>
      </c>
      <c r="D9603" t="str">
        <f>"47232"</f>
        <v>47232</v>
      </c>
      <c r="E9603">
        <v>71.900000000000006</v>
      </c>
    </row>
    <row r="9604" spans="1:5" x14ac:dyDescent="0.2">
      <c r="A9604">
        <v>47234</v>
      </c>
      <c r="B9604" t="s">
        <v>21</v>
      </c>
      <c r="C9604">
        <v>47234</v>
      </c>
      <c r="D9604" t="str">
        <f>"47234"</f>
        <v>47234</v>
      </c>
      <c r="E9604">
        <v>72.86</v>
      </c>
    </row>
    <row r="9605" spans="1:5" x14ac:dyDescent="0.2">
      <c r="A9605">
        <v>47235</v>
      </c>
      <c r="B9605" t="s">
        <v>21</v>
      </c>
      <c r="C9605">
        <v>47235</v>
      </c>
      <c r="D9605" t="str">
        <f>"47235"</f>
        <v>47235</v>
      </c>
      <c r="E9605">
        <v>71.760000000000005</v>
      </c>
    </row>
    <row r="9606" spans="1:5" x14ac:dyDescent="0.2">
      <c r="A9606">
        <v>47236</v>
      </c>
      <c r="B9606" t="s">
        <v>21</v>
      </c>
      <c r="C9606">
        <v>47236</v>
      </c>
      <c r="D9606" t="str">
        <f>"47236"</f>
        <v>47236</v>
      </c>
      <c r="E9606" t="s">
        <v>6</v>
      </c>
    </row>
    <row r="9607" spans="1:5" x14ac:dyDescent="0.2">
      <c r="A9607">
        <v>47240</v>
      </c>
      <c r="B9607" t="s">
        <v>21</v>
      </c>
      <c r="C9607">
        <v>47240</v>
      </c>
      <c r="D9607" t="str">
        <f>"47240"</f>
        <v>47240</v>
      </c>
      <c r="E9607">
        <v>71.22</v>
      </c>
    </row>
    <row r="9608" spans="1:5" x14ac:dyDescent="0.2">
      <c r="A9608">
        <v>47243</v>
      </c>
      <c r="B9608" t="s">
        <v>21</v>
      </c>
      <c r="C9608">
        <v>47243</v>
      </c>
      <c r="D9608" t="str">
        <f>"47243"</f>
        <v>47243</v>
      </c>
      <c r="E9608">
        <v>68.67</v>
      </c>
    </row>
    <row r="9609" spans="1:5" x14ac:dyDescent="0.2">
      <c r="A9609">
        <v>47244</v>
      </c>
      <c r="B9609" t="s">
        <v>21</v>
      </c>
      <c r="C9609">
        <v>47244</v>
      </c>
      <c r="D9609" t="str">
        <f>"47244"</f>
        <v>47244</v>
      </c>
      <c r="E9609">
        <v>70.59</v>
      </c>
    </row>
    <row r="9610" spans="1:5" x14ac:dyDescent="0.2">
      <c r="A9610">
        <v>47246</v>
      </c>
      <c r="B9610" t="s">
        <v>21</v>
      </c>
      <c r="C9610">
        <v>47246</v>
      </c>
      <c r="D9610" t="str">
        <f>"47246"</f>
        <v>47246</v>
      </c>
      <c r="E9610">
        <v>70.77</v>
      </c>
    </row>
    <row r="9611" spans="1:5" x14ac:dyDescent="0.2">
      <c r="A9611">
        <v>47247</v>
      </c>
      <c r="B9611" t="s">
        <v>21</v>
      </c>
      <c r="C9611">
        <v>47247</v>
      </c>
      <c r="D9611" t="str">
        <f>"47247"</f>
        <v>47247</v>
      </c>
      <c r="E9611" t="s">
        <v>6</v>
      </c>
    </row>
    <row r="9612" spans="1:5" x14ac:dyDescent="0.2">
      <c r="A9612">
        <v>47250</v>
      </c>
      <c r="B9612" t="s">
        <v>21</v>
      </c>
      <c r="C9612">
        <v>47250</v>
      </c>
      <c r="D9612" t="str">
        <f>"47250"</f>
        <v>47250</v>
      </c>
      <c r="E9612">
        <v>69.760000000000005</v>
      </c>
    </row>
    <row r="9613" spans="1:5" x14ac:dyDescent="0.2">
      <c r="A9613">
        <v>47260</v>
      </c>
      <c r="B9613" t="s">
        <v>21</v>
      </c>
      <c r="C9613">
        <v>47260</v>
      </c>
      <c r="D9613" t="str">
        <f>"47260"</f>
        <v>47260</v>
      </c>
      <c r="E9613">
        <v>67.069999999999993</v>
      </c>
    </row>
    <row r="9614" spans="1:5" x14ac:dyDescent="0.2">
      <c r="A9614">
        <v>47263</v>
      </c>
      <c r="B9614" t="s">
        <v>21</v>
      </c>
      <c r="C9614">
        <v>47263</v>
      </c>
      <c r="D9614" t="str">
        <f>"47263"</f>
        <v>47263</v>
      </c>
      <c r="E9614" t="s">
        <v>6</v>
      </c>
    </row>
    <row r="9615" spans="1:5" x14ac:dyDescent="0.2">
      <c r="A9615">
        <v>47264</v>
      </c>
      <c r="B9615" t="s">
        <v>21</v>
      </c>
      <c r="C9615">
        <v>47264</v>
      </c>
      <c r="D9615" t="str">
        <f>"47264"</f>
        <v>47264</v>
      </c>
      <c r="E9615">
        <v>67.8</v>
      </c>
    </row>
    <row r="9616" spans="1:5" x14ac:dyDescent="0.2">
      <c r="A9616">
        <v>47265</v>
      </c>
      <c r="B9616" t="s">
        <v>21</v>
      </c>
      <c r="C9616">
        <v>47265</v>
      </c>
      <c r="D9616" t="str">
        <f>"47265"</f>
        <v>47265</v>
      </c>
      <c r="E9616">
        <v>64.52</v>
      </c>
    </row>
    <row r="9617" spans="1:5" x14ac:dyDescent="0.2">
      <c r="A9617">
        <v>47270</v>
      </c>
      <c r="B9617" t="s">
        <v>21</v>
      </c>
      <c r="C9617">
        <v>47270</v>
      </c>
      <c r="D9617" t="str">
        <f>"47270"</f>
        <v>47270</v>
      </c>
      <c r="E9617">
        <v>67.650000000000006</v>
      </c>
    </row>
    <row r="9618" spans="1:5" x14ac:dyDescent="0.2">
      <c r="A9618">
        <v>47272</v>
      </c>
      <c r="B9618" t="s">
        <v>21</v>
      </c>
      <c r="C9618">
        <v>47272</v>
      </c>
      <c r="D9618" t="str">
        <f>"47272"</f>
        <v>47272</v>
      </c>
      <c r="E9618">
        <v>65.22</v>
      </c>
    </row>
    <row r="9619" spans="1:5" x14ac:dyDescent="0.2">
      <c r="A9619">
        <v>47273</v>
      </c>
      <c r="B9619" t="s">
        <v>21</v>
      </c>
      <c r="C9619">
        <v>47273</v>
      </c>
      <c r="D9619" t="str">
        <f>"47273"</f>
        <v>47273</v>
      </c>
      <c r="E9619">
        <v>73.33</v>
      </c>
    </row>
    <row r="9620" spans="1:5" x14ac:dyDescent="0.2">
      <c r="A9620">
        <v>47274</v>
      </c>
      <c r="B9620" t="s">
        <v>21</v>
      </c>
      <c r="C9620">
        <v>47274</v>
      </c>
      <c r="D9620" t="str">
        <f>"47274"</f>
        <v>47274</v>
      </c>
      <c r="E9620">
        <v>68.87</v>
      </c>
    </row>
    <row r="9621" spans="1:5" x14ac:dyDescent="0.2">
      <c r="A9621">
        <v>47280</v>
      </c>
      <c r="B9621" t="s">
        <v>21</v>
      </c>
      <c r="C9621">
        <v>47280</v>
      </c>
      <c r="D9621" t="str">
        <f>"47280"</f>
        <v>47280</v>
      </c>
      <c r="E9621" t="s">
        <v>6</v>
      </c>
    </row>
    <row r="9622" spans="1:5" x14ac:dyDescent="0.2">
      <c r="A9622">
        <v>47281</v>
      </c>
      <c r="B9622" t="s">
        <v>21</v>
      </c>
      <c r="C9622">
        <v>47281</v>
      </c>
      <c r="D9622" t="str">
        <f>"47281"</f>
        <v>47281</v>
      </c>
      <c r="E9622">
        <v>74.650000000000006</v>
      </c>
    </row>
    <row r="9623" spans="1:5" x14ac:dyDescent="0.2">
      <c r="A9623">
        <v>47282</v>
      </c>
      <c r="B9623" t="s">
        <v>21</v>
      </c>
      <c r="C9623">
        <v>47282</v>
      </c>
      <c r="D9623" t="str">
        <f>"47282"</f>
        <v>47282</v>
      </c>
      <c r="E9623" t="s">
        <v>6</v>
      </c>
    </row>
    <row r="9624" spans="1:5" x14ac:dyDescent="0.2">
      <c r="A9624">
        <v>47283</v>
      </c>
      <c r="B9624" t="s">
        <v>21</v>
      </c>
      <c r="C9624">
        <v>47283</v>
      </c>
      <c r="D9624" t="str">
        <f>"47283"</f>
        <v>47283</v>
      </c>
      <c r="E9624">
        <v>68.900000000000006</v>
      </c>
    </row>
    <row r="9625" spans="1:5" x14ac:dyDescent="0.2">
      <c r="A9625">
        <v>47302</v>
      </c>
      <c r="B9625" t="s">
        <v>21</v>
      </c>
      <c r="C9625">
        <v>47302</v>
      </c>
      <c r="D9625" t="str">
        <f>"47302"</f>
        <v>47302</v>
      </c>
      <c r="E9625">
        <v>58.61</v>
      </c>
    </row>
    <row r="9626" spans="1:5" x14ac:dyDescent="0.2">
      <c r="A9626">
        <v>47303</v>
      </c>
      <c r="B9626" t="s">
        <v>21</v>
      </c>
      <c r="C9626">
        <v>47303</v>
      </c>
      <c r="D9626" t="str">
        <f>"47303"</f>
        <v>47303</v>
      </c>
      <c r="E9626">
        <v>63.3</v>
      </c>
    </row>
    <row r="9627" spans="1:5" x14ac:dyDescent="0.2">
      <c r="A9627">
        <v>47304</v>
      </c>
      <c r="B9627" t="s">
        <v>21</v>
      </c>
      <c r="C9627">
        <v>47304</v>
      </c>
      <c r="D9627" t="str">
        <f>"47304"</f>
        <v>47304</v>
      </c>
      <c r="E9627">
        <v>73.36</v>
      </c>
    </row>
    <row r="9628" spans="1:5" x14ac:dyDescent="0.2">
      <c r="A9628">
        <v>47305</v>
      </c>
      <c r="B9628" t="s">
        <v>21</v>
      </c>
      <c r="C9628">
        <v>47305</v>
      </c>
      <c r="D9628" t="str">
        <f>"47305"</f>
        <v>47305</v>
      </c>
      <c r="E9628">
        <v>55.56</v>
      </c>
    </row>
    <row r="9629" spans="1:5" x14ac:dyDescent="0.2">
      <c r="A9629">
        <v>47306</v>
      </c>
      <c r="B9629" t="s">
        <v>21</v>
      </c>
      <c r="C9629">
        <v>47306</v>
      </c>
      <c r="D9629" t="str">
        <f>"47306"</f>
        <v>47306</v>
      </c>
      <c r="E9629" t="s">
        <v>6</v>
      </c>
    </row>
    <row r="9630" spans="1:5" x14ac:dyDescent="0.2">
      <c r="A9630">
        <v>47320</v>
      </c>
      <c r="B9630" t="s">
        <v>21</v>
      </c>
      <c r="C9630">
        <v>47320</v>
      </c>
      <c r="D9630" t="str">
        <f>"47320"</f>
        <v>47320</v>
      </c>
      <c r="E9630">
        <v>71.510000000000005</v>
      </c>
    </row>
    <row r="9631" spans="1:5" x14ac:dyDescent="0.2">
      <c r="A9631">
        <v>47324</v>
      </c>
      <c r="B9631" t="s">
        <v>21</v>
      </c>
      <c r="C9631">
        <v>47324</v>
      </c>
      <c r="D9631" t="str">
        <f>"47324"</f>
        <v>47324</v>
      </c>
      <c r="E9631" t="s">
        <v>6</v>
      </c>
    </row>
    <row r="9632" spans="1:5" x14ac:dyDescent="0.2">
      <c r="A9632">
        <v>47325</v>
      </c>
      <c r="B9632" t="s">
        <v>21</v>
      </c>
      <c r="C9632">
        <v>47325</v>
      </c>
      <c r="D9632" t="str">
        <f>"47325"</f>
        <v>47325</v>
      </c>
      <c r="E9632">
        <v>61.29</v>
      </c>
    </row>
    <row r="9633" spans="1:5" x14ac:dyDescent="0.2">
      <c r="A9633">
        <v>47326</v>
      </c>
      <c r="B9633" t="s">
        <v>21</v>
      </c>
      <c r="C9633">
        <v>47326</v>
      </c>
      <c r="D9633" t="str">
        <f>"47326"</f>
        <v>47326</v>
      </c>
      <c r="E9633">
        <v>58.97</v>
      </c>
    </row>
    <row r="9634" spans="1:5" x14ac:dyDescent="0.2">
      <c r="A9634">
        <v>47327</v>
      </c>
      <c r="B9634" t="s">
        <v>21</v>
      </c>
      <c r="C9634">
        <v>47327</v>
      </c>
      <c r="D9634" t="str">
        <f>"47327"</f>
        <v>47327</v>
      </c>
      <c r="E9634">
        <v>66.67</v>
      </c>
    </row>
    <row r="9635" spans="1:5" x14ac:dyDescent="0.2">
      <c r="A9635">
        <v>47330</v>
      </c>
      <c r="B9635" t="s">
        <v>21</v>
      </c>
      <c r="C9635">
        <v>47330</v>
      </c>
      <c r="D9635" t="str">
        <f>"47330"</f>
        <v>47330</v>
      </c>
      <c r="E9635">
        <v>69.349999999999994</v>
      </c>
    </row>
    <row r="9636" spans="1:5" x14ac:dyDescent="0.2">
      <c r="A9636">
        <v>47331</v>
      </c>
      <c r="B9636" t="s">
        <v>21</v>
      </c>
      <c r="C9636">
        <v>47331</v>
      </c>
      <c r="D9636" t="str">
        <f>"47331"</f>
        <v>47331</v>
      </c>
      <c r="E9636">
        <v>65.87</v>
      </c>
    </row>
    <row r="9637" spans="1:5" x14ac:dyDescent="0.2">
      <c r="A9637">
        <v>47334</v>
      </c>
      <c r="B9637" t="s">
        <v>21</v>
      </c>
      <c r="C9637">
        <v>47334</v>
      </c>
      <c r="D9637" t="str">
        <f>"47334"</f>
        <v>47334</v>
      </c>
      <c r="E9637">
        <v>71.61</v>
      </c>
    </row>
    <row r="9638" spans="1:5" x14ac:dyDescent="0.2">
      <c r="A9638">
        <v>47336</v>
      </c>
      <c r="B9638" t="s">
        <v>21</v>
      </c>
      <c r="C9638">
        <v>47336</v>
      </c>
      <c r="D9638" t="str">
        <f>"47336"</f>
        <v>47336</v>
      </c>
      <c r="E9638">
        <v>64.56</v>
      </c>
    </row>
    <row r="9639" spans="1:5" x14ac:dyDescent="0.2">
      <c r="A9639">
        <v>47337</v>
      </c>
      <c r="B9639" t="s">
        <v>21</v>
      </c>
      <c r="C9639">
        <v>47337</v>
      </c>
      <c r="D9639" t="str">
        <f>"47337"</f>
        <v>47337</v>
      </c>
      <c r="E9639" t="s">
        <v>6</v>
      </c>
    </row>
    <row r="9640" spans="1:5" x14ac:dyDescent="0.2">
      <c r="A9640">
        <v>47338</v>
      </c>
      <c r="B9640" t="s">
        <v>21</v>
      </c>
      <c r="C9640">
        <v>47338</v>
      </c>
      <c r="D9640" t="str">
        <f>"47338"</f>
        <v>47338</v>
      </c>
      <c r="E9640">
        <v>68</v>
      </c>
    </row>
    <row r="9641" spans="1:5" x14ac:dyDescent="0.2">
      <c r="A9641">
        <v>47339</v>
      </c>
      <c r="B9641" t="s">
        <v>21</v>
      </c>
      <c r="C9641">
        <v>47339</v>
      </c>
      <c r="D9641" t="str">
        <f>"47339"</f>
        <v>47339</v>
      </c>
      <c r="E9641">
        <v>72.41</v>
      </c>
    </row>
    <row r="9642" spans="1:5" x14ac:dyDescent="0.2">
      <c r="A9642">
        <v>47340</v>
      </c>
      <c r="B9642" t="s">
        <v>21</v>
      </c>
      <c r="C9642">
        <v>47340</v>
      </c>
      <c r="D9642" t="str">
        <f>"47340"</f>
        <v>47340</v>
      </c>
      <c r="E9642">
        <v>67.16</v>
      </c>
    </row>
    <row r="9643" spans="1:5" x14ac:dyDescent="0.2">
      <c r="A9643">
        <v>47341</v>
      </c>
      <c r="B9643" t="s">
        <v>21</v>
      </c>
      <c r="C9643">
        <v>47341</v>
      </c>
      <c r="D9643" t="str">
        <f>"47341"</f>
        <v>47341</v>
      </c>
      <c r="E9643">
        <v>67.010000000000005</v>
      </c>
    </row>
    <row r="9644" spans="1:5" x14ac:dyDescent="0.2">
      <c r="A9644">
        <v>47342</v>
      </c>
      <c r="B9644" t="s">
        <v>21</v>
      </c>
      <c r="C9644">
        <v>47342</v>
      </c>
      <c r="D9644" t="str">
        <f>"47342"</f>
        <v>47342</v>
      </c>
      <c r="E9644">
        <v>68.55</v>
      </c>
    </row>
    <row r="9645" spans="1:5" x14ac:dyDescent="0.2">
      <c r="A9645">
        <v>47344</v>
      </c>
      <c r="B9645" t="s">
        <v>21</v>
      </c>
      <c r="C9645">
        <v>47344</v>
      </c>
      <c r="D9645" t="str">
        <f>"47344"</f>
        <v>47344</v>
      </c>
      <c r="E9645" t="s">
        <v>6</v>
      </c>
    </row>
    <row r="9646" spans="1:5" x14ac:dyDescent="0.2">
      <c r="A9646">
        <v>47345</v>
      </c>
      <c r="B9646" t="s">
        <v>21</v>
      </c>
      <c r="C9646">
        <v>47345</v>
      </c>
      <c r="D9646" t="str">
        <f>"47345"</f>
        <v>47345</v>
      </c>
      <c r="E9646">
        <v>69.349999999999994</v>
      </c>
    </row>
    <row r="9647" spans="1:5" x14ac:dyDescent="0.2">
      <c r="A9647">
        <v>47346</v>
      </c>
      <c r="B9647" t="s">
        <v>21</v>
      </c>
      <c r="C9647">
        <v>47346</v>
      </c>
      <c r="D9647" t="str">
        <f>"47346"</f>
        <v>47346</v>
      </c>
      <c r="E9647">
        <v>69.569999999999993</v>
      </c>
    </row>
    <row r="9648" spans="1:5" x14ac:dyDescent="0.2">
      <c r="A9648">
        <v>47348</v>
      </c>
      <c r="B9648" t="s">
        <v>21</v>
      </c>
      <c r="C9648">
        <v>47348</v>
      </c>
      <c r="D9648" t="str">
        <f>"47348"</f>
        <v>47348</v>
      </c>
      <c r="E9648">
        <v>66.819999999999993</v>
      </c>
    </row>
    <row r="9649" spans="1:5" x14ac:dyDescent="0.2">
      <c r="A9649">
        <v>47351</v>
      </c>
      <c r="B9649" t="s">
        <v>21</v>
      </c>
      <c r="C9649">
        <v>47351</v>
      </c>
      <c r="D9649" t="str">
        <f>"47351"</f>
        <v>47351</v>
      </c>
      <c r="E9649" t="s">
        <v>6</v>
      </c>
    </row>
    <row r="9650" spans="1:5" x14ac:dyDescent="0.2">
      <c r="A9650">
        <v>47352</v>
      </c>
      <c r="B9650" t="s">
        <v>21</v>
      </c>
      <c r="C9650">
        <v>47352</v>
      </c>
      <c r="D9650" t="str">
        <f>"47352"</f>
        <v>47352</v>
      </c>
      <c r="E9650">
        <v>70.45</v>
      </c>
    </row>
    <row r="9651" spans="1:5" x14ac:dyDescent="0.2">
      <c r="A9651">
        <v>47353</v>
      </c>
      <c r="B9651" t="s">
        <v>21</v>
      </c>
      <c r="C9651">
        <v>47353</v>
      </c>
      <c r="D9651" t="str">
        <f>"47353"</f>
        <v>47353</v>
      </c>
      <c r="E9651">
        <v>70.900000000000006</v>
      </c>
    </row>
    <row r="9652" spans="1:5" x14ac:dyDescent="0.2">
      <c r="A9652">
        <v>47354</v>
      </c>
      <c r="B9652" t="s">
        <v>21</v>
      </c>
      <c r="C9652">
        <v>47354</v>
      </c>
      <c r="D9652" t="str">
        <f>"47354"</f>
        <v>47354</v>
      </c>
      <c r="E9652">
        <v>67.31</v>
      </c>
    </row>
    <row r="9653" spans="1:5" x14ac:dyDescent="0.2">
      <c r="A9653">
        <v>47355</v>
      </c>
      <c r="B9653" t="s">
        <v>21</v>
      </c>
      <c r="C9653">
        <v>47355</v>
      </c>
      <c r="D9653" t="str">
        <f>"47355"</f>
        <v>47355</v>
      </c>
      <c r="E9653">
        <v>66.67</v>
      </c>
    </row>
    <row r="9654" spans="1:5" x14ac:dyDescent="0.2">
      <c r="A9654">
        <v>47356</v>
      </c>
      <c r="B9654" t="s">
        <v>21</v>
      </c>
      <c r="C9654">
        <v>47356</v>
      </c>
      <c r="D9654" t="str">
        <f>"47356"</f>
        <v>47356</v>
      </c>
      <c r="E9654">
        <v>72.459999999999994</v>
      </c>
    </row>
    <row r="9655" spans="1:5" x14ac:dyDescent="0.2">
      <c r="A9655">
        <v>47357</v>
      </c>
      <c r="B9655" t="s">
        <v>21</v>
      </c>
      <c r="C9655">
        <v>47357</v>
      </c>
      <c r="D9655" t="str">
        <f>"47357"</f>
        <v>47357</v>
      </c>
      <c r="E9655">
        <v>74.55</v>
      </c>
    </row>
    <row r="9656" spans="1:5" x14ac:dyDescent="0.2">
      <c r="A9656">
        <v>47358</v>
      </c>
      <c r="B9656" t="s">
        <v>21</v>
      </c>
      <c r="C9656">
        <v>47358</v>
      </c>
      <c r="D9656" t="str">
        <f>"47358"</f>
        <v>47358</v>
      </c>
      <c r="E9656">
        <v>69.77</v>
      </c>
    </row>
    <row r="9657" spans="1:5" x14ac:dyDescent="0.2">
      <c r="A9657">
        <v>47359</v>
      </c>
      <c r="B9657" t="s">
        <v>21</v>
      </c>
      <c r="C9657">
        <v>47359</v>
      </c>
      <c r="D9657" t="str">
        <f>"47359"</f>
        <v>47359</v>
      </c>
      <c r="E9657">
        <v>67.41</v>
      </c>
    </row>
    <row r="9658" spans="1:5" x14ac:dyDescent="0.2">
      <c r="A9658">
        <v>47360</v>
      </c>
      <c r="B9658" t="s">
        <v>21</v>
      </c>
      <c r="C9658">
        <v>47360</v>
      </c>
      <c r="D9658" t="str">
        <f>"47360"</f>
        <v>47360</v>
      </c>
      <c r="E9658">
        <v>68.569999999999993</v>
      </c>
    </row>
    <row r="9659" spans="1:5" x14ac:dyDescent="0.2">
      <c r="A9659">
        <v>47361</v>
      </c>
      <c r="B9659" t="s">
        <v>21</v>
      </c>
      <c r="C9659">
        <v>47361</v>
      </c>
      <c r="D9659" t="str">
        <f>"47361"</f>
        <v>47361</v>
      </c>
      <c r="E9659" t="s">
        <v>6</v>
      </c>
    </row>
    <row r="9660" spans="1:5" x14ac:dyDescent="0.2">
      <c r="A9660">
        <v>47362</v>
      </c>
      <c r="B9660" t="s">
        <v>21</v>
      </c>
      <c r="C9660">
        <v>47362</v>
      </c>
      <c r="D9660" t="str">
        <f>"47362"</f>
        <v>47362</v>
      </c>
      <c r="E9660">
        <v>67.209999999999994</v>
      </c>
    </row>
    <row r="9661" spans="1:5" x14ac:dyDescent="0.2">
      <c r="A9661">
        <v>47366</v>
      </c>
      <c r="B9661" t="s">
        <v>21</v>
      </c>
      <c r="C9661">
        <v>47366</v>
      </c>
      <c r="D9661" t="str">
        <f>"47366"</f>
        <v>47366</v>
      </c>
      <c r="E9661" t="s">
        <v>6</v>
      </c>
    </row>
    <row r="9662" spans="1:5" x14ac:dyDescent="0.2">
      <c r="A9662">
        <v>47367</v>
      </c>
      <c r="B9662" t="s">
        <v>21</v>
      </c>
      <c r="C9662">
        <v>47367</v>
      </c>
      <c r="D9662" t="str">
        <f>"47367"</f>
        <v>47367</v>
      </c>
      <c r="E9662" t="s">
        <v>6</v>
      </c>
    </row>
    <row r="9663" spans="1:5" x14ac:dyDescent="0.2">
      <c r="A9663">
        <v>47368</v>
      </c>
      <c r="B9663" t="s">
        <v>21</v>
      </c>
      <c r="C9663">
        <v>47368</v>
      </c>
      <c r="D9663" t="str">
        <f>"47368"</f>
        <v>47368</v>
      </c>
      <c r="E9663">
        <v>68.5</v>
      </c>
    </row>
    <row r="9664" spans="1:5" x14ac:dyDescent="0.2">
      <c r="A9664">
        <v>47369</v>
      </c>
      <c r="B9664" t="s">
        <v>21</v>
      </c>
      <c r="C9664">
        <v>47369</v>
      </c>
      <c r="D9664" t="str">
        <f>"47369"</f>
        <v>47369</v>
      </c>
      <c r="E9664">
        <v>63.64</v>
      </c>
    </row>
    <row r="9665" spans="1:5" x14ac:dyDescent="0.2">
      <c r="A9665">
        <v>47370</v>
      </c>
      <c r="B9665" t="s">
        <v>21</v>
      </c>
      <c r="C9665">
        <v>47370</v>
      </c>
      <c r="D9665" t="str">
        <f>"47370"</f>
        <v>47370</v>
      </c>
      <c r="E9665" t="s">
        <v>6</v>
      </c>
    </row>
    <row r="9666" spans="1:5" x14ac:dyDescent="0.2">
      <c r="A9666">
        <v>47371</v>
      </c>
      <c r="B9666" t="s">
        <v>21</v>
      </c>
      <c r="C9666">
        <v>47371</v>
      </c>
      <c r="D9666" t="str">
        <f>"47371"</f>
        <v>47371</v>
      </c>
      <c r="E9666">
        <v>64.48</v>
      </c>
    </row>
    <row r="9667" spans="1:5" x14ac:dyDescent="0.2">
      <c r="A9667">
        <v>47373</v>
      </c>
      <c r="B9667" t="s">
        <v>21</v>
      </c>
      <c r="C9667">
        <v>47373</v>
      </c>
      <c r="D9667" t="str">
        <f>"47373"</f>
        <v>47373</v>
      </c>
      <c r="E9667">
        <v>65.63</v>
      </c>
    </row>
    <row r="9668" spans="1:5" x14ac:dyDescent="0.2">
      <c r="A9668">
        <v>47374</v>
      </c>
      <c r="B9668" t="s">
        <v>21</v>
      </c>
      <c r="C9668">
        <v>47374</v>
      </c>
      <c r="D9668" t="str">
        <f>"47374"</f>
        <v>47374</v>
      </c>
      <c r="E9668">
        <v>64.099999999999994</v>
      </c>
    </row>
    <row r="9669" spans="1:5" x14ac:dyDescent="0.2">
      <c r="A9669">
        <v>47380</v>
      </c>
      <c r="B9669" t="s">
        <v>21</v>
      </c>
      <c r="C9669">
        <v>47380</v>
      </c>
      <c r="D9669" t="str">
        <f>"47380"</f>
        <v>47380</v>
      </c>
      <c r="E9669">
        <v>66.67</v>
      </c>
    </row>
    <row r="9670" spans="1:5" x14ac:dyDescent="0.2">
      <c r="A9670">
        <v>47381</v>
      </c>
      <c r="B9670" t="s">
        <v>21</v>
      </c>
      <c r="C9670">
        <v>47381</v>
      </c>
      <c r="D9670" t="str">
        <f>"47381"</f>
        <v>47381</v>
      </c>
      <c r="E9670" t="s">
        <v>6</v>
      </c>
    </row>
    <row r="9671" spans="1:5" x14ac:dyDescent="0.2">
      <c r="A9671">
        <v>47382</v>
      </c>
      <c r="B9671" t="s">
        <v>21</v>
      </c>
      <c r="C9671">
        <v>47382</v>
      </c>
      <c r="D9671" t="str">
        <f>"47382"</f>
        <v>47382</v>
      </c>
      <c r="E9671" t="s">
        <v>6</v>
      </c>
    </row>
    <row r="9672" spans="1:5" x14ac:dyDescent="0.2">
      <c r="A9672">
        <v>47383</v>
      </c>
      <c r="B9672" t="s">
        <v>21</v>
      </c>
      <c r="C9672">
        <v>47383</v>
      </c>
      <c r="D9672" t="str">
        <f>"47383"</f>
        <v>47383</v>
      </c>
      <c r="E9672">
        <v>72.930000000000007</v>
      </c>
    </row>
    <row r="9673" spans="1:5" x14ac:dyDescent="0.2">
      <c r="A9673">
        <v>47384</v>
      </c>
      <c r="B9673" t="s">
        <v>21</v>
      </c>
      <c r="C9673">
        <v>47384</v>
      </c>
      <c r="D9673" t="str">
        <f>"47384"</f>
        <v>47384</v>
      </c>
      <c r="E9673">
        <v>73.27</v>
      </c>
    </row>
    <row r="9674" spans="1:5" x14ac:dyDescent="0.2">
      <c r="A9674">
        <v>47385</v>
      </c>
      <c r="B9674" t="s">
        <v>21</v>
      </c>
      <c r="C9674">
        <v>47385</v>
      </c>
      <c r="D9674" t="str">
        <f>"47385"</f>
        <v>47385</v>
      </c>
      <c r="E9674">
        <v>74.03</v>
      </c>
    </row>
    <row r="9675" spans="1:5" x14ac:dyDescent="0.2">
      <c r="A9675">
        <v>47386</v>
      </c>
      <c r="B9675" t="s">
        <v>21</v>
      </c>
      <c r="C9675">
        <v>47386</v>
      </c>
      <c r="D9675" t="str">
        <f>"47386"</f>
        <v>47386</v>
      </c>
      <c r="E9675">
        <v>72.88</v>
      </c>
    </row>
    <row r="9676" spans="1:5" x14ac:dyDescent="0.2">
      <c r="A9676">
        <v>47387</v>
      </c>
      <c r="B9676" t="s">
        <v>21</v>
      </c>
      <c r="C9676">
        <v>47387</v>
      </c>
      <c r="D9676" t="str">
        <f>"47387"</f>
        <v>47387</v>
      </c>
      <c r="E9676">
        <v>71.88</v>
      </c>
    </row>
    <row r="9677" spans="1:5" x14ac:dyDescent="0.2">
      <c r="A9677">
        <v>47388</v>
      </c>
      <c r="B9677" t="s">
        <v>21</v>
      </c>
      <c r="C9677">
        <v>47388</v>
      </c>
      <c r="D9677" t="str">
        <f>"47388"</f>
        <v>47388</v>
      </c>
      <c r="E9677" t="s">
        <v>6</v>
      </c>
    </row>
    <row r="9678" spans="1:5" x14ac:dyDescent="0.2">
      <c r="A9678">
        <v>47390</v>
      </c>
      <c r="B9678" t="s">
        <v>21</v>
      </c>
      <c r="C9678">
        <v>47390</v>
      </c>
      <c r="D9678" t="str">
        <f>"47390"</f>
        <v>47390</v>
      </c>
      <c r="E9678">
        <v>60.54</v>
      </c>
    </row>
    <row r="9679" spans="1:5" x14ac:dyDescent="0.2">
      <c r="A9679">
        <v>47392</v>
      </c>
      <c r="B9679" t="s">
        <v>21</v>
      </c>
      <c r="C9679">
        <v>47392</v>
      </c>
      <c r="D9679" t="str">
        <f>"47392"</f>
        <v>47392</v>
      </c>
      <c r="E9679" t="s">
        <v>6</v>
      </c>
    </row>
    <row r="9680" spans="1:5" x14ac:dyDescent="0.2">
      <c r="A9680">
        <v>47393</v>
      </c>
      <c r="B9680" t="s">
        <v>21</v>
      </c>
      <c r="C9680">
        <v>47393</v>
      </c>
      <c r="D9680" t="str">
        <f>"47393"</f>
        <v>47393</v>
      </c>
      <c r="E9680">
        <v>63.64</v>
      </c>
    </row>
    <row r="9681" spans="1:5" x14ac:dyDescent="0.2">
      <c r="A9681">
        <v>47394</v>
      </c>
      <c r="B9681" t="s">
        <v>21</v>
      </c>
      <c r="C9681">
        <v>47394</v>
      </c>
      <c r="D9681" t="str">
        <f>"47394"</f>
        <v>47394</v>
      </c>
      <c r="E9681">
        <v>65.680000000000007</v>
      </c>
    </row>
    <row r="9682" spans="1:5" x14ac:dyDescent="0.2">
      <c r="A9682">
        <v>47396</v>
      </c>
      <c r="B9682" t="s">
        <v>21</v>
      </c>
      <c r="C9682">
        <v>47396</v>
      </c>
      <c r="D9682" t="str">
        <f>"47396"</f>
        <v>47396</v>
      </c>
      <c r="E9682">
        <v>74.069999999999993</v>
      </c>
    </row>
    <row r="9683" spans="1:5" x14ac:dyDescent="0.2">
      <c r="A9683">
        <v>47401</v>
      </c>
      <c r="B9683" t="s">
        <v>21</v>
      </c>
      <c r="C9683">
        <v>47401</v>
      </c>
      <c r="D9683" t="str">
        <f>"47401"</f>
        <v>47401</v>
      </c>
      <c r="E9683">
        <v>75.38</v>
      </c>
    </row>
    <row r="9684" spans="1:5" x14ac:dyDescent="0.2">
      <c r="A9684">
        <v>47403</v>
      </c>
      <c r="B9684" t="s">
        <v>21</v>
      </c>
      <c r="C9684">
        <v>47403</v>
      </c>
      <c r="D9684" t="str">
        <f>"47403"</f>
        <v>47403</v>
      </c>
      <c r="E9684">
        <v>71.790000000000006</v>
      </c>
    </row>
    <row r="9685" spans="1:5" x14ac:dyDescent="0.2">
      <c r="A9685">
        <v>47404</v>
      </c>
      <c r="B9685" t="s">
        <v>21</v>
      </c>
      <c r="C9685">
        <v>47404</v>
      </c>
      <c r="D9685" t="str">
        <f>"47404"</f>
        <v>47404</v>
      </c>
      <c r="E9685">
        <v>70.180000000000007</v>
      </c>
    </row>
    <row r="9686" spans="1:5" x14ac:dyDescent="0.2">
      <c r="A9686">
        <v>47405</v>
      </c>
      <c r="B9686" t="s">
        <v>21</v>
      </c>
      <c r="C9686">
        <v>47405</v>
      </c>
      <c r="D9686" t="str">
        <f>"47405"</f>
        <v>47405</v>
      </c>
      <c r="E9686" t="s">
        <v>6</v>
      </c>
    </row>
    <row r="9687" spans="1:5" x14ac:dyDescent="0.2">
      <c r="A9687">
        <v>47406</v>
      </c>
      <c r="B9687" t="s">
        <v>21</v>
      </c>
      <c r="C9687">
        <v>47406</v>
      </c>
      <c r="D9687" t="str">
        <f>"47406"</f>
        <v>47406</v>
      </c>
      <c r="E9687">
        <v>20</v>
      </c>
    </row>
    <row r="9688" spans="1:5" x14ac:dyDescent="0.2">
      <c r="A9688">
        <v>47408</v>
      </c>
      <c r="B9688" t="s">
        <v>21</v>
      </c>
      <c r="C9688">
        <v>47408</v>
      </c>
      <c r="D9688" t="str">
        <f>"47408"</f>
        <v>47408</v>
      </c>
      <c r="E9688">
        <v>71.5</v>
      </c>
    </row>
    <row r="9689" spans="1:5" x14ac:dyDescent="0.2">
      <c r="A9689">
        <v>47420</v>
      </c>
      <c r="B9689" t="s">
        <v>21</v>
      </c>
      <c r="C9689">
        <v>47420</v>
      </c>
      <c r="D9689" t="str">
        <f>"47420"</f>
        <v>47420</v>
      </c>
      <c r="E9689" t="s">
        <v>6</v>
      </c>
    </row>
    <row r="9690" spans="1:5" x14ac:dyDescent="0.2">
      <c r="A9690">
        <v>47421</v>
      </c>
      <c r="B9690" t="s">
        <v>21</v>
      </c>
      <c r="C9690">
        <v>47421</v>
      </c>
      <c r="D9690" t="str">
        <f>"47421"</f>
        <v>47421</v>
      </c>
      <c r="E9690">
        <v>69.599999999999994</v>
      </c>
    </row>
    <row r="9691" spans="1:5" x14ac:dyDescent="0.2">
      <c r="A9691">
        <v>47424</v>
      </c>
      <c r="B9691" t="s">
        <v>21</v>
      </c>
      <c r="C9691">
        <v>47424</v>
      </c>
      <c r="D9691" t="str">
        <f>"47424"</f>
        <v>47424</v>
      </c>
      <c r="E9691">
        <v>71.19</v>
      </c>
    </row>
    <row r="9692" spans="1:5" x14ac:dyDescent="0.2">
      <c r="A9692">
        <v>47427</v>
      </c>
      <c r="B9692" t="s">
        <v>21</v>
      </c>
      <c r="C9692">
        <v>47427</v>
      </c>
      <c r="D9692" t="str">
        <f>"47427"</f>
        <v>47427</v>
      </c>
      <c r="E9692">
        <v>62.79</v>
      </c>
    </row>
    <row r="9693" spans="1:5" x14ac:dyDescent="0.2">
      <c r="A9693">
        <v>47429</v>
      </c>
      <c r="B9693" t="s">
        <v>21</v>
      </c>
      <c r="C9693">
        <v>47429</v>
      </c>
      <c r="D9693" t="str">
        <f>"47429"</f>
        <v>47429</v>
      </c>
      <c r="E9693">
        <v>72.97</v>
      </c>
    </row>
    <row r="9694" spans="1:5" x14ac:dyDescent="0.2">
      <c r="A9694">
        <v>47431</v>
      </c>
      <c r="B9694" t="s">
        <v>21</v>
      </c>
      <c r="C9694">
        <v>47431</v>
      </c>
      <c r="D9694" t="str">
        <f>"47431"</f>
        <v>47431</v>
      </c>
      <c r="E9694">
        <v>61.67</v>
      </c>
    </row>
    <row r="9695" spans="1:5" x14ac:dyDescent="0.2">
      <c r="A9695">
        <v>47432</v>
      </c>
      <c r="B9695" t="s">
        <v>21</v>
      </c>
      <c r="C9695">
        <v>47432</v>
      </c>
      <c r="D9695" t="str">
        <f>"47432"</f>
        <v>47432</v>
      </c>
      <c r="E9695">
        <v>67.739999999999995</v>
      </c>
    </row>
    <row r="9696" spans="1:5" x14ac:dyDescent="0.2">
      <c r="A9696">
        <v>47433</v>
      </c>
      <c r="B9696" t="s">
        <v>21</v>
      </c>
      <c r="C9696">
        <v>47433</v>
      </c>
      <c r="D9696" t="str">
        <f>"47433"</f>
        <v>47433</v>
      </c>
      <c r="E9696">
        <v>69.06</v>
      </c>
    </row>
    <row r="9697" spans="1:5" x14ac:dyDescent="0.2">
      <c r="A9697">
        <v>47434</v>
      </c>
      <c r="B9697" t="s">
        <v>21</v>
      </c>
      <c r="C9697">
        <v>47434</v>
      </c>
      <c r="D9697" t="str">
        <f>"47434"</f>
        <v>47434</v>
      </c>
      <c r="E9697" t="s">
        <v>6</v>
      </c>
    </row>
    <row r="9698" spans="1:5" x14ac:dyDescent="0.2">
      <c r="A9698">
        <v>47436</v>
      </c>
      <c r="B9698" t="s">
        <v>21</v>
      </c>
      <c r="C9698">
        <v>47436</v>
      </c>
      <c r="D9698" t="str">
        <f>"47436"</f>
        <v>47436</v>
      </c>
      <c r="E9698">
        <v>69.44</v>
      </c>
    </row>
    <row r="9699" spans="1:5" x14ac:dyDescent="0.2">
      <c r="A9699">
        <v>47437</v>
      </c>
      <c r="B9699" t="s">
        <v>21</v>
      </c>
      <c r="C9699">
        <v>47437</v>
      </c>
      <c r="D9699" t="str">
        <f>"47437"</f>
        <v>47437</v>
      </c>
      <c r="E9699" t="s">
        <v>6</v>
      </c>
    </row>
    <row r="9700" spans="1:5" x14ac:dyDescent="0.2">
      <c r="A9700">
        <v>47438</v>
      </c>
      <c r="B9700" t="s">
        <v>21</v>
      </c>
      <c r="C9700">
        <v>47438</v>
      </c>
      <c r="D9700" t="str">
        <f>"47438"</f>
        <v>47438</v>
      </c>
      <c r="E9700">
        <v>63.89</v>
      </c>
    </row>
    <row r="9701" spans="1:5" x14ac:dyDescent="0.2">
      <c r="A9701">
        <v>47441</v>
      </c>
      <c r="B9701" t="s">
        <v>21</v>
      </c>
      <c r="C9701">
        <v>47441</v>
      </c>
      <c r="D9701" t="str">
        <f>"47441"</f>
        <v>47441</v>
      </c>
      <c r="E9701">
        <v>67.569999999999993</v>
      </c>
    </row>
    <row r="9702" spans="1:5" x14ac:dyDescent="0.2">
      <c r="A9702">
        <v>47443</v>
      </c>
      <c r="B9702" t="s">
        <v>21</v>
      </c>
      <c r="C9702">
        <v>47443</v>
      </c>
      <c r="D9702" t="str">
        <f>"47443"</f>
        <v>47443</v>
      </c>
      <c r="E9702">
        <v>63.27</v>
      </c>
    </row>
    <row r="9703" spans="1:5" x14ac:dyDescent="0.2">
      <c r="A9703">
        <v>47446</v>
      </c>
      <c r="B9703" t="s">
        <v>21</v>
      </c>
      <c r="C9703">
        <v>47446</v>
      </c>
      <c r="D9703" t="str">
        <f>"47446"</f>
        <v>47446</v>
      </c>
      <c r="E9703">
        <v>66.36</v>
      </c>
    </row>
    <row r="9704" spans="1:5" x14ac:dyDescent="0.2">
      <c r="A9704">
        <v>47448</v>
      </c>
      <c r="B9704" t="s">
        <v>21</v>
      </c>
      <c r="C9704">
        <v>47448</v>
      </c>
      <c r="D9704" t="str">
        <f>"47448"</f>
        <v>47448</v>
      </c>
      <c r="E9704">
        <v>69.64</v>
      </c>
    </row>
    <row r="9705" spans="1:5" x14ac:dyDescent="0.2">
      <c r="A9705">
        <v>47449</v>
      </c>
      <c r="B9705" t="s">
        <v>21</v>
      </c>
      <c r="C9705">
        <v>47449</v>
      </c>
      <c r="D9705" t="str">
        <f>"47449"</f>
        <v>47449</v>
      </c>
      <c r="E9705">
        <v>73.91</v>
      </c>
    </row>
    <row r="9706" spans="1:5" x14ac:dyDescent="0.2">
      <c r="A9706">
        <v>47451</v>
      </c>
      <c r="B9706" t="s">
        <v>21</v>
      </c>
      <c r="C9706">
        <v>47451</v>
      </c>
      <c r="D9706" t="str">
        <f>"47451"</f>
        <v>47451</v>
      </c>
      <c r="E9706">
        <v>64.52</v>
      </c>
    </row>
    <row r="9707" spans="1:5" x14ac:dyDescent="0.2">
      <c r="A9707">
        <v>47452</v>
      </c>
      <c r="B9707" t="s">
        <v>21</v>
      </c>
      <c r="C9707">
        <v>47452</v>
      </c>
      <c r="D9707" t="str">
        <f>"47452"</f>
        <v>47452</v>
      </c>
      <c r="E9707">
        <v>65.09</v>
      </c>
    </row>
    <row r="9708" spans="1:5" x14ac:dyDescent="0.2">
      <c r="A9708">
        <v>47453</v>
      </c>
      <c r="B9708" t="s">
        <v>21</v>
      </c>
      <c r="C9708">
        <v>47453</v>
      </c>
      <c r="D9708" t="str">
        <f>"47453"</f>
        <v>47453</v>
      </c>
      <c r="E9708">
        <v>76.47</v>
      </c>
    </row>
    <row r="9709" spans="1:5" x14ac:dyDescent="0.2">
      <c r="A9709">
        <v>47454</v>
      </c>
      <c r="B9709" t="s">
        <v>21</v>
      </c>
      <c r="C9709">
        <v>47454</v>
      </c>
      <c r="D9709" t="str">
        <f>"47454"</f>
        <v>47454</v>
      </c>
      <c r="E9709">
        <v>63.72</v>
      </c>
    </row>
    <row r="9710" spans="1:5" x14ac:dyDescent="0.2">
      <c r="A9710">
        <v>47455</v>
      </c>
      <c r="B9710" t="s">
        <v>21</v>
      </c>
      <c r="C9710">
        <v>47455</v>
      </c>
      <c r="D9710" t="str">
        <f>"47455"</f>
        <v>47455</v>
      </c>
      <c r="E9710" t="s">
        <v>6</v>
      </c>
    </row>
    <row r="9711" spans="1:5" x14ac:dyDescent="0.2">
      <c r="A9711">
        <v>47456</v>
      </c>
      <c r="B9711" t="s">
        <v>21</v>
      </c>
      <c r="C9711">
        <v>47456</v>
      </c>
      <c r="D9711" t="str">
        <f>"47456"</f>
        <v>47456</v>
      </c>
      <c r="E9711">
        <v>70.180000000000007</v>
      </c>
    </row>
    <row r="9712" spans="1:5" x14ac:dyDescent="0.2">
      <c r="A9712">
        <v>47459</v>
      </c>
      <c r="B9712" t="s">
        <v>21</v>
      </c>
      <c r="C9712">
        <v>47459</v>
      </c>
      <c r="D9712" t="str">
        <f>"47459"</f>
        <v>47459</v>
      </c>
      <c r="E9712">
        <v>73.290000000000006</v>
      </c>
    </row>
    <row r="9713" spans="1:5" x14ac:dyDescent="0.2">
      <c r="A9713">
        <v>47460</v>
      </c>
      <c r="B9713" t="s">
        <v>21</v>
      </c>
      <c r="C9713">
        <v>47460</v>
      </c>
      <c r="D9713" t="str">
        <f>"47460"</f>
        <v>47460</v>
      </c>
      <c r="E9713">
        <v>69.72</v>
      </c>
    </row>
    <row r="9714" spans="1:5" x14ac:dyDescent="0.2">
      <c r="A9714">
        <v>47462</v>
      </c>
      <c r="B9714" t="s">
        <v>21</v>
      </c>
      <c r="C9714">
        <v>47462</v>
      </c>
      <c r="D9714" t="str">
        <f>"47462"</f>
        <v>47462</v>
      </c>
      <c r="E9714">
        <v>72.48</v>
      </c>
    </row>
    <row r="9715" spans="1:5" x14ac:dyDescent="0.2">
      <c r="A9715">
        <v>47464</v>
      </c>
      <c r="B9715" t="s">
        <v>21</v>
      </c>
      <c r="C9715">
        <v>47464</v>
      </c>
      <c r="D9715" t="str">
        <f>"47464"</f>
        <v>47464</v>
      </c>
      <c r="E9715" t="s">
        <v>6</v>
      </c>
    </row>
    <row r="9716" spans="1:5" x14ac:dyDescent="0.2">
      <c r="A9716">
        <v>47465</v>
      </c>
      <c r="B9716" t="s">
        <v>21</v>
      </c>
      <c r="C9716">
        <v>47465</v>
      </c>
      <c r="D9716" t="str">
        <f>"47465"</f>
        <v>47465</v>
      </c>
      <c r="E9716">
        <v>63.64</v>
      </c>
    </row>
    <row r="9717" spans="1:5" x14ac:dyDescent="0.2">
      <c r="A9717">
        <v>47467</v>
      </c>
      <c r="B9717" t="s">
        <v>21</v>
      </c>
      <c r="C9717">
        <v>47467</v>
      </c>
      <c r="D9717" t="str">
        <f>"47467"</f>
        <v>47467</v>
      </c>
      <c r="E9717" t="s">
        <v>6</v>
      </c>
    </row>
    <row r="9718" spans="1:5" x14ac:dyDescent="0.2">
      <c r="A9718">
        <v>47468</v>
      </c>
      <c r="B9718" t="s">
        <v>21</v>
      </c>
      <c r="C9718">
        <v>47468</v>
      </c>
      <c r="D9718" t="str">
        <f>"47468"</f>
        <v>47468</v>
      </c>
      <c r="E9718">
        <v>72.06</v>
      </c>
    </row>
    <row r="9719" spans="1:5" x14ac:dyDescent="0.2">
      <c r="A9719">
        <v>47469</v>
      </c>
      <c r="B9719" t="s">
        <v>21</v>
      </c>
      <c r="C9719">
        <v>47469</v>
      </c>
      <c r="D9719" t="str">
        <f>"47469"</f>
        <v>47469</v>
      </c>
      <c r="E9719">
        <v>66.67</v>
      </c>
    </row>
    <row r="9720" spans="1:5" x14ac:dyDescent="0.2">
      <c r="A9720">
        <v>47470</v>
      </c>
      <c r="B9720" t="s">
        <v>21</v>
      </c>
      <c r="C9720">
        <v>47470</v>
      </c>
      <c r="D9720" t="str">
        <f>"47470"</f>
        <v>47470</v>
      </c>
      <c r="E9720">
        <v>69.569999999999993</v>
      </c>
    </row>
    <row r="9721" spans="1:5" x14ac:dyDescent="0.2">
      <c r="A9721">
        <v>47471</v>
      </c>
      <c r="B9721" t="s">
        <v>21</v>
      </c>
      <c r="C9721">
        <v>47471</v>
      </c>
      <c r="D9721" t="str">
        <f>"47471"</f>
        <v>47471</v>
      </c>
      <c r="E9721">
        <v>67.8</v>
      </c>
    </row>
    <row r="9722" spans="1:5" x14ac:dyDescent="0.2">
      <c r="A9722">
        <v>47501</v>
      </c>
      <c r="B9722" t="s">
        <v>21</v>
      </c>
      <c r="C9722">
        <v>47501</v>
      </c>
      <c r="D9722" t="str">
        <f>"47501"</f>
        <v>47501</v>
      </c>
      <c r="E9722">
        <v>63.4</v>
      </c>
    </row>
    <row r="9723" spans="1:5" x14ac:dyDescent="0.2">
      <c r="A9723">
        <v>47512</v>
      </c>
      <c r="B9723" t="s">
        <v>21</v>
      </c>
      <c r="C9723">
        <v>47512</v>
      </c>
      <c r="D9723" t="str">
        <f>"47512"</f>
        <v>47512</v>
      </c>
      <c r="E9723">
        <v>62.5</v>
      </c>
    </row>
    <row r="9724" spans="1:5" x14ac:dyDescent="0.2">
      <c r="A9724">
        <v>47513</v>
      </c>
      <c r="B9724" t="s">
        <v>21</v>
      </c>
      <c r="C9724">
        <v>47513</v>
      </c>
      <c r="D9724" t="str">
        <f>"47513"</f>
        <v>47513</v>
      </c>
      <c r="E9724">
        <v>70.41</v>
      </c>
    </row>
    <row r="9725" spans="1:5" x14ac:dyDescent="0.2">
      <c r="A9725">
        <v>47514</v>
      </c>
      <c r="B9725" t="s">
        <v>21</v>
      </c>
      <c r="C9725">
        <v>47514</v>
      </c>
      <c r="D9725" t="str">
        <f>"47514"</f>
        <v>47514</v>
      </c>
      <c r="E9725">
        <v>75</v>
      </c>
    </row>
    <row r="9726" spans="1:5" x14ac:dyDescent="0.2">
      <c r="A9726">
        <v>47515</v>
      </c>
      <c r="B9726" t="s">
        <v>21</v>
      </c>
      <c r="C9726">
        <v>47515</v>
      </c>
      <c r="D9726" t="str">
        <f>"47515"</f>
        <v>47515</v>
      </c>
      <c r="E9726">
        <v>73.680000000000007</v>
      </c>
    </row>
    <row r="9727" spans="1:5" x14ac:dyDescent="0.2">
      <c r="A9727">
        <v>47516</v>
      </c>
      <c r="B9727" t="s">
        <v>21</v>
      </c>
      <c r="C9727">
        <v>47516</v>
      </c>
      <c r="D9727" t="str">
        <f>"47516"</f>
        <v>47516</v>
      </c>
      <c r="E9727">
        <v>75</v>
      </c>
    </row>
    <row r="9728" spans="1:5" x14ac:dyDescent="0.2">
      <c r="A9728">
        <v>47519</v>
      </c>
      <c r="B9728" t="s">
        <v>21</v>
      </c>
      <c r="C9728">
        <v>47519</v>
      </c>
      <c r="D9728" t="str">
        <f>"47519"</f>
        <v>47519</v>
      </c>
      <c r="E9728">
        <v>73.08</v>
      </c>
    </row>
    <row r="9729" spans="1:5" x14ac:dyDescent="0.2">
      <c r="A9729">
        <v>47520</v>
      </c>
      <c r="B9729" t="s">
        <v>21</v>
      </c>
      <c r="C9729">
        <v>47520</v>
      </c>
      <c r="D9729" t="str">
        <f>"47520"</f>
        <v>47520</v>
      </c>
      <c r="E9729">
        <v>67.650000000000006</v>
      </c>
    </row>
    <row r="9730" spans="1:5" x14ac:dyDescent="0.2">
      <c r="A9730">
        <v>47521</v>
      </c>
      <c r="B9730" t="s">
        <v>21</v>
      </c>
      <c r="C9730">
        <v>47521</v>
      </c>
      <c r="D9730" t="str">
        <f>"47521"</f>
        <v>47521</v>
      </c>
      <c r="E9730">
        <v>76</v>
      </c>
    </row>
    <row r="9731" spans="1:5" x14ac:dyDescent="0.2">
      <c r="A9731">
        <v>47522</v>
      </c>
      <c r="B9731" t="s">
        <v>21</v>
      </c>
      <c r="C9731">
        <v>47522</v>
      </c>
      <c r="D9731" t="str">
        <f>"47522"</f>
        <v>47522</v>
      </c>
      <c r="E9731">
        <v>75</v>
      </c>
    </row>
    <row r="9732" spans="1:5" x14ac:dyDescent="0.2">
      <c r="A9732">
        <v>47523</v>
      </c>
      <c r="B9732" t="s">
        <v>21</v>
      </c>
      <c r="C9732">
        <v>47523</v>
      </c>
      <c r="D9732" t="str">
        <f>"47523"</f>
        <v>47523</v>
      </c>
      <c r="E9732">
        <v>69.180000000000007</v>
      </c>
    </row>
    <row r="9733" spans="1:5" x14ac:dyDescent="0.2">
      <c r="A9733">
        <v>47524</v>
      </c>
      <c r="B9733" t="s">
        <v>21</v>
      </c>
      <c r="C9733">
        <v>47524</v>
      </c>
      <c r="D9733" t="str">
        <f>"47524"</f>
        <v>47524</v>
      </c>
      <c r="E9733">
        <v>71.430000000000007</v>
      </c>
    </row>
    <row r="9734" spans="1:5" x14ac:dyDescent="0.2">
      <c r="A9734">
        <v>47525</v>
      </c>
      <c r="B9734" t="s">
        <v>21</v>
      </c>
      <c r="C9734">
        <v>47525</v>
      </c>
      <c r="D9734" t="str">
        <f>"47525"</f>
        <v>47525</v>
      </c>
      <c r="E9734">
        <v>68.75</v>
      </c>
    </row>
    <row r="9735" spans="1:5" x14ac:dyDescent="0.2">
      <c r="A9735">
        <v>47527</v>
      </c>
      <c r="B9735" t="s">
        <v>21</v>
      </c>
      <c r="C9735">
        <v>47527</v>
      </c>
      <c r="D9735" t="str">
        <f>"47527"</f>
        <v>47527</v>
      </c>
      <c r="E9735">
        <v>71.72</v>
      </c>
    </row>
    <row r="9736" spans="1:5" x14ac:dyDescent="0.2">
      <c r="A9736">
        <v>47528</v>
      </c>
      <c r="B9736" t="s">
        <v>21</v>
      </c>
      <c r="C9736">
        <v>47528</v>
      </c>
      <c r="D9736" t="str">
        <f>"47528"</f>
        <v>47528</v>
      </c>
      <c r="E9736">
        <v>69.7</v>
      </c>
    </row>
    <row r="9737" spans="1:5" x14ac:dyDescent="0.2">
      <c r="A9737">
        <v>47529</v>
      </c>
      <c r="B9737" t="s">
        <v>21</v>
      </c>
      <c r="C9737">
        <v>47529</v>
      </c>
      <c r="D9737" t="str">
        <f>"47529"</f>
        <v>47529</v>
      </c>
      <c r="E9737">
        <v>68.180000000000007</v>
      </c>
    </row>
    <row r="9738" spans="1:5" x14ac:dyDescent="0.2">
      <c r="A9738">
        <v>47531</v>
      </c>
      <c r="B9738" t="s">
        <v>21</v>
      </c>
      <c r="C9738">
        <v>47531</v>
      </c>
      <c r="D9738" t="str">
        <f>"47531"</f>
        <v>47531</v>
      </c>
      <c r="E9738">
        <v>76.599999999999994</v>
      </c>
    </row>
    <row r="9739" spans="1:5" x14ac:dyDescent="0.2">
      <c r="A9739">
        <v>47532</v>
      </c>
      <c r="B9739" t="s">
        <v>21</v>
      </c>
      <c r="C9739">
        <v>47532</v>
      </c>
      <c r="D9739" t="str">
        <f>"47532"</f>
        <v>47532</v>
      </c>
      <c r="E9739">
        <v>73.5</v>
      </c>
    </row>
    <row r="9740" spans="1:5" x14ac:dyDescent="0.2">
      <c r="A9740">
        <v>47535</v>
      </c>
      <c r="B9740" t="s">
        <v>21</v>
      </c>
      <c r="C9740">
        <v>47535</v>
      </c>
      <c r="D9740" t="str">
        <f>"47535"</f>
        <v>47535</v>
      </c>
      <c r="E9740" t="s">
        <v>6</v>
      </c>
    </row>
    <row r="9741" spans="1:5" x14ac:dyDescent="0.2">
      <c r="A9741">
        <v>47536</v>
      </c>
      <c r="B9741" t="s">
        <v>21</v>
      </c>
      <c r="C9741">
        <v>47536</v>
      </c>
      <c r="D9741" t="str">
        <f>"47536"</f>
        <v>47536</v>
      </c>
      <c r="E9741" t="s">
        <v>6</v>
      </c>
    </row>
    <row r="9742" spans="1:5" x14ac:dyDescent="0.2">
      <c r="A9742">
        <v>47537</v>
      </c>
      <c r="B9742" t="s">
        <v>21</v>
      </c>
      <c r="C9742">
        <v>47537</v>
      </c>
      <c r="D9742" t="str">
        <f>"47537"</f>
        <v>47537</v>
      </c>
      <c r="E9742">
        <v>69.23</v>
      </c>
    </row>
    <row r="9743" spans="1:5" x14ac:dyDescent="0.2">
      <c r="A9743">
        <v>47541</v>
      </c>
      <c r="B9743" t="s">
        <v>21</v>
      </c>
      <c r="C9743">
        <v>47541</v>
      </c>
      <c r="D9743" t="str">
        <f>"47541"</f>
        <v>47541</v>
      </c>
      <c r="E9743">
        <v>74.19</v>
      </c>
    </row>
    <row r="9744" spans="1:5" x14ac:dyDescent="0.2">
      <c r="A9744">
        <v>47542</v>
      </c>
      <c r="B9744" t="s">
        <v>21</v>
      </c>
      <c r="C9744">
        <v>47542</v>
      </c>
      <c r="D9744" t="str">
        <f>"47542"</f>
        <v>47542</v>
      </c>
      <c r="E9744">
        <v>70.72</v>
      </c>
    </row>
    <row r="9745" spans="1:5" x14ac:dyDescent="0.2">
      <c r="A9745">
        <v>47546</v>
      </c>
      <c r="B9745" t="s">
        <v>21</v>
      </c>
      <c r="C9745">
        <v>47546</v>
      </c>
      <c r="D9745" t="str">
        <f>"47546"</f>
        <v>47546</v>
      </c>
      <c r="E9745">
        <v>73.52</v>
      </c>
    </row>
    <row r="9746" spans="1:5" x14ac:dyDescent="0.2">
      <c r="A9746">
        <v>47549</v>
      </c>
      <c r="B9746" t="s">
        <v>21</v>
      </c>
      <c r="C9746">
        <v>47549</v>
      </c>
      <c r="D9746" t="str">
        <f>"47549"</f>
        <v>47549</v>
      </c>
      <c r="E9746" t="s">
        <v>6</v>
      </c>
    </row>
    <row r="9747" spans="1:5" x14ac:dyDescent="0.2">
      <c r="A9747">
        <v>47550</v>
      </c>
      <c r="B9747" t="s">
        <v>21</v>
      </c>
      <c r="C9747">
        <v>47550</v>
      </c>
      <c r="D9747" t="str">
        <f>"47550"</f>
        <v>47550</v>
      </c>
      <c r="E9747">
        <v>73.680000000000007</v>
      </c>
    </row>
    <row r="9748" spans="1:5" x14ac:dyDescent="0.2">
      <c r="A9748">
        <v>47551</v>
      </c>
      <c r="B9748" t="s">
        <v>21</v>
      </c>
      <c r="C9748">
        <v>47551</v>
      </c>
      <c r="D9748" t="str">
        <f>"47551"</f>
        <v>47551</v>
      </c>
      <c r="E9748">
        <v>71.430000000000007</v>
      </c>
    </row>
    <row r="9749" spans="1:5" x14ac:dyDescent="0.2">
      <c r="A9749">
        <v>47552</v>
      </c>
      <c r="B9749" t="s">
        <v>21</v>
      </c>
      <c r="C9749">
        <v>47552</v>
      </c>
      <c r="D9749" t="str">
        <f>"47552"</f>
        <v>47552</v>
      </c>
      <c r="E9749" t="s">
        <v>6</v>
      </c>
    </row>
    <row r="9750" spans="1:5" x14ac:dyDescent="0.2">
      <c r="A9750">
        <v>47553</v>
      </c>
      <c r="B9750" t="s">
        <v>21</v>
      </c>
      <c r="C9750">
        <v>47553</v>
      </c>
      <c r="D9750" t="str">
        <f>"47553"</f>
        <v>47553</v>
      </c>
      <c r="E9750">
        <v>72</v>
      </c>
    </row>
    <row r="9751" spans="1:5" x14ac:dyDescent="0.2">
      <c r="A9751">
        <v>47557</v>
      </c>
      <c r="B9751" t="s">
        <v>21</v>
      </c>
      <c r="C9751">
        <v>47557</v>
      </c>
      <c r="D9751" t="str">
        <f>"47557"</f>
        <v>47557</v>
      </c>
      <c r="E9751">
        <v>75</v>
      </c>
    </row>
    <row r="9752" spans="1:5" x14ac:dyDescent="0.2">
      <c r="A9752">
        <v>47558</v>
      </c>
      <c r="B9752" t="s">
        <v>21</v>
      </c>
      <c r="C9752">
        <v>47558</v>
      </c>
      <c r="D9752" t="str">
        <f>"47558"</f>
        <v>47558</v>
      </c>
      <c r="E9752">
        <v>70.349999999999994</v>
      </c>
    </row>
    <row r="9753" spans="1:5" x14ac:dyDescent="0.2">
      <c r="A9753">
        <v>47561</v>
      </c>
      <c r="B9753" t="s">
        <v>21</v>
      </c>
      <c r="C9753">
        <v>47561</v>
      </c>
      <c r="D9753" t="str">
        <f>"47561"</f>
        <v>47561</v>
      </c>
      <c r="E9753">
        <v>75.38</v>
      </c>
    </row>
    <row r="9754" spans="1:5" x14ac:dyDescent="0.2">
      <c r="A9754">
        <v>47562</v>
      </c>
      <c r="B9754" t="s">
        <v>21</v>
      </c>
      <c r="C9754">
        <v>47562</v>
      </c>
      <c r="D9754" t="str">
        <f>"47562"</f>
        <v>47562</v>
      </c>
      <c r="E9754">
        <v>70.150000000000006</v>
      </c>
    </row>
    <row r="9755" spans="1:5" x14ac:dyDescent="0.2">
      <c r="A9755">
        <v>47564</v>
      </c>
      <c r="B9755" t="s">
        <v>21</v>
      </c>
      <c r="C9755">
        <v>47564</v>
      </c>
      <c r="D9755" t="str">
        <f>"47564"</f>
        <v>47564</v>
      </c>
      <c r="E9755">
        <v>74.599999999999994</v>
      </c>
    </row>
    <row r="9756" spans="1:5" x14ac:dyDescent="0.2">
      <c r="A9756">
        <v>47567</v>
      </c>
      <c r="B9756" t="s">
        <v>21</v>
      </c>
      <c r="C9756">
        <v>47567</v>
      </c>
      <c r="D9756" t="str">
        <f>"47567"</f>
        <v>47567</v>
      </c>
      <c r="E9756">
        <v>69.81</v>
      </c>
    </row>
    <row r="9757" spans="1:5" x14ac:dyDescent="0.2">
      <c r="A9757">
        <v>47568</v>
      </c>
      <c r="B9757" t="s">
        <v>21</v>
      </c>
      <c r="C9757">
        <v>47568</v>
      </c>
      <c r="D9757" t="str">
        <f>"47568"</f>
        <v>47568</v>
      </c>
      <c r="E9757">
        <v>70.27</v>
      </c>
    </row>
    <row r="9758" spans="1:5" x14ac:dyDescent="0.2">
      <c r="A9758">
        <v>47573</v>
      </c>
      <c r="B9758" t="s">
        <v>21</v>
      </c>
      <c r="C9758">
        <v>47573</v>
      </c>
      <c r="D9758" t="str">
        <f>"47573"</f>
        <v>47573</v>
      </c>
      <c r="E9758" t="s">
        <v>6</v>
      </c>
    </row>
    <row r="9759" spans="1:5" x14ac:dyDescent="0.2">
      <c r="A9759">
        <v>47574</v>
      </c>
      <c r="B9759" t="s">
        <v>21</v>
      </c>
      <c r="C9759">
        <v>47574</v>
      </c>
      <c r="D9759" t="str">
        <f>"47574"</f>
        <v>47574</v>
      </c>
      <c r="E9759" t="s">
        <v>6</v>
      </c>
    </row>
    <row r="9760" spans="1:5" x14ac:dyDescent="0.2">
      <c r="A9760">
        <v>47575</v>
      </c>
      <c r="B9760" t="s">
        <v>21</v>
      </c>
      <c r="C9760">
        <v>47575</v>
      </c>
      <c r="D9760" t="str">
        <f>"47575"</f>
        <v>47575</v>
      </c>
      <c r="E9760">
        <v>72.41</v>
      </c>
    </row>
    <row r="9761" spans="1:5" x14ac:dyDescent="0.2">
      <c r="A9761">
        <v>47576</v>
      </c>
      <c r="B9761" t="s">
        <v>21</v>
      </c>
      <c r="C9761">
        <v>47576</v>
      </c>
      <c r="D9761" t="str">
        <f>"47576"</f>
        <v>47576</v>
      </c>
      <c r="E9761">
        <v>76.47</v>
      </c>
    </row>
    <row r="9762" spans="1:5" x14ac:dyDescent="0.2">
      <c r="A9762">
        <v>47577</v>
      </c>
      <c r="B9762" t="s">
        <v>21</v>
      </c>
      <c r="C9762">
        <v>47577</v>
      </c>
      <c r="D9762" t="str">
        <f>"47577"</f>
        <v>47577</v>
      </c>
      <c r="E9762">
        <v>69.39</v>
      </c>
    </row>
    <row r="9763" spans="1:5" x14ac:dyDescent="0.2">
      <c r="A9763">
        <v>47578</v>
      </c>
      <c r="B9763" t="s">
        <v>21</v>
      </c>
      <c r="C9763">
        <v>47578</v>
      </c>
      <c r="D9763" t="str">
        <f>"47578"</f>
        <v>47578</v>
      </c>
      <c r="E9763">
        <v>76.47</v>
      </c>
    </row>
    <row r="9764" spans="1:5" x14ac:dyDescent="0.2">
      <c r="A9764">
        <v>47579</v>
      </c>
      <c r="B9764" t="s">
        <v>21</v>
      </c>
      <c r="C9764">
        <v>47579</v>
      </c>
      <c r="D9764" t="str">
        <f>"47579"</f>
        <v>47579</v>
      </c>
      <c r="E9764">
        <v>76.09</v>
      </c>
    </row>
    <row r="9765" spans="1:5" x14ac:dyDescent="0.2">
      <c r="A9765">
        <v>47580</v>
      </c>
      <c r="B9765" t="s">
        <v>21</v>
      </c>
      <c r="C9765">
        <v>47580</v>
      </c>
      <c r="D9765" t="str">
        <f>"47580"</f>
        <v>47580</v>
      </c>
      <c r="E9765">
        <v>78.569999999999993</v>
      </c>
    </row>
    <row r="9766" spans="1:5" x14ac:dyDescent="0.2">
      <c r="A9766">
        <v>47581</v>
      </c>
      <c r="B9766" t="s">
        <v>21</v>
      </c>
      <c r="C9766">
        <v>47581</v>
      </c>
      <c r="D9766" t="str">
        <f>"47581"</f>
        <v>47581</v>
      </c>
      <c r="E9766">
        <v>68.989999999999995</v>
      </c>
    </row>
    <row r="9767" spans="1:5" x14ac:dyDescent="0.2">
      <c r="A9767">
        <v>47584</v>
      </c>
      <c r="B9767" t="s">
        <v>21</v>
      </c>
      <c r="C9767">
        <v>47584</v>
      </c>
      <c r="D9767" t="str">
        <f>"47584"</f>
        <v>47584</v>
      </c>
      <c r="E9767" t="s">
        <v>6</v>
      </c>
    </row>
    <row r="9768" spans="1:5" x14ac:dyDescent="0.2">
      <c r="A9768">
        <v>47585</v>
      </c>
      <c r="B9768" t="s">
        <v>21</v>
      </c>
      <c r="C9768">
        <v>47585</v>
      </c>
      <c r="D9768" t="str">
        <f>"47585"</f>
        <v>47585</v>
      </c>
      <c r="E9768">
        <v>77.27</v>
      </c>
    </row>
    <row r="9769" spans="1:5" x14ac:dyDescent="0.2">
      <c r="A9769">
        <v>47586</v>
      </c>
      <c r="B9769" t="s">
        <v>21</v>
      </c>
      <c r="C9769">
        <v>47586</v>
      </c>
      <c r="D9769" t="str">
        <f>"47586"</f>
        <v>47586</v>
      </c>
      <c r="E9769">
        <v>70.36</v>
      </c>
    </row>
    <row r="9770" spans="1:5" x14ac:dyDescent="0.2">
      <c r="A9770">
        <v>47588</v>
      </c>
      <c r="B9770" t="s">
        <v>21</v>
      </c>
      <c r="C9770">
        <v>47588</v>
      </c>
      <c r="D9770" t="str">
        <f>"47588"</f>
        <v>47588</v>
      </c>
      <c r="E9770">
        <v>70.97</v>
      </c>
    </row>
    <row r="9771" spans="1:5" x14ac:dyDescent="0.2">
      <c r="A9771">
        <v>47590</v>
      </c>
      <c r="B9771" t="s">
        <v>21</v>
      </c>
      <c r="C9771">
        <v>47590</v>
      </c>
      <c r="D9771" t="str">
        <f>"47590"</f>
        <v>47590</v>
      </c>
      <c r="E9771">
        <v>76.47</v>
      </c>
    </row>
    <row r="9772" spans="1:5" x14ac:dyDescent="0.2">
      <c r="A9772">
        <v>47591</v>
      </c>
      <c r="B9772" t="s">
        <v>21</v>
      </c>
      <c r="C9772">
        <v>47591</v>
      </c>
      <c r="D9772" t="str">
        <f>"47591"</f>
        <v>47591</v>
      </c>
      <c r="E9772">
        <v>68.239999999999995</v>
      </c>
    </row>
    <row r="9773" spans="1:5" x14ac:dyDescent="0.2">
      <c r="A9773">
        <v>47596</v>
      </c>
      <c r="B9773" t="s">
        <v>21</v>
      </c>
      <c r="C9773">
        <v>47596</v>
      </c>
      <c r="D9773" t="str">
        <f>"47596"</f>
        <v>47596</v>
      </c>
      <c r="E9773" t="s">
        <v>6</v>
      </c>
    </row>
    <row r="9774" spans="1:5" x14ac:dyDescent="0.2">
      <c r="A9774">
        <v>47597</v>
      </c>
      <c r="B9774" t="s">
        <v>21</v>
      </c>
      <c r="C9774">
        <v>47597</v>
      </c>
      <c r="D9774" t="str">
        <f>"47597"</f>
        <v>47597</v>
      </c>
      <c r="E9774">
        <v>78.72</v>
      </c>
    </row>
    <row r="9775" spans="1:5" x14ac:dyDescent="0.2">
      <c r="A9775">
        <v>47598</v>
      </c>
      <c r="B9775" t="s">
        <v>21</v>
      </c>
      <c r="C9775">
        <v>47598</v>
      </c>
      <c r="D9775" t="str">
        <f>"47598"</f>
        <v>47598</v>
      </c>
      <c r="E9775">
        <v>71.05</v>
      </c>
    </row>
    <row r="9776" spans="1:5" x14ac:dyDescent="0.2">
      <c r="A9776">
        <v>47601</v>
      </c>
      <c r="B9776" t="s">
        <v>21</v>
      </c>
      <c r="C9776">
        <v>47601</v>
      </c>
      <c r="D9776" t="str">
        <f>"47601"</f>
        <v>47601</v>
      </c>
      <c r="E9776">
        <v>71.930000000000007</v>
      </c>
    </row>
    <row r="9777" spans="1:5" x14ac:dyDescent="0.2">
      <c r="A9777">
        <v>47610</v>
      </c>
      <c r="B9777" t="s">
        <v>21</v>
      </c>
      <c r="C9777">
        <v>47610</v>
      </c>
      <c r="D9777" t="str">
        <f>"47610"</f>
        <v>47610</v>
      </c>
      <c r="E9777">
        <v>70</v>
      </c>
    </row>
    <row r="9778" spans="1:5" x14ac:dyDescent="0.2">
      <c r="A9778">
        <v>47611</v>
      </c>
      <c r="B9778" t="s">
        <v>21</v>
      </c>
      <c r="C9778">
        <v>47611</v>
      </c>
      <c r="D9778" t="str">
        <f>"47611"</f>
        <v>47611</v>
      </c>
      <c r="E9778">
        <v>70.37</v>
      </c>
    </row>
    <row r="9779" spans="1:5" x14ac:dyDescent="0.2">
      <c r="A9779">
        <v>47612</v>
      </c>
      <c r="B9779" t="s">
        <v>21</v>
      </c>
      <c r="C9779">
        <v>47612</v>
      </c>
      <c r="D9779" t="str">
        <f>"47612"</f>
        <v>47612</v>
      </c>
      <c r="E9779">
        <v>73.81</v>
      </c>
    </row>
    <row r="9780" spans="1:5" x14ac:dyDescent="0.2">
      <c r="A9780">
        <v>47613</v>
      </c>
      <c r="B9780" t="s">
        <v>21</v>
      </c>
      <c r="C9780">
        <v>47613</v>
      </c>
      <c r="D9780" t="str">
        <f>"47613"</f>
        <v>47613</v>
      </c>
      <c r="E9780">
        <v>76.19</v>
      </c>
    </row>
    <row r="9781" spans="1:5" x14ac:dyDescent="0.2">
      <c r="A9781">
        <v>47615</v>
      </c>
      <c r="B9781" t="s">
        <v>21</v>
      </c>
      <c r="C9781">
        <v>47615</v>
      </c>
      <c r="D9781" t="str">
        <f>"47615"</f>
        <v>47615</v>
      </c>
      <c r="E9781">
        <v>71.62</v>
      </c>
    </row>
    <row r="9782" spans="1:5" x14ac:dyDescent="0.2">
      <c r="A9782">
        <v>47616</v>
      </c>
      <c r="B9782" t="s">
        <v>21</v>
      </c>
      <c r="C9782">
        <v>47616</v>
      </c>
      <c r="D9782" t="str">
        <f>"47616"</f>
        <v>47616</v>
      </c>
      <c r="E9782">
        <v>75</v>
      </c>
    </row>
    <row r="9783" spans="1:5" x14ac:dyDescent="0.2">
      <c r="A9783">
        <v>47617</v>
      </c>
      <c r="B9783" t="s">
        <v>21</v>
      </c>
      <c r="C9783">
        <v>47617</v>
      </c>
      <c r="D9783" t="str">
        <f>"47617"</f>
        <v>47617</v>
      </c>
      <c r="E9783" t="s">
        <v>6</v>
      </c>
    </row>
    <row r="9784" spans="1:5" x14ac:dyDescent="0.2">
      <c r="A9784">
        <v>47619</v>
      </c>
      <c r="B9784" t="s">
        <v>21</v>
      </c>
      <c r="C9784">
        <v>47619</v>
      </c>
      <c r="D9784" t="str">
        <f>"47619"</f>
        <v>47619</v>
      </c>
      <c r="E9784">
        <v>75.64</v>
      </c>
    </row>
    <row r="9785" spans="1:5" x14ac:dyDescent="0.2">
      <c r="A9785">
        <v>47620</v>
      </c>
      <c r="B9785" t="s">
        <v>21</v>
      </c>
      <c r="C9785">
        <v>47620</v>
      </c>
      <c r="D9785" t="str">
        <f>"47620"</f>
        <v>47620</v>
      </c>
      <c r="E9785">
        <v>74.680000000000007</v>
      </c>
    </row>
    <row r="9786" spans="1:5" x14ac:dyDescent="0.2">
      <c r="A9786">
        <v>47630</v>
      </c>
      <c r="B9786" t="s">
        <v>21</v>
      </c>
      <c r="C9786">
        <v>47630</v>
      </c>
      <c r="D9786" t="str">
        <f>"47630"</f>
        <v>47630</v>
      </c>
      <c r="E9786">
        <v>77.23</v>
      </c>
    </row>
    <row r="9787" spans="1:5" x14ac:dyDescent="0.2">
      <c r="A9787">
        <v>47631</v>
      </c>
      <c r="B9787" t="s">
        <v>21</v>
      </c>
      <c r="C9787">
        <v>47631</v>
      </c>
      <c r="D9787" t="str">
        <f>"47631"</f>
        <v>47631</v>
      </c>
      <c r="E9787">
        <v>75.27</v>
      </c>
    </row>
    <row r="9788" spans="1:5" x14ac:dyDescent="0.2">
      <c r="A9788">
        <v>47633</v>
      </c>
      <c r="B9788" t="s">
        <v>21</v>
      </c>
      <c r="C9788">
        <v>47633</v>
      </c>
      <c r="D9788" t="str">
        <f>"47633"</f>
        <v>47633</v>
      </c>
      <c r="E9788">
        <v>75.61</v>
      </c>
    </row>
    <row r="9789" spans="1:5" x14ac:dyDescent="0.2">
      <c r="A9789">
        <v>47634</v>
      </c>
      <c r="B9789" t="s">
        <v>21</v>
      </c>
      <c r="C9789">
        <v>47634</v>
      </c>
      <c r="D9789" t="str">
        <f>"47634"</f>
        <v>47634</v>
      </c>
      <c r="E9789">
        <v>75</v>
      </c>
    </row>
    <row r="9790" spans="1:5" x14ac:dyDescent="0.2">
      <c r="A9790">
        <v>47635</v>
      </c>
      <c r="B9790" t="s">
        <v>21</v>
      </c>
      <c r="C9790">
        <v>47635</v>
      </c>
      <c r="D9790" t="str">
        <f>"47635"</f>
        <v>47635</v>
      </c>
      <c r="E9790">
        <v>70.28</v>
      </c>
    </row>
    <row r="9791" spans="1:5" x14ac:dyDescent="0.2">
      <c r="A9791">
        <v>47637</v>
      </c>
      <c r="B9791" t="s">
        <v>21</v>
      </c>
      <c r="C9791">
        <v>47637</v>
      </c>
      <c r="D9791" t="str">
        <f>"47637"</f>
        <v>47637</v>
      </c>
      <c r="E9791">
        <v>68.569999999999993</v>
      </c>
    </row>
    <row r="9792" spans="1:5" x14ac:dyDescent="0.2">
      <c r="A9792">
        <v>47638</v>
      </c>
      <c r="B9792" t="s">
        <v>21</v>
      </c>
      <c r="C9792">
        <v>47638</v>
      </c>
      <c r="D9792" t="str">
        <f>"47638"</f>
        <v>47638</v>
      </c>
      <c r="E9792">
        <v>79.760000000000005</v>
      </c>
    </row>
    <row r="9793" spans="1:5" x14ac:dyDescent="0.2">
      <c r="A9793">
        <v>47639</v>
      </c>
      <c r="B9793" t="s">
        <v>21</v>
      </c>
      <c r="C9793">
        <v>47639</v>
      </c>
      <c r="D9793" t="str">
        <f>"47639"</f>
        <v>47639</v>
      </c>
      <c r="E9793">
        <v>78.17</v>
      </c>
    </row>
    <row r="9794" spans="1:5" x14ac:dyDescent="0.2">
      <c r="A9794">
        <v>47640</v>
      </c>
      <c r="B9794" t="s">
        <v>21</v>
      </c>
      <c r="C9794">
        <v>47640</v>
      </c>
      <c r="D9794" t="str">
        <f>"47640"</f>
        <v>47640</v>
      </c>
      <c r="E9794">
        <v>71.11</v>
      </c>
    </row>
    <row r="9795" spans="1:5" x14ac:dyDescent="0.2">
      <c r="A9795">
        <v>47647</v>
      </c>
      <c r="B9795" t="s">
        <v>21</v>
      </c>
      <c r="C9795">
        <v>47647</v>
      </c>
      <c r="D9795" t="str">
        <f>"47647"</f>
        <v>47647</v>
      </c>
      <c r="E9795" t="s">
        <v>6</v>
      </c>
    </row>
    <row r="9796" spans="1:5" x14ac:dyDescent="0.2">
      <c r="A9796">
        <v>47648</v>
      </c>
      <c r="B9796" t="s">
        <v>21</v>
      </c>
      <c r="C9796">
        <v>47648</v>
      </c>
      <c r="D9796" t="str">
        <f>"47648"</f>
        <v>47648</v>
      </c>
      <c r="E9796">
        <v>75.59</v>
      </c>
    </row>
    <row r="9797" spans="1:5" x14ac:dyDescent="0.2">
      <c r="A9797">
        <v>47649</v>
      </c>
      <c r="B9797" t="s">
        <v>21</v>
      </c>
      <c r="C9797">
        <v>47649</v>
      </c>
      <c r="D9797" t="str">
        <f>"47649"</f>
        <v>47649</v>
      </c>
      <c r="E9797">
        <v>72.31</v>
      </c>
    </row>
    <row r="9798" spans="1:5" x14ac:dyDescent="0.2">
      <c r="A9798">
        <v>47654</v>
      </c>
      <c r="B9798" t="s">
        <v>21</v>
      </c>
      <c r="C9798">
        <v>47654</v>
      </c>
      <c r="D9798" t="str">
        <f>"47654"</f>
        <v>47654</v>
      </c>
      <c r="E9798" t="s">
        <v>6</v>
      </c>
    </row>
    <row r="9799" spans="1:5" x14ac:dyDescent="0.2">
      <c r="A9799">
        <v>47660</v>
      </c>
      <c r="B9799" t="s">
        <v>21</v>
      </c>
      <c r="C9799">
        <v>47660</v>
      </c>
      <c r="D9799" t="str">
        <f>"47660"</f>
        <v>47660</v>
      </c>
      <c r="E9799">
        <v>68.52</v>
      </c>
    </row>
    <row r="9800" spans="1:5" x14ac:dyDescent="0.2">
      <c r="A9800">
        <v>47665</v>
      </c>
      <c r="B9800" t="s">
        <v>21</v>
      </c>
      <c r="C9800">
        <v>47665</v>
      </c>
      <c r="D9800" t="str">
        <f>"47665"</f>
        <v>47665</v>
      </c>
      <c r="E9800">
        <v>74.27</v>
      </c>
    </row>
    <row r="9801" spans="1:5" x14ac:dyDescent="0.2">
      <c r="A9801">
        <v>47666</v>
      </c>
      <c r="B9801" t="s">
        <v>21</v>
      </c>
      <c r="C9801">
        <v>47666</v>
      </c>
      <c r="D9801" t="str">
        <f>"47666"</f>
        <v>47666</v>
      </c>
      <c r="E9801">
        <v>68.489999999999995</v>
      </c>
    </row>
    <row r="9802" spans="1:5" x14ac:dyDescent="0.2">
      <c r="A9802">
        <v>47670</v>
      </c>
      <c r="B9802" t="s">
        <v>21</v>
      </c>
      <c r="C9802">
        <v>47670</v>
      </c>
      <c r="D9802" t="str">
        <f>"47670"</f>
        <v>47670</v>
      </c>
      <c r="E9802">
        <v>67.92</v>
      </c>
    </row>
    <row r="9803" spans="1:5" x14ac:dyDescent="0.2">
      <c r="A9803">
        <v>47708</v>
      </c>
      <c r="B9803" t="s">
        <v>21</v>
      </c>
      <c r="C9803">
        <v>47708</v>
      </c>
      <c r="D9803" t="str">
        <f>"47708"</f>
        <v>47708</v>
      </c>
      <c r="E9803">
        <v>80.650000000000006</v>
      </c>
    </row>
    <row r="9804" spans="1:5" x14ac:dyDescent="0.2">
      <c r="A9804">
        <v>47710</v>
      </c>
      <c r="B9804" t="s">
        <v>21</v>
      </c>
      <c r="C9804">
        <v>47710</v>
      </c>
      <c r="D9804" t="str">
        <f>"47710"</f>
        <v>47710</v>
      </c>
      <c r="E9804">
        <v>63.96</v>
      </c>
    </row>
    <row r="9805" spans="1:5" x14ac:dyDescent="0.2">
      <c r="A9805">
        <v>47711</v>
      </c>
      <c r="B9805" t="s">
        <v>21</v>
      </c>
      <c r="C9805">
        <v>47711</v>
      </c>
      <c r="D9805" t="str">
        <f>"47711"</f>
        <v>47711</v>
      </c>
      <c r="E9805">
        <v>70.89</v>
      </c>
    </row>
    <row r="9806" spans="1:5" x14ac:dyDescent="0.2">
      <c r="A9806">
        <v>47712</v>
      </c>
      <c r="B9806" t="s">
        <v>21</v>
      </c>
      <c r="C9806">
        <v>47712</v>
      </c>
      <c r="D9806" t="str">
        <f>"47712"</f>
        <v>47712</v>
      </c>
      <c r="E9806">
        <v>74.010000000000005</v>
      </c>
    </row>
    <row r="9807" spans="1:5" x14ac:dyDescent="0.2">
      <c r="A9807">
        <v>47713</v>
      </c>
      <c r="B9807" t="s">
        <v>21</v>
      </c>
      <c r="C9807">
        <v>47713</v>
      </c>
      <c r="D9807" t="str">
        <f>"47713"</f>
        <v>47713</v>
      </c>
      <c r="E9807">
        <v>55.11</v>
      </c>
    </row>
    <row r="9808" spans="1:5" x14ac:dyDescent="0.2">
      <c r="A9808">
        <v>47714</v>
      </c>
      <c r="B9808" t="s">
        <v>21</v>
      </c>
      <c r="C9808">
        <v>47714</v>
      </c>
      <c r="D9808" t="str">
        <f>"47714"</f>
        <v>47714</v>
      </c>
      <c r="E9808">
        <v>64.61</v>
      </c>
    </row>
    <row r="9809" spans="1:5" x14ac:dyDescent="0.2">
      <c r="A9809">
        <v>47715</v>
      </c>
      <c r="B9809" t="s">
        <v>21</v>
      </c>
      <c r="C9809">
        <v>47715</v>
      </c>
      <c r="D9809" t="str">
        <f>"47715"</f>
        <v>47715</v>
      </c>
      <c r="E9809">
        <v>71.989999999999995</v>
      </c>
    </row>
    <row r="9810" spans="1:5" x14ac:dyDescent="0.2">
      <c r="A9810">
        <v>47720</v>
      </c>
      <c r="B9810" t="s">
        <v>21</v>
      </c>
      <c r="C9810">
        <v>47720</v>
      </c>
      <c r="D9810" t="str">
        <f>"47720"</f>
        <v>47720</v>
      </c>
      <c r="E9810">
        <v>74.55</v>
      </c>
    </row>
    <row r="9811" spans="1:5" x14ac:dyDescent="0.2">
      <c r="A9811">
        <v>47725</v>
      </c>
      <c r="B9811" t="s">
        <v>21</v>
      </c>
      <c r="C9811">
        <v>47725</v>
      </c>
      <c r="D9811" t="str">
        <f>"47725"</f>
        <v>47725</v>
      </c>
      <c r="E9811">
        <v>81.709999999999994</v>
      </c>
    </row>
    <row r="9812" spans="1:5" x14ac:dyDescent="0.2">
      <c r="A9812">
        <v>47802</v>
      </c>
      <c r="B9812" t="s">
        <v>21</v>
      </c>
      <c r="C9812">
        <v>47802</v>
      </c>
      <c r="D9812" t="str">
        <f>"47802"</f>
        <v>47802</v>
      </c>
      <c r="E9812">
        <v>67.98</v>
      </c>
    </row>
    <row r="9813" spans="1:5" x14ac:dyDescent="0.2">
      <c r="A9813">
        <v>47803</v>
      </c>
      <c r="B9813" t="s">
        <v>21</v>
      </c>
      <c r="C9813">
        <v>47803</v>
      </c>
      <c r="D9813" t="str">
        <f>"47803"</f>
        <v>47803</v>
      </c>
      <c r="E9813">
        <v>71.599999999999994</v>
      </c>
    </row>
    <row r="9814" spans="1:5" x14ac:dyDescent="0.2">
      <c r="A9814">
        <v>47804</v>
      </c>
      <c r="B9814" t="s">
        <v>21</v>
      </c>
      <c r="C9814">
        <v>47804</v>
      </c>
      <c r="D9814" t="str">
        <f>"47804"</f>
        <v>47804</v>
      </c>
      <c r="E9814">
        <v>58.89</v>
      </c>
    </row>
    <row r="9815" spans="1:5" x14ac:dyDescent="0.2">
      <c r="A9815">
        <v>47805</v>
      </c>
      <c r="B9815" t="s">
        <v>21</v>
      </c>
      <c r="C9815">
        <v>47805</v>
      </c>
      <c r="D9815" t="str">
        <f>"47805"</f>
        <v>47805</v>
      </c>
      <c r="E9815">
        <v>71.75</v>
      </c>
    </row>
    <row r="9816" spans="1:5" x14ac:dyDescent="0.2">
      <c r="A9816">
        <v>47807</v>
      </c>
      <c r="B9816" t="s">
        <v>21</v>
      </c>
      <c r="C9816">
        <v>47807</v>
      </c>
      <c r="D9816" t="str">
        <f>"47807"</f>
        <v>47807</v>
      </c>
      <c r="E9816">
        <v>47.75</v>
      </c>
    </row>
    <row r="9817" spans="1:5" x14ac:dyDescent="0.2">
      <c r="A9817">
        <v>47809</v>
      </c>
      <c r="B9817" t="s">
        <v>21</v>
      </c>
      <c r="C9817">
        <v>47809</v>
      </c>
      <c r="D9817" t="str">
        <f>"47809"</f>
        <v>47809</v>
      </c>
      <c r="E9817" t="s">
        <v>6</v>
      </c>
    </row>
    <row r="9818" spans="1:5" x14ac:dyDescent="0.2">
      <c r="A9818">
        <v>47831</v>
      </c>
      <c r="B9818" t="s">
        <v>21</v>
      </c>
      <c r="C9818">
        <v>47831</v>
      </c>
      <c r="D9818" t="str">
        <f>"47831"</f>
        <v>47831</v>
      </c>
      <c r="E9818" t="s">
        <v>6</v>
      </c>
    </row>
    <row r="9819" spans="1:5" x14ac:dyDescent="0.2">
      <c r="A9819">
        <v>47832</v>
      </c>
      <c r="B9819" t="s">
        <v>21</v>
      </c>
      <c r="C9819">
        <v>47832</v>
      </c>
      <c r="D9819" t="str">
        <f>"47832"</f>
        <v>47832</v>
      </c>
      <c r="E9819">
        <v>66.67</v>
      </c>
    </row>
    <row r="9820" spans="1:5" x14ac:dyDescent="0.2">
      <c r="A9820">
        <v>47833</v>
      </c>
      <c r="B9820" t="s">
        <v>21</v>
      </c>
      <c r="C9820">
        <v>47833</v>
      </c>
      <c r="D9820" t="str">
        <f>"47833"</f>
        <v>47833</v>
      </c>
      <c r="E9820">
        <v>68</v>
      </c>
    </row>
    <row r="9821" spans="1:5" x14ac:dyDescent="0.2">
      <c r="A9821">
        <v>47834</v>
      </c>
      <c r="B9821" t="s">
        <v>21</v>
      </c>
      <c r="C9821">
        <v>47834</v>
      </c>
      <c r="D9821" t="str">
        <f>"47834"</f>
        <v>47834</v>
      </c>
      <c r="E9821">
        <v>68.44</v>
      </c>
    </row>
    <row r="9822" spans="1:5" x14ac:dyDescent="0.2">
      <c r="A9822">
        <v>47836</v>
      </c>
      <c r="B9822" t="s">
        <v>21</v>
      </c>
      <c r="C9822">
        <v>47836</v>
      </c>
      <c r="D9822" t="str">
        <f>"47836"</f>
        <v>47836</v>
      </c>
      <c r="E9822" t="s">
        <v>6</v>
      </c>
    </row>
    <row r="9823" spans="1:5" x14ac:dyDescent="0.2">
      <c r="A9823">
        <v>47837</v>
      </c>
      <c r="B9823" t="s">
        <v>21</v>
      </c>
      <c r="C9823">
        <v>47837</v>
      </c>
      <c r="D9823" t="str">
        <f>"47837"</f>
        <v>47837</v>
      </c>
      <c r="E9823">
        <v>70.59</v>
      </c>
    </row>
    <row r="9824" spans="1:5" x14ac:dyDescent="0.2">
      <c r="A9824">
        <v>47838</v>
      </c>
      <c r="B9824" t="s">
        <v>21</v>
      </c>
      <c r="C9824">
        <v>47838</v>
      </c>
      <c r="D9824" t="str">
        <f>"47838"</f>
        <v>47838</v>
      </c>
      <c r="E9824">
        <v>67.010000000000005</v>
      </c>
    </row>
    <row r="9825" spans="1:5" x14ac:dyDescent="0.2">
      <c r="A9825">
        <v>47840</v>
      </c>
      <c r="B9825" t="s">
        <v>21</v>
      </c>
      <c r="C9825">
        <v>47840</v>
      </c>
      <c r="D9825" t="str">
        <f>"47840"</f>
        <v>47840</v>
      </c>
      <c r="E9825">
        <v>74.290000000000006</v>
      </c>
    </row>
    <row r="9826" spans="1:5" x14ac:dyDescent="0.2">
      <c r="A9826">
        <v>47841</v>
      </c>
      <c r="B9826" t="s">
        <v>21</v>
      </c>
      <c r="C9826">
        <v>47841</v>
      </c>
      <c r="D9826" t="str">
        <f>"47841"</f>
        <v>47841</v>
      </c>
      <c r="E9826">
        <v>63.16</v>
      </c>
    </row>
    <row r="9827" spans="1:5" x14ac:dyDescent="0.2">
      <c r="A9827">
        <v>47842</v>
      </c>
      <c r="B9827" t="s">
        <v>21</v>
      </c>
      <c r="C9827">
        <v>47842</v>
      </c>
      <c r="D9827" t="str">
        <f>"47842"</f>
        <v>47842</v>
      </c>
      <c r="E9827">
        <v>68.66</v>
      </c>
    </row>
    <row r="9828" spans="1:5" x14ac:dyDescent="0.2">
      <c r="A9828">
        <v>47845</v>
      </c>
      <c r="B9828" t="s">
        <v>21</v>
      </c>
      <c r="C9828">
        <v>47845</v>
      </c>
      <c r="D9828" t="str">
        <f>"47845"</f>
        <v>47845</v>
      </c>
      <c r="E9828" t="s">
        <v>6</v>
      </c>
    </row>
    <row r="9829" spans="1:5" x14ac:dyDescent="0.2">
      <c r="A9829">
        <v>47846</v>
      </c>
      <c r="B9829" t="s">
        <v>21</v>
      </c>
      <c r="C9829">
        <v>47846</v>
      </c>
      <c r="D9829" t="str">
        <f>"47846"</f>
        <v>47846</v>
      </c>
      <c r="E9829">
        <v>72.73</v>
      </c>
    </row>
    <row r="9830" spans="1:5" x14ac:dyDescent="0.2">
      <c r="A9830">
        <v>47847</v>
      </c>
      <c r="B9830" t="s">
        <v>21</v>
      </c>
      <c r="C9830">
        <v>47847</v>
      </c>
      <c r="D9830" t="str">
        <f>"47847"</f>
        <v>47847</v>
      </c>
      <c r="E9830">
        <v>66.67</v>
      </c>
    </row>
    <row r="9831" spans="1:5" x14ac:dyDescent="0.2">
      <c r="A9831">
        <v>47848</v>
      </c>
      <c r="B9831" t="s">
        <v>21</v>
      </c>
      <c r="C9831">
        <v>47848</v>
      </c>
      <c r="D9831" t="str">
        <f>"47848"</f>
        <v>47848</v>
      </c>
      <c r="E9831">
        <v>68.489999999999995</v>
      </c>
    </row>
    <row r="9832" spans="1:5" x14ac:dyDescent="0.2">
      <c r="A9832">
        <v>47849</v>
      </c>
      <c r="B9832" t="s">
        <v>21</v>
      </c>
      <c r="C9832">
        <v>47849</v>
      </c>
      <c r="D9832" t="str">
        <f>"47849"</f>
        <v>47849</v>
      </c>
      <c r="E9832">
        <v>76.19</v>
      </c>
    </row>
    <row r="9833" spans="1:5" x14ac:dyDescent="0.2">
      <c r="A9833">
        <v>47850</v>
      </c>
      <c r="B9833" t="s">
        <v>21</v>
      </c>
      <c r="C9833">
        <v>47850</v>
      </c>
      <c r="D9833" t="str">
        <f>"47850"</f>
        <v>47850</v>
      </c>
      <c r="E9833">
        <v>69.09</v>
      </c>
    </row>
    <row r="9834" spans="1:5" x14ac:dyDescent="0.2">
      <c r="A9834">
        <v>47851</v>
      </c>
      <c r="B9834" t="s">
        <v>21</v>
      </c>
      <c r="C9834">
        <v>47851</v>
      </c>
      <c r="D9834" t="str">
        <f>"47851"</f>
        <v>47851</v>
      </c>
      <c r="E9834" t="s">
        <v>6</v>
      </c>
    </row>
    <row r="9835" spans="1:5" x14ac:dyDescent="0.2">
      <c r="A9835">
        <v>47854</v>
      </c>
      <c r="B9835" t="s">
        <v>21</v>
      </c>
      <c r="C9835">
        <v>47854</v>
      </c>
      <c r="D9835" t="str">
        <f>"47854"</f>
        <v>47854</v>
      </c>
      <c r="E9835">
        <v>74.290000000000006</v>
      </c>
    </row>
    <row r="9836" spans="1:5" x14ac:dyDescent="0.2">
      <c r="A9836">
        <v>47855</v>
      </c>
      <c r="B9836" t="s">
        <v>21</v>
      </c>
      <c r="C9836">
        <v>47855</v>
      </c>
      <c r="D9836" t="str">
        <f>"47855"</f>
        <v>47855</v>
      </c>
      <c r="E9836" t="s">
        <v>6</v>
      </c>
    </row>
    <row r="9837" spans="1:5" x14ac:dyDescent="0.2">
      <c r="A9837">
        <v>47857</v>
      </c>
      <c r="B9837" t="s">
        <v>21</v>
      </c>
      <c r="C9837">
        <v>47857</v>
      </c>
      <c r="D9837" t="str">
        <f>"47857"</f>
        <v>47857</v>
      </c>
      <c r="E9837" t="s">
        <v>6</v>
      </c>
    </row>
    <row r="9838" spans="1:5" x14ac:dyDescent="0.2">
      <c r="A9838">
        <v>47858</v>
      </c>
      <c r="B9838" t="s">
        <v>21</v>
      </c>
      <c r="C9838">
        <v>47858</v>
      </c>
      <c r="D9838" t="str">
        <f>"47858"</f>
        <v>47858</v>
      </c>
      <c r="E9838">
        <v>70.97</v>
      </c>
    </row>
    <row r="9839" spans="1:5" x14ac:dyDescent="0.2">
      <c r="A9839">
        <v>47859</v>
      </c>
      <c r="B9839" t="s">
        <v>21</v>
      </c>
      <c r="C9839">
        <v>47859</v>
      </c>
      <c r="D9839" t="str">
        <f>"47859"</f>
        <v>47859</v>
      </c>
      <c r="E9839">
        <v>64.44</v>
      </c>
    </row>
    <row r="9840" spans="1:5" x14ac:dyDescent="0.2">
      <c r="A9840">
        <v>47860</v>
      </c>
      <c r="B9840" t="s">
        <v>21</v>
      </c>
      <c r="C9840">
        <v>47860</v>
      </c>
      <c r="D9840" t="str">
        <f>"47860"</f>
        <v>47860</v>
      </c>
      <c r="E9840" t="s">
        <v>6</v>
      </c>
    </row>
    <row r="9841" spans="1:5" x14ac:dyDescent="0.2">
      <c r="A9841">
        <v>47861</v>
      </c>
      <c r="B9841" t="s">
        <v>21</v>
      </c>
      <c r="C9841">
        <v>47861</v>
      </c>
      <c r="D9841" t="str">
        <f>"47861"</f>
        <v>47861</v>
      </c>
      <c r="E9841">
        <v>68</v>
      </c>
    </row>
    <row r="9842" spans="1:5" x14ac:dyDescent="0.2">
      <c r="A9842">
        <v>47862</v>
      </c>
      <c r="B9842" t="s">
        <v>21</v>
      </c>
      <c r="C9842">
        <v>47862</v>
      </c>
      <c r="D9842" t="str">
        <f>"47862"</f>
        <v>47862</v>
      </c>
      <c r="E9842">
        <v>60.56</v>
      </c>
    </row>
    <row r="9843" spans="1:5" x14ac:dyDescent="0.2">
      <c r="A9843">
        <v>47863</v>
      </c>
      <c r="B9843" t="s">
        <v>21</v>
      </c>
      <c r="C9843">
        <v>47863</v>
      </c>
      <c r="D9843" t="str">
        <f>"47863"</f>
        <v>47863</v>
      </c>
      <c r="E9843" t="s">
        <v>6</v>
      </c>
    </row>
    <row r="9844" spans="1:5" x14ac:dyDescent="0.2">
      <c r="A9844">
        <v>47866</v>
      </c>
      <c r="B9844" t="s">
        <v>21</v>
      </c>
      <c r="C9844">
        <v>47866</v>
      </c>
      <c r="D9844" t="str">
        <f>"47866"</f>
        <v>47866</v>
      </c>
      <c r="E9844">
        <v>73.680000000000007</v>
      </c>
    </row>
    <row r="9845" spans="1:5" x14ac:dyDescent="0.2">
      <c r="A9845">
        <v>47868</v>
      </c>
      <c r="B9845" t="s">
        <v>21</v>
      </c>
      <c r="C9845">
        <v>47868</v>
      </c>
      <c r="D9845" t="str">
        <f>"47868"</f>
        <v>47868</v>
      </c>
      <c r="E9845">
        <v>66.67</v>
      </c>
    </row>
    <row r="9846" spans="1:5" x14ac:dyDescent="0.2">
      <c r="A9846">
        <v>47869</v>
      </c>
      <c r="B9846" t="s">
        <v>21</v>
      </c>
      <c r="C9846">
        <v>47869</v>
      </c>
      <c r="D9846" t="str">
        <f>"47869"</f>
        <v>47869</v>
      </c>
      <c r="E9846" t="s">
        <v>6</v>
      </c>
    </row>
    <row r="9847" spans="1:5" x14ac:dyDescent="0.2">
      <c r="A9847">
        <v>47871</v>
      </c>
      <c r="B9847" t="s">
        <v>21</v>
      </c>
      <c r="C9847">
        <v>47871</v>
      </c>
      <c r="D9847" t="str">
        <f>"47871"</f>
        <v>47871</v>
      </c>
      <c r="E9847" t="s">
        <v>6</v>
      </c>
    </row>
    <row r="9848" spans="1:5" x14ac:dyDescent="0.2">
      <c r="A9848">
        <v>47872</v>
      </c>
      <c r="B9848" t="s">
        <v>21</v>
      </c>
      <c r="C9848">
        <v>47872</v>
      </c>
      <c r="D9848" t="str">
        <f>"47872"</f>
        <v>47872</v>
      </c>
      <c r="E9848">
        <v>67.59</v>
      </c>
    </row>
    <row r="9849" spans="1:5" x14ac:dyDescent="0.2">
      <c r="A9849">
        <v>47874</v>
      </c>
      <c r="B9849" t="s">
        <v>21</v>
      </c>
      <c r="C9849">
        <v>47874</v>
      </c>
      <c r="D9849" t="str">
        <f>"47874"</f>
        <v>47874</v>
      </c>
      <c r="E9849">
        <v>67.099999999999994</v>
      </c>
    </row>
    <row r="9850" spans="1:5" x14ac:dyDescent="0.2">
      <c r="A9850">
        <v>47875</v>
      </c>
      <c r="B9850" t="s">
        <v>21</v>
      </c>
      <c r="C9850">
        <v>47875</v>
      </c>
      <c r="D9850" t="str">
        <f>"47875"</f>
        <v>47875</v>
      </c>
      <c r="E9850" t="s">
        <v>6</v>
      </c>
    </row>
    <row r="9851" spans="1:5" x14ac:dyDescent="0.2">
      <c r="A9851">
        <v>47876</v>
      </c>
      <c r="B9851" t="s">
        <v>21</v>
      </c>
      <c r="C9851">
        <v>47876</v>
      </c>
      <c r="D9851" t="str">
        <f>"47876"</f>
        <v>47876</v>
      </c>
      <c r="E9851" t="s">
        <v>6</v>
      </c>
    </row>
    <row r="9852" spans="1:5" x14ac:dyDescent="0.2">
      <c r="A9852">
        <v>47879</v>
      </c>
      <c r="B9852" t="s">
        <v>21</v>
      </c>
      <c r="C9852">
        <v>47879</v>
      </c>
      <c r="D9852" t="str">
        <f>"47879"</f>
        <v>47879</v>
      </c>
      <c r="E9852">
        <v>69.7</v>
      </c>
    </row>
    <row r="9853" spans="1:5" x14ac:dyDescent="0.2">
      <c r="A9853">
        <v>47880</v>
      </c>
      <c r="B9853" t="s">
        <v>21</v>
      </c>
      <c r="C9853">
        <v>47880</v>
      </c>
      <c r="D9853" t="str">
        <f>"47880"</f>
        <v>47880</v>
      </c>
      <c r="E9853" t="s">
        <v>6</v>
      </c>
    </row>
    <row r="9854" spans="1:5" x14ac:dyDescent="0.2">
      <c r="A9854">
        <v>47881</v>
      </c>
      <c r="B9854" t="s">
        <v>21</v>
      </c>
      <c r="C9854">
        <v>47881</v>
      </c>
      <c r="D9854" t="str">
        <f>"47881"</f>
        <v>47881</v>
      </c>
      <c r="E9854" t="s">
        <v>6</v>
      </c>
    </row>
    <row r="9855" spans="1:5" x14ac:dyDescent="0.2">
      <c r="A9855">
        <v>47882</v>
      </c>
      <c r="B9855" t="s">
        <v>21</v>
      </c>
      <c r="C9855">
        <v>47882</v>
      </c>
      <c r="D9855" t="str">
        <f>"47882"</f>
        <v>47882</v>
      </c>
      <c r="E9855">
        <v>67.53</v>
      </c>
    </row>
    <row r="9856" spans="1:5" x14ac:dyDescent="0.2">
      <c r="A9856">
        <v>47884</v>
      </c>
      <c r="B9856" t="s">
        <v>21</v>
      </c>
      <c r="C9856">
        <v>47884</v>
      </c>
      <c r="D9856" t="str">
        <f>"47884"</f>
        <v>47884</v>
      </c>
      <c r="E9856" t="s">
        <v>6</v>
      </c>
    </row>
    <row r="9857" spans="1:5" x14ac:dyDescent="0.2">
      <c r="A9857">
        <v>47885</v>
      </c>
      <c r="B9857" t="s">
        <v>21</v>
      </c>
      <c r="C9857">
        <v>47885</v>
      </c>
      <c r="D9857" t="str">
        <f>"47885"</f>
        <v>47885</v>
      </c>
      <c r="E9857">
        <v>67.319999999999993</v>
      </c>
    </row>
    <row r="9858" spans="1:5" x14ac:dyDescent="0.2">
      <c r="A9858">
        <v>47901</v>
      </c>
      <c r="B9858" t="s">
        <v>21</v>
      </c>
      <c r="C9858">
        <v>47901</v>
      </c>
      <c r="D9858" t="str">
        <f>"47901"</f>
        <v>47901</v>
      </c>
      <c r="E9858">
        <v>70.45</v>
      </c>
    </row>
    <row r="9859" spans="1:5" x14ac:dyDescent="0.2">
      <c r="A9859">
        <v>47904</v>
      </c>
      <c r="B9859" t="s">
        <v>21</v>
      </c>
      <c r="C9859">
        <v>47904</v>
      </c>
      <c r="D9859" t="str">
        <f>"47904"</f>
        <v>47904</v>
      </c>
      <c r="E9859">
        <v>63.43</v>
      </c>
    </row>
    <row r="9860" spans="1:5" x14ac:dyDescent="0.2">
      <c r="A9860">
        <v>47905</v>
      </c>
      <c r="B9860" t="s">
        <v>21</v>
      </c>
      <c r="C9860">
        <v>47905</v>
      </c>
      <c r="D9860" t="str">
        <f>"47905"</f>
        <v>47905</v>
      </c>
      <c r="E9860">
        <v>72.27</v>
      </c>
    </row>
    <row r="9861" spans="1:5" x14ac:dyDescent="0.2">
      <c r="A9861">
        <v>47906</v>
      </c>
      <c r="B9861" t="s">
        <v>21</v>
      </c>
      <c r="C9861">
        <v>47906</v>
      </c>
      <c r="D9861" t="str">
        <f>"47906"</f>
        <v>47906</v>
      </c>
      <c r="E9861">
        <v>72.8</v>
      </c>
    </row>
    <row r="9862" spans="1:5" x14ac:dyDescent="0.2">
      <c r="A9862">
        <v>47907</v>
      </c>
      <c r="B9862" t="s">
        <v>21</v>
      </c>
      <c r="C9862">
        <v>47907</v>
      </c>
      <c r="D9862" t="str">
        <f>"47907"</f>
        <v>47907</v>
      </c>
      <c r="E9862" t="s">
        <v>6</v>
      </c>
    </row>
    <row r="9863" spans="1:5" x14ac:dyDescent="0.2">
      <c r="A9863">
        <v>47909</v>
      </c>
      <c r="B9863" t="s">
        <v>21</v>
      </c>
      <c r="C9863">
        <v>47909</v>
      </c>
      <c r="D9863" t="str">
        <f>"47909"</f>
        <v>47909</v>
      </c>
      <c r="E9863">
        <v>71.81</v>
      </c>
    </row>
    <row r="9864" spans="1:5" x14ac:dyDescent="0.2">
      <c r="A9864">
        <v>47916</v>
      </c>
      <c r="B9864" t="s">
        <v>21</v>
      </c>
      <c r="C9864">
        <v>47916</v>
      </c>
      <c r="D9864" t="str">
        <f>"47916"</f>
        <v>47916</v>
      </c>
      <c r="E9864" t="s">
        <v>6</v>
      </c>
    </row>
    <row r="9865" spans="1:5" x14ac:dyDescent="0.2">
      <c r="A9865">
        <v>47917</v>
      </c>
      <c r="B9865" t="s">
        <v>21</v>
      </c>
      <c r="C9865">
        <v>47917</v>
      </c>
      <c r="D9865" t="str">
        <f>"47917"</f>
        <v>47917</v>
      </c>
      <c r="E9865">
        <v>62.5</v>
      </c>
    </row>
    <row r="9866" spans="1:5" x14ac:dyDescent="0.2">
      <c r="A9866">
        <v>47918</v>
      </c>
      <c r="B9866" t="s">
        <v>21</v>
      </c>
      <c r="C9866">
        <v>47918</v>
      </c>
      <c r="D9866" t="str">
        <f>"47918"</f>
        <v>47918</v>
      </c>
      <c r="E9866">
        <v>69.400000000000006</v>
      </c>
    </row>
    <row r="9867" spans="1:5" x14ac:dyDescent="0.2">
      <c r="A9867">
        <v>47920</v>
      </c>
      <c r="B9867" t="s">
        <v>21</v>
      </c>
      <c r="C9867">
        <v>47920</v>
      </c>
      <c r="D9867" t="str">
        <f>"47920"</f>
        <v>47920</v>
      </c>
      <c r="E9867">
        <v>76.52</v>
      </c>
    </row>
    <row r="9868" spans="1:5" x14ac:dyDescent="0.2">
      <c r="A9868">
        <v>47921</v>
      </c>
      <c r="B9868" t="s">
        <v>21</v>
      </c>
      <c r="C9868">
        <v>47921</v>
      </c>
      <c r="D9868" t="str">
        <f>"47921"</f>
        <v>47921</v>
      </c>
      <c r="E9868">
        <v>63.27</v>
      </c>
    </row>
    <row r="9869" spans="1:5" x14ac:dyDescent="0.2">
      <c r="A9869">
        <v>47922</v>
      </c>
      <c r="B9869" t="s">
        <v>21</v>
      </c>
      <c r="C9869">
        <v>47922</v>
      </c>
      <c r="D9869" t="str">
        <f>"47922"</f>
        <v>47922</v>
      </c>
      <c r="E9869">
        <v>70</v>
      </c>
    </row>
    <row r="9870" spans="1:5" x14ac:dyDescent="0.2">
      <c r="A9870">
        <v>47923</v>
      </c>
      <c r="B9870" t="s">
        <v>21</v>
      </c>
      <c r="C9870">
        <v>47923</v>
      </c>
      <c r="D9870" t="str">
        <f>"47923"</f>
        <v>47923</v>
      </c>
      <c r="E9870">
        <v>74.3</v>
      </c>
    </row>
    <row r="9871" spans="1:5" x14ac:dyDescent="0.2">
      <c r="A9871">
        <v>47924</v>
      </c>
      <c r="B9871" t="s">
        <v>21</v>
      </c>
      <c r="C9871">
        <v>47924</v>
      </c>
      <c r="D9871" t="str">
        <f>"47924"</f>
        <v>47924</v>
      </c>
      <c r="E9871" t="s">
        <v>6</v>
      </c>
    </row>
    <row r="9872" spans="1:5" x14ac:dyDescent="0.2">
      <c r="A9872">
        <v>47925</v>
      </c>
      <c r="B9872" t="s">
        <v>21</v>
      </c>
      <c r="C9872">
        <v>47925</v>
      </c>
      <c r="D9872" t="str">
        <f>"47925"</f>
        <v>47925</v>
      </c>
      <c r="E9872" t="s">
        <v>6</v>
      </c>
    </row>
    <row r="9873" spans="1:5" x14ac:dyDescent="0.2">
      <c r="A9873">
        <v>47926</v>
      </c>
      <c r="B9873" t="s">
        <v>21</v>
      </c>
      <c r="C9873">
        <v>47926</v>
      </c>
      <c r="D9873" t="str">
        <f>"47926"</f>
        <v>47926</v>
      </c>
      <c r="E9873">
        <v>66.040000000000006</v>
      </c>
    </row>
    <row r="9874" spans="1:5" x14ac:dyDescent="0.2">
      <c r="A9874">
        <v>47928</v>
      </c>
      <c r="B9874" t="s">
        <v>21</v>
      </c>
      <c r="C9874">
        <v>47928</v>
      </c>
      <c r="D9874" t="str">
        <f>"47928"</f>
        <v>47928</v>
      </c>
      <c r="E9874">
        <v>67.069999999999993</v>
      </c>
    </row>
    <row r="9875" spans="1:5" x14ac:dyDescent="0.2">
      <c r="A9875">
        <v>47929</v>
      </c>
      <c r="B9875" t="s">
        <v>21</v>
      </c>
      <c r="C9875">
        <v>47929</v>
      </c>
      <c r="D9875" t="str">
        <f>"47929"</f>
        <v>47929</v>
      </c>
      <c r="E9875">
        <v>75</v>
      </c>
    </row>
    <row r="9876" spans="1:5" x14ac:dyDescent="0.2">
      <c r="A9876">
        <v>47930</v>
      </c>
      <c r="B9876" t="s">
        <v>21</v>
      </c>
      <c r="C9876">
        <v>47930</v>
      </c>
      <c r="D9876" t="str">
        <f>"47930"</f>
        <v>47930</v>
      </c>
      <c r="E9876">
        <v>69.23</v>
      </c>
    </row>
    <row r="9877" spans="1:5" x14ac:dyDescent="0.2">
      <c r="A9877">
        <v>47932</v>
      </c>
      <c r="B9877" t="s">
        <v>21</v>
      </c>
      <c r="C9877">
        <v>47932</v>
      </c>
      <c r="D9877" t="str">
        <f>"47932"</f>
        <v>47932</v>
      </c>
      <c r="E9877">
        <v>71.66</v>
      </c>
    </row>
    <row r="9878" spans="1:5" x14ac:dyDescent="0.2">
      <c r="A9878">
        <v>47933</v>
      </c>
      <c r="B9878" t="s">
        <v>21</v>
      </c>
      <c r="C9878">
        <v>47933</v>
      </c>
      <c r="D9878" t="str">
        <f>"47933"</f>
        <v>47933</v>
      </c>
      <c r="E9878">
        <v>68.16</v>
      </c>
    </row>
    <row r="9879" spans="1:5" x14ac:dyDescent="0.2">
      <c r="A9879">
        <v>47940</v>
      </c>
      <c r="B9879" t="s">
        <v>21</v>
      </c>
      <c r="C9879">
        <v>47940</v>
      </c>
      <c r="D9879" t="str">
        <f>"47940"</f>
        <v>47940</v>
      </c>
      <c r="E9879">
        <v>74.290000000000006</v>
      </c>
    </row>
    <row r="9880" spans="1:5" x14ac:dyDescent="0.2">
      <c r="A9880">
        <v>47941</v>
      </c>
      <c r="B9880" t="s">
        <v>21</v>
      </c>
      <c r="C9880">
        <v>47941</v>
      </c>
      <c r="D9880" t="str">
        <f>"47941"</f>
        <v>47941</v>
      </c>
      <c r="E9880" t="s">
        <v>6</v>
      </c>
    </row>
    <row r="9881" spans="1:5" x14ac:dyDescent="0.2">
      <c r="A9881">
        <v>47942</v>
      </c>
      <c r="B9881" t="s">
        <v>21</v>
      </c>
      <c r="C9881">
        <v>47942</v>
      </c>
      <c r="D9881" t="str">
        <f>"47942"</f>
        <v>47942</v>
      </c>
      <c r="E9881">
        <v>72.73</v>
      </c>
    </row>
    <row r="9882" spans="1:5" x14ac:dyDescent="0.2">
      <c r="A9882">
        <v>47943</v>
      </c>
      <c r="B9882" t="s">
        <v>21</v>
      </c>
      <c r="C9882">
        <v>47943</v>
      </c>
      <c r="D9882" t="str">
        <f>"47943"</f>
        <v>47943</v>
      </c>
      <c r="E9882">
        <v>69.569999999999993</v>
      </c>
    </row>
    <row r="9883" spans="1:5" x14ac:dyDescent="0.2">
      <c r="A9883">
        <v>47944</v>
      </c>
      <c r="B9883" t="s">
        <v>21</v>
      </c>
      <c r="C9883">
        <v>47944</v>
      </c>
      <c r="D9883" t="str">
        <f>"47944"</f>
        <v>47944</v>
      </c>
      <c r="E9883">
        <v>69.05</v>
      </c>
    </row>
    <row r="9884" spans="1:5" x14ac:dyDescent="0.2">
      <c r="A9884">
        <v>47946</v>
      </c>
      <c r="B9884" t="s">
        <v>21</v>
      </c>
      <c r="C9884">
        <v>47946</v>
      </c>
      <c r="D9884" t="str">
        <f>"47946"</f>
        <v>47946</v>
      </c>
      <c r="E9884">
        <v>70.45</v>
      </c>
    </row>
    <row r="9885" spans="1:5" x14ac:dyDescent="0.2">
      <c r="A9885">
        <v>47948</v>
      </c>
      <c r="B9885" t="s">
        <v>21</v>
      </c>
      <c r="C9885">
        <v>47948</v>
      </c>
      <c r="D9885" t="str">
        <f>"47948"</f>
        <v>47948</v>
      </c>
      <c r="E9885">
        <v>71.19</v>
      </c>
    </row>
    <row r="9886" spans="1:5" x14ac:dyDescent="0.2">
      <c r="A9886">
        <v>47949</v>
      </c>
      <c r="B9886" t="s">
        <v>21</v>
      </c>
      <c r="C9886">
        <v>47949</v>
      </c>
      <c r="D9886" t="str">
        <f>"47949"</f>
        <v>47949</v>
      </c>
      <c r="E9886">
        <v>70</v>
      </c>
    </row>
    <row r="9887" spans="1:5" x14ac:dyDescent="0.2">
      <c r="A9887">
        <v>47950</v>
      </c>
      <c r="B9887" t="s">
        <v>21</v>
      </c>
      <c r="C9887">
        <v>47950</v>
      </c>
      <c r="D9887" t="str">
        <f>"47950"</f>
        <v>47950</v>
      </c>
      <c r="E9887">
        <v>64.099999999999994</v>
      </c>
    </row>
    <row r="9888" spans="1:5" x14ac:dyDescent="0.2">
      <c r="A9888">
        <v>47951</v>
      </c>
      <c r="B9888" t="s">
        <v>21</v>
      </c>
      <c r="C9888">
        <v>47951</v>
      </c>
      <c r="D9888" t="str">
        <f>"47951"</f>
        <v>47951</v>
      </c>
      <c r="E9888">
        <v>67.33</v>
      </c>
    </row>
    <row r="9889" spans="1:5" x14ac:dyDescent="0.2">
      <c r="A9889">
        <v>47952</v>
      </c>
      <c r="B9889" t="s">
        <v>21</v>
      </c>
      <c r="C9889">
        <v>47952</v>
      </c>
      <c r="D9889" t="str">
        <f>"47952"</f>
        <v>47952</v>
      </c>
      <c r="E9889">
        <v>66.099999999999994</v>
      </c>
    </row>
    <row r="9890" spans="1:5" x14ac:dyDescent="0.2">
      <c r="A9890">
        <v>47954</v>
      </c>
      <c r="B9890" t="s">
        <v>21</v>
      </c>
      <c r="C9890">
        <v>47954</v>
      </c>
      <c r="D9890" t="str">
        <f>"47954"</f>
        <v>47954</v>
      </c>
      <c r="E9890">
        <v>68.87</v>
      </c>
    </row>
    <row r="9891" spans="1:5" x14ac:dyDescent="0.2">
      <c r="A9891">
        <v>47955</v>
      </c>
      <c r="B9891" t="s">
        <v>21</v>
      </c>
      <c r="C9891">
        <v>47955</v>
      </c>
      <c r="D9891" t="str">
        <f>"47955"</f>
        <v>47955</v>
      </c>
      <c r="E9891">
        <v>72.09</v>
      </c>
    </row>
    <row r="9892" spans="1:5" x14ac:dyDescent="0.2">
      <c r="A9892">
        <v>47957</v>
      </c>
      <c r="B9892" t="s">
        <v>21</v>
      </c>
      <c r="C9892">
        <v>47957</v>
      </c>
      <c r="D9892" t="str">
        <f>"47957"</f>
        <v>47957</v>
      </c>
      <c r="E9892">
        <v>63.89</v>
      </c>
    </row>
    <row r="9893" spans="1:5" x14ac:dyDescent="0.2">
      <c r="A9893">
        <v>47958</v>
      </c>
      <c r="B9893" t="s">
        <v>21</v>
      </c>
      <c r="C9893">
        <v>47958</v>
      </c>
      <c r="D9893" t="str">
        <f>"47958"</f>
        <v>47958</v>
      </c>
      <c r="E9893" t="s">
        <v>6</v>
      </c>
    </row>
    <row r="9894" spans="1:5" x14ac:dyDescent="0.2">
      <c r="A9894">
        <v>47959</v>
      </c>
      <c r="B9894" t="s">
        <v>21</v>
      </c>
      <c r="C9894">
        <v>47959</v>
      </c>
      <c r="D9894" t="str">
        <f>"47959"</f>
        <v>47959</v>
      </c>
      <c r="E9894">
        <v>60.66</v>
      </c>
    </row>
    <row r="9895" spans="1:5" x14ac:dyDescent="0.2">
      <c r="A9895">
        <v>47960</v>
      </c>
      <c r="B9895" t="s">
        <v>21</v>
      </c>
      <c r="C9895">
        <v>47960</v>
      </c>
      <c r="D9895" t="str">
        <f>"47960"</f>
        <v>47960</v>
      </c>
      <c r="E9895">
        <v>67.489999999999995</v>
      </c>
    </row>
    <row r="9896" spans="1:5" x14ac:dyDescent="0.2">
      <c r="A9896">
        <v>47962</v>
      </c>
      <c r="B9896" t="s">
        <v>21</v>
      </c>
      <c r="C9896">
        <v>47962</v>
      </c>
      <c r="D9896" t="str">
        <f>"47962"</f>
        <v>47962</v>
      </c>
      <c r="E9896" t="s">
        <v>6</v>
      </c>
    </row>
    <row r="9897" spans="1:5" x14ac:dyDescent="0.2">
      <c r="A9897">
        <v>47963</v>
      </c>
      <c r="B9897" t="s">
        <v>21</v>
      </c>
      <c r="C9897">
        <v>47963</v>
      </c>
      <c r="D9897" t="str">
        <f>"47963"</f>
        <v>47963</v>
      </c>
      <c r="E9897">
        <v>70.650000000000006</v>
      </c>
    </row>
    <row r="9898" spans="1:5" x14ac:dyDescent="0.2">
      <c r="A9898">
        <v>47964</v>
      </c>
      <c r="B9898" t="s">
        <v>21</v>
      </c>
      <c r="C9898">
        <v>47964</v>
      </c>
      <c r="D9898" t="str">
        <f>"47964"</f>
        <v>47964</v>
      </c>
      <c r="E9898" t="s">
        <v>6</v>
      </c>
    </row>
    <row r="9899" spans="1:5" x14ac:dyDescent="0.2">
      <c r="A9899">
        <v>47965</v>
      </c>
      <c r="B9899" t="s">
        <v>21</v>
      </c>
      <c r="C9899">
        <v>47965</v>
      </c>
      <c r="D9899" t="str">
        <f>"47965"</f>
        <v>47965</v>
      </c>
      <c r="E9899" t="s">
        <v>6</v>
      </c>
    </row>
    <row r="9900" spans="1:5" x14ac:dyDescent="0.2">
      <c r="A9900">
        <v>47966</v>
      </c>
      <c r="B9900" t="s">
        <v>21</v>
      </c>
      <c r="C9900">
        <v>47966</v>
      </c>
      <c r="D9900" t="str">
        <f>"47966"</f>
        <v>47966</v>
      </c>
      <c r="E9900" t="s">
        <v>6</v>
      </c>
    </row>
    <row r="9901" spans="1:5" x14ac:dyDescent="0.2">
      <c r="A9901">
        <v>47967</v>
      </c>
      <c r="B9901" t="s">
        <v>21</v>
      </c>
      <c r="C9901">
        <v>47967</v>
      </c>
      <c r="D9901" t="str">
        <f>"47967"</f>
        <v>47967</v>
      </c>
      <c r="E9901">
        <v>75.760000000000005</v>
      </c>
    </row>
    <row r="9902" spans="1:5" x14ac:dyDescent="0.2">
      <c r="A9902">
        <v>47968</v>
      </c>
      <c r="B9902" t="s">
        <v>21</v>
      </c>
      <c r="C9902">
        <v>47968</v>
      </c>
      <c r="D9902" t="str">
        <f>"47968"</f>
        <v>47968</v>
      </c>
      <c r="E9902">
        <v>73.47</v>
      </c>
    </row>
    <row r="9903" spans="1:5" x14ac:dyDescent="0.2">
      <c r="A9903">
        <v>47969</v>
      </c>
      <c r="B9903" t="s">
        <v>21</v>
      </c>
      <c r="C9903">
        <v>47969</v>
      </c>
      <c r="D9903" t="str">
        <f>"47969"</f>
        <v>47969</v>
      </c>
      <c r="E9903" t="s">
        <v>6</v>
      </c>
    </row>
    <row r="9904" spans="1:5" x14ac:dyDescent="0.2">
      <c r="A9904">
        <v>47970</v>
      </c>
      <c r="B9904" t="s">
        <v>21</v>
      </c>
      <c r="C9904">
        <v>47970</v>
      </c>
      <c r="D9904" t="str">
        <f>"47970"</f>
        <v>47970</v>
      </c>
      <c r="E9904">
        <v>70.53</v>
      </c>
    </row>
    <row r="9905" spans="1:5" x14ac:dyDescent="0.2">
      <c r="A9905">
        <v>47971</v>
      </c>
      <c r="B9905" t="s">
        <v>21</v>
      </c>
      <c r="C9905">
        <v>47971</v>
      </c>
      <c r="D9905" t="str">
        <f>"47971"</f>
        <v>47971</v>
      </c>
      <c r="E9905">
        <v>68.239999999999995</v>
      </c>
    </row>
    <row r="9906" spans="1:5" x14ac:dyDescent="0.2">
      <c r="A9906">
        <v>47974</v>
      </c>
      <c r="B9906" t="s">
        <v>21</v>
      </c>
      <c r="C9906">
        <v>47974</v>
      </c>
      <c r="D9906" t="str">
        <f>"47974"</f>
        <v>47974</v>
      </c>
      <c r="E9906">
        <v>72.55</v>
      </c>
    </row>
    <row r="9907" spans="1:5" x14ac:dyDescent="0.2">
      <c r="A9907">
        <v>47975</v>
      </c>
      <c r="B9907" t="s">
        <v>21</v>
      </c>
      <c r="C9907">
        <v>47975</v>
      </c>
      <c r="D9907" t="str">
        <f>"47975"</f>
        <v>47975</v>
      </c>
      <c r="E9907">
        <v>76.47</v>
      </c>
    </row>
    <row r="9908" spans="1:5" x14ac:dyDescent="0.2">
      <c r="A9908">
        <v>47977</v>
      </c>
      <c r="B9908" t="s">
        <v>21</v>
      </c>
      <c r="C9908">
        <v>47977</v>
      </c>
      <c r="D9908" t="str">
        <f>"47977"</f>
        <v>47977</v>
      </c>
      <c r="E9908">
        <v>72.900000000000006</v>
      </c>
    </row>
    <row r="9909" spans="1:5" x14ac:dyDescent="0.2">
      <c r="A9909">
        <v>47978</v>
      </c>
      <c r="B9909" t="s">
        <v>21</v>
      </c>
      <c r="C9909">
        <v>47978</v>
      </c>
      <c r="D9909" t="str">
        <f>"47978"</f>
        <v>47978</v>
      </c>
      <c r="E9909">
        <v>68.92</v>
      </c>
    </row>
    <row r="9910" spans="1:5" x14ac:dyDescent="0.2">
      <c r="A9910">
        <v>47980</v>
      </c>
      <c r="B9910" t="s">
        <v>21</v>
      </c>
      <c r="C9910">
        <v>47980</v>
      </c>
      <c r="D9910" t="str">
        <f>"47980"</f>
        <v>47980</v>
      </c>
      <c r="E9910">
        <v>70.59</v>
      </c>
    </row>
    <row r="9911" spans="1:5" x14ac:dyDescent="0.2">
      <c r="A9911">
        <v>47981</v>
      </c>
      <c r="B9911" t="s">
        <v>21</v>
      </c>
      <c r="C9911">
        <v>47981</v>
      </c>
      <c r="D9911" t="str">
        <f>"47981"</f>
        <v>47981</v>
      </c>
      <c r="E9911">
        <v>75</v>
      </c>
    </row>
    <row r="9912" spans="1:5" x14ac:dyDescent="0.2">
      <c r="A9912">
        <v>47982</v>
      </c>
      <c r="B9912" t="s">
        <v>21</v>
      </c>
      <c r="C9912">
        <v>47982</v>
      </c>
      <c r="D9912" t="str">
        <f>"47982"</f>
        <v>47982</v>
      </c>
      <c r="E9912" t="s">
        <v>6</v>
      </c>
    </row>
    <row r="9913" spans="1:5" x14ac:dyDescent="0.2">
      <c r="A9913">
        <v>47983</v>
      </c>
      <c r="B9913" t="s">
        <v>21</v>
      </c>
      <c r="C9913">
        <v>47983</v>
      </c>
      <c r="D9913" t="str">
        <f>"47983"</f>
        <v>47983</v>
      </c>
      <c r="E9913" t="s">
        <v>6</v>
      </c>
    </row>
    <row r="9914" spans="1:5" x14ac:dyDescent="0.2">
      <c r="A9914">
        <v>47986</v>
      </c>
      <c r="B9914" t="s">
        <v>21</v>
      </c>
      <c r="C9914">
        <v>47986</v>
      </c>
      <c r="D9914" t="str">
        <f>"47986"</f>
        <v>47986</v>
      </c>
      <c r="E9914" t="s">
        <v>6</v>
      </c>
    </row>
    <row r="9915" spans="1:5" x14ac:dyDescent="0.2">
      <c r="A9915">
        <v>47987</v>
      </c>
      <c r="B9915" t="s">
        <v>21</v>
      </c>
      <c r="C9915">
        <v>47987</v>
      </c>
      <c r="D9915" t="str">
        <f>"47987"</f>
        <v>47987</v>
      </c>
      <c r="E9915">
        <v>65.92</v>
      </c>
    </row>
    <row r="9916" spans="1:5" x14ac:dyDescent="0.2">
      <c r="A9916">
        <v>47989</v>
      </c>
      <c r="B9916" t="s">
        <v>21</v>
      </c>
      <c r="C9916">
        <v>47989</v>
      </c>
      <c r="D9916" t="str">
        <f>"47989"</f>
        <v>47989</v>
      </c>
      <c r="E9916">
        <v>72.73</v>
      </c>
    </row>
    <row r="9917" spans="1:5" x14ac:dyDescent="0.2">
      <c r="A9917">
        <v>47990</v>
      </c>
      <c r="B9917" t="s">
        <v>21</v>
      </c>
      <c r="C9917">
        <v>47990</v>
      </c>
      <c r="D9917" t="str">
        <f>"47990"</f>
        <v>47990</v>
      </c>
      <c r="E9917">
        <v>70.239999999999995</v>
      </c>
    </row>
    <row r="9918" spans="1:5" x14ac:dyDescent="0.2">
      <c r="A9918">
        <v>47991</v>
      </c>
      <c r="B9918" t="s">
        <v>21</v>
      </c>
      <c r="C9918">
        <v>47991</v>
      </c>
      <c r="D9918" t="str">
        <f>"47991"</f>
        <v>47991</v>
      </c>
      <c r="E9918">
        <v>71.739999999999995</v>
      </c>
    </row>
    <row r="9919" spans="1:5" x14ac:dyDescent="0.2">
      <c r="A9919">
        <v>47992</v>
      </c>
      <c r="B9919" t="s">
        <v>21</v>
      </c>
      <c r="C9919">
        <v>47992</v>
      </c>
      <c r="D9919" t="str">
        <f>"47992"</f>
        <v>47992</v>
      </c>
      <c r="E9919">
        <v>81.69</v>
      </c>
    </row>
    <row r="9920" spans="1:5" x14ac:dyDescent="0.2">
      <c r="A9920">
        <v>47993</v>
      </c>
      <c r="B9920" t="s">
        <v>21</v>
      </c>
      <c r="C9920">
        <v>47993</v>
      </c>
      <c r="D9920" t="str">
        <f>"47993"</f>
        <v>47993</v>
      </c>
      <c r="E9920">
        <v>70.72</v>
      </c>
    </row>
    <row r="9921" spans="1:5" x14ac:dyDescent="0.2">
      <c r="A9921">
        <v>47994</v>
      </c>
      <c r="B9921" t="s">
        <v>21</v>
      </c>
      <c r="C9921">
        <v>47994</v>
      </c>
      <c r="D9921" t="str">
        <f>"47994"</f>
        <v>47994</v>
      </c>
      <c r="E9921">
        <v>75.86</v>
      </c>
    </row>
    <row r="9922" spans="1:5" x14ac:dyDescent="0.2">
      <c r="A9922">
        <v>47995</v>
      </c>
      <c r="B9922" t="s">
        <v>21</v>
      </c>
      <c r="C9922">
        <v>47995</v>
      </c>
      <c r="D9922" t="str">
        <f>"47995"</f>
        <v>47995</v>
      </c>
      <c r="E9922">
        <v>69.14</v>
      </c>
    </row>
    <row r="9923" spans="1:5" x14ac:dyDescent="0.2">
      <c r="A9923">
        <v>47997</v>
      </c>
      <c r="B9923" t="s">
        <v>21</v>
      </c>
      <c r="C9923">
        <v>47997</v>
      </c>
      <c r="D9923" t="str">
        <f>"47997"</f>
        <v>47997</v>
      </c>
      <c r="E9923" t="s">
        <v>6</v>
      </c>
    </row>
    <row r="9924" spans="1:5" x14ac:dyDescent="0.2">
      <c r="A9924">
        <v>66002</v>
      </c>
      <c r="B9924" t="s">
        <v>22</v>
      </c>
      <c r="C9924">
        <v>66002</v>
      </c>
      <c r="D9924" t="str">
        <f>"66002"</f>
        <v>66002</v>
      </c>
      <c r="E9924">
        <v>67.72</v>
      </c>
    </row>
    <row r="9925" spans="1:5" x14ac:dyDescent="0.2">
      <c r="A9925">
        <v>66006</v>
      </c>
      <c r="B9925" t="s">
        <v>22</v>
      </c>
      <c r="C9925">
        <v>66006</v>
      </c>
      <c r="D9925" t="str">
        <f>"66006"</f>
        <v>66006</v>
      </c>
      <c r="E9925">
        <v>73.760000000000005</v>
      </c>
    </row>
    <row r="9926" spans="1:5" x14ac:dyDescent="0.2">
      <c r="A9926">
        <v>66007</v>
      </c>
      <c r="B9926" t="s">
        <v>22</v>
      </c>
      <c r="C9926">
        <v>66007</v>
      </c>
      <c r="D9926" t="str">
        <f>"66007"</f>
        <v>66007</v>
      </c>
      <c r="E9926">
        <v>80.98</v>
      </c>
    </row>
    <row r="9927" spans="1:5" x14ac:dyDescent="0.2">
      <c r="A9927">
        <v>66008</v>
      </c>
      <c r="B9927" t="s">
        <v>22</v>
      </c>
      <c r="C9927">
        <v>66008</v>
      </c>
      <c r="D9927" t="str">
        <f>"66008"</f>
        <v>66008</v>
      </c>
      <c r="E9927">
        <v>75</v>
      </c>
    </row>
    <row r="9928" spans="1:5" x14ac:dyDescent="0.2">
      <c r="A9928">
        <v>66010</v>
      </c>
      <c r="B9928" t="s">
        <v>22</v>
      </c>
      <c r="C9928">
        <v>66010</v>
      </c>
      <c r="D9928" t="str">
        <f>"66010"</f>
        <v>66010</v>
      </c>
      <c r="E9928">
        <v>56.52</v>
      </c>
    </row>
    <row r="9929" spans="1:5" x14ac:dyDescent="0.2">
      <c r="A9929">
        <v>66012</v>
      </c>
      <c r="B9929" t="s">
        <v>22</v>
      </c>
      <c r="C9929">
        <v>66012</v>
      </c>
      <c r="D9929" t="str">
        <f>"66012"</f>
        <v>66012</v>
      </c>
      <c r="E9929">
        <v>75.819999999999993</v>
      </c>
    </row>
    <row r="9930" spans="1:5" x14ac:dyDescent="0.2">
      <c r="A9930">
        <v>66013</v>
      </c>
      <c r="B9930" t="s">
        <v>22</v>
      </c>
      <c r="C9930">
        <v>66013</v>
      </c>
      <c r="D9930" t="str">
        <f>"66013"</f>
        <v>66013</v>
      </c>
      <c r="E9930">
        <v>78.849999999999994</v>
      </c>
    </row>
    <row r="9931" spans="1:5" x14ac:dyDescent="0.2">
      <c r="A9931">
        <v>66014</v>
      </c>
      <c r="B9931" t="s">
        <v>22</v>
      </c>
      <c r="C9931">
        <v>66014</v>
      </c>
      <c r="D9931" t="str">
        <f>"66014"</f>
        <v>66014</v>
      </c>
      <c r="E9931">
        <v>66.67</v>
      </c>
    </row>
    <row r="9932" spans="1:5" x14ac:dyDescent="0.2">
      <c r="A9932">
        <v>66015</v>
      </c>
      <c r="B9932" t="s">
        <v>22</v>
      </c>
      <c r="C9932">
        <v>66015</v>
      </c>
      <c r="D9932" t="str">
        <f>"66015"</f>
        <v>66015</v>
      </c>
      <c r="E9932">
        <v>65.63</v>
      </c>
    </row>
    <row r="9933" spans="1:5" x14ac:dyDescent="0.2">
      <c r="A9933">
        <v>66016</v>
      </c>
      <c r="B9933" t="s">
        <v>22</v>
      </c>
      <c r="C9933">
        <v>66016</v>
      </c>
      <c r="D9933" t="str">
        <f>"66016"</f>
        <v>66016</v>
      </c>
      <c r="E9933">
        <v>76.92</v>
      </c>
    </row>
    <row r="9934" spans="1:5" x14ac:dyDescent="0.2">
      <c r="A9934">
        <v>66017</v>
      </c>
      <c r="B9934" t="s">
        <v>22</v>
      </c>
      <c r="C9934">
        <v>66017</v>
      </c>
      <c r="D9934" t="str">
        <f>"66017"</f>
        <v>66017</v>
      </c>
      <c r="E9934">
        <v>78.569999999999993</v>
      </c>
    </row>
    <row r="9935" spans="1:5" x14ac:dyDescent="0.2">
      <c r="A9935">
        <v>66018</v>
      </c>
      <c r="B9935" t="s">
        <v>22</v>
      </c>
      <c r="C9935">
        <v>66018</v>
      </c>
      <c r="D9935" t="str">
        <f>"66018"</f>
        <v>66018</v>
      </c>
      <c r="E9935">
        <v>74.13</v>
      </c>
    </row>
    <row r="9936" spans="1:5" x14ac:dyDescent="0.2">
      <c r="A9936">
        <v>66020</v>
      </c>
      <c r="B9936" t="s">
        <v>22</v>
      </c>
      <c r="C9936">
        <v>66020</v>
      </c>
      <c r="D9936" t="str">
        <f>"66020"</f>
        <v>66020</v>
      </c>
      <c r="E9936">
        <v>80.260000000000005</v>
      </c>
    </row>
    <row r="9937" spans="1:5" x14ac:dyDescent="0.2">
      <c r="A9937">
        <v>66021</v>
      </c>
      <c r="B9937" t="s">
        <v>22</v>
      </c>
      <c r="C9937">
        <v>66021</v>
      </c>
      <c r="D9937" t="str">
        <f>"66021"</f>
        <v>66021</v>
      </c>
      <c r="E9937">
        <v>77.34</v>
      </c>
    </row>
    <row r="9938" spans="1:5" x14ac:dyDescent="0.2">
      <c r="A9938">
        <v>66023</v>
      </c>
      <c r="B9938" t="s">
        <v>22</v>
      </c>
      <c r="C9938">
        <v>66023</v>
      </c>
      <c r="D9938" t="str">
        <f>"66023"</f>
        <v>66023</v>
      </c>
      <c r="E9938">
        <v>71.430000000000007</v>
      </c>
    </row>
    <row r="9939" spans="1:5" x14ac:dyDescent="0.2">
      <c r="A9939">
        <v>66024</v>
      </c>
      <c r="B9939" t="s">
        <v>22</v>
      </c>
      <c r="C9939">
        <v>66024</v>
      </c>
      <c r="D9939" t="str">
        <f>"66024"</f>
        <v>66024</v>
      </c>
      <c r="E9939" t="s">
        <v>6</v>
      </c>
    </row>
    <row r="9940" spans="1:5" x14ac:dyDescent="0.2">
      <c r="A9940">
        <v>66025</v>
      </c>
      <c r="B9940" t="s">
        <v>22</v>
      </c>
      <c r="C9940">
        <v>66025</v>
      </c>
      <c r="D9940" t="str">
        <f>"66025"</f>
        <v>66025</v>
      </c>
      <c r="E9940">
        <v>74.86</v>
      </c>
    </row>
    <row r="9941" spans="1:5" x14ac:dyDescent="0.2">
      <c r="A9941">
        <v>66026</v>
      </c>
      <c r="B9941" t="s">
        <v>22</v>
      </c>
      <c r="C9941">
        <v>66026</v>
      </c>
      <c r="D9941" t="str">
        <f>"66026"</f>
        <v>66026</v>
      </c>
      <c r="E9941">
        <v>70</v>
      </c>
    </row>
    <row r="9942" spans="1:5" x14ac:dyDescent="0.2">
      <c r="A9942">
        <v>66027</v>
      </c>
      <c r="B9942" t="s">
        <v>22</v>
      </c>
      <c r="C9942">
        <v>66027</v>
      </c>
      <c r="D9942" t="str">
        <f>"66027"</f>
        <v>66027</v>
      </c>
      <c r="E9942">
        <v>78.31</v>
      </c>
    </row>
    <row r="9943" spans="1:5" x14ac:dyDescent="0.2">
      <c r="A9943">
        <v>66030</v>
      </c>
      <c r="B9943" t="s">
        <v>22</v>
      </c>
      <c r="C9943">
        <v>66030</v>
      </c>
      <c r="D9943" t="str">
        <f>"66030"</f>
        <v>66030</v>
      </c>
      <c r="E9943">
        <v>77.39</v>
      </c>
    </row>
    <row r="9944" spans="1:5" x14ac:dyDescent="0.2">
      <c r="A9944">
        <v>66031</v>
      </c>
      <c r="B9944" t="s">
        <v>22</v>
      </c>
      <c r="C9944">
        <v>66031</v>
      </c>
      <c r="D9944" t="str">
        <f>"66031"</f>
        <v>66031</v>
      </c>
      <c r="E9944" t="s">
        <v>6</v>
      </c>
    </row>
    <row r="9945" spans="1:5" x14ac:dyDescent="0.2">
      <c r="A9945">
        <v>66032</v>
      </c>
      <c r="B9945" t="s">
        <v>22</v>
      </c>
      <c r="C9945">
        <v>66032</v>
      </c>
      <c r="D9945" t="str">
        <f>"66032"</f>
        <v>66032</v>
      </c>
      <c r="E9945">
        <v>68.08</v>
      </c>
    </row>
    <row r="9946" spans="1:5" x14ac:dyDescent="0.2">
      <c r="A9946">
        <v>66033</v>
      </c>
      <c r="B9946" t="s">
        <v>22</v>
      </c>
      <c r="C9946">
        <v>66033</v>
      </c>
      <c r="D9946" t="str">
        <f>"66033"</f>
        <v>66033</v>
      </c>
      <c r="E9946">
        <v>71.88</v>
      </c>
    </row>
    <row r="9947" spans="1:5" x14ac:dyDescent="0.2">
      <c r="A9947">
        <v>66035</v>
      </c>
      <c r="B9947" t="s">
        <v>22</v>
      </c>
      <c r="C9947">
        <v>66035</v>
      </c>
      <c r="D9947" t="str">
        <f>"66035"</f>
        <v>66035</v>
      </c>
      <c r="E9947">
        <v>73.17</v>
      </c>
    </row>
    <row r="9948" spans="1:5" x14ac:dyDescent="0.2">
      <c r="A9948">
        <v>66039</v>
      </c>
      <c r="B9948" t="s">
        <v>22</v>
      </c>
      <c r="C9948">
        <v>66039</v>
      </c>
      <c r="D9948" t="str">
        <f>"66039"</f>
        <v>66039</v>
      </c>
      <c r="E9948">
        <v>66.67</v>
      </c>
    </row>
    <row r="9949" spans="1:5" x14ac:dyDescent="0.2">
      <c r="A9949">
        <v>66040</v>
      </c>
      <c r="B9949" t="s">
        <v>22</v>
      </c>
      <c r="C9949">
        <v>66040</v>
      </c>
      <c r="D9949" t="str">
        <f>"66040"</f>
        <v>66040</v>
      </c>
      <c r="E9949">
        <v>70.89</v>
      </c>
    </row>
    <row r="9950" spans="1:5" x14ac:dyDescent="0.2">
      <c r="A9950">
        <v>66041</v>
      </c>
      <c r="B9950" t="s">
        <v>22</v>
      </c>
      <c r="C9950">
        <v>66041</v>
      </c>
      <c r="D9950" t="str">
        <f>"66041"</f>
        <v>66041</v>
      </c>
      <c r="E9950">
        <v>70.59</v>
      </c>
    </row>
    <row r="9951" spans="1:5" x14ac:dyDescent="0.2">
      <c r="A9951">
        <v>66042</v>
      </c>
      <c r="B9951" t="s">
        <v>22</v>
      </c>
      <c r="C9951">
        <v>66042</v>
      </c>
      <c r="D9951" t="str">
        <f>"66042"</f>
        <v>66042</v>
      </c>
      <c r="E9951">
        <v>75.680000000000007</v>
      </c>
    </row>
    <row r="9952" spans="1:5" x14ac:dyDescent="0.2">
      <c r="A9952">
        <v>66043</v>
      </c>
      <c r="B9952" t="s">
        <v>22</v>
      </c>
      <c r="C9952">
        <v>66043</v>
      </c>
      <c r="D9952" t="str">
        <f>"66043"</f>
        <v>66043</v>
      </c>
      <c r="E9952">
        <v>75.98</v>
      </c>
    </row>
    <row r="9953" spans="1:5" x14ac:dyDescent="0.2">
      <c r="A9953">
        <v>66044</v>
      </c>
      <c r="B9953" t="s">
        <v>22</v>
      </c>
      <c r="C9953">
        <v>66044</v>
      </c>
      <c r="D9953" t="str">
        <f>"66044"</f>
        <v>66044</v>
      </c>
      <c r="E9953">
        <v>72.08</v>
      </c>
    </row>
    <row r="9954" spans="1:5" x14ac:dyDescent="0.2">
      <c r="A9954">
        <v>66045</v>
      </c>
      <c r="B9954" t="s">
        <v>22</v>
      </c>
      <c r="C9954">
        <v>66045</v>
      </c>
      <c r="D9954" t="str">
        <f>"66045"</f>
        <v>66045</v>
      </c>
      <c r="E9954" t="s">
        <v>6</v>
      </c>
    </row>
    <row r="9955" spans="1:5" x14ac:dyDescent="0.2">
      <c r="A9955">
        <v>66046</v>
      </c>
      <c r="B9955" t="s">
        <v>22</v>
      </c>
      <c r="C9955">
        <v>66046</v>
      </c>
      <c r="D9955" t="str">
        <f>"66046"</f>
        <v>66046</v>
      </c>
      <c r="E9955">
        <v>70.59</v>
      </c>
    </row>
    <row r="9956" spans="1:5" x14ac:dyDescent="0.2">
      <c r="A9956">
        <v>66047</v>
      </c>
      <c r="B9956" t="s">
        <v>22</v>
      </c>
      <c r="C9956">
        <v>66047</v>
      </c>
      <c r="D9956" t="str">
        <f>"66047"</f>
        <v>66047</v>
      </c>
      <c r="E9956">
        <v>76.52</v>
      </c>
    </row>
    <row r="9957" spans="1:5" x14ac:dyDescent="0.2">
      <c r="A9957">
        <v>66048</v>
      </c>
      <c r="B9957" t="s">
        <v>22</v>
      </c>
      <c r="C9957">
        <v>66048</v>
      </c>
      <c r="D9957" t="str">
        <f>"66048"</f>
        <v>66048</v>
      </c>
      <c r="E9957">
        <v>73.739999999999995</v>
      </c>
    </row>
    <row r="9958" spans="1:5" x14ac:dyDescent="0.2">
      <c r="A9958">
        <v>66049</v>
      </c>
      <c r="B9958" t="s">
        <v>22</v>
      </c>
      <c r="C9958">
        <v>66049</v>
      </c>
      <c r="D9958" t="str">
        <f>"66049"</f>
        <v>66049</v>
      </c>
      <c r="E9958">
        <v>79.58</v>
      </c>
    </row>
    <row r="9959" spans="1:5" x14ac:dyDescent="0.2">
      <c r="A9959">
        <v>66050</v>
      </c>
      <c r="B9959" t="s">
        <v>22</v>
      </c>
      <c r="C9959">
        <v>66050</v>
      </c>
      <c r="D9959" t="str">
        <f>"66050"</f>
        <v>66050</v>
      </c>
      <c r="E9959">
        <v>76.92</v>
      </c>
    </row>
    <row r="9960" spans="1:5" x14ac:dyDescent="0.2">
      <c r="A9960">
        <v>66052</v>
      </c>
      <c r="B9960" t="s">
        <v>22</v>
      </c>
      <c r="C9960">
        <v>66052</v>
      </c>
      <c r="D9960" t="str">
        <f>"66052"</f>
        <v>66052</v>
      </c>
      <c r="E9960">
        <v>78.95</v>
      </c>
    </row>
    <row r="9961" spans="1:5" x14ac:dyDescent="0.2">
      <c r="A9961">
        <v>66053</v>
      </c>
      <c r="B9961" t="s">
        <v>22</v>
      </c>
      <c r="C9961">
        <v>66053</v>
      </c>
      <c r="D9961" t="str">
        <f>"66053"</f>
        <v>66053</v>
      </c>
      <c r="E9961">
        <v>77.39</v>
      </c>
    </row>
    <row r="9962" spans="1:5" x14ac:dyDescent="0.2">
      <c r="A9962">
        <v>66054</v>
      </c>
      <c r="B9962" t="s">
        <v>22</v>
      </c>
      <c r="C9962">
        <v>66054</v>
      </c>
      <c r="D9962" t="str">
        <f>"66054"</f>
        <v>66054</v>
      </c>
      <c r="E9962">
        <v>74.63</v>
      </c>
    </row>
    <row r="9963" spans="1:5" x14ac:dyDescent="0.2">
      <c r="A9963">
        <v>66056</v>
      </c>
      <c r="B9963" t="s">
        <v>22</v>
      </c>
      <c r="C9963">
        <v>66056</v>
      </c>
      <c r="D9963" t="str">
        <f>"66056"</f>
        <v>66056</v>
      </c>
      <c r="E9963">
        <v>63.16</v>
      </c>
    </row>
    <row r="9964" spans="1:5" x14ac:dyDescent="0.2">
      <c r="A9964">
        <v>66058</v>
      </c>
      <c r="B9964" t="s">
        <v>22</v>
      </c>
      <c r="C9964">
        <v>66058</v>
      </c>
      <c r="D9964" t="str">
        <f>"66058"</f>
        <v>66058</v>
      </c>
      <c r="E9964">
        <v>66.67</v>
      </c>
    </row>
    <row r="9965" spans="1:5" x14ac:dyDescent="0.2">
      <c r="A9965">
        <v>66060</v>
      </c>
      <c r="B9965" t="s">
        <v>22</v>
      </c>
      <c r="C9965">
        <v>66060</v>
      </c>
      <c r="D9965" t="str">
        <f>"66060"</f>
        <v>66060</v>
      </c>
      <c r="E9965">
        <v>74.47</v>
      </c>
    </row>
    <row r="9966" spans="1:5" x14ac:dyDescent="0.2">
      <c r="A9966">
        <v>66061</v>
      </c>
      <c r="B9966" t="s">
        <v>22</v>
      </c>
      <c r="C9966">
        <v>66061</v>
      </c>
      <c r="D9966" t="str">
        <f>"66061"</f>
        <v>66061</v>
      </c>
      <c r="E9966">
        <v>77.599999999999994</v>
      </c>
    </row>
    <row r="9967" spans="1:5" x14ac:dyDescent="0.2">
      <c r="A9967">
        <v>66062</v>
      </c>
      <c r="B9967" t="s">
        <v>22</v>
      </c>
      <c r="C9967">
        <v>66062</v>
      </c>
      <c r="D9967" t="str">
        <f>"66062"</f>
        <v>66062</v>
      </c>
      <c r="E9967">
        <v>79.64</v>
      </c>
    </row>
    <row r="9968" spans="1:5" x14ac:dyDescent="0.2">
      <c r="A9968">
        <v>66064</v>
      </c>
      <c r="B9968" t="s">
        <v>22</v>
      </c>
      <c r="C9968">
        <v>66064</v>
      </c>
      <c r="D9968" t="str">
        <f>"66064"</f>
        <v>66064</v>
      </c>
      <c r="E9968">
        <v>64.06</v>
      </c>
    </row>
    <row r="9969" spans="1:5" x14ac:dyDescent="0.2">
      <c r="A9969">
        <v>66066</v>
      </c>
      <c r="B9969" t="s">
        <v>22</v>
      </c>
      <c r="C9969">
        <v>66066</v>
      </c>
      <c r="D9969" t="str">
        <f>"66066"</f>
        <v>66066</v>
      </c>
      <c r="E9969">
        <v>74.790000000000006</v>
      </c>
    </row>
    <row r="9970" spans="1:5" x14ac:dyDescent="0.2">
      <c r="A9970">
        <v>66067</v>
      </c>
      <c r="B9970" t="s">
        <v>22</v>
      </c>
      <c r="C9970">
        <v>66067</v>
      </c>
      <c r="D9970" t="str">
        <f>"66067"</f>
        <v>66067</v>
      </c>
      <c r="E9970">
        <v>70.010000000000005</v>
      </c>
    </row>
    <row r="9971" spans="1:5" x14ac:dyDescent="0.2">
      <c r="A9971">
        <v>66070</v>
      </c>
      <c r="B9971" t="s">
        <v>22</v>
      </c>
      <c r="C9971">
        <v>66070</v>
      </c>
      <c r="D9971" t="str">
        <f>"66070"</f>
        <v>66070</v>
      </c>
      <c r="E9971">
        <v>78.86</v>
      </c>
    </row>
    <row r="9972" spans="1:5" x14ac:dyDescent="0.2">
      <c r="A9972">
        <v>66071</v>
      </c>
      <c r="B9972" t="s">
        <v>22</v>
      </c>
      <c r="C9972">
        <v>66071</v>
      </c>
      <c r="D9972" t="str">
        <f>"66071"</f>
        <v>66071</v>
      </c>
      <c r="E9972">
        <v>75.17</v>
      </c>
    </row>
    <row r="9973" spans="1:5" x14ac:dyDescent="0.2">
      <c r="A9973">
        <v>66072</v>
      </c>
      <c r="B9973" t="s">
        <v>22</v>
      </c>
      <c r="C9973">
        <v>66072</v>
      </c>
      <c r="D9973" t="str">
        <f>"66072"</f>
        <v>66072</v>
      </c>
      <c r="E9973">
        <v>71.739999999999995</v>
      </c>
    </row>
    <row r="9974" spans="1:5" x14ac:dyDescent="0.2">
      <c r="A9974">
        <v>66073</v>
      </c>
      <c r="B9974" t="s">
        <v>22</v>
      </c>
      <c r="C9974">
        <v>66073</v>
      </c>
      <c r="D9974" t="str">
        <f>"66073"</f>
        <v>66073</v>
      </c>
      <c r="E9974">
        <v>73.64</v>
      </c>
    </row>
    <row r="9975" spans="1:5" x14ac:dyDescent="0.2">
      <c r="A9975">
        <v>66075</v>
      </c>
      <c r="B9975" t="s">
        <v>22</v>
      </c>
      <c r="C9975">
        <v>66075</v>
      </c>
      <c r="D9975" t="str">
        <f>"66075"</f>
        <v>66075</v>
      </c>
      <c r="E9975">
        <v>65.52</v>
      </c>
    </row>
    <row r="9976" spans="1:5" x14ac:dyDescent="0.2">
      <c r="A9976">
        <v>66076</v>
      </c>
      <c r="B9976" t="s">
        <v>22</v>
      </c>
      <c r="C9976">
        <v>66076</v>
      </c>
      <c r="D9976" t="str">
        <f>"66076"</f>
        <v>66076</v>
      </c>
      <c r="E9976">
        <v>69.069999999999993</v>
      </c>
    </row>
    <row r="9977" spans="1:5" x14ac:dyDescent="0.2">
      <c r="A9977">
        <v>66078</v>
      </c>
      <c r="B9977" t="s">
        <v>22</v>
      </c>
      <c r="C9977">
        <v>66078</v>
      </c>
      <c r="D9977" t="str">
        <f>"66078"</f>
        <v>66078</v>
      </c>
      <c r="E9977">
        <v>71.739999999999995</v>
      </c>
    </row>
    <row r="9978" spans="1:5" x14ac:dyDescent="0.2">
      <c r="A9978">
        <v>66079</v>
      </c>
      <c r="B9978" t="s">
        <v>22</v>
      </c>
      <c r="C9978">
        <v>66079</v>
      </c>
      <c r="D9978" t="str">
        <f>"66079"</f>
        <v>66079</v>
      </c>
      <c r="E9978">
        <v>65.790000000000006</v>
      </c>
    </row>
    <row r="9979" spans="1:5" x14ac:dyDescent="0.2">
      <c r="A9979">
        <v>66080</v>
      </c>
      <c r="B9979" t="s">
        <v>22</v>
      </c>
      <c r="C9979">
        <v>66080</v>
      </c>
      <c r="D9979" t="str">
        <f>"66080"</f>
        <v>66080</v>
      </c>
      <c r="E9979">
        <v>68</v>
      </c>
    </row>
    <row r="9980" spans="1:5" x14ac:dyDescent="0.2">
      <c r="A9980">
        <v>66083</v>
      </c>
      <c r="B9980" t="s">
        <v>22</v>
      </c>
      <c r="C9980">
        <v>66083</v>
      </c>
      <c r="D9980" t="str">
        <f>"66083"</f>
        <v>66083</v>
      </c>
      <c r="E9980">
        <v>78.64</v>
      </c>
    </row>
    <row r="9981" spans="1:5" x14ac:dyDescent="0.2">
      <c r="A9981">
        <v>66085</v>
      </c>
      <c r="B9981" t="s">
        <v>22</v>
      </c>
      <c r="C9981">
        <v>66085</v>
      </c>
      <c r="D9981" t="str">
        <f>"66085"</f>
        <v>66085</v>
      </c>
      <c r="E9981">
        <v>82.19</v>
      </c>
    </row>
    <row r="9982" spans="1:5" x14ac:dyDescent="0.2">
      <c r="A9982">
        <v>66086</v>
      </c>
      <c r="B9982" t="s">
        <v>22</v>
      </c>
      <c r="C9982">
        <v>66086</v>
      </c>
      <c r="D9982" t="str">
        <f>"66086"</f>
        <v>66086</v>
      </c>
      <c r="E9982">
        <v>78.11</v>
      </c>
    </row>
    <row r="9983" spans="1:5" x14ac:dyDescent="0.2">
      <c r="A9983">
        <v>66087</v>
      </c>
      <c r="B9983" t="s">
        <v>22</v>
      </c>
      <c r="C9983">
        <v>66087</v>
      </c>
      <c r="D9983" t="str">
        <f>"66087"</f>
        <v>66087</v>
      </c>
      <c r="E9983">
        <v>71.28</v>
      </c>
    </row>
    <row r="9984" spans="1:5" x14ac:dyDescent="0.2">
      <c r="A9984">
        <v>66088</v>
      </c>
      <c r="B9984" t="s">
        <v>22</v>
      </c>
      <c r="C9984">
        <v>66088</v>
      </c>
      <c r="D9984" t="str">
        <f>"66088"</f>
        <v>66088</v>
      </c>
      <c r="E9984">
        <v>77.88</v>
      </c>
    </row>
    <row r="9985" spans="1:5" x14ac:dyDescent="0.2">
      <c r="A9985">
        <v>66090</v>
      </c>
      <c r="B9985" t="s">
        <v>22</v>
      </c>
      <c r="C9985">
        <v>66090</v>
      </c>
      <c r="D9985" t="str">
        <f>"66090"</f>
        <v>66090</v>
      </c>
      <c r="E9985">
        <v>69.03</v>
      </c>
    </row>
    <row r="9986" spans="1:5" x14ac:dyDescent="0.2">
      <c r="A9986">
        <v>66091</v>
      </c>
      <c r="B9986" t="s">
        <v>22</v>
      </c>
      <c r="C9986">
        <v>66091</v>
      </c>
      <c r="D9986" t="str">
        <f>"66091"</f>
        <v>66091</v>
      </c>
      <c r="E9986">
        <v>56.25</v>
      </c>
    </row>
    <row r="9987" spans="1:5" x14ac:dyDescent="0.2">
      <c r="A9987">
        <v>66092</v>
      </c>
      <c r="B9987" t="s">
        <v>22</v>
      </c>
      <c r="C9987">
        <v>66092</v>
      </c>
      <c r="D9987" t="str">
        <f>"66092"</f>
        <v>66092</v>
      </c>
      <c r="E9987">
        <v>77.2</v>
      </c>
    </row>
    <row r="9988" spans="1:5" x14ac:dyDescent="0.2">
      <c r="A9988">
        <v>66093</v>
      </c>
      <c r="B9988" t="s">
        <v>22</v>
      </c>
      <c r="C9988">
        <v>66093</v>
      </c>
      <c r="D9988" t="str">
        <f>"66093"</f>
        <v>66093</v>
      </c>
      <c r="E9988">
        <v>60.71</v>
      </c>
    </row>
    <row r="9989" spans="1:5" x14ac:dyDescent="0.2">
      <c r="A9989">
        <v>66094</v>
      </c>
      <c r="B9989" t="s">
        <v>22</v>
      </c>
      <c r="C9989">
        <v>66094</v>
      </c>
      <c r="D9989" t="str">
        <f>"66094"</f>
        <v>66094</v>
      </c>
      <c r="E9989">
        <v>72.22</v>
      </c>
    </row>
    <row r="9990" spans="1:5" x14ac:dyDescent="0.2">
      <c r="A9990">
        <v>66095</v>
      </c>
      <c r="B9990" t="s">
        <v>22</v>
      </c>
      <c r="C9990">
        <v>66095</v>
      </c>
      <c r="D9990" t="str">
        <f>"66095"</f>
        <v>66095</v>
      </c>
      <c r="E9990">
        <v>73.17</v>
      </c>
    </row>
    <row r="9991" spans="1:5" x14ac:dyDescent="0.2">
      <c r="A9991">
        <v>66097</v>
      </c>
      <c r="B9991" t="s">
        <v>22</v>
      </c>
      <c r="C9991">
        <v>66097</v>
      </c>
      <c r="D9991" t="str">
        <f>"66097"</f>
        <v>66097</v>
      </c>
      <c r="E9991">
        <v>70.83</v>
      </c>
    </row>
    <row r="9992" spans="1:5" x14ac:dyDescent="0.2">
      <c r="A9992">
        <v>66101</v>
      </c>
      <c r="B9992" t="s">
        <v>22</v>
      </c>
      <c r="C9992">
        <v>66101</v>
      </c>
      <c r="D9992" t="str">
        <f>"66101"</f>
        <v>66101</v>
      </c>
      <c r="E9992">
        <v>48.21</v>
      </c>
    </row>
    <row r="9993" spans="1:5" x14ac:dyDescent="0.2">
      <c r="A9993">
        <v>66102</v>
      </c>
      <c r="B9993" t="s">
        <v>22</v>
      </c>
      <c r="C9993">
        <v>66102</v>
      </c>
      <c r="D9993" t="str">
        <f>"66102"</f>
        <v>66102</v>
      </c>
      <c r="E9993">
        <v>53.25</v>
      </c>
    </row>
    <row r="9994" spans="1:5" x14ac:dyDescent="0.2">
      <c r="A9994">
        <v>66103</v>
      </c>
      <c r="B9994" t="s">
        <v>22</v>
      </c>
      <c r="C9994">
        <v>66103</v>
      </c>
      <c r="D9994" t="str">
        <f>"66103"</f>
        <v>66103</v>
      </c>
      <c r="E9994">
        <v>71.03</v>
      </c>
    </row>
    <row r="9995" spans="1:5" x14ac:dyDescent="0.2">
      <c r="A9995">
        <v>66104</v>
      </c>
      <c r="B9995" t="s">
        <v>22</v>
      </c>
      <c r="C9995">
        <v>66104</v>
      </c>
      <c r="D9995" t="str">
        <f>"66104"</f>
        <v>66104</v>
      </c>
      <c r="E9995">
        <v>57.03</v>
      </c>
    </row>
    <row r="9996" spans="1:5" x14ac:dyDescent="0.2">
      <c r="A9996">
        <v>66105</v>
      </c>
      <c r="B9996" t="s">
        <v>22</v>
      </c>
      <c r="C9996">
        <v>66105</v>
      </c>
      <c r="D9996" t="str">
        <f>"66105"</f>
        <v>66105</v>
      </c>
      <c r="E9996">
        <v>50</v>
      </c>
    </row>
    <row r="9997" spans="1:5" x14ac:dyDescent="0.2">
      <c r="A9997">
        <v>66106</v>
      </c>
      <c r="B9997" t="s">
        <v>22</v>
      </c>
      <c r="C9997">
        <v>66106</v>
      </c>
      <c r="D9997" t="str">
        <f>"66106"</f>
        <v>66106</v>
      </c>
      <c r="E9997">
        <v>65.430000000000007</v>
      </c>
    </row>
    <row r="9998" spans="1:5" x14ac:dyDescent="0.2">
      <c r="A9998">
        <v>66109</v>
      </c>
      <c r="B9998" t="s">
        <v>22</v>
      </c>
      <c r="C9998">
        <v>66109</v>
      </c>
      <c r="D9998" t="str">
        <f>"66109"</f>
        <v>66109</v>
      </c>
      <c r="E9998">
        <v>78.150000000000006</v>
      </c>
    </row>
    <row r="9999" spans="1:5" x14ac:dyDescent="0.2">
      <c r="A9999">
        <v>66111</v>
      </c>
      <c r="B9999" t="s">
        <v>22</v>
      </c>
      <c r="C9999">
        <v>66111</v>
      </c>
      <c r="D9999" t="str">
        <f>"66111"</f>
        <v>66111</v>
      </c>
      <c r="E9999">
        <v>68.81</v>
      </c>
    </row>
    <row r="10000" spans="1:5" x14ac:dyDescent="0.2">
      <c r="A10000">
        <v>66112</v>
      </c>
      <c r="B10000" t="s">
        <v>22</v>
      </c>
      <c r="C10000">
        <v>66112</v>
      </c>
      <c r="D10000" t="str">
        <f>"66112"</f>
        <v>66112</v>
      </c>
      <c r="E10000">
        <v>67.650000000000006</v>
      </c>
    </row>
    <row r="10001" spans="1:5" x14ac:dyDescent="0.2">
      <c r="A10001">
        <v>66115</v>
      </c>
      <c r="B10001" t="s">
        <v>22</v>
      </c>
      <c r="C10001">
        <v>66115</v>
      </c>
      <c r="D10001" t="str">
        <f>"66115"</f>
        <v>66115</v>
      </c>
      <c r="E10001" t="s">
        <v>6</v>
      </c>
    </row>
    <row r="10002" spans="1:5" x14ac:dyDescent="0.2">
      <c r="A10002">
        <v>66118</v>
      </c>
      <c r="B10002" t="s">
        <v>22</v>
      </c>
      <c r="C10002">
        <v>66118</v>
      </c>
      <c r="D10002" t="str">
        <f>"66118"</f>
        <v>66118</v>
      </c>
      <c r="E10002" t="s">
        <v>6</v>
      </c>
    </row>
    <row r="10003" spans="1:5" x14ac:dyDescent="0.2">
      <c r="A10003">
        <v>66160</v>
      </c>
      <c r="B10003" t="s">
        <v>22</v>
      </c>
      <c r="C10003">
        <v>66160</v>
      </c>
      <c r="D10003" t="str">
        <f>"66160"</f>
        <v>66160</v>
      </c>
      <c r="E10003" t="s">
        <v>6</v>
      </c>
    </row>
    <row r="10004" spans="1:5" x14ac:dyDescent="0.2">
      <c r="A10004">
        <v>66202</v>
      </c>
      <c r="B10004" t="s">
        <v>22</v>
      </c>
      <c r="C10004">
        <v>66202</v>
      </c>
      <c r="D10004" t="str">
        <f>"66202"</f>
        <v>66202</v>
      </c>
      <c r="E10004">
        <v>81.67</v>
      </c>
    </row>
    <row r="10005" spans="1:5" x14ac:dyDescent="0.2">
      <c r="A10005">
        <v>66203</v>
      </c>
      <c r="B10005" t="s">
        <v>22</v>
      </c>
      <c r="C10005">
        <v>66203</v>
      </c>
      <c r="D10005" t="str">
        <f>"66203"</f>
        <v>66203</v>
      </c>
      <c r="E10005">
        <v>76.290000000000006</v>
      </c>
    </row>
    <row r="10006" spans="1:5" x14ac:dyDescent="0.2">
      <c r="A10006">
        <v>66204</v>
      </c>
      <c r="B10006" t="s">
        <v>22</v>
      </c>
      <c r="C10006">
        <v>66204</v>
      </c>
      <c r="D10006" t="str">
        <f>"66204"</f>
        <v>66204</v>
      </c>
      <c r="E10006">
        <v>79.05</v>
      </c>
    </row>
    <row r="10007" spans="1:5" x14ac:dyDescent="0.2">
      <c r="A10007">
        <v>66205</v>
      </c>
      <c r="B10007" t="s">
        <v>22</v>
      </c>
      <c r="C10007">
        <v>66205</v>
      </c>
      <c r="D10007" t="str">
        <f>"66205"</f>
        <v>66205</v>
      </c>
      <c r="E10007">
        <v>84.65</v>
      </c>
    </row>
    <row r="10008" spans="1:5" x14ac:dyDescent="0.2">
      <c r="A10008">
        <v>66206</v>
      </c>
      <c r="B10008" t="s">
        <v>22</v>
      </c>
      <c r="C10008">
        <v>66206</v>
      </c>
      <c r="D10008" t="str">
        <f>"66206"</f>
        <v>66206</v>
      </c>
      <c r="E10008">
        <v>83.69</v>
      </c>
    </row>
    <row r="10009" spans="1:5" x14ac:dyDescent="0.2">
      <c r="A10009">
        <v>66207</v>
      </c>
      <c r="B10009" t="s">
        <v>22</v>
      </c>
      <c r="C10009">
        <v>66207</v>
      </c>
      <c r="D10009" t="str">
        <f>"66207"</f>
        <v>66207</v>
      </c>
      <c r="E10009">
        <v>82.57</v>
      </c>
    </row>
    <row r="10010" spans="1:5" x14ac:dyDescent="0.2">
      <c r="A10010">
        <v>66208</v>
      </c>
      <c r="B10010" t="s">
        <v>22</v>
      </c>
      <c r="C10010">
        <v>66208</v>
      </c>
      <c r="D10010" t="str">
        <f>"66208"</f>
        <v>66208</v>
      </c>
      <c r="E10010">
        <v>84.57</v>
      </c>
    </row>
    <row r="10011" spans="1:5" x14ac:dyDescent="0.2">
      <c r="A10011">
        <v>66209</v>
      </c>
      <c r="B10011" t="s">
        <v>22</v>
      </c>
      <c r="C10011">
        <v>66209</v>
      </c>
      <c r="D10011" t="str">
        <f>"66209"</f>
        <v>66209</v>
      </c>
      <c r="E10011">
        <v>83.68</v>
      </c>
    </row>
    <row r="10012" spans="1:5" x14ac:dyDescent="0.2">
      <c r="A10012">
        <v>66210</v>
      </c>
      <c r="B10012" t="s">
        <v>22</v>
      </c>
      <c r="C10012">
        <v>66210</v>
      </c>
      <c r="D10012" t="str">
        <f>"66210"</f>
        <v>66210</v>
      </c>
      <c r="E10012">
        <v>82.88</v>
      </c>
    </row>
    <row r="10013" spans="1:5" x14ac:dyDescent="0.2">
      <c r="A10013">
        <v>66211</v>
      </c>
      <c r="B10013" t="s">
        <v>22</v>
      </c>
      <c r="C10013">
        <v>66211</v>
      </c>
      <c r="D10013" t="str">
        <f>"66211"</f>
        <v>66211</v>
      </c>
      <c r="E10013">
        <v>84.76</v>
      </c>
    </row>
    <row r="10014" spans="1:5" x14ac:dyDescent="0.2">
      <c r="A10014">
        <v>66212</v>
      </c>
      <c r="B10014" t="s">
        <v>22</v>
      </c>
      <c r="C10014">
        <v>66212</v>
      </c>
      <c r="D10014" t="str">
        <f>"66212"</f>
        <v>66212</v>
      </c>
      <c r="E10014">
        <v>77.81</v>
      </c>
    </row>
    <row r="10015" spans="1:5" x14ac:dyDescent="0.2">
      <c r="A10015">
        <v>66213</v>
      </c>
      <c r="B10015" t="s">
        <v>22</v>
      </c>
      <c r="C10015">
        <v>66213</v>
      </c>
      <c r="D10015" t="str">
        <f>"66213"</f>
        <v>66213</v>
      </c>
      <c r="E10015">
        <v>82.38</v>
      </c>
    </row>
    <row r="10016" spans="1:5" x14ac:dyDescent="0.2">
      <c r="A10016">
        <v>66214</v>
      </c>
      <c r="B10016" t="s">
        <v>22</v>
      </c>
      <c r="C10016">
        <v>66214</v>
      </c>
      <c r="D10016" t="str">
        <f>"66214"</f>
        <v>66214</v>
      </c>
      <c r="E10016">
        <v>76.510000000000005</v>
      </c>
    </row>
    <row r="10017" spans="1:5" x14ac:dyDescent="0.2">
      <c r="A10017">
        <v>66215</v>
      </c>
      <c r="B10017" t="s">
        <v>22</v>
      </c>
      <c r="C10017">
        <v>66215</v>
      </c>
      <c r="D10017" t="str">
        <f>"66215"</f>
        <v>66215</v>
      </c>
      <c r="E10017">
        <v>79.819999999999993</v>
      </c>
    </row>
    <row r="10018" spans="1:5" x14ac:dyDescent="0.2">
      <c r="A10018">
        <v>66216</v>
      </c>
      <c r="B10018" t="s">
        <v>22</v>
      </c>
      <c r="C10018">
        <v>66216</v>
      </c>
      <c r="D10018" t="str">
        <f>"66216"</f>
        <v>66216</v>
      </c>
      <c r="E10018">
        <v>80.11</v>
      </c>
    </row>
    <row r="10019" spans="1:5" x14ac:dyDescent="0.2">
      <c r="A10019">
        <v>66217</v>
      </c>
      <c r="B10019" t="s">
        <v>22</v>
      </c>
      <c r="C10019">
        <v>66217</v>
      </c>
      <c r="D10019" t="str">
        <f>"66217"</f>
        <v>66217</v>
      </c>
      <c r="E10019">
        <v>77.040000000000006</v>
      </c>
    </row>
    <row r="10020" spans="1:5" x14ac:dyDescent="0.2">
      <c r="A10020">
        <v>66218</v>
      </c>
      <c r="B10020" t="s">
        <v>22</v>
      </c>
      <c r="C10020">
        <v>66218</v>
      </c>
      <c r="D10020" t="str">
        <f>"66218"</f>
        <v>66218</v>
      </c>
      <c r="E10020">
        <v>82.51</v>
      </c>
    </row>
    <row r="10021" spans="1:5" x14ac:dyDescent="0.2">
      <c r="A10021">
        <v>66219</v>
      </c>
      <c r="B10021" t="s">
        <v>22</v>
      </c>
      <c r="C10021">
        <v>66219</v>
      </c>
      <c r="D10021" t="str">
        <f>"66219"</f>
        <v>66219</v>
      </c>
      <c r="E10021">
        <v>83.56</v>
      </c>
    </row>
    <row r="10022" spans="1:5" x14ac:dyDescent="0.2">
      <c r="A10022">
        <v>66220</v>
      </c>
      <c r="B10022" t="s">
        <v>22</v>
      </c>
      <c r="C10022">
        <v>66220</v>
      </c>
      <c r="D10022" t="str">
        <f>"66220"</f>
        <v>66220</v>
      </c>
      <c r="E10022">
        <v>83.03</v>
      </c>
    </row>
    <row r="10023" spans="1:5" x14ac:dyDescent="0.2">
      <c r="A10023">
        <v>66221</v>
      </c>
      <c r="B10023" t="s">
        <v>22</v>
      </c>
      <c r="C10023">
        <v>66221</v>
      </c>
      <c r="D10023" t="str">
        <f>"66221"</f>
        <v>66221</v>
      </c>
      <c r="E10023">
        <v>82.1</v>
      </c>
    </row>
    <row r="10024" spans="1:5" x14ac:dyDescent="0.2">
      <c r="A10024">
        <v>66223</v>
      </c>
      <c r="B10024" t="s">
        <v>22</v>
      </c>
      <c r="C10024">
        <v>66223</v>
      </c>
      <c r="D10024" t="str">
        <f>"66223"</f>
        <v>66223</v>
      </c>
      <c r="E10024">
        <v>81.97</v>
      </c>
    </row>
    <row r="10025" spans="1:5" x14ac:dyDescent="0.2">
      <c r="A10025">
        <v>66224</v>
      </c>
      <c r="B10025" t="s">
        <v>22</v>
      </c>
      <c r="C10025">
        <v>66224</v>
      </c>
      <c r="D10025" t="str">
        <f>"66224"</f>
        <v>66224</v>
      </c>
      <c r="E10025">
        <v>80.92</v>
      </c>
    </row>
    <row r="10026" spans="1:5" x14ac:dyDescent="0.2">
      <c r="A10026">
        <v>66226</v>
      </c>
      <c r="B10026" t="s">
        <v>22</v>
      </c>
      <c r="C10026">
        <v>66226</v>
      </c>
      <c r="D10026" t="str">
        <f>"66226"</f>
        <v>66226</v>
      </c>
      <c r="E10026">
        <v>82.76</v>
      </c>
    </row>
    <row r="10027" spans="1:5" x14ac:dyDescent="0.2">
      <c r="A10027">
        <v>66227</v>
      </c>
      <c r="B10027" t="s">
        <v>22</v>
      </c>
      <c r="C10027">
        <v>66227</v>
      </c>
      <c r="D10027" t="str">
        <f>"66227"</f>
        <v>66227</v>
      </c>
      <c r="E10027">
        <v>84.57</v>
      </c>
    </row>
    <row r="10028" spans="1:5" x14ac:dyDescent="0.2">
      <c r="A10028">
        <v>66250</v>
      </c>
      <c r="B10028" t="s">
        <v>22</v>
      </c>
      <c r="C10028">
        <v>66250</v>
      </c>
      <c r="D10028" t="str">
        <f>"66250"</f>
        <v>66250</v>
      </c>
      <c r="E10028" t="s">
        <v>6</v>
      </c>
    </row>
    <row r="10029" spans="1:5" x14ac:dyDescent="0.2">
      <c r="A10029">
        <v>66251</v>
      </c>
      <c r="B10029" t="s">
        <v>22</v>
      </c>
      <c r="C10029">
        <v>66251</v>
      </c>
      <c r="D10029" t="str">
        <f>"66251"</f>
        <v>66251</v>
      </c>
      <c r="E10029" t="s">
        <v>6</v>
      </c>
    </row>
    <row r="10030" spans="1:5" x14ac:dyDescent="0.2">
      <c r="A10030">
        <v>66401</v>
      </c>
      <c r="B10030" t="s">
        <v>22</v>
      </c>
      <c r="C10030">
        <v>66401</v>
      </c>
      <c r="D10030" t="str">
        <f>"66401"</f>
        <v>66401</v>
      </c>
      <c r="E10030">
        <v>75.58</v>
      </c>
    </row>
    <row r="10031" spans="1:5" x14ac:dyDescent="0.2">
      <c r="A10031">
        <v>66402</v>
      </c>
      <c r="B10031" t="s">
        <v>22</v>
      </c>
      <c r="C10031">
        <v>66402</v>
      </c>
      <c r="D10031" t="str">
        <f>"66402"</f>
        <v>66402</v>
      </c>
      <c r="E10031">
        <v>77.14</v>
      </c>
    </row>
    <row r="10032" spans="1:5" x14ac:dyDescent="0.2">
      <c r="A10032">
        <v>66403</v>
      </c>
      <c r="B10032" t="s">
        <v>22</v>
      </c>
      <c r="C10032">
        <v>66403</v>
      </c>
      <c r="D10032" t="str">
        <f>"66403"</f>
        <v>66403</v>
      </c>
      <c r="E10032">
        <v>67.569999999999993</v>
      </c>
    </row>
    <row r="10033" spans="1:5" x14ac:dyDescent="0.2">
      <c r="A10033">
        <v>66404</v>
      </c>
      <c r="B10033" t="s">
        <v>22</v>
      </c>
      <c r="C10033">
        <v>66404</v>
      </c>
      <c r="D10033" t="str">
        <f>"66404"</f>
        <v>66404</v>
      </c>
      <c r="E10033">
        <v>69.23</v>
      </c>
    </row>
    <row r="10034" spans="1:5" x14ac:dyDescent="0.2">
      <c r="A10034">
        <v>66406</v>
      </c>
      <c r="B10034" t="s">
        <v>22</v>
      </c>
      <c r="C10034">
        <v>66406</v>
      </c>
      <c r="D10034" t="str">
        <f>"66406"</f>
        <v>66406</v>
      </c>
      <c r="E10034">
        <v>75</v>
      </c>
    </row>
    <row r="10035" spans="1:5" x14ac:dyDescent="0.2">
      <c r="A10035">
        <v>66407</v>
      </c>
      <c r="B10035" t="s">
        <v>22</v>
      </c>
      <c r="C10035">
        <v>66407</v>
      </c>
      <c r="D10035" t="str">
        <f>"66407"</f>
        <v>66407</v>
      </c>
      <c r="E10035">
        <v>71.430000000000007</v>
      </c>
    </row>
    <row r="10036" spans="1:5" x14ac:dyDescent="0.2">
      <c r="A10036">
        <v>66408</v>
      </c>
      <c r="B10036" t="s">
        <v>22</v>
      </c>
      <c r="C10036">
        <v>66408</v>
      </c>
      <c r="D10036" t="str">
        <f>"66408"</f>
        <v>66408</v>
      </c>
      <c r="E10036">
        <v>73.91</v>
      </c>
    </row>
    <row r="10037" spans="1:5" x14ac:dyDescent="0.2">
      <c r="A10037">
        <v>66409</v>
      </c>
      <c r="B10037" t="s">
        <v>22</v>
      </c>
      <c r="C10037">
        <v>66409</v>
      </c>
      <c r="D10037" t="str">
        <f>"66409"</f>
        <v>66409</v>
      </c>
      <c r="E10037">
        <v>80.37</v>
      </c>
    </row>
    <row r="10038" spans="1:5" x14ac:dyDescent="0.2">
      <c r="A10038">
        <v>66411</v>
      </c>
      <c r="B10038" t="s">
        <v>22</v>
      </c>
      <c r="C10038">
        <v>66411</v>
      </c>
      <c r="D10038" t="str">
        <f>"66411"</f>
        <v>66411</v>
      </c>
      <c r="E10038">
        <v>62.5</v>
      </c>
    </row>
    <row r="10039" spans="1:5" x14ac:dyDescent="0.2">
      <c r="A10039">
        <v>66412</v>
      </c>
      <c r="B10039" t="s">
        <v>22</v>
      </c>
      <c r="C10039">
        <v>66412</v>
      </c>
      <c r="D10039" t="str">
        <f>"66412"</f>
        <v>66412</v>
      </c>
      <c r="E10039">
        <v>66.67</v>
      </c>
    </row>
    <row r="10040" spans="1:5" x14ac:dyDescent="0.2">
      <c r="A10040">
        <v>66413</v>
      </c>
      <c r="B10040" t="s">
        <v>22</v>
      </c>
      <c r="C10040">
        <v>66413</v>
      </c>
      <c r="D10040" t="str">
        <f>"66413"</f>
        <v>66413</v>
      </c>
      <c r="E10040">
        <v>70.59</v>
      </c>
    </row>
    <row r="10041" spans="1:5" x14ac:dyDescent="0.2">
      <c r="A10041">
        <v>66414</v>
      </c>
      <c r="B10041" t="s">
        <v>22</v>
      </c>
      <c r="C10041">
        <v>66414</v>
      </c>
      <c r="D10041" t="str">
        <f>"66414"</f>
        <v>66414</v>
      </c>
      <c r="E10041">
        <v>72.09</v>
      </c>
    </row>
    <row r="10042" spans="1:5" x14ac:dyDescent="0.2">
      <c r="A10042">
        <v>66415</v>
      </c>
      <c r="B10042" t="s">
        <v>22</v>
      </c>
      <c r="C10042">
        <v>66415</v>
      </c>
      <c r="D10042" t="str">
        <f>"66415"</f>
        <v>66415</v>
      </c>
      <c r="E10042">
        <v>69.05</v>
      </c>
    </row>
    <row r="10043" spans="1:5" x14ac:dyDescent="0.2">
      <c r="A10043">
        <v>66416</v>
      </c>
      <c r="B10043" t="s">
        <v>22</v>
      </c>
      <c r="C10043">
        <v>66416</v>
      </c>
      <c r="D10043" t="str">
        <f>"66416"</f>
        <v>66416</v>
      </c>
      <c r="E10043">
        <v>76.19</v>
      </c>
    </row>
    <row r="10044" spans="1:5" x14ac:dyDescent="0.2">
      <c r="A10044">
        <v>66417</v>
      </c>
      <c r="B10044" t="s">
        <v>22</v>
      </c>
      <c r="C10044">
        <v>66417</v>
      </c>
      <c r="D10044" t="str">
        <f>"66417"</f>
        <v>66417</v>
      </c>
      <c r="E10044">
        <v>77.78</v>
      </c>
    </row>
    <row r="10045" spans="1:5" x14ac:dyDescent="0.2">
      <c r="A10045">
        <v>66418</v>
      </c>
      <c r="B10045" t="s">
        <v>22</v>
      </c>
      <c r="C10045">
        <v>66418</v>
      </c>
      <c r="D10045" t="str">
        <f>"66418"</f>
        <v>66418</v>
      </c>
      <c r="E10045">
        <v>65.38</v>
      </c>
    </row>
    <row r="10046" spans="1:5" x14ac:dyDescent="0.2">
      <c r="A10046">
        <v>66419</v>
      </c>
      <c r="B10046" t="s">
        <v>22</v>
      </c>
      <c r="C10046">
        <v>66419</v>
      </c>
      <c r="D10046" t="str">
        <f>"66419"</f>
        <v>66419</v>
      </c>
      <c r="E10046">
        <v>70.59</v>
      </c>
    </row>
    <row r="10047" spans="1:5" x14ac:dyDescent="0.2">
      <c r="A10047">
        <v>66422</v>
      </c>
      <c r="B10047" t="s">
        <v>22</v>
      </c>
      <c r="C10047">
        <v>66422</v>
      </c>
      <c r="D10047" t="str">
        <f>"66422"</f>
        <v>66422</v>
      </c>
      <c r="E10047">
        <v>63.64</v>
      </c>
    </row>
    <row r="10048" spans="1:5" x14ac:dyDescent="0.2">
      <c r="A10048">
        <v>66423</v>
      </c>
      <c r="B10048" t="s">
        <v>22</v>
      </c>
      <c r="C10048">
        <v>66423</v>
      </c>
      <c r="D10048" t="str">
        <f>"66423"</f>
        <v>66423</v>
      </c>
      <c r="E10048">
        <v>73.680000000000007</v>
      </c>
    </row>
    <row r="10049" spans="1:5" x14ac:dyDescent="0.2">
      <c r="A10049">
        <v>66424</v>
      </c>
      <c r="B10049" t="s">
        <v>22</v>
      </c>
      <c r="C10049">
        <v>66424</v>
      </c>
      <c r="D10049" t="str">
        <f>"66424"</f>
        <v>66424</v>
      </c>
      <c r="E10049">
        <v>76</v>
      </c>
    </row>
    <row r="10050" spans="1:5" x14ac:dyDescent="0.2">
      <c r="A10050">
        <v>66425</v>
      </c>
      <c r="B10050" t="s">
        <v>22</v>
      </c>
      <c r="C10050">
        <v>66425</v>
      </c>
      <c r="D10050" t="str">
        <f>"66425"</f>
        <v>66425</v>
      </c>
      <c r="E10050">
        <v>73.91</v>
      </c>
    </row>
    <row r="10051" spans="1:5" x14ac:dyDescent="0.2">
      <c r="A10051">
        <v>66427</v>
      </c>
      <c r="B10051" t="s">
        <v>22</v>
      </c>
      <c r="C10051">
        <v>66427</v>
      </c>
      <c r="D10051" t="str">
        <f>"66427"</f>
        <v>66427</v>
      </c>
      <c r="E10051">
        <v>74.58</v>
      </c>
    </row>
    <row r="10052" spans="1:5" x14ac:dyDescent="0.2">
      <c r="A10052">
        <v>66428</v>
      </c>
      <c r="B10052" t="s">
        <v>22</v>
      </c>
      <c r="C10052">
        <v>66428</v>
      </c>
      <c r="D10052" t="str">
        <f>"66428"</f>
        <v>66428</v>
      </c>
      <c r="E10052">
        <v>66.67</v>
      </c>
    </row>
    <row r="10053" spans="1:5" x14ac:dyDescent="0.2">
      <c r="A10053">
        <v>66429</v>
      </c>
      <c r="B10053" t="s">
        <v>22</v>
      </c>
      <c r="C10053">
        <v>66429</v>
      </c>
      <c r="D10053" t="str">
        <f>"66429"</f>
        <v>66429</v>
      </c>
      <c r="E10053">
        <v>73.33</v>
      </c>
    </row>
    <row r="10054" spans="1:5" x14ac:dyDescent="0.2">
      <c r="A10054">
        <v>66431</v>
      </c>
      <c r="B10054" t="s">
        <v>22</v>
      </c>
      <c r="C10054">
        <v>66431</v>
      </c>
      <c r="D10054" t="str">
        <f>"66431"</f>
        <v>66431</v>
      </c>
      <c r="E10054">
        <v>71.430000000000007</v>
      </c>
    </row>
    <row r="10055" spans="1:5" x14ac:dyDescent="0.2">
      <c r="A10055">
        <v>66432</v>
      </c>
      <c r="B10055" t="s">
        <v>22</v>
      </c>
      <c r="C10055">
        <v>66432</v>
      </c>
      <c r="D10055" t="str">
        <f>"66432"</f>
        <v>66432</v>
      </c>
      <c r="E10055">
        <v>63.16</v>
      </c>
    </row>
    <row r="10056" spans="1:5" x14ac:dyDescent="0.2">
      <c r="A10056">
        <v>66434</v>
      </c>
      <c r="B10056" t="s">
        <v>22</v>
      </c>
      <c r="C10056">
        <v>66434</v>
      </c>
      <c r="D10056" t="str">
        <f>"66434"</f>
        <v>66434</v>
      </c>
      <c r="E10056">
        <v>68.87</v>
      </c>
    </row>
    <row r="10057" spans="1:5" x14ac:dyDescent="0.2">
      <c r="A10057">
        <v>66436</v>
      </c>
      <c r="B10057" t="s">
        <v>22</v>
      </c>
      <c r="C10057">
        <v>66436</v>
      </c>
      <c r="D10057" t="str">
        <f>"66436"</f>
        <v>66436</v>
      </c>
      <c r="E10057">
        <v>69.89</v>
      </c>
    </row>
    <row r="10058" spans="1:5" x14ac:dyDescent="0.2">
      <c r="A10058">
        <v>66438</v>
      </c>
      <c r="B10058" t="s">
        <v>22</v>
      </c>
      <c r="C10058">
        <v>66438</v>
      </c>
      <c r="D10058" t="str">
        <f>"66438"</f>
        <v>66438</v>
      </c>
      <c r="E10058">
        <v>64.290000000000006</v>
      </c>
    </row>
    <row r="10059" spans="1:5" x14ac:dyDescent="0.2">
      <c r="A10059">
        <v>66439</v>
      </c>
      <c r="B10059" t="s">
        <v>22</v>
      </c>
      <c r="C10059">
        <v>66439</v>
      </c>
      <c r="D10059" t="str">
        <f>"66439"</f>
        <v>66439</v>
      </c>
      <c r="E10059">
        <v>62.73</v>
      </c>
    </row>
    <row r="10060" spans="1:5" x14ac:dyDescent="0.2">
      <c r="A10060">
        <v>66440</v>
      </c>
      <c r="B10060" t="s">
        <v>22</v>
      </c>
      <c r="C10060">
        <v>66440</v>
      </c>
      <c r="D10060" t="str">
        <f>"66440"</f>
        <v>66440</v>
      </c>
      <c r="E10060">
        <v>76.290000000000006</v>
      </c>
    </row>
    <row r="10061" spans="1:5" x14ac:dyDescent="0.2">
      <c r="A10061">
        <v>66441</v>
      </c>
      <c r="B10061" t="s">
        <v>22</v>
      </c>
      <c r="C10061">
        <v>66441</v>
      </c>
      <c r="D10061" t="str">
        <f>"66441"</f>
        <v>66441</v>
      </c>
      <c r="E10061">
        <v>67.77</v>
      </c>
    </row>
    <row r="10062" spans="1:5" x14ac:dyDescent="0.2">
      <c r="A10062">
        <v>66442</v>
      </c>
      <c r="B10062" t="s">
        <v>22</v>
      </c>
      <c r="C10062">
        <v>66442</v>
      </c>
      <c r="D10062" t="str">
        <f>"66442"</f>
        <v>66442</v>
      </c>
      <c r="E10062">
        <v>66.95</v>
      </c>
    </row>
    <row r="10063" spans="1:5" x14ac:dyDescent="0.2">
      <c r="A10063">
        <v>66449</v>
      </c>
      <c r="B10063" t="s">
        <v>22</v>
      </c>
      <c r="C10063">
        <v>66449</v>
      </c>
      <c r="D10063" t="str">
        <f>"66449"</f>
        <v>66449</v>
      </c>
      <c r="E10063">
        <v>65.790000000000006</v>
      </c>
    </row>
    <row r="10064" spans="1:5" x14ac:dyDescent="0.2">
      <c r="A10064">
        <v>66451</v>
      </c>
      <c r="B10064" t="s">
        <v>22</v>
      </c>
      <c r="C10064">
        <v>66451</v>
      </c>
      <c r="D10064" t="str">
        <f>"66451"</f>
        <v>66451</v>
      </c>
      <c r="E10064">
        <v>71.25</v>
      </c>
    </row>
    <row r="10065" spans="1:5" x14ac:dyDescent="0.2">
      <c r="A10065">
        <v>66501</v>
      </c>
      <c r="B10065" t="s">
        <v>22</v>
      </c>
      <c r="C10065">
        <v>66501</v>
      </c>
      <c r="D10065" t="str">
        <f>"66501"</f>
        <v>66501</v>
      </c>
      <c r="E10065" t="s">
        <v>6</v>
      </c>
    </row>
    <row r="10066" spans="1:5" x14ac:dyDescent="0.2">
      <c r="A10066">
        <v>66502</v>
      </c>
      <c r="B10066" t="s">
        <v>22</v>
      </c>
      <c r="C10066">
        <v>66502</v>
      </c>
      <c r="D10066" t="str">
        <f>"66502"</f>
        <v>66502</v>
      </c>
      <c r="E10066">
        <v>72.09</v>
      </c>
    </row>
    <row r="10067" spans="1:5" x14ac:dyDescent="0.2">
      <c r="A10067">
        <v>66503</v>
      </c>
      <c r="B10067" t="s">
        <v>22</v>
      </c>
      <c r="C10067">
        <v>66503</v>
      </c>
      <c r="D10067" t="str">
        <f>"66503"</f>
        <v>66503</v>
      </c>
      <c r="E10067">
        <v>79.42</v>
      </c>
    </row>
    <row r="10068" spans="1:5" x14ac:dyDescent="0.2">
      <c r="A10068">
        <v>66506</v>
      </c>
      <c r="B10068" t="s">
        <v>22</v>
      </c>
      <c r="C10068">
        <v>66506</v>
      </c>
      <c r="D10068" t="str">
        <f>"66506"</f>
        <v>66506</v>
      </c>
      <c r="E10068" t="s">
        <v>6</v>
      </c>
    </row>
    <row r="10069" spans="1:5" x14ac:dyDescent="0.2">
      <c r="A10069">
        <v>66507</v>
      </c>
      <c r="B10069" t="s">
        <v>22</v>
      </c>
      <c r="C10069">
        <v>66507</v>
      </c>
      <c r="D10069" t="str">
        <f>"66507"</f>
        <v>66507</v>
      </c>
      <c r="E10069">
        <v>77.36</v>
      </c>
    </row>
    <row r="10070" spans="1:5" x14ac:dyDescent="0.2">
      <c r="A10070">
        <v>66508</v>
      </c>
      <c r="B10070" t="s">
        <v>22</v>
      </c>
      <c r="C10070">
        <v>66508</v>
      </c>
      <c r="D10070" t="str">
        <f>"66508"</f>
        <v>66508</v>
      </c>
      <c r="E10070">
        <v>67.150000000000006</v>
      </c>
    </row>
    <row r="10071" spans="1:5" x14ac:dyDescent="0.2">
      <c r="A10071">
        <v>66509</v>
      </c>
      <c r="B10071" t="s">
        <v>22</v>
      </c>
      <c r="C10071">
        <v>66509</v>
      </c>
      <c r="D10071" t="str">
        <f>"66509"</f>
        <v>66509</v>
      </c>
      <c r="E10071">
        <v>71.3</v>
      </c>
    </row>
    <row r="10072" spans="1:5" x14ac:dyDescent="0.2">
      <c r="A10072">
        <v>66510</v>
      </c>
      <c r="B10072" t="s">
        <v>22</v>
      </c>
      <c r="C10072">
        <v>66510</v>
      </c>
      <c r="D10072" t="str">
        <f>"66510"</f>
        <v>66510</v>
      </c>
      <c r="E10072">
        <v>65.709999999999994</v>
      </c>
    </row>
    <row r="10073" spans="1:5" x14ac:dyDescent="0.2">
      <c r="A10073">
        <v>66512</v>
      </c>
      <c r="B10073" t="s">
        <v>22</v>
      </c>
      <c r="C10073">
        <v>66512</v>
      </c>
      <c r="D10073" t="str">
        <f>"66512"</f>
        <v>66512</v>
      </c>
      <c r="E10073">
        <v>77.78</v>
      </c>
    </row>
    <row r="10074" spans="1:5" x14ac:dyDescent="0.2">
      <c r="A10074">
        <v>66514</v>
      </c>
      <c r="B10074" t="s">
        <v>22</v>
      </c>
      <c r="C10074">
        <v>66514</v>
      </c>
      <c r="D10074" t="str">
        <f>"66514"</f>
        <v>66514</v>
      </c>
      <c r="E10074">
        <v>77.92</v>
      </c>
    </row>
    <row r="10075" spans="1:5" x14ac:dyDescent="0.2">
      <c r="A10075">
        <v>66515</v>
      </c>
      <c r="B10075" t="s">
        <v>22</v>
      </c>
      <c r="C10075">
        <v>66515</v>
      </c>
      <c r="D10075" t="str">
        <f>"66515"</f>
        <v>66515</v>
      </c>
      <c r="E10075">
        <v>63.64</v>
      </c>
    </row>
    <row r="10076" spans="1:5" x14ac:dyDescent="0.2">
      <c r="A10076">
        <v>66516</v>
      </c>
      <c r="B10076" t="s">
        <v>22</v>
      </c>
      <c r="C10076">
        <v>66516</v>
      </c>
      <c r="D10076" t="str">
        <f>"66516"</f>
        <v>66516</v>
      </c>
      <c r="E10076">
        <v>68.75</v>
      </c>
    </row>
    <row r="10077" spans="1:5" x14ac:dyDescent="0.2">
      <c r="A10077">
        <v>66517</v>
      </c>
      <c r="B10077" t="s">
        <v>22</v>
      </c>
      <c r="C10077">
        <v>66517</v>
      </c>
      <c r="D10077" t="str">
        <f>"66517"</f>
        <v>66517</v>
      </c>
      <c r="E10077">
        <v>64.86</v>
      </c>
    </row>
    <row r="10078" spans="1:5" x14ac:dyDescent="0.2">
      <c r="A10078">
        <v>66518</v>
      </c>
      <c r="B10078" t="s">
        <v>22</v>
      </c>
      <c r="C10078">
        <v>66518</v>
      </c>
      <c r="D10078" t="str">
        <f>"66518"</f>
        <v>66518</v>
      </c>
      <c r="E10078" t="s">
        <v>6</v>
      </c>
    </row>
    <row r="10079" spans="1:5" x14ac:dyDescent="0.2">
      <c r="A10079">
        <v>66520</v>
      </c>
      <c r="B10079" t="s">
        <v>22</v>
      </c>
      <c r="C10079">
        <v>66520</v>
      </c>
      <c r="D10079" t="str">
        <f>"66520"</f>
        <v>66520</v>
      </c>
      <c r="E10079">
        <v>78.569999999999993</v>
      </c>
    </row>
    <row r="10080" spans="1:5" x14ac:dyDescent="0.2">
      <c r="A10080">
        <v>66521</v>
      </c>
      <c r="B10080" t="s">
        <v>22</v>
      </c>
      <c r="C10080">
        <v>66521</v>
      </c>
      <c r="D10080" t="str">
        <f>"66521"</f>
        <v>66521</v>
      </c>
      <c r="E10080">
        <v>70.42</v>
      </c>
    </row>
    <row r="10081" spans="1:5" x14ac:dyDescent="0.2">
      <c r="A10081">
        <v>66522</v>
      </c>
      <c r="B10081" t="s">
        <v>22</v>
      </c>
      <c r="C10081">
        <v>66522</v>
      </c>
      <c r="D10081" t="str">
        <f>"66522"</f>
        <v>66522</v>
      </c>
      <c r="E10081" t="s">
        <v>6</v>
      </c>
    </row>
    <row r="10082" spans="1:5" x14ac:dyDescent="0.2">
      <c r="A10082">
        <v>66523</v>
      </c>
      <c r="B10082" t="s">
        <v>22</v>
      </c>
      <c r="C10082">
        <v>66523</v>
      </c>
      <c r="D10082" t="str">
        <f>"66523"</f>
        <v>66523</v>
      </c>
      <c r="E10082">
        <v>69.28</v>
      </c>
    </row>
    <row r="10083" spans="1:5" x14ac:dyDescent="0.2">
      <c r="A10083">
        <v>66524</v>
      </c>
      <c r="B10083" t="s">
        <v>22</v>
      </c>
      <c r="C10083">
        <v>66524</v>
      </c>
      <c r="D10083" t="str">
        <f>"66524"</f>
        <v>66524</v>
      </c>
      <c r="E10083">
        <v>74.38</v>
      </c>
    </row>
    <row r="10084" spans="1:5" x14ac:dyDescent="0.2">
      <c r="A10084">
        <v>66526</v>
      </c>
      <c r="B10084" t="s">
        <v>22</v>
      </c>
      <c r="C10084">
        <v>66526</v>
      </c>
      <c r="D10084" t="str">
        <f>"66526"</f>
        <v>66526</v>
      </c>
      <c r="E10084">
        <v>76.47</v>
      </c>
    </row>
    <row r="10085" spans="1:5" x14ac:dyDescent="0.2">
      <c r="A10085">
        <v>66527</v>
      </c>
      <c r="B10085" t="s">
        <v>22</v>
      </c>
      <c r="C10085">
        <v>66527</v>
      </c>
      <c r="D10085" t="str">
        <f>"66527"</f>
        <v>66527</v>
      </c>
      <c r="E10085" t="s">
        <v>6</v>
      </c>
    </row>
    <row r="10086" spans="1:5" x14ac:dyDescent="0.2">
      <c r="A10086">
        <v>66528</v>
      </c>
      <c r="B10086" t="s">
        <v>22</v>
      </c>
      <c r="C10086">
        <v>66528</v>
      </c>
      <c r="D10086" t="str">
        <f>"66528"</f>
        <v>66528</v>
      </c>
      <c r="E10086">
        <v>62.86</v>
      </c>
    </row>
    <row r="10087" spans="1:5" x14ac:dyDescent="0.2">
      <c r="A10087">
        <v>66531</v>
      </c>
      <c r="B10087" t="s">
        <v>22</v>
      </c>
      <c r="C10087">
        <v>66531</v>
      </c>
      <c r="D10087" t="str">
        <f>"66531"</f>
        <v>66531</v>
      </c>
      <c r="E10087">
        <v>71.88</v>
      </c>
    </row>
    <row r="10088" spans="1:5" x14ac:dyDescent="0.2">
      <c r="A10088">
        <v>66532</v>
      </c>
      <c r="B10088" t="s">
        <v>22</v>
      </c>
      <c r="C10088">
        <v>66532</v>
      </c>
      <c r="D10088" t="str">
        <f>"66532"</f>
        <v>66532</v>
      </c>
      <c r="E10088">
        <v>69.23</v>
      </c>
    </row>
    <row r="10089" spans="1:5" x14ac:dyDescent="0.2">
      <c r="A10089">
        <v>66533</v>
      </c>
      <c r="B10089" t="s">
        <v>22</v>
      </c>
      <c r="C10089">
        <v>66533</v>
      </c>
      <c r="D10089" t="str">
        <f>"66533"</f>
        <v>66533</v>
      </c>
      <c r="E10089">
        <v>72.150000000000006</v>
      </c>
    </row>
    <row r="10090" spans="1:5" x14ac:dyDescent="0.2">
      <c r="A10090">
        <v>66534</v>
      </c>
      <c r="B10090" t="s">
        <v>22</v>
      </c>
      <c r="C10090">
        <v>66534</v>
      </c>
      <c r="D10090" t="str">
        <f>"66534"</f>
        <v>66534</v>
      </c>
      <c r="E10090">
        <v>72.09</v>
      </c>
    </row>
    <row r="10091" spans="1:5" x14ac:dyDescent="0.2">
      <c r="A10091">
        <v>66535</v>
      </c>
      <c r="B10091" t="s">
        <v>22</v>
      </c>
      <c r="C10091">
        <v>66535</v>
      </c>
      <c r="D10091" t="str">
        <f>"66535"</f>
        <v>66535</v>
      </c>
      <c r="E10091">
        <v>74.099999999999994</v>
      </c>
    </row>
    <row r="10092" spans="1:5" x14ac:dyDescent="0.2">
      <c r="A10092">
        <v>66536</v>
      </c>
      <c r="B10092" t="s">
        <v>22</v>
      </c>
      <c r="C10092">
        <v>66536</v>
      </c>
      <c r="D10092" t="str">
        <f>"66536"</f>
        <v>66536</v>
      </c>
      <c r="E10092">
        <v>71.86</v>
      </c>
    </row>
    <row r="10093" spans="1:5" x14ac:dyDescent="0.2">
      <c r="A10093">
        <v>66537</v>
      </c>
      <c r="B10093" t="s">
        <v>22</v>
      </c>
      <c r="C10093">
        <v>66537</v>
      </c>
      <c r="D10093" t="str">
        <f>"66537"</f>
        <v>66537</v>
      </c>
      <c r="E10093">
        <v>68.75</v>
      </c>
    </row>
    <row r="10094" spans="1:5" x14ac:dyDescent="0.2">
      <c r="A10094">
        <v>66538</v>
      </c>
      <c r="B10094" t="s">
        <v>22</v>
      </c>
      <c r="C10094">
        <v>66538</v>
      </c>
      <c r="D10094" t="str">
        <f>"66538"</f>
        <v>66538</v>
      </c>
      <c r="E10094">
        <v>73.33</v>
      </c>
    </row>
    <row r="10095" spans="1:5" x14ac:dyDescent="0.2">
      <c r="A10095">
        <v>66539</v>
      </c>
      <c r="B10095" t="s">
        <v>22</v>
      </c>
      <c r="C10095">
        <v>66539</v>
      </c>
      <c r="D10095" t="str">
        <f>"66539"</f>
        <v>66539</v>
      </c>
      <c r="E10095">
        <v>79.260000000000005</v>
      </c>
    </row>
    <row r="10096" spans="1:5" x14ac:dyDescent="0.2">
      <c r="A10096">
        <v>66540</v>
      </c>
      <c r="B10096" t="s">
        <v>22</v>
      </c>
      <c r="C10096">
        <v>66540</v>
      </c>
      <c r="D10096" t="str">
        <f>"66540"</f>
        <v>66540</v>
      </c>
      <c r="E10096">
        <v>61.9</v>
      </c>
    </row>
    <row r="10097" spans="1:5" x14ac:dyDescent="0.2">
      <c r="A10097">
        <v>66541</v>
      </c>
      <c r="B10097" t="s">
        <v>22</v>
      </c>
      <c r="C10097">
        <v>66541</v>
      </c>
      <c r="D10097" t="str">
        <f>"66541"</f>
        <v>66541</v>
      </c>
      <c r="E10097">
        <v>54.55</v>
      </c>
    </row>
    <row r="10098" spans="1:5" x14ac:dyDescent="0.2">
      <c r="A10098">
        <v>66542</v>
      </c>
      <c r="B10098" t="s">
        <v>22</v>
      </c>
      <c r="C10098">
        <v>66542</v>
      </c>
      <c r="D10098" t="str">
        <f>"66542"</f>
        <v>66542</v>
      </c>
      <c r="E10098">
        <v>79.53</v>
      </c>
    </row>
    <row r="10099" spans="1:5" x14ac:dyDescent="0.2">
      <c r="A10099">
        <v>66543</v>
      </c>
      <c r="B10099" t="s">
        <v>22</v>
      </c>
      <c r="C10099">
        <v>66543</v>
      </c>
      <c r="D10099" t="str">
        <f>"66543"</f>
        <v>66543</v>
      </c>
      <c r="E10099">
        <v>72.22</v>
      </c>
    </row>
    <row r="10100" spans="1:5" x14ac:dyDescent="0.2">
      <c r="A10100">
        <v>66544</v>
      </c>
      <c r="B10100" t="s">
        <v>22</v>
      </c>
      <c r="C10100">
        <v>66544</v>
      </c>
      <c r="D10100" t="str">
        <f>"66544"</f>
        <v>66544</v>
      </c>
      <c r="E10100">
        <v>75</v>
      </c>
    </row>
    <row r="10101" spans="1:5" x14ac:dyDescent="0.2">
      <c r="A10101">
        <v>66546</v>
      </c>
      <c r="B10101" t="s">
        <v>22</v>
      </c>
      <c r="C10101">
        <v>66546</v>
      </c>
      <c r="D10101" t="str">
        <f>"66546"</f>
        <v>66546</v>
      </c>
      <c r="E10101">
        <v>83.02</v>
      </c>
    </row>
    <row r="10102" spans="1:5" x14ac:dyDescent="0.2">
      <c r="A10102">
        <v>66547</v>
      </c>
      <c r="B10102" t="s">
        <v>22</v>
      </c>
      <c r="C10102">
        <v>66547</v>
      </c>
      <c r="D10102" t="str">
        <f>"66547"</f>
        <v>66547</v>
      </c>
      <c r="E10102">
        <v>76.650000000000006</v>
      </c>
    </row>
    <row r="10103" spans="1:5" x14ac:dyDescent="0.2">
      <c r="A10103">
        <v>66548</v>
      </c>
      <c r="B10103" t="s">
        <v>22</v>
      </c>
      <c r="C10103">
        <v>66548</v>
      </c>
      <c r="D10103" t="str">
        <f>"66548"</f>
        <v>66548</v>
      </c>
      <c r="E10103">
        <v>65.91</v>
      </c>
    </row>
    <row r="10104" spans="1:5" x14ac:dyDescent="0.2">
      <c r="A10104">
        <v>66549</v>
      </c>
      <c r="B10104" t="s">
        <v>22</v>
      </c>
      <c r="C10104">
        <v>66549</v>
      </c>
      <c r="D10104" t="str">
        <f>"66549"</f>
        <v>66549</v>
      </c>
      <c r="E10104">
        <v>72.37</v>
      </c>
    </row>
    <row r="10105" spans="1:5" x14ac:dyDescent="0.2">
      <c r="A10105">
        <v>66550</v>
      </c>
      <c r="B10105" t="s">
        <v>22</v>
      </c>
      <c r="C10105">
        <v>66550</v>
      </c>
      <c r="D10105" t="str">
        <f>"66550"</f>
        <v>66550</v>
      </c>
      <c r="E10105">
        <v>65.38</v>
      </c>
    </row>
    <row r="10106" spans="1:5" x14ac:dyDescent="0.2">
      <c r="A10106">
        <v>66552</v>
      </c>
      <c r="B10106" t="s">
        <v>22</v>
      </c>
      <c r="C10106">
        <v>66552</v>
      </c>
      <c r="D10106" t="str">
        <f>"66552"</f>
        <v>66552</v>
      </c>
      <c r="E10106">
        <v>68.42</v>
      </c>
    </row>
    <row r="10107" spans="1:5" x14ac:dyDescent="0.2">
      <c r="A10107">
        <v>66554</v>
      </c>
      <c r="B10107" t="s">
        <v>22</v>
      </c>
      <c r="C10107">
        <v>66554</v>
      </c>
      <c r="D10107" t="str">
        <f>"66554"</f>
        <v>66554</v>
      </c>
      <c r="E10107">
        <v>69.569999999999993</v>
      </c>
    </row>
    <row r="10108" spans="1:5" x14ac:dyDescent="0.2">
      <c r="A10108">
        <v>66603</v>
      </c>
      <c r="B10108" t="s">
        <v>22</v>
      </c>
      <c r="C10108">
        <v>66603</v>
      </c>
      <c r="D10108" t="str">
        <f>"66603"</f>
        <v>66603</v>
      </c>
      <c r="E10108">
        <v>54.24</v>
      </c>
    </row>
    <row r="10109" spans="1:5" x14ac:dyDescent="0.2">
      <c r="A10109">
        <v>66604</v>
      </c>
      <c r="B10109" t="s">
        <v>22</v>
      </c>
      <c r="C10109">
        <v>66604</v>
      </c>
      <c r="D10109" t="str">
        <f>"66604"</f>
        <v>66604</v>
      </c>
      <c r="E10109">
        <v>69.81</v>
      </c>
    </row>
    <row r="10110" spans="1:5" x14ac:dyDescent="0.2">
      <c r="A10110">
        <v>66605</v>
      </c>
      <c r="B10110" t="s">
        <v>22</v>
      </c>
      <c r="C10110">
        <v>66605</v>
      </c>
      <c r="D10110" t="str">
        <f>"66605"</f>
        <v>66605</v>
      </c>
      <c r="E10110">
        <v>64.77</v>
      </c>
    </row>
    <row r="10111" spans="1:5" x14ac:dyDescent="0.2">
      <c r="A10111">
        <v>66606</v>
      </c>
      <c r="B10111" t="s">
        <v>22</v>
      </c>
      <c r="C10111">
        <v>66606</v>
      </c>
      <c r="D10111" t="str">
        <f>"66606"</f>
        <v>66606</v>
      </c>
      <c r="E10111">
        <v>71.540000000000006</v>
      </c>
    </row>
    <row r="10112" spans="1:5" x14ac:dyDescent="0.2">
      <c r="A10112">
        <v>66607</v>
      </c>
      <c r="B10112" t="s">
        <v>22</v>
      </c>
      <c r="C10112">
        <v>66607</v>
      </c>
      <c r="D10112" t="str">
        <f>"66607"</f>
        <v>66607</v>
      </c>
      <c r="E10112">
        <v>49.09</v>
      </c>
    </row>
    <row r="10113" spans="1:5" x14ac:dyDescent="0.2">
      <c r="A10113">
        <v>66608</v>
      </c>
      <c r="B10113" t="s">
        <v>22</v>
      </c>
      <c r="C10113">
        <v>66608</v>
      </c>
      <c r="D10113" t="str">
        <f>"66608"</f>
        <v>66608</v>
      </c>
      <c r="E10113">
        <v>61.51</v>
      </c>
    </row>
    <row r="10114" spans="1:5" x14ac:dyDescent="0.2">
      <c r="A10114">
        <v>66609</v>
      </c>
      <c r="B10114" t="s">
        <v>22</v>
      </c>
      <c r="C10114">
        <v>66609</v>
      </c>
      <c r="D10114" t="str">
        <f>"66609"</f>
        <v>66609</v>
      </c>
      <c r="E10114">
        <v>70.77</v>
      </c>
    </row>
    <row r="10115" spans="1:5" x14ac:dyDescent="0.2">
      <c r="A10115">
        <v>66610</v>
      </c>
      <c r="B10115" t="s">
        <v>22</v>
      </c>
      <c r="C10115">
        <v>66610</v>
      </c>
      <c r="D10115" t="str">
        <f>"66610"</f>
        <v>66610</v>
      </c>
      <c r="E10115">
        <v>81.05</v>
      </c>
    </row>
    <row r="10116" spans="1:5" x14ac:dyDescent="0.2">
      <c r="A10116">
        <v>66611</v>
      </c>
      <c r="B10116" t="s">
        <v>22</v>
      </c>
      <c r="C10116">
        <v>66611</v>
      </c>
      <c r="D10116" t="str">
        <f>"66611"</f>
        <v>66611</v>
      </c>
      <c r="E10116">
        <v>72.819999999999993</v>
      </c>
    </row>
    <row r="10117" spans="1:5" x14ac:dyDescent="0.2">
      <c r="A10117">
        <v>66612</v>
      </c>
      <c r="B10117" t="s">
        <v>22</v>
      </c>
      <c r="C10117">
        <v>66612</v>
      </c>
      <c r="D10117" t="str">
        <f>"66612"</f>
        <v>66612</v>
      </c>
      <c r="E10117">
        <v>53.16</v>
      </c>
    </row>
    <row r="10118" spans="1:5" x14ac:dyDescent="0.2">
      <c r="A10118">
        <v>66614</v>
      </c>
      <c r="B10118" t="s">
        <v>22</v>
      </c>
      <c r="C10118">
        <v>66614</v>
      </c>
      <c r="D10118" t="str">
        <f>"66614"</f>
        <v>66614</v>
      </c>
      <c r="E10118">
        <v>77.73</v>
      </c>
    </row>
    <row r="10119" spans="1:5" x14ac:dyDescent="0.2">
      <c r="A10119">
        <v>66615</v>
      </c>
      <c r="B10119" t="s">
        <v>22</v>
      </c>
      <c r="C10119">
        <v>66615</v>
      </c>
      <c r="D10119" t="str">
        <f>"66615"</f>
        <v>66615</v>
      </c>
      <c r="E10119">
        <v>79.38</v>
      </c>
    </row>
    <row r="10120" spans="1:5" x14ac:dyDescent="0.2">
      <c r="A10120">
        <v>66616</v>
      </c>
      <c r="B10120" t="s">
        <v>22</v>
      </c>
      <c r="C10120">
        <v>66616</v>
      </c>
      <c r="D10120" t="str">
        <f>"66616"</f>
        <v>66616</v>
      </c>
      <c r="E10120">
        <v>65.930000000000007</v>
      </c>
    </row>
    <row r="10121" spans="1:5" x14ac:dyDescent="0.2">
      <c r="A10121">
        <v>66617</v>
      </c>
      <c r="B10121" t="s">
        <v>22</v>
      </c>
      <c r="C10121">
        <v>66617</v>
      </c>
      <c r="D10121" t="str">
        <f>"66617"</f>
        <v>66617</v>
      </c>
      <c r="E10121">
        <v>79.540000000000006</v>
      </c>
    </row>
    <row r="10122" spans="1:5" x14ac:dyDescent="0.2">
      <c r="A10122">
        <v>66618</v>
      </c>
      <c r="B10122" t="s">
        <v>22</v>
      </c>
      <c r="C10122">
        <v>66618</v>
      </c>
      <c r="D10122" t="str">
        <f>"66618"</f>
        <v>66618</v>
      </c>
      <c r="E10122">
        <v>79.78</v>
      </c>
    </row>
    <row r="10123" spans="1:5" x14ac:dyDescent="0.2">
      <c r="A10123">
        <v>66619</v>
      </c>
      <c r="B10123" t="s">
        <v>22</v>
      </c>
      <c r="C10123">
        <v>66619</v>
      </c>
      <c r="D10123" t="str">
        <f>"66619"</f>
        <v>66619</v>
      </c>
      <c r="E10123">
        <v>60.99</v>
      </c>
    </row>
    <row r="10124" spans="1:5" x14ac:dyDescent="0.2">
      <c r="A10124">
        <v>66620</v>
      </c>
      <c r="B10124" t="s">
        <v>22</v>
      </c>
      <c r="C10124">
        <v>66620</v>
      </c>
      <c r="D10124" t="str">
        <f>"66620"</f>
        <v>66620</v>
      </c>
      <c r="E10124" t="s">
        <v>6</v>
      </c>
    </row>
    <row r="10125" spans="1:5" x14ac:dyDescent="0.2">
      <c r="A10125">
        <v>66621</v>
      </c>
      <c r="B10125" t="s">
        <v>22</v>
      </c>
      <c r="C10125">
        <v>66621</v>
      </c>
      <c r="D10125" t="str">
        <f>"66621"</f>
        <v>66621</v>
      </c>
      <c r="E10125" t="s">
        <v>6</v>
      </c>
    </row>
    <row r="10126" spans="1:5" x14ac:dyDescent="0.2">
      <c r="A10126">
        <v>66622</v>
      </c>
      <c r="B10126" t="s">
        <v>22</v>
      </c>
      <c r="C10126">
        <v>66622</v>
      </c>
      <c r="D10126" t="str">
        <f>"66622"</f>
        <v>66622</v>
      </c>
      <c r="E10126" t="s">
        <v>6</v>
      </c>
    </row>
    <row r="10127" spans="1:5" x14ac:dyDescent="0.2">
      <c r="A10127">
        <v>66624</v>
      </c>
      <c r="B10127" t="s">
        <v>22</v>
      </c>
      <c r="C10127">
        <v>66624</v>
      </c>
      <c r="D10127" t="str">
        <f>"66624"</f>
        <v>66624</v>
      </c>
      <c r="E10127" t="s">
        <v>6</v>
      </c>
    </row>
    <row r="10128" spans="1:5" x14ac:dyDescent="0.2">
      <c r="A10128">
        <v>66630</v>
      </c>
      <c r="B10128" t="s">
        <v>22</v>
      </c>
      <c r="C10128">
        <v>66630</v>
      </c>
      <c r="D10128" t="str">
        <f>"66630"</f>
        <v>66630</v>
      </c>
      <c r="E10128" t="s">
        <v>6</v>
      </c>
    </row>
    <row r="10129" spans="1:5" x14ac:dyDescent="0.2">
      <c r="A10129">
        <v>66701</v>
      </c>
      <c r="B10129" t="s">
        <v>22</v>
      </c>
      <c r="C10129">
        <v>66701</v>
      </c>
      <c r="D10129" t="str">
        <f>"66701"</f>
        <v>66701</v>
      </c>
      <c r="E10129">
        <v>62.12</v>
      </c>
    </row>
    <row r="10130" spans="1:5" x14ac:dyDescent="0.2">
      <c r="A10130">
        <v>66710</v>
      </c>
      <c r="B10130" t="s">
        <v>22</v>
      </c>
      <c r="C10130">
        <v>66710</v>
      </c>
      <c r="D10130" t="str">
        <f>"66710"</f>
        <v>66710</v>
      </c>
      <c r="E10130">
        <v>57.14</v>
      </c>
    </row>
    <row r="10131" spans="1:5" x14ac:dyDescent="0.2">
      <c r="A10131">
        <v>66711</v>
      </c>
      <c r="B10131" t="s">
        <v>22</v>
      </c>
      <c r="C10131">
        <v>66711</v>
      </c>
      <c r="D10131" t="str">
        <f>"66711"</f>
        <v>66711</v>
      </c>
      <c r="E10131">
        <v>65.22</v>
      </c>
    </row>
    <row r="10132" spans="1:5" x14ac:dyDescent="0.2">
      <c r="A10132">
        <v>66712</v>
      </c>
      <c r="B10132" t="s">
        <v>22</v>
      </c>
      <c r="C10132">
        <v>66712</v>
      </c>
      <c r="D10132" t="str">
        <f>"66712"</f>
        <v>66712</v>
      </c>
      <c r="E10132">
        <v>68.349999999999994</v>
      </c>
    </row>
    <row r="10133" spans="1:5" x14ac:dyDescent="0.2">
      <c r="A10133">
        <v>66713</v>
      </c>
      <c r="B10133" t="s">
        <v>22</v>
      </c>
      <c r="C10133">
        <v>66713</v>
      </c>
      <c r="D10133" t="str">
        <f>"66713"</f>
        <v>66713</v>
      </c>
      <c r="E10133">
        <v>62.1</v>
      </c>
    </row>
    <row r="10134" spans="1:5" x14ac:dyDescent="0.2">
      <c r="A10134">
        <v>66714</v>
      </c>
      <c r="B10134" t="s">
        <v>22</v>
      </c>
      <c r="C10134">
        <v>66714</v>
      </c>
      <c r="D10134" t="str">
        <f>"66714"</f>
        <v>66714</v>
      </c>
      <c r="E10134" t="s">
        <v>6</v>
      </c>
    </row>
    <row r="10135" spans="1:5" x14ac:dyDescent="0.2">
      <c r="A10135">
        <v>66716</v>
      </c>
      <c r="B10135" t="s">
        <v>22</v>
      </c>
      <c r="C10135">
        <v>66716</v>
      </c>
      <c r="D10135" t="str">
        <f>"66716"</f>
        <v>66716</v>
      </c>
      <c r="E10135">
        <v>47.37</v>
      </c>
    </row>
    <row r="10136" spans="1:5" x14ac:dyDescent="0.2">
      <c r="A10136">
        <v>66717</v>
      </c>
      <c r="B10136" t="s">
        <v>22</v>
      </c>
      <c r="C10136">
        <v>66717</v>
      </c>
      <c r="D10136" t="str">
        <f>"66717"</f>
        <v>66717</v>
      </c>
      <c r="E10136">
        <v>61.9</v>
      </c>
    </row>
    <row r="10137" spans="1:5" x14ac:dyDescent="0.2">
      <c r="A10137">
        <v>66720</v>
      </c>
      <c r="B10137" t="s">
        <v>22</v>
      </c>
      <c r="C10137">
        <v>66720</v>
      </c>
      <c r="D10137" t="str">
        <f>"66720"</f>
        <v>66720</v>
      </c>
      <c r="E10137">
        <v>64.95</v>
      </c>
    </row>
    <row r="10138" spans="1:5" x14ac:dyDescent="0.2">
      <c r="A10138">
        <v>66724</v>
      </c>
      <c r="B10138" t="s">
        <v>22</v>
      </c>
      <c r="C10138">
        <v>66724</v>
      </c>
      <c r="D10138" t="str">
        <f>"66724"</f>
        <v>66724</v>
      </c>
      <c r="E10138">
        <v>65.91</v>
      </c>
    </row>
    <row r="10139" spans="1:5" x14ac:dyDescent="0.2">
      <c r="A10139">
        <v>66725</v>
      </c>
      <c r="B10139" t="s">
        <v>22</v>
      </c>
      <c r="C10139">
        <v>66725</v>
      </c>
      <c r="D10139" t="str">
        <f>"66725"</f>
        <v>66725</v>
      </c>
      <c r="E10139">
        <v>66.959999999999994</v>
      </c>
    </row>
    <row r="10140" spans="1:5" x14ac:dyDescent="0.2">
      <c r="A10140">
        <v>66732</v>
      </c>
      <c r="B10140" t="s">
        <v>22</v>
      </c>
      <c r="C10140">
        <v>66732</v>
      </c>
      <c r="D10140" t="str">
        <f>"66732"</f>
        <v>66732</v>
      </c>
      <c r="E10140">
        <v>70</v>
      </c>
    </row>
    <row r="10141" spans="1:5" x14ac:dyDescent="0.2">
      <c r="A10141">
        <v>66733</v>
      </c>
      <c r="B10141" t="s">
        <v>22</v>
      </c>
      <c r="C10141">
        <v>66733</v>
      </c>
      <c r="D10141" t="str">
        <f>"66733"</f>
        <v>66733</v>
      </c>
      <c r="E10141">
        <v>67.78</v>
      </c>
    </row>
    <row r="10142" spans="1:5" x14ac:dyDescent="0.2">
      <c r="A10142">
        <v>66734</v>
      </c>
      <c r="B10142" t="s">
        <v>22</v>
      </c>
      <c r="C10142">
        <v>66734</v>
      </c>
      <c r="D10142" t="str">
        <f>"66734"</f>
        <v>66734</v>
      </c>
      <c r="E10142">
        <v>66.67</v>
      </c>
    </row>
    <row r="10143" spans="1:5" x14ac:dyDescent="0.2">
      <c r="A10143">
        <v>66735</v>
      </c>
      <c r="B10143" t="s">
        <v>22</v>
      </c>
      <c r="C10143">
        <v>66735</v>
      </c>
      <c r="D10143" t="str">
        <f>"66735"</f>
        <v>66735</v>
      </c>
      <c r="E10143">
        <v>71.430000000000007</v>
      </c>
    </row>
    <row r="10144" spans="1:5" x14ac:dyDescent="0.2">
      <c r="A10144">
        <v>66736</v>
      </c>
      <c r="B10144" t="s">
        <v>22</v>
      </c>
      <c r="C10144">
        <v>66736</v>
      </c>
      <c r="D10144" t="str">
        <f>"66736"</f>
        <v>66736</v>
      </c>
      <c r="E10144">
        <v>63.87</v>
      </c>
    </row>
    <row r="10145" spans="1:5" x14ac:dyDescent="0.2">
      <c r="A10145">
        <v>66738</v>
      </c>
      <c r="B10145" t="s">
        <v>22</v>
      </c>
      <c r="C10145">
        <v>66738</v>
      </c>
      <c r="D10145" t="str">
        <f>"66738"</f>
        <v>66738</v>
      </c>
      <c r="E10145">
        <v>62.5</v>
      </c>
    </row>
    <row r="10146" spans="1:5" x14ac:dyDescent="0.2">
      <c r="A10146">
        <v>66739</v>
      </c>
      <c r="B10146" t="s">
        <v>22</v>
      </c>
      <c r="C10146">
        <v>66739</v>
      </c>
      <c r="D10146" t="str">
        <f>"66739"</f>
        <v>66739</v>
      </c>
      <c r="E10146">
        <v>63.81</v>
      </c>
    </row>
    <row r="10147" spans="1:5" x14ac:dyDescent="0.2">
      <c r="A10147">
        <v>66740</v>
      </c>
      <c r="B10147" t="s">
        <v>22</v>
      </c>
      <c r="C10147">
        <v>66740</v>
      </c>
      <c r="D10147" t="str">
        <f>"66740"</f>
        <v>66740</v>
      </c>
      <c r="E10147">
        <v>57.89</v>
      </c>
    </row>
    <row r="10148" spans="1:5" x14ac:dyDescent="0.2">
      <c r="A10148">
        <v>66741</v>
      </c>
      <c r="B10148" t="s">
        <v>22</v>
      </c>
      <c r="C10148">
        <v>66741</v>
      </c>
      <c r="D10148" t="str">
        <f>"66741"</f>
        <v>66741</v>
      </c>
      <c r="E10148" t="s">
        <v>6</v>
      </c>
    </row>
    <row r="10149" spans="1:5" x14ac:dyDescent="0.2">
      <c r="A10149">
        <v>66742</v>
      </c>
      <c r="B10149" t="s">
        <v>22</v>
      </c>
      <c r="C10149">
        <v>66742</v>
      </c>
      <c r="D10149" t="str">
        <f>"66742"</f>
        <v>66742</v>
      </c>
      <c r="E10149" t="s">
        <v>6</v>
      </c>
    </row>
    <row r="10150" spans="1:5" x14ac:dyDescent="0.2">
      <c r="A10150">
        <v>66743</v>
      </c>
      <c r="B10150" t="s">
        <v>22</v>
      </c>
      <c r="C10150">
        <v>66743</v>
      </c>
      <c r="D10150" t="str">
        <f>"66743"</f>
        <v>66743</v>
      </c>
      <c r="E10150">
        <v>68.31</v>
      </c>
    </row>
    <row r="10151" spans="1:5" x14ac:dyDescent="0.2">
      <c r="A10151">
        <v>66746</v>
      </c>
      <c r="B10151" t="s">
        <v>22</v>
      </c>
      <c r="C10151">
        <v>66746</v>
      </c>
      <c r="D10151" t="str">
        <f>"66746"</f>
        <v>66746</v>
      </c>
      <c r="E10151">
        <v>63.64</v>
      </c>
    </row>
    <row r="10152" spans="1:5" x14ac:dyDescent="0.2">
      <c r="A10152">
        <v>66748</v>
      </c>
      <c r="B10152" t="s">
        <v>22</v>
      </c>
      <c r="C10152">
        <v>66748</v>
      </c>
      <c r="D10152" t="str">
        <f>"66748"</f>
        <v>66748</v>
      </c>
      <c r="E10152">
        <v>69.42</v>
      </c>
    </row>
    <row r="10153" spans="1:5" x14ac:dyDescent="0.2">
      <c r="A10153">
        <v>66749</v>
      </c>
      <c r="B10153" t="s">
        <v>22</v>
      </c>
      <c r="C10153">
        <v>66749</v>
      </c>
      <c r="D10153" t="str">
        <f>"66749"</f>
        <v>66749</v>
      </c>
      <c r="E10153">
        <v>63.96</v>
      </c>
    </row>
    <row r="10154" spans="1:5" x14ac:dyDescent="0.2">
      <c r="A10154">
        <v>66751</v>
      </c>
      <c r="B10154" t="s">
        <v>22</v>
      </c>
      <c r="C10154">
        <v>66751</v>
      </c>
      <c r="D10154" t="str">
        <f>"66751"</f>
        <v>66751</v>
      </c>
      <c r="E10154">
        <v>58.82</v>
      </c>
    </row>
    <row r="10155" spans="1:5" x14ac:dyDescent="0.2">
      <c r="A10155">
        <v>66753</v>
      </c>
      <c r="B10155" t="s">
        <v>22</v>
      </c>
      <c r="C10155">
        <v>66753</v>
      </c>
      <c r="D10155" t="str">
        <f>"66753"</f>
        <v>66753</v>
      </c>
      <c r="E10155">
        <v>70.209999999999994</v>
      </c>
    </row>
    <row r="10156" spans="1:5" x14ac:dyDescent="0.2">
      <c r="A10156">
        <v>66754</v>
      </c>
      <c r="B10156" t="s">
        <v>22</v>
      </c>
      <c r="C10156">
        <v>66754</v>
      </c>
      <c r="D10156" t="str">
        <f>"66754"</f>
        <v>66754</v>
      </c>
      <c r="E10156">
        <v>58.82</v>
      </c>
    </row>
    <row r="10157" spans="1:5" x14ac:dyDescent="0.2">
      <c r="A10157">
        <v>66755</v>
      </c>
      <c r="B10157" t="s">
        <v>22</v>
      </c>
      <c r="C10157">
        <v>66755</v>
      </c>
      <c r="D10157" t="str">
        <f>"66755"</f>
        <v>66755</v>
      </c>
      <c r="E10157">
        <v>69.569999999999993</v>
      </c>
    </row>
    <row r="10158" spans="1:5" x14ac:dyDescent="0.2">
      <c r="A10158">
        <v>66756</v>
      </c>
      <c r="B10158" t="s">
        <v>22</v>
      </c>
      <c r="C10158">
        <v>66756</v>
      </c>
      <c r="D10158" t="str">
        <f>"66756"</f>
        <v>66756</v>
      </c>
      <c r="E10158">
        <v>67.569999999999993</v>
      </c>
    </row>
    <row r="10159" spans="1:5" x14ac:dyDescent="0.2">
      <c r="A10159">
        <v>66757</v>
      </c>
      <c r="B10159" t="s">
        <v>22</v>
      </c>
      <c r="C10159">
        <v>66757</v>
      </c>
      <c r="D10159" t="str">
        <f>"66757"</f>
        <v>66757</v>
      </c>
      <c r="E10159">
        <v>65.069999999999993</v>
      </c>
    </row>
    <row r="10160" spans="1:5" x14ac:dyDescent="0.2">
      <c r="A10160">
        <v>66758</v>
      </c>
      <c r="B10160" t="s">
        <v>22</v>
      </c>
      <c r="C10160">
        <v>66758</v>
      </c>
      <c r="D10160" t="str">
        <f>"66758"</f>
        <v>66758</v>
      </c>
      <c r="E10160" t="s">
        <v>6</v>
      </c>
    </row>
    <row r="10161" spans="1:5" x14ac:dyDescent="0.2">
      <c r="A10161">
        <v>66760</v>
      </c>
      <c r="B10161" t="s">
        <v>22</v>
      </c>
      <c r="C10161">
        <v>66760</v>
      </c>
      <c r="D10161" t="str">
        <f>"66760"</f>
        <v>66760</v>
      </c>
      <c r="E10161" t="s">
        <v>6</v>
      </c>
    </row>
    <row r="10162" spans="1:5" x14ac:dyDescent="0.2">
      <c r="A10162">
        <v>66761</v>
      </c>
      <c r="B10162" t="s">
        <v>22</v>
      </c>
      <c r="C10162">
        <v>66761</v>
      </c>
      <c r="D10162" t="str">
        <f>"66761"</f>
        <v>66761</v>
      </c>
      <c r="E10162">
        <v>70</v>
      </c>
    </row>
    <row r="10163" spans="1:5" x14ac:dyDescent="0.2">
      <c r="A10163">
        <v>66762</v>
      </c>
      <c r="B10163" t="s">
        <v>22</v>
      </c>
      <c r="C10163">
        <v>66762</v>
      </c>
      <c r="D10163" t="str">
        <f>"66762"</f>
        <v>66762</v>
      </c>
      <c r="E10163">
        <v>63.96</v>
      </c>
    </row>
    <row r="10164" spans="1:5" x14ac:dyDescent="0.2">
      <c r="A10164">
        <v>66763</v>
      </c>
      <c r="B10164" t="s">
        <v>22</v>
      </c>
      <c r="C10164">
        <v>66763</v>
      </c>
      <c r="D10164" t="str">
        <f>"66763"</f>
        <v>66763</v>
      </c>
      <c r="E10164">
        <v>71.14</v>
      </c>
    </row>
    <row r="10165" spans="1:5" x14ac:dyDescent="0.2">
      <c r="A10165">
        <v>66767</v>
      </c>
      <c r="B10165" t="s">
        <v>22</v>
      </c>
      <c r="C10165">
        <v>66767</v>
      </c>
      <c r="D10165" t="str">
        <f>"66767"</f>
        <v>66767</v>
      </c>
      <c r="E10165">
        <v>57.89</v>
      </c>
    </row>
    <row r="10166" spans="1:5" x14ac:dyDescent="0.2">
      <c r="A10166">
        <v>66769</v>
      </c>
      <c r="B10166" t="s">
        <v>22</v>
      </c>
      <c r="C10166">
        <v>66769</v>
      </c>
      <c r="D10166" t="str">
        <f>"66769"</f>
        <v>66769</v>
      </c>
      <c r="E10166">
        <v>52.38</v>
      </c>
    </row>
    <row r="10167" spans="1:5" x14ac:dyDescent="0.2">
      <c r="A10167">
        <v>66770</v>
      </c>
      <c r="B10167" t="s">
        <v>22</v>
      </c>
      <c r="C10167">
        <v>66770</v>
      </c>
      <c r="D10167" t="str">
        <f>"66770"</f>
        <v>66770</v>
      </c>
      <c r="E10167">
        <v>73.47</v>
      </c>
    </row>
    <row r="10168" spans="1:5" x14ac:dyDescent="0.2">
      <c r="A10168">
        <v>66771</v>
      </c>
      <c r="B10168" t="s">
        <v>22</v>
      </c>
      <c r="C10168">
        <v>66771</v>
      </c>
      <c r="D10168" t="str">
        <f>"66771"</f>
        <v>66771</v>
      </c>
      <c r="E10168">
        <v>70.45</v>
      </c>
    </row>
    <row r="10169" spans="1:5" x14ac:dyDescent="0.2">
      <c r="A10169">
        <v>66772</v>
      </c>
      <c r="B10169" t="s">
        <v>22</v>
      </c>
      <c r="C10169">
        <v>66772</v>
      </c>
      <c r="D10169" t="str">
        <f>"66772"</f>
        <v>66772</v>
      </c>
      <c r="E10169">
        <v>53.85</v>
      </c>
    </row>
    <row r="10170" spans="1:5" x14ac:dyDescent="0.2">
      <c r="A10170">
        <v>66773</v>
      </c>
      <c r="B10170" t="s">
        <v>22</v>
      </c>
      <c r="C10170">
        <v>66773</v>
      </c>
      <c r="D10170" t="str">
        <f>"66773"</f>
        <v>66773</v>
      </c>
      <c r="E10170">
        <v>75</v>
      </c>
    </row>
    <row r="10171" spans="1:5" x14ac:dyDescent="0.2">
      <c r="A10171">
        <v>66775</v>
      </c>
      <c r="B10171" t="s">
        <v>22</v>
      </c>
      <c r="C10171">
        <v>66775</v>
      </c>
      <c r="D10171" t="str">
        <f>"66775"</f>
        <v>66775</v>
      </c>
      <c r="E10171" t="s">
        <v>6</v>
      </c>
    </row>
    <row r="10172" spans="1:5" x14ac:dyDescent="0.2">
      <c r="A10172">
        <v>66776</v>
      </c>
      <c r="B10172" t="s">
        <v>22</v>
      </c>
      <c r="C10172">
        <v>66776</v>
      </c>
      <c r="D10172" t="str">
        <f>"66776"</f>
        <v>66776</v>
      </c>
      <c r="E10172">
        <v>63.46</v>
      </c>
    </row>
    <row r="10173" spans="1:5" x14ac:dyDescent="0.2">
      <c r="A10173">
        <v>66777</v>
      </c>
      <c r="B10173" t="s">
        <v>22</v>
      </c>
      <c r="C10173">
        <v>66777</v>
      </c>
      <c r="D10173" t="str">
        <f>"66777"</f>
        <v>66777</v>
      </c>
      <c r="E10173">
        <v>54.55</v>
      </c>
    </row>
    <row r="10174" spans="1:5" x14ac:dyDescent="0.2">
      <c r="A10174">
        <v>66779</v>
      </c>
      <c r="B10174" t="s">
        <v>22</v>
      </c>
      <c r="C10174">
        <v>66779</v>
      </c>
      <c r="D10174" t="str">
        <f>"66779"</f>
        <v>66779</v>
      </c>
      <c r="E10174">
        <v>61.54</v>
      </c>
    </row>
    <row r="10175" spans="1:5" x14ac:dyDescent="0.2">
      <c r="A10175">
        <v>66780</v>
      </c>
      <c r="B10175" t="s">
        <v>22</v>
      </c>
      <c r="C10175">
        <v>66780</v>
      </c>
      <c r="D10175" t="str">
        <f>"66780"</f>
        <v>66780</v>
      </c>
      <c r="E10175">
        <v>65.22</v>
      </c>
    </row>
    <row r="10176" spans="1:5" x14ac:dyDescent="0.2">
      <c r="A10176">
        <v>66781</v>
      </c>
      <c r="B10176" t="s">
        <v>22</v>
      </c>
      <c r="C10176">
        <v>66781</v>
      </c>
      <c r="D10176" t="str">
        <f>"66781"</f>
        <v>66781</v>
      </c>
      <c r="E10176">
        <v>66.040000000000006</v>
      </c>
    </row>
    <row r="10177" spans="1:5" x14ac:dyDescent="0.2">
      <c r="A10177">
        <v>66782</v>
      </c>
      <c r="B10177" t="s">
        <v>22</v>
      </c>
      <c r="C10177">
        <v>66782</v>
      </c>
      <c r="D10177" t="str">
        <f>"66782"</f>
        <v>66782</v>
      </c>
      <c r="E10177" t="s">
        <v>6</v>
      </c>
    </row>
    <row r="10178" spans="1:5" x14ac:dyDescent="0.2">
      <c r="A10178">
        <v>66783</v>
      </c>
      <c r="B10178" t="s">
        <v>22</v>
      </c>
      <c r="C10178">
        <v>66783</v>
      </c>
      <c r="D10178" t="str">
        <f>"66783"</f>
        <v>66783</v>
      </c>
      <c r="E10178">
        <v>68.040000000000006</v>
      </c>
    </row>
    <row r="10179" spans="1:5" x14ac:dyDescent="0.2">
      <c r="A10179">
        <v>66801</v>
      </c>
      <c r="B10179" t="s">
        <v>22</v>
      </c>
      <c r="C10179">
        <v>66801</v>
      </c>
      <c r="D10179" t="str">
        <f>"66801"</f>
        <v>66801</v>
      </c>
      <c r="E10179">
        <v>68.739999999999995</v>
      </c>
    </row>
    <row r="10180" spans="1:5" x14ac:dyDescent="0.2">
      <c r="A10180">
        <v>66830</v>
      </c>
      <c r="B10180" t="s">
        <v>22</v>
      </c>
      <c r="C10180">
        <v>66830</v>
      </c>
      <c r="D10180" t="str">
        <f>"66830"</f>
        <v>66830</v>
      </c>
      <c r="E10180">
        <v>69.23</v>
      </c>
    </row>
    <row r="10181" spans="1:5" x14ac:dyDescent="0.2">
      <c r="A10181">
        <v>66833</v>
      </c>
      <c r="B10181" t="s">
        <v>22</v>
      </c>
      <c r="C10181">
        <v>66833</v>
      </c>
      <c r="D10181" t="str">
        <f>"66833"</f>
        <v>66833</v>
      </c>
      <c r="E10181">
        <v>74.069999999999993</v>
      </c>
    </row>
    <row r="10182" spans="1:5" x14ac:dyDescent="0.2">
      <c r="A10182">
        <v>66834</v>
      </c>
      <c r="B10182" t="s">
        <v>22</v>
      </c>
      <c r="C10182">
        <v>66834</v>
      </c>
      <c r="D10182" t="str">
        <f>"66834"</f>
        <v>66834</v>
      </c>
      <c r="E10182">
        <v>68.42</v>
      </c>
    </row>
    <row r="10183" spans="1:5" x14ac:dyDescent="0.2">
      <c r="A10183">
        <v>66835</v>
      </c>
      <c r="B10183" t="s">
        <v>22</v>
      </c>
      <c r="C10183">
        <v>66835</v>
      </c>
      <c r="D10183" t="str">
        <f>"66835"</f>
        <v>66835</v>
      </c>
      <c r="E10183">
        <v>69.64</v>
      </c>
    </row>
    <row r="10184" spans="1:5" x14ac:dyDescent="0.2">
      <c r="A10184">
        <v>66838</v>
      </c>
      <c r="B10184" t="s">
        <v>22</v>
      </c>
      <c r="C10184">
        <v>66838</v>
      </c>
      <c r="D10184" t="str">
        <f>"66838"</f>
        <v>66838</v>
      </c>
      <c r="E10184" t="s">
        <v>6</v>
      </c>
    </row>
    <row r="10185" spans="1:5" x14ac:dyDescent="0.2">
      <c r="A10185">
        <v>66839</v>
      </c>
      <c r="B10185" t="s">
        <v>22</v>
      </c>
      <c r="C10185">
        <v>66839</v>
      </c>
      <c r="D10185" t="str">
        <f>"66839"</f>
        <v>66839</v>
      </c>
      <c r="E10185">
        <v>72.19</v>
      </c>
    </row>
    <row r="10186" spans="1:5" x14ac:dyDescent="0.2">
      <c r="A10186">
        <v>66840</v>
      </c>
      <c r="B10186" t="s">
        <v>22</v>
      </c>
      <c r="C10186">
        <v>66840</v>
      </c>
      <c r="D10186" t="str">
        <f>"66840"</f>
        <v>66840</v>
      </c>
      <c r="E10186">
        <v>68.75</v>
      </c>
    </row>
    <row r="10187" spans="1:5" x14ac:dyDescent="0.2">
      <c r="A10187">
        <v>66842</v>
      </c>
      <c r="B10187" t="s">
        <v>22</v>
      </c>
      <c r="C10187">
        <v>66842</v>
      </c>
      <c r="D10187" t="str">
        <f>"66842"</f>
        <v>66842</v>
      </c>
      <c r="E10187">
        <v>76.92</v>
      </c>
    </row>
    <row r="10188" spans="1:5" x14ac:dyDescent="0.2">
      <c r="A10188">
        <v>66843</v>
      </c>
      <c r="B10188" t="s">
        <v>22</v>
      </c>
      <c r="C10188">
        <v>66843</v>
      </c>
      <c r="D10188" t="str">
        <f>"66843"</f>
        <v>66843</v>
      </c>
      <c r="E10188" t="s">
        <v>6</v>
      </c>
    </row>
    <row r="10189" spans="1:5" x14ac:dyDescent="0.2">
      <c r="A10189">
        <v>66845</v>
      </c>
      <c r="B10189" t="s">
        <v>22</v>
      </c>
      <c r="C10189">
        <v>66845</v>
      </c>
      <c r="D10189" t="str">
        <f>"66845"</f>
        <v>66845</v>
      </c>
      <c r="E10189">
        <v>70.209999999999994</v>
      </c>
    </row>
    <row r="10190" spans="1:5" x14ac:dyDescent="0.2">
      <c r="A10190">
        <v>66846</v>
      </c>
      <c r="B10190" t="s">
        <v>22</v>
      </c>
      <c r="C10190">
        <v>66846</v>
      </c>
      <c r="D10190" t="str">
        <f>"66846"</f>
        <v>66846</v>
      </c>
      <c r="E10190">
        <v>68.39</v>
      </c>
    </row>
    <row r="10191" spans="1:5" x14ac:dyDescent="0.2">
      <c r="A10191">
        <v>66849</v>
      </c>
      <c r="B10191" t="s">
        <v>22</v>
      </c>
      <c r="C10191">
        <v>66849</v>
      </c>
      <c r="D10191" t="str">
        <f>"66849"</f>
        <v>66849</v>
      </c>
      <c r="E10191">
        <v>81.819999999999993</v>
      </c>
    </row>
    <row r="10192" spans="1:5" x14ac:dyDescent="0.2">
      <c r="A10192">
        <v>66850</v>
      </c>
      <c r="B10192" t="s">
        <v>22</v>
      </c>
      <c r="C10192">
        <v>66850</v>
      </c>
      <c r="D10192" t="str">
        <f>"66850"</f>
        <v>66850</v>
      </c>
      <c r="E10192" t="s">
        <v>6</v>
      </c>
    </row>
    <row r="10193" spans="1:5" x14ac:dyDescent="0.2">
      <c r="A10193">
        <v>66851</v>
      </c>
      <c r="B10193" t="s">
        <v>22</v>
      </c>
      <c r="C10193">
        <v>66851</v>
      </c>
      <c r="D10193" t="str">
        <f>"66851"</f>
        <v>66851</v>
      </c>
      <c r="E10193">
        <v>66.67</v>
      </c>
    </row>
    <row r="10194" spans="1:5" x14ac:dyDescent="0.2">
      <c r="A10194">
        <v>66852</v>
      </c>
      <c r="B10194" t="s">
        <v>22</v>
      </c>
      <c r="C10194">
        <v>66852</v>
      </c>
      <c r="D10194" t="str">
        <f>"66852"</f>
        <v>66852</v>
      </c>
      <c r="E10194">
        <v>70.37</v>
      </c>
    </row>
    <row r="10195" spans="1:5" x14ac:dyDescent="0.2">
      <c r="A10195">
        <v>66853</v>
      </c>
      <c r="B10195" t="s">
        <v>22</v>
      </c>
      <c r="C10195">
        <v>66853</v>
      </c>
      <c r="D10195" t="str">
        <f>"66853"</f>
        <v>66853</v>
      </c>
      <c r="E10195">
        <v>60</v>
      </c>
    </row>
    <row r="10196" spans="1:5" x14ac:dyDescent="0.2">
      <c r="A10196">
        <v>66854</v>
      </c>
      <c r="B10196" t="s">
        <v>22</v>
      </c>
      <c r="C10196">
        <v>66854</v>
      </c>
      <c r="D10196" t="str">
        <f>"66854"</f>
        <v>66854</v>
      </c>
      <c r="E10196">
        <v>68.569999999999993</v>
      </c>
    </row>
    <row r="10197" spans="1:5" x14ac:dyDescent="0.2">
      <c r="A10197">
        <v>66855</v>
      </c>
      <c r="B10197" t="s">
        <v>22</v>
      </c>
      <c r="C10197">
        <v>66855</v>
      </c>
      <c r="D10197" t="str">
        <f>"66855"</f>
        <v>66855</v>
      </c>
      <c r="E10197" t="s">
        <v>6</v>
      </c>
    </row>
    <row r="10198" spans="1:5" x14ac:dyDescent="0.2">
      <c r="A10198">
        <v>66856</v>
      </c>
      <c r="B10198" t="s">
        <v>22</v>
      </c>
      <c r="C10198">
        <v>66856</v>
      </c>
      <c r="D10198" t="str">
        <f>"66856"</f>
        <v>66856</v>
      </c>
      <c r="E10198">
        <v>71.23</v>
      </c>
    </row>
    <row r="10199" spans="1:5" x14ac:dyDescent="0.2">
      <c r="A10199">
        <v>66857</v>
      </c>
      <c r="B10199" t="s">
        <v>22</v>
      </c>
      <c r="C10199">
        <v>66857</v>
      </c>
      <c r="D10199" t="str">
        <f>"66857"</f>
        <v>66857</v>
      </c>
      <c r="E10199">
        <v>73.680000000000007</v>
      </c>
    </row>
    <row r="10200" spans="1:5" x14ac:dyDescent="0.2">
      <c r="A10200">
        <v>66858</v>
      </c>
      <c r="B10200" t="s">
        <v>22</v>
      </c>
      <c r="C10200">
        <v>66858</v>
      </c>
      <c r="D10200" t="str">
        <f>"66858"</f>
        <v>66858</v>
      </c>
      <c r="E10200">
        <v>68.42</v>
      </c>
    </row>
    <row r="10201" spans="1:5" x14ac:dyDescent="0.2">
      <c r="A10201">
        <v>66859</v>
      </c>
      <c r="B10201" t="s">
        <v>22</v>
      </c>
      <c r="C10201">
        <v>66859</v>
      </c>
      <c r="D10201" t="str">
        <f>"66859"</f>
        <v>66859</v>
      </c>
      <c r="E10201" t="s">
        <v>6</v>
      </c>
    </row>
    <row r="10202" spans="1:5" x14ac:dyDescent="0.2">
      <c r="A10202">
        <v>66860</v>
      </c>
      <c r="B10202" t="s">
        <v>22</v>
      </c>
      <c r="C10202">
        <v>66860</v>
      </c>
      <c r="D10202" t="str">
        <f>"66860"</f>
        <v>66860</v>
      </c>
      <c r="E10202">
        <v>67.31</v>
      </c>
    </row>
    <row r="10203" spans="1:5" x14ac:dyDescent="0.2">
      <c r="A10203">
        <v>66861</v>
      </c>
      <c r="B10203" t="s">
        <v>22</v>
      </c>
      <c r="C10203">
        <v>66861</v>
      </c>
      <c r="D10203" t="str">
        <f>"66861"</f>
        <v>66861</v>
      </c>
      <c r="E10203">
        <v>71.63</v>
      </c>
    </row>
    <row r="10204" spans="1:5" x14ac:dyDescent="0.2">
      <c r="A10204">
        <v>66862</v>
      </c>
      <c r="B10204" t="s">
        <v>22</v>
      </c>
      <c r="C10204">
        <v>66862</v>
      </c>
      <c r="D10204" t="str">
        <f>"66862"</f>
        <v>66862</v>
      </c>
      <c r="E10204" t="s">
        <v>6</v>
      </c>
    </row>
    <row r="10205" spans="1:5" x14ac:dyDescent="0.2">
      <c r="A10205">
        <v>66863</v>
      </c>
      <c r="B10205" t="s">
        <v>22</v>
      </c>
      <c r="C10205">
        <v>66863</v>
      </c>
      <c r="D10205" t="str">
        <f>"66863"</f>
        <v>66863</v>
      </c>
      <c r="E10205" t="s">
        <v>6</v>
      </c>
    </row>
    <row r="10206" spans="1:5" x14ac:dyDescent="0.2">
      <c r="A10206">
        <v>66864</v>
      </c>
      <c r="B10206" t="s">
        <v>22</v>
      </c>
      <c r="C10206">
        <v>66864</v>
      </c>
      <c r="D10206" t="str">
        <f>"66864"</f>
        <v>66864</v>
      </c>
      <c r="E10206">
        <v>66.67</v>
      </c>
    </row>
    <row r="10207" spans="1:5" x14ac:dyDescent="0.2">
      <c r="A10207">
        <v>66865</v>
      </c>
      <c r="B10207" t="s">
        <v>22</v>
      </c>
      <c r="C10207">
        <v>66865</v>
      </c>
      <c r="D10207" t="str">
        <f>"66865"</f>
        <v>66865</v>
      </c>
      <c r="E10207">
        <v>78</v>
      </c>
    </row>
    <row r="10208" spans="1:5" x14ac:dyDescent="0.2">
      <c r="A10208">
        <v>66866</v>
      </c>
      <c r="B10208" t="s">
        <v>22</v>
      </c>
      <c r="C10208">
        <v>66866</v>
      </c>
      <c r="D10208" t="str">
        <f>"66866"</f>
        <v>66866</v>
      </c>
      <c r="E10208">
        <v>69.569999999999993</v>
      </c>
    </row>
    <row r="10209" spans="1:5" x14ac:dyDescent="0.2">
      <c r="A10209">
        <v>66868</v>
      </c>
      <c r="B10209" t="s">
        <v>22</v>
      </c>
      <c r="C10209">
        <v>66868</v>
      </c>
      <c r="D10209" t="str">
        <f>"66868"</f>
        <v>66868</v>
      </c>
      <c r="E10209">
        <v>76.67</v>
      </c>
    </row>
    <row r="10210" spans="1:5" x14ac:dyDescent="0.2">
      <c r="A10210">
        <v>66869</v>
      </c>
      <c r="B10210" t="s">
        <v>22</v>
      </c>
      <c r="C10210">
        <v>66869</v>
      </c>
      <c r="D10210" t="str">
        <f>"66869"</f>
        <v>66869</v>
      </c>
      <c r="E10210">
        <v>72.73</v>
      </c>
    </row>
    <row r="10211" spans="1:5" x14ac:dyDescent="0.2">
      <c r="A10211">
        <v>66870</v>
      </c>
      <c r="B10211" t="s">
        <v>22</v>
      </c>
      <c r="C10211">
        <v>66870</v>
      </c>
      <c r="D10211" t="str">
        <f>"66870"</f>
        <v>66870</v>
      </c>
      <c r="E10211" t="s">
        <v>6</v>
      </c>
    </row>
    <row r="10212" spans="1:5" x14ac:dyDescent="0.2">
      <c r="A10212">
        <v>66871</v>
      </c>
      <c r="B10212" t="s">
        <v>22</v>
      </c>
      <c r="C10212">
        <v>66871</v>
      </c>
      <c r="D10212" t="str">
        <f>"66871"</f>
        <v>66871</v>
      </c>
      <c r="E10212">
        <v>74.14</v>
      </c>
    </row>
    <row r="10213" spans="1:5" x14ac:dyDescent="0.2">
      <c r="A10213">
        <v>66872</v>
      </c>
      <c r="B10213" t="s">
        <v>22</v>
      </c>
      <c r="C10213">
        <v>66872</v>
      </c>
      <c r="D10213" t="str">
        <f>"66872"</f>
        <v>66872</v>
      </c>
      <c r="E10213">
        <v>70.73</v>
      </c>
    </row>
    <row r="10214" spans="1:5" x14ac:dyDescent="0.2">
      <c r="A10214">
        <v>66873</v>
      </c>
      <c r="B10214" t="s">
        <v>22</v>
      </c>
      <c r="C10214">
        <v>66873</v>
      </c>
      <c r="D10214" t="str">
        <f>"66873"</f>
        <v>66873</v>
      </c>
      <c r="E10214">
        <v>61.54</v>
      </c>
    </row>
    <row r="10215" spans="1:5" x14ac:dyDescent="0.2">
      <c r="A10215">
        <v>66901</v>
      </c>
      <c r="B10215" t="s">
        <v>22</v>
      </c>
      <c r="C10215">
        <v>66901</v>
      </c>
      <c r="D10215" t="str">
        <f>"66901"</f>
        <v>66901</v>
      </c>
      <c r="E10215">
        <v>65.22</v>
      </c>
    </row>
    <row r="10216" spans="1:5" x14ac:dyDescent="0.2">
      <c r="A10216">
        <v>66930</v>
      </c>
      <c r="B10216" t="s">
        <v>22</v>
      </c>
      <c r="C10216">
        <v>66930</v>
      </c>
      <c r="D10216" t="str">
        <f>"66930"</f>
        <v>66930</v>
      </c>
      <c r="E10216" t="s">
        <v>6</v>
      </c>
    </row>
    <row r="10217" spans="1:5" x14ac:dyDescent="0.2">
      <c r="A10217">
        <v>66932</v>
      </c>
      <c r="B10217" t="s">
        <v>22</v>
      </c>
      <c r="C10217">
        <v>66932</v>
      </c>
      <c r="D10217" t="str">
        <f>"66932"</f>
        <v>66932</v>
      </c>
      <c r="E10217" t="s">
        <v>6</v>
      </c>
    </row>
    <row r="10218" spans="1:5" x14ac:dyDescent="0.2">
      <c r="A10218">
        <v>66933</v>
      </c>
      <c r="B10218" t="s">
        <v>22</v>
      </c>
      <c r="C10218">
        <v>66933</v>
      </c>
      <c r="D10218" t="str">
        <f>"66933"</f>
        <v>66933</v>
      </c>
      <c r="E10218">
        <v>61.54</v>
      </c>
    </row>
    <row r="10219" spans="1:5" x14ac:dyDescent="0.2">
      <c r="A10219">
        <v>66935</v>
      </c>
      <c r="B10219" t="s">
        <v>22</v>
      </c>
      <c r="C10219">
        <v>66935</v>
      </c>
      <c r="D10219" t="str">
        <f>"66935"</f>
        <v>66935</v>
      </c>
      <c r="E10219">
        <v>63.87</v>
      </c>
    </row>
    <row r="10220" spans="1:5" x14ac:dyDescent="0.2">
      <c r="A10220">
        <v>66936</v>
      </c>
      <c r="B10220" t="s">
        <v>22</v>
      </c>
      <c r="C10220">
        <v>66936</v>
      </c>
      <c r="D10220" t="str">
        <f>"66936"</f>
        <v>66936</v>
      </c>
      <c r="E10220">
        <v>64.290000000000006</v>
      </c>
    </row>
    <row r="10221" spans="1:5" x14ac:dyDescent="0.2">
      <c r="A10221">
        <v>66937</v>
      </c>
      <c r="B10221" t="s">
        <v>22</v>
      </c>
      <c r="C10221">
        <v>66937</v>
      </c>
      <c r="D10221" t="str">
        <f>"66937"</f>
        <v>66937</v>
      </c>
      <c r="E10221">
        <v>67.569999999999993</v>
      </c>
    </row>
    <row r="10222" spans="1:5" x14ac:dyDescent="0.2">
      <c r="A10222">
        <v>66938</v>
      </c>
      <c r="B10222" t="s">
        <v>22</v>
      </c>
      <c r="C10222">
        <v>66938</v>
      </c>
      <c r="D10222" t="str">
        <f>"66938"</f>
        <v>66938</v>
      </c>
      <c r="E10222">
        <v>64.290000000000006</v>
      </c>
    </row>
    <row r="10223" spans="1:5" x14ac:dyDescent="0.2">
      <c r="A10223">
        <v>66939</v>
      </c>
      <c r="B10223" t="s">
        <v>22</v>
      </c>
      <c r="C10223">
        <v>66939</v>
      </c>
      <c r="D10223" t="str">
        <f>"66939"</f>
        <v>66939</v>
      </c>
      <c r="E10223">
        <v>65.38</v>
      </c>
    </row>
    <row r="10224" spans="1:5" x14ac:dyDescent="0.2">
      <c r="A10224">
        <v>66940</v>
      </c>
      <c r="B10224" t="s">
        <v>22</v>
      </c>
      <c r="C10224">
        <v>66940</v>
      </c>
      <c r="D10224" t="str">
        <f>"66940"</f>
        <v>66940</v>
      </c>
      <c r="E10224">
        <v>57.14</v>
      </c>
    </row>
    <row r="10225" spans="1:5" x14ac:dyDescent="0.2">
      <c r="A10225">
        <v>66941</v>
      </c>
      <c r="B10225" t="s">
        <v>22</v>
      </c>
      <c r="C10225">
        <v>66941</v>
      </c>
      <c r="D10225" t="str">
        <f>"66941"</f>
        <v>66941</v>
      </c>
      <c r="E10225">
        <v>75</v>
      </c>
    </row>
    <row r="10226" spans="1:5" x14ac:dyDescent="0.2">
      <c r="A10226">
        <v>66942</v>
      </c>
      <c r="B10226" t="s">
        <v>22</v>
      </c>
      <c r="C10226">
        <v>66942</v>
      </c>
      <c r="D10226" t="str">
        <f>"66942"</f>
        <v>66942</v>
      </c>
      <c r="E10226">
        <v>54.55</v>
      </c>
    </row>
    <row r="10227" spans="1:5" x14ac:dyDescent="0.2">
      <c r="A10227">
        <v>66943</v>
      </c>
      <c r="B10227" t="s">
        <v>22</v>
      </c>
      <c r="C10227">
        <v>66943</v>
      </c>
      <c r="D10227" t="str">
        <f>"66943"</f>
        <v>66943</v>
      </c>
      <c r="E10227">
        <v>65.22</v>
      </c>
    </row>
    <row r="10228" spans="1:5" x14ac:dyDescent="0.2">
      <c r="A10228">
        <v>66944</v>
      </c>
      <c r="B10228" t="s">
        <v>22</v>
      </c>
      <c r="C10228">
        <v>66944</v>
      </c>
      <c r="D10228" t="str">
        <f>"66944"</f>
        <v>66944</v>
      </c>
      <c r="E10228">
        <v>63.64</v>
      </c>
    </row>
    <row r="10229" spans="1:5" x14ac:dyDescent="0.2">
      <c r="A10229">
        <v>66945</v>
      </c>
      <c r="B10229" t="s">
        <v>22</v>
      </c>
      <c r="C10229">
        <v>66945</v>
      </c>
      <c r="D10229" t="str">
        <f>"66945"</f>
        <v>66945</v>
      </c>
      <c r="E10229">
        <v>68</v>
      </c>
    </row>
    <row r="10230" spans="1:5" x14ac:dyDescent="0.2">
      <c r="A10230">
        <v>66946</v>
      </c>
      <c r="B10230" t="s">
        <v>22</v>
      </c>
      <c r="C10230">
        <v>66946</v>
      </c>
      <c r="D10230" t="str">
        <f>"66946"</f>
        <v>66946</v>
      </c>
      <c r="E10230" t="s">
        <v>6</v>
      </c>
    </row>
    <row r="10231" spans="1:5" x14ac:dyDescent="0.2">
      <c r="A10231">
        <v>66948</v>
      </c>
      <c r="B10231" t="s">
        <v>22</v>
      </c>
      <c r="C10231">
        <v>66948</v>
      </c>
      <c r="D10231" t="str">
        <f>"66948"</f>
        <v>66948</v>
      </c>
      <c r="E10231">
        <v>70</v>
      </c>
    </row>
    <row r="10232" spans="1:5" x14ac:dyDescent="0.2">
      <c r="A10232">
        <v>66949</v>
      </c>
      <c r="B10232" t="s">
        <v>22</v>
      </c>
      <c r="C10232">
        <v>66949</v>
      </c>
      <c r="D10232" t="str">
        <f>"66949"</f>
        <v>66949</v>
      </c>
      <c r="E10232">
        <v>66.67</v>
      </c>
    </row>
    <row r="10233" spans="1:5" x14ac:dyDescent="0.2">
      <c r="A10233">
        <v>66951</v>
      </c>
      <c r="B10233" t="s">
        <v>22</v>
      </c>
      <c r="C10233">
        <v>66951</v>
      </c>
      <c r="D10233" t="str">
        <f>"66951"</f>
        <v>66951</v>
      </c>
      <c r="E10233">
        <v>59.38</v>
      </c>
    </row>
    <row r="10234" spans="1:5" x14ac:dyDescent="0.2">
      <c r="A10234">
        <v>66952</v>
      </c>
      <c r="B10234" t="s">
        <v>22</v>
      </c>
      <c r="C10234">
        <v>66952</v>
      </c>
      <c r="D10234" t="str">
        <f>"66952"</f>
        <v>66952</v>
      </c>
      <c r="E10234">
        <v>65</v>
      </c>
    </row>
    <row r="10235" spans="1:5" x14ac:dyDescent="0.2">
      <c r="A10235">
        <v>66953</v>
      </c>
      <c r="B10235" t="s">
        <v>22</v>
      </c>
      <c r="C10235">
        <v>66953</v>
      </c>
      <c r="D10235" t="str">
        <f>"66953"</f>
        <v>66953</v>
      </c>
      <c r="E10235">
        <v>64.52</v>
      </c>
    </row>
    <row r="10236" spans="1:5" x14ac:dyDescent="0.2">
      <c r="A10236">
        <v>66955</v>
      </c>
      <c r="B10236" t="s">
        <v>22</v>
      </c>
      <c r="C10236">
        <v>66955</v>
      </c>
      <c r="D10236" t="str">
        <f>"66955"</f>
        <v>66955</v>
      </c>
      <c r="E10236" t="s">
        <v>6</v>
      </c>
    </row>
    <row r="10237" spans="1:5" x14ac:dyDescent="0.2">
      <c r="A10237">
        <v>66956</v>
      </c>
      <c r="B10237" t="s">
        <v>22</v>
      </c>
      <c r="C10237">
        <v>66956</v>
      </c>
      <c r="D10237" t="str">
        <f>"66956"</f>
        <v>66956</v>
      </c>
      <c r="E10237">
        <v>66.069999999999993</v>
      </c>
    </row>
    <row r="10238" spans="1:5" x14ac:dyDescent="0.2">
      <c r="A10238">
        <v>66958</v>
      </c>
      <c r="B10238" t="s">
        <v>22</v>
      </c>
      <c r="C10238">
        <v>66958</v>
      </c>
      <c r="D10238" t="str">
        <f>"66958"</f>
        <v>66958</v>
      </c>
      <c r="E10238">
        <v>57.14</v>
      </c>
    </row>
    <row r="10239" spans="1:5" x14ac:dyDescent="0.2">
      <c r="A10239">
        <v>66959</v>
      </c>
      <c r="B10239" t="s">
        <v>22</v>
      </c>
      <c r="C10239">
        <v>66959</v>
      </c>
      <c r="D10239" t="str">
        <f>"66959"</f>
        <v>66959</v>
      </c>
      <c r="E10239">
        <v>63.64</v>
      </c>
    </row>
    <row r="10240" spans="1:5" x14ac:dyDescent="0.2">
      <c r="A10240">
        <v>66960</v>
      </c>
      <c r="B10240" t="s">
        <v>22</v>
      </c>
      <c r="C10240">
        <v>66960</v>
      </c>
      <c r="D10240" t="str">
        <f>"66960"</f>
        <v>66960</v>
      </c>
      <c r="E10240" t="s">
        <v>6</v>
      </c>
    </row>
    <row r="10241" spans="1:5" x14ac:dyDescent="0.2">
      <c r="A10241">
        <v>66961</v>
      </c>
      <c r="B10241" t="s">
        <v>22</v>
      </c>
      <c r="C10241">
        <v>66961</v>
      </c>
      <c r="D10241" t="str">
        <f>"66961"</f>
        <v>66961</v>
      </c>
      <c r="E10241" t="s">
        <v>6</v>
      </c>
    </row>
    <row r="10242" spans="1:5" x14ac:dyDescent="0.2">
      <c r="A10242">
        <v>66962</v>
      </c>
      <c r="B10242" t="s">
        <v>22</v>
      </c>
      <c r="C10242">
        <v>66962</v>
      </c>
      <c r="D10242" t="str">
        <f>"66962"</f>
        <v>66962</v>
      </c>
      <c r="E10242">
        <v>71.430000000000007</v>
      </c>
    </row>
    <row r="10243" spans="1:5" x14ac:dyDescent="0.2">
      <c r="A10243">
        <v>66963</v>
      </c>
      <c r="B10243" t="s">
        <v>22</v>
      </c>
      <c r="C10243">
        <v>66963</v>
      </c>
      <c r="D10243" t="str">
        <f>"66963"</f>
        <v>66963</v>
      </c>
      <c r="E10243" t="s">
        <v>6</v>
      </c>
    </row>
    <row r="10244" spans="1:5" x14ac:dyDescent="0.2">
      <c r="A10244">
        <v>66964</v>
      </c>
      <c r="B10244" t="s">
        <v>22</v>
      </c>
      <c r="C10244">
        <v>66964</v>
      </c>
      <c r="D10244" t="str">
        <f>"66964"</f>
        <v>66964</v>
      </c>
      <c r="E10244" t="s">
        <v>6</v>
      </c>
    </row>
    <row r="10245" spans="1:5" x14ac:dyDescent="0.2">
      <c r="A10245">
        <v>66966</v>
      </c>
      <c r="B10245" t="s">
        <v>22</v>
      </c>
      <c r="C10245">
        <v>66966</v>
      </c>
      <c r="D10245" t="str">
        <f>"66966"</f>
        <v>66966</v>
      </c>
      <c r="E10245">
        <v>67.86</v>
      </c>
    </row>
    <row r="10246" spans="1:5" x14ac:dyDescent="0.2">
      <c r="A10246">
        <v>66967</v>
      </c>
      <c r="B10246" t="s">
        <v>22</v>
      </c>
      <c r="C10246">
        <v>66967</v>
      </c>
      <c r="D10246" t="str">
        <f>"66967"</f>
        <v>66967</v>
      </c>
      <c r="E10246">
        <v>66</v>
      </c>
    </row>
    <row r="10247" spans="1:5" x14ac:dyDescent="0.2">
      <c r="A10247">
        <v>66968</v>
      </c>
      <c r="B10247" t="s">
        <v>22</v>
      </c>
      <c r="C10247">
        <v>66968</v>
      </c>
      <c r="D10247" t="str">
        <f>"66968"</f>
        <v>66968</v>
      </c>
      <c r="E10247">
        <v>68.83</v>
      </c>
    </row>
    <row r="10248" spans="1:5" x14ac:dyDescent="0.2">
      <c r="A10248">
        <v>66970</v>
      </c>
      <c r="B10248" t="s">
        <v>22</v>
      </c>
      <c r="C10248">
        <v>66970</v>
      </c>
      <c r="D10248" t="str">
        <f>"66970"</f>
        <v>66970</v>
      </c>
      <c r="E10248" t="s">
        <v>6</v>
      </c>
    </row>
    <row r="10249" spans="1:5" x14ac:dyDescent="0.2">
      <c r="A10249">
        <v>67001</v>
      </c>
      <c r="B10249" t="s">
        <v>22</v>
      </c>
      <c r="C10249">
        <v>67001</v>
      </c>
      <c r="D10249" t="str">
        <f>"67001"</f>
        <v>67001</v>
      </c>
      <c r="E10249">
        <v>76.540000000000006</v>
      </c>
    </row>
    <row r="10250" spans="1:5" x14ac:dyDescent="0.2">
      <c r="A10250">
        <v>67002</v>
      </c>
      <c r="B10250" t="s">
        <v>22</v>
      </c>
      <c r="C10250">
        <v>67002</v>
      </c>
      <c r="D10250" t="str">
        <f>"67002"</f>
        <v>67002</v>
      </c>
      <c r="E10250">
        <v>76.95</v>
      </c>
    </row>
    <row r="10251" spans="1:5" x14ac:dyDescent="0.2">
      <c r="A10251">
        <v>67003</v>
      </c>
      <c r="B10251" t="s">
        <v>22</v>
      </c>
      <c r="C10251">
        <v>67003</v>
      </c>
      <c r="D10251" t="str">
        <f>"67003"</f>
        <v>67003</v>
      </c>
      <c r="E10251">
        <v>62.26</v>
      </c>
    </row>
    <row r="10252" spans="1:5" x14ac:dyDescent="0.2">
      <c r="A10252">
        <v>67004</v>
      </c>
      <c r="B10252" t="s">
        <v>22</v>
      </c>
      <c r="C10252">
        <v>67004</v>
      </c>
      <c r="D10252" t="str">
        <f>"67004"</f>
        <v>67004</v>
      </c>
      <c r="E10252">
        <v>73.53</v>
      </c>
    </row>
    <row r="10253" spans="1:5" x14ac:dyDescent="0.2">
      <c r="A10253">
        <v>67005</v>
      </c>
      <c r="B10253" t="s">
        <v>22</v>
      </c>
      <c r="C10253">
        <v>67005</v>
      </c>
      <c r="D10253" t="str">
        <f>"67005"</f>
        <v>67005</v>
      </c>
      <c r="E10253">
        <v>65.569999999999993</v>
      </c>
    </row>
    <row r="10254" spans="1:5" x14ac:dyDescent="0.2">
      <c r="A10254">
        <v>67008</v>
      </c>
      <c r="B10254" t="s">
        <v>22</v>
      </c>
      <c r="C10254">
        <v>67008</v>
      </c>
      <c r="D10254" t="str">
        <f>"67008"</f>
        <v>67008</v>
      </c>
      <c r="E10254">
        <v>57.89</v>
      </c>
    </row>
    <row r="10255" spans="1:5" x14ac:dyDescent="0.2">
      <c r="A10255">
        <v>67009</v>
      </c>
      <c r="B10255" t="s">
        <v>22</v>
      </c>
      <c r="C10255">
        <v>67009</v>
      </c>
      <c r="D10255" t="str">
        <f>"67009"</f>
        <v>67009</v>
      </c>
      <c r="E10255">
        <v>58.62</v>
      </c>
    </row>
    <row r="10256" spans="1:5" x14ac:dyDescent="0.2">
      <c r="A10256">
        <v>67010</v>
      </c>
      <c r="B10256" t="s">
        <v>22</v>
      </c>
      <c r="C10256">
        <v>67010</v>
      </c>
      <c r="D10256" t="str">
        <f>"67010"</f>
        <v>67010</v>
      </c>
      <c r="E10256">
        <v>72.97</v>
      </c>
    </row>
    <row r="10257" spans="1:5" x14ac:dyDescent="0.2">
      <c r="A10257">
        <v>67012</v>
      </c>
      <c r="B10257" t="s">
        <v>22</v>
      </c>
      <c r="C10257">
        <v>67012</v>
      </c>
      <c r="D10257" t="str">
        <f>"67012"</f>
        <v>67012</v>
      </c>
      <c r="E10257" t="s">
        <v>6</v>
      </c>
    </row>
    <row r="10258" spans="1:5" x14ac:dyDescent="0.2">
      <c r="A10258">
        <v>67013</v>
      </c>
      <c r="B10258" t="s">
        <v>22</v>
      </c>
      <c r="C10258">
        <v>67013</v>
      </c>
      <c r="D10258" t="str">
        <f>"67013"</f>
        <v>67013</v>
      </c>
      <c r="E10258">
        <v>73.13</v>
      </c>
    </row>
    <row r="10259" spans="1:5" x14ac:dyDescent="0.2">
      <c r="A10259">
        <v>67016</v>
      </c>
      <c r="B10259" t="s">
        <v>22</v>
      </c>
      <c r="C10259">
        <v>67016</v>
      </c>
      <c r="D10259" t="str">
        <f>"67016"</f>
        <v>67016</v>
      </c>
      <c r="E10259" t="s">
        <v>6</v>
      </c>
    </row>
    <row r="10260" spans="1:5" x14ac:dyDescent="0.2">
      <c r="A10260">
        <v>67017</v>
      </c>
      <c r="B10260" t="s">
        <v>22</v>
      </c>
      <c r="C10260">
        <v>67017</v>
      </c>
      <c r="D10260" t="str">
        <f>"67017"</f>
        <v>67017</v>
      </c>
      <c r="E10260">
        <v>77.27</v>
      </c>
    </row>
    <row r="10261" spans="1:5" x14ac:dyDescent="0.2">
      <c r="A10261">
        <v>67018</v>
      </c>
      <c r="B10261" t="s">
        <v>22</v>
      </c>
      <c r="C10261">
        <v>67018</v>
      </c>
      <c r="D10261" t="str">
        <f>"67018"</f>
        <v>67018</v>
      </c>
      <c r="E10261" t="s">
        <v>6</v>
      </c>
    </row>
    <row r="10262" spans="1:5" x14ac:dyDescent="0.2">
      <c r="A10262">
        <v>67019</v>
      </c>
      <c r="B10262" t="s">
        <v>22</v>
      </c>
      <c r="C10262">
        <v>67019</v>
      </c>
      <c r="D10262" t="str">
        <f>"67019"</f>
        <v>67019</v>
      </c>
      <c r="E10262">
        <v>66.67</v>
      </c>
    </row>
    <row r="10263" spans="1:5" x14ac:dyDescent="0.2">
      <c r="A10263">
        <v>67020</v>
      </c>
      <c r="B10263" t="s">
        <v>22</v>
      </c>
      <c r="C10263">
        <v>67020</v>
      </c>
      <c r="D10263" t="str">
        <f>"67020"</f>
        <v>67020</v>
      </c>
      <c r="E10263">
        <v>68</v>
      </c>
    </row>
    <row r="10264" spans="1:5" x14ac:dyDescent="0.2">
      <c r="A10264">
        <v>67021</v>
      </c>
      <c r="B10264" t="s">
        <v>22</v>
      </c>
      <c r="C10264">
        <v>67021</v>
      </c>
      <c r="D10264" t="str">
        <f>"67021"</f>
        <v>67021</v>
      </c>
      <c r="E10264" t="s">
        <v>6</v>
      </c>
    </row>
    <row r="10265" spans="1:5" x14ac:dyDescent="0.2">
      <c r="A10265">
        <v>67022</v>
      </c>
      <c r="B10265" t="s">
        <v>22</v>
      </c>
      <c r="C10265">
        <v>67022</v>
      </c>
      <c r="D10265" t="str">
        <f>"67022"</f>
        <v>67022</v>
      </c>
      <c r="E10265">
        <v>62.9</v>
      </c>
    </row>
    <row r="10266" spans="1:5" x14ac:dyDescent="0.2">
      <c r="A10266">
        <v>67023</v>
      </c>
      <c r="B10266" t="s">
        <v>22</v>
      </c>
      <c r="C10266">
        <v>67023</v>
      </c>
      <c r="D10266" t="str">
        <f>"67023"</f>
        <v>67023</v>
      </c>
      <c r="E10266" t="s">
        <v>6</v>
      </c>
    </row>
    <row r="10267" spans="1:5" x14ac:dyDescent="0.2">
      <c r="A10267">
        <v>67024</v>
      </c>
      <c r="B10267" t="s">
        <v>22</v>
      </c>
      <c r="C10267">
        <v>67024</v>
      </c>
      <c r="D10267" t="str">
        <f>"67024"</f>
        <v>67024</v>
      </c>
      <c r="E10267">
        <v>60.71</v>
      </c>
    </row>
    <row r="10268" spans="1:5" x14ac:dyDescent="0.2">
      <c r="A10268">
        <v>67025</v>
      </c>
      <c r="B10268" t="s">
        <v>22</v>
      </c>
      <c r="C10268">
        <v>67025</v>
      </c>
      <c r="D10268" t="str">
        <f>"67025"</f>
        <v>67025</v>
      </c>
      <c r="E10268">
        <v>74.58</v>
      </c>
    </row>
    <row r="10269" spans="1:5" x14ac:dyDescent="0.2">
      <c r="A10269">
        <v>67026</v>
      </c>
      <c r="B10269" t="s">
        <v>22</v>
      </c>
      <c r="C10269">
        <v>67026</v>
      </c>
      <c r="D10269" t="str">
        <f>"67026"</f>
        <v>67026</v>
      </c>
      <c r="E10269">
        <v>74.650000000000006</v>
      </c>
    </row>
    <row r="10270" spans="1:5" x14ac:dyDescent="0.2">
      <c r="A10270">
        <v>67028</v>
      </c>
      <c r="B10270" t="s">
        <v>22</v>
      </c>
      <c r="C10270">
        <v>67028</v>
      </c>
      <c r="D10270" t="str">
        <f>"67028"</f>
        <v>67028</v>
      </c>
      <c r="E10270" t="s">
        <v>6</v>
      </c>
    </row>
    <row r="10271" spans="1:5" x14ac:dyDescent="0.2">
      <c r="A10271">
        <v>67029</v>
      </c>
      <c r="B10271" t="s">
        <v>22</v>
      </c>
      <c r="C10271">
        <v>67029</v>
      </c>
      <c r="D10271" t="str">
        <f>"67029"</f>
        <v>67029</v>
      </c>
      <c r="E10271">
        <v>64.44</v>
      </c>
    </row>
    <row r="10272" spans="1:5" x14ac:dyDescent="0.2">
      <c r="A10272">
        <v>67030</v>
      </c>
      <c r="B10272" t="s">
        <v>22</v>
      </c>
      <c r="C10272">
        <v>67030</v>
      </c>
      <c r="D10272" t="str">
        <f>"67030"</f>
        <v>67030</v>
      </c>
      <c r="E10272">
        <v>76.69</v>
      </c>
    </row>
    <row r="10273" spans="1:5" x14ac:dyDescent="0.2">
      <c r="A10273">
        <v>67031</v>
      </c>
      <c r="B10273" t="s">
        <v>22</v>
      </c>
      <c r="C10273">
        <v>67031</v>
      </c>
      <c r="D10273" t="str">
        <f>"67031"</f>
        <v>67031</v>
      </c>
      <c r="E10273">
        <v>73.400000000000006</v>
      </c>
    </row>
    <row r="10274" spans="1:5" x14ac:dyDescent="0.2">
      <c r="A10274">
        <v>67035</v>
      </c>
      <c r="B10274" t="s">
        <v>22</v>
      </c>
      <c r="C10274">
        <v>67035</v>
      </c>
      <c r="D10274" t="str">
        <f>"67035"</f>
        <v>67035</v>
      </c>
      <c r="E10274">
        <v>73.81</v>
      </c>
    </row>
    <row r="10275" spans="1:5" x14ac:dyDescent="0.2">
      <c r="A10275">
        <v>67036</v>
      </c>
      <c r="B10275" t="s">
        <v>22</v>
      </c>
      <c r="C10275">
        <v>67036</v>
      </c>
      <c r="D10275" t="str">
        <f>"67036"</f>
        <v>67036</v>
      </c>
      <c r="E10275" t="s">
        <v>6</v>
      </c>
    </row>
    <row r="10276" spans="1:5" x14ac:dyDescent="0.2">
      <c r="A10276">
        <v>67037</v>
      </c>
      <c r="B10276" t="s">
        <v>22</v>
      </c>
      <c r="C10276">
        <v>67037</v>
      </c>
      <c r="D10276" t="str">
        <f>"67037"</f>
        <v>67037</v>
      </c>
      <c r="E10276">
        <v>77.45</v>
      </c>
    </row>
    <row r="10277" spans="1:5" x14ac:dyDescent="0.2">
      <c r="A10277">
        <v>67038</v>
      </c>
      <c r="B10277" t="s">
        <v>22</v>
      </c>
      <c r="C10277">
        <v>67038</v>
      </c>
      <c r="D10277" t="str">
        <f>"67038"</f>
        <v>67038</v>
      </c>
      <c r="E10277">
        <v>68.180000000000007</v>
      </c>
    </row>
    <row r="10278" spans="1:5" x14ac:dyDescent="0.2">
      <c r="A10278">
        <v>67039</v>
      </c>
      <c r="B10278" t="s">
        <v>22</v>
      </c>
      <c r="C10278">
        <v>67039</v>
      </c>
      <c r="D10278" t="str">
        <f>"67039"</f>
        <v>67039</v>
      </c>
      <c r="E10278">
        <v>75</v>
      </c>
    </row>
    <row r="10279" spans="1:5" x14ac:dyDescent="0.2">
      <c r="A10279">
        <v>67041</v>
      </c>
      <c r="B10279" t="s">
        <v>22</v>
      </c>
      <c r="C10279">
        <v>67041</v>
      </c>
      <c r="D10279" t="str">
        <f>"67041"</f>
        <v>67041</v>
      </c>
      <c r="E10279" t="s">
        <v>6</v>
      </c>
    </row>
    <row r="10280" spans="1:5" x14ac:dyDescent="0.2">
      <c r="A10280">
        <v>67042</v>
      </c>
      <c r="B10280" t="s">
        <v>22</v>
      </c>
      <c r="C10280">
        <v>67042</v>
      </c>
      <c r="D10280" t="str">
        <f>"67042"</f>
        <v>67042</v>
      </c>
      <c r="E10280">
        <v>68.41</v>
      </c>
    </row>
    <row r="10281" spans="1:5" x14ac:dyDescent="0.2">
      <c r="A10281">
        <v>67045</v>
      </c>
      <c r="B10281" t="s">
        <v>22</v>
      </c>
      <c r="C10281">
        <v>67045</v>
      </c>
      <c r="D10281" t="str">
        <f>"67045"</f>
        <v>67045</v>
      </c>
      <c r="E10281">
        <v>63.7</v>
      </c>
    </row>
    <row r="10282" spans="1:5" x14ac:dyDescent="0.2">
      <c r="A10282">
        <v>67047</v>
      </c>
      <c r="B10282" t="s">
        <v>22</v>
      </c>
      <c r="C10282">
        <v>67047</v>
      </c>
      <c r="D10282" t="str">
        <f>"67047"</f>
        <v>67047</v>
      </c>
      <c r="E10282">
        <v>70.83</v>
      </c>
    </row>
    <row r="10283" spans="1:5" x14ac:dyDescent="0.2">
      <c r="A10283">
        <v>67049</v>
      </c>
      <c r="B10283" t="s">
        <v>22</v>
      </c>
      <c r="C10283">
        <v>67049</v>
      </c>
      <c r="D10283" t="str">
        <f>"67049"</f>
        <v>67049</v>
      </c>
      <c r="E10283" t="s">
        <v>6</v>
      </c>
    </row>
    <row r="10284" spans="1:5" x14ac:dyDescent="0.2">
      <c r="A10284">
        <v>67050</v>
      </c>
      <c r="B10284" t="s">
        <v>22</v>
      </c>
      <c r="C10284">
        <v>67050</v>
      </c>
      <c r="D10284" t="str">
        <f>"67050"</f>
        <v>67050</v>
      </c>
      <c r="E10284">
        <v>73.680000000000007</v>
      </c>
    </row>
    <row r="10285" spans="1:5" x14ac:dyDescent="0.2">
      <c r="A10285">
        <v>67051</v>
      </c>
      <c r="B10285" t="s">
        <v>22</v>
      </c>
      <c r="C10285">
        <v>67051</v>
      </c>
      <c r="D10285" t="str">
        <f>"67051"</f>
        <v>67051</v>
      </c>
      <c r="E10285">
        <v>65</v>
      </c>
    </row>
    <row r="10286" spans="1:5" x14ac:dyDescent="0.2">
      <c r="A10286">
        <v>67052</v>
      </c>
      <c r="B10286" t="s">
        <v>22</v>
      </c>
      <c r="C10286">
        <v>67052</v>
      </c>
      <c r="D10286" t="str">
        <f>"67052"</f>
        <v>67052</v>
      </c>
      <c r="E10286">
        <v>77.260000000000005</v>
      </c>
    </row>
    <row r="10287" spans="1:5" x14ac:dyDescent="0.2">
      <c r="A10287">
        <v>67053</v>
      </c>
      <c r="B10287" t="s">
        <v>22</v>
      </c>
      <c r="C10287">
        <v>67053</v>
      </c>
      <c r="D10287" t="str">
        <f>"67053"</f>
        <v>67053</v>
      </c>
      <c r="E10287" t="s">
        <v>6</v>
      </c>
    </row>
    <row r="10288" spans="1:5" x14ac:dyDescent="0.2">
      <c r="A10288">
        <v>67054</v>
      </c>
      <c r="B10288" t="s">
        <v>22</v>
      </c>
      <c r="C10288">
        <v>67054</v>
      </c>
      <c r="D10288" t="str">
        <f>"67054"</f>
        <v>67054</v>
      </c>
      <c r="E10288">
        <v>69.81</v>
      </c>
    </row>
    <row r="10289" spans="1:5" x14ac:dyDescent="0.2">
      <c r="A10289">
        <v>67055</v>
      </c>
      <c r="B10289" t="s">
        <v>22</v>
      </c>
      <c r="C10289">
        <v>67055</v>
      </c>
      <c r="D10289" t="str">
        <f>"67055"</f>
        <v>67055</v>
      </c>
      <c r="E10289" t="s">
        <v>6</v>
      </c>
    </row>
    <row r="10290" spans="1:5" x14ac:dyDescent="0.2">
      <c r="A10290">
        <v>67056</v>
      </c>
      <c r="B10290" t="s">
        <v>22</v>
      </c>
      <c r="C10290">
        <v>67056</v>
      </c>
      <c r="D10290" t="str">
        <f>"67056"</f>
        <v>67056</v>
      </c>
      <c r="E10290">
        <v>72.459999999999994</v>
      </c>
    </row>
    <row r="10291" spans="1:5" x14ac:dyDescent="0.2">
      <c r="A10291">
        <v>67057</v>
      </c>
      <c r="B10291" t="s">
        <v>22</v>
      </c>
      <c r="C10291">
        <v>67057</v>
      </c>
      <c r="D10291" t="str">
        <f>"67057"</f>
        <v>67057</v>
      </c>
      <c r="E10291" t="s">
        <v>6</v>
      </c>
    </row>
    <row r="10292" spans="1:5" x14ac:dyDescent="0.2">
      <c r="A10292">
        <v>67058</v>
      </c>
      <c r="B10292" t="s">
        <v>22</v>
      </c>
      <c r="C10292">
        <v>67058</v>
      </c>
      <c r="D10292" t="str">
        <f>"67058"</f>
        <v>67058</v>
      </c>
      <c r="E10292">
        <v>67.05</v>
      </c>
    </row>
    <row r="10293" spans="1:5" x14ac:dyDescent="0.2">
      <c r="A10293">
        <v>67059</v>
      </c>
      <c r="B10293" t="s">
        <v>22</v>
      </c>
      <c r="C10293">
        <v>67059</v>
      </c>
      <c r="D10293" t="str">
        <f>"67059"</f>
        <v>67059</v>
      </c>
      <c r="E10293">
        <v>62.79</v>
      </c>
    </row>
    <row r="10294" spans="1:5" x14ac:dyDescent="0.2">
      <c r="A10294">
        <v>67060</v>
      </c>
      <c r="B10294" t="s">
        <v>22</v>
      </c>
      <c r="C10294">
        <v>67060</v>
      </c>
      <c r="D10294" t="str">
        <f>"67060"</f>
        <v>67060</v>
      </c>
      <c r="E10294">
        <v>71.5</v>
      </c>
    </row>
    <row r="10295" spans="1:5" x14ac:dyDescent="0.2">
      <c r="A10295">
        <v>67061</v>
      </c>
      <c r="B10295" t="s">
        <v>22</v>
      </c>
      <c r="C10295">
        <v>67061</v>
      </c>
      <c r="D10295" t="str">
        <f>"67061"</f>
        <v>67061</v>
      </c>
      <c r="E10295" t="s">
        <v>6</v>
      </c>
    </row>
    <row r="10296" spans="1:5" x14ac:dyDescent="0.2">
      <c r="A10296">
        <v>67062</v>
      </c>
      <c r="B10296" t="s">
        <v>22</v>
      </c>
      <c r="C10296">
        <v>67062</v>
      </c>
      <c r="D10296" t="str">
        <f>"67062"</f>
        <v>67062</v>
      </c>
      <c r="E10296">
        <v>72.88</v>
      </c>
    </row>
    <row r="10297" spans="1:5" x14ac:dyDescent="0.2">
      <c r="A10297">
        <v>67063</v>
      </c>
      <c r="B10297" t="s">
        <v>22</v>
      </c>
      <c r="C10297">
        <v>67063</v>
      </c>
      <c r="D10297" t="str">
        <f>"67063"</f>
        <v>67063</v>
      </c>
      <c r="E10297">
        <v>70.319999999999993</v>
      </c>
    </row>
    <row r="10298" spans="1:5" x14ac:dyDescent="0.2">
      <c r="A10298">
        <v>67065</v>
      </c>
      <c r="B10298" t="s">
        <v>22</v>
      </c>
      <c r="C10298">
        <v>67065</v>
      </c>
      <c r="D10298" t="str">
        <f>"67065"</f>
        <v>67065</v>
      </c>
      <c r="E10298" t="s">
        <v>6</v>
      </c>
    </row>
    <row r="10299" spans="1:5" x14ac:dyDescent="0.2">
      <c r="A10299">
        <v>67066</v>
      </c>
      <c r="B10299" t="s">
        <v>22</v>
      </c>
      <c r="C10299">
        <v>67066</v>
      </c>
      <c r="D10299" t="str">
        <f>"67066"</f>
        <v>67066</v>
      </c>
      <c r="E10299">
        <v>75</v>
      </c>
    </row>
    <row r="10300" spans="1:5" x14ac:dyDescent="0.2">
      <c r="A10300">
        <v>67067</v>
      </c>
      <c r="B10300" t="s">
        <v>22</v>
      </c>
      <c r="C10300">
        <v>67067</v>
      </c>
      <c r="D10300" t="str">
        <f>"67067"</f>
        <v>67067</v>
      </c>
      <c r="E10300">
        <v>77.89</v>
      </c>
    </row>
    <row r="10301" spans="1:5" x14ac:dyDescent="0.2">
      <c r="A10301">
        <v>67068</v>
      </c>
      <c r="B10301" t="s">
        <v>22</v>
      </c>
      <c r="C10301">
        <v>67068</v>
      </c>
      <c r="D10301" t="str">
        <f>"67068"</f>
        <v>67068</v>
      </c>
      <c r="E10301">
        <v>69.069999999999993</v>
      </c>
    </row>
    <row r="10302" spans="1:5" x14ac:dyDescent="0.2">
      <c r="A10302">
        <v>67070</v>
      </c>
      <c r="B10302" t="s">
        <v>22</v>
      </c>
      <c r="C10302">
        <v>67070</v>
      </c>
      <c r="D10302" t="str">
        <f>"67070"</f>
        <v>67070</v>
      </c>
      <c r="E10302">
        <v>66</v>
      </c>
    </row>
    <row r="10303" spans="1:5" x14ac:dyDescent="0.2">
      <c r="A10303">
        <v>67071</v>
      </c>
      <c r="B10303" t="s">
        <v>22</v>
      </c>
      <c r="C10303">
        <v>67071</v>
      </c>
      <c r="D10303" t="str">
        <f>"67071"</f>
        <v>67071</v>
      </c>
      <c r="E10303" t="s">
        <v>6</v>
      </c>
    </row>
    <row r="10304" spans="1:5" x14ac:dyDescent="0.2">
      <c r="A10304">
        <v>67072</v>
      </c>
      <c r="B10304" t="s">
        <v>22</v>
      </c>
      <c r="C10304">
        <v>67072</v>
      </c>
      <c r="D10304" t="str">
        <f>"67072"</f>
        <v>67072</v>
      </c>
      <c r="E10304" t="s">
        <v>6</v>
      </c>
    </row>
    <row r="10305" spans="1:5" x14ac:dyDescent="0.2">
      <c r="A10305">
        <v>67073</v>
      </c>
      <c r="B10305" t="s">
        <v>22</v>
      </c>
      <c r="C10305">
        <v>67073</v>
      </c>
      <c r="D10305" t="str">
        <f>"67073"</f>
        <v>67073</v>
      </c>
      <c r="E10305">
        <v>76.92</v>
      </c>
    </row>
    <row r="10306" spans="1:5" x14ac:dyDescent="0.2">
      <c r="A10306">
        <v>67074</v>
      </c>
      <c r="B10306" t="s">
        <v>22</v>
      </c>
      <c r="C10306">
        <v>67074</v>
      </c>
      <c r="D10306" t="str">
        <f>"67074"</f>
        <v>67074</v>
      </c>
      <c r="E10306">
        <v>72.459999999999994</v>
      </c>
    </row>
    <row r="10307" spans="1:5" x14ac:dyDescent="0.2">
      <c r="A10307">
        <v>67101</v>
      </c>
      <c r="B10307" t="s">
        <v>22</v>
      </c>
      <c r="C10307">
        <v>67101</v>
      </c>
      <c r="D10307" t="str">
        <f>"67101"</f>
        <v>67101</v>
      </c>
      <c r="E10307">
        <v>74.17</v>
      </c>
    </row>
    <row r="10308" spans="1:5" x14ac:dyDescent="0.2">
      <c r="A10308">
        <v>67102</v>
      </c>
      <c r="B10308" t="s">
        <v>22</v>
      </c>
      <c r="C10308">
        <v>67102</v>
      </c>
      <c r="D10308" t="str">
        <f>"67102"</f>
        <v>67102</v>
      </c>
      <c r="E10308" t="s">
        <v>6</v>
      </c>
    </row>
    <row r="10309" spans="1:5" x14ac:dyDescent="0.2">
      <c r="A10309">
        <v>67103</v>
      </c>
      <c r="B10309" t="s">
        <v>22</v>
      </c>
      <c r="C10309">
        <v>67103</v>
      </c>
      <c r="D10309" t="str">
        <f>"67103"</f>
        <v>67103</v>
      </c>
      <c r="E10309">
        <v>71.430000000000007</v>
      </c>
    </row>
    <row r="10310" spans="1:5" x14ac:dyDescent="0.2">
      <c r="A10310">
        <v>67104</v>
      </c>
      <c r="B10310" t="s">
        <v>22</v>
      </c>
      <c r="C10310">
        <v>67104</v>
      </c>
      <c r="D10310" t="str">
        <f>"67104"</f>
        <v>67104</v>
      </c>
      <c r="E10310">
        <v>69.44</v>
      </c>
    </row>
    <row r="10311" spans="1:5" x14ac:dyDescent="0.2">
      <c r="A10311">
        <v>67105</v>
      </c>
      <c r="B10311" t="s">
        <v>22</v>
      </c>
      <c r="C10311">
        <v>67105</v>
      </c>
      <c r="D10311" t="str">
        <f>"67105"</f>
        <v>67105</v>
      </c>
      <c r="E10311" t="s">
        <v>6</v>
      </c>
    </row>
    <row r="10312" spans="1:5" x14ac:dyDescent="0.2">
      <c r="A10312">
        <v>67106</v>
      </c>
      <c r="B10312" t="s">
        <v>22</v>
      </c>
      <c r="C10312">
        <v>67106</v>
      </c>
      <c r="D10312" t="str">
        <f>"67106"</f>
        <v>67106</v>
      </c>
      <c r="E10312">
        <v>70.59</v>
      </c>
    </row>
    <row r="10313" spans="1:5" x14ac:dyDescent="0.2">
      <c r="A10313">
        <v>67107</v>
      </c>
      <c r="B10313" t="s">
        <v>22</v>
      </c>
      <c r="C10313">
        <v>67107</v>
      </c>
      <c r="D10313" t="str">
        <f>"67107"</f>
        <v>67107</v>
      </c>
      <c r="E10313">
        <v>72.86</v>
      </c>
    </row>
    <row r="10314" spans="1:5" x14ac:dyDescent="0.2">
      <c r="A10314">
        <v>67108</v>
      </c>
      <c r="B10314" t="s">
        <v>22</v>
      </c>
      <c r="C10314">
        <v>67108</v>
      </c>
      <c r="D10314" t="str">
        <f>"67108"</f>
        <v>67108</v>
      </c>
      <c r="E10314">
        <v>70.510000000000005</v>
      </c>
    </row>
    <row r="10315" spans="1:5" x14ac:dyDescent="0.2">
      <c r="A10315">
        <v>67109</v>
      </c>
      <c r="B10315" t="s">
        <v>22</v>
      </c>
      <c r="C10315">
        <v>67109</v>
      </c>
      <c r="D10315" t="str">
        <f>"67109"</f>
        <v>67109</v>
      </c>
      <c r="E10315">
        <v>66.67</v>
      </c>
    </row>
    <row r="10316" spans="1:5" x14ac:dyDescent="0.2">
      <c r="A10316">
        <v>67110</v>
      </c>
      <c r="B10316" t="s">
        <v>22</v>
      </c>
      <c r="C10316">
        <v>67110</v>
      </c>
      <c r="D10316" t="str">
        <f>"67110"</f>
        <v>67110</v>
      </c>
      <c r="E10316">
        <v>75.45</v>
      </c>
    </row>
    <row r="10317" spans="1:5" x14ac:dyDescent="0.2">
      <c r="A10317">
        <v>67111</v>
      </c>
      <c r="B10317" t="s">
        <v>22</v>
      </c>
      <c r="C10317">
        <v>67111</v>
      </c>
      <c r="D10317" t="str">
        <f>"67111"</f>
        <v>67111</v>
      </c>
      <c r="E10317">
        <v>66.67</v>
      </c>
    </row>
    <row r="10318" spans="1:5" x14ac:dyDescent="0.2">
      <c r="A10318">
        <v>67112</v>
      </c>
      <c r="B10318" t="s">
        <v>22</v>
      </c>
      <c r="C10318">
        <v>67112</v>
      </c>
      <c r="D10318" t="str">
        <f>"67112"</f>
        <v>67112</v>
      </c>
      <c r="E10318">
        <v>54.55</v>
      </c>
    </row>
    <row r="10319" spans="1:5" x14ac:dyDescent="0.2">
      <c r="A10319">
        <v>67114</v>
      </c>
      <c r="B10319" t="s">
        <v>22</v>
      </c>
      <c r="C10319">
        <v>67114</v>
      </c>
      <c r="D10319" t="str">
        <f>"67114"</f>
        <v>67114</v>
      </c>
      <c r="E10319">
        <v>69.89</v>
      </c>
    </row>
    <row r="10320" spans="1:5" x14ac:dyDescent="0.2">
      <c r="A10320">
        <v>67117</v>
      </c>
      <c r="B10320" t="s">
        <v>22</v>
      </c>
      <c r="C10320">
        <v>67117</v>
      </c>
      <c r="D10320" t="str">
        <f>"67117"</f>
        <v>67117</v>
      </c>
      <c r="E10320">
        <v>74.36</v>
      </c>
    </row>
    <row r="10321" spans="1:5" x14ac:dyDescent="0.2">
      <c r="A10321">
        <v>67118</v>
      </c>
      <c r="B10321" t="s">
        <v>22</v>
      </c>
      <c r="C10321">
        <v>67118</v>
      </c>
      <c r="D10321" t="str">
        <f>"67118"</f>
        <v>67118</v>
      </c>
      <c r="E10321">
        <v>70.97</v>
      </c>
    </row>
    <row r="10322" spans="1:5" x14ac:dyDescent="0.2">
      <c r="A10322">
        <v>67119</v>
      </c>
      <c r="B10322" t="s">
        <v>22</v>
      </c>
      <c r="C10322">
        <v>67119</v>
      </c>
      <c r="D10322" t="str">
        <f>"67119"</f>
        <v>67119</v>
      </c>
      <c r="E10322">
        <v>71.88</v>
      </c>
    </row>
    <row r="10323" spans="1:5" x14ac:dyDescent="0.2">
      <c r="A10323">
        <v>67120</v>
      </c>
      <c r="B10323" t="s">
        <v>22</v>
      </c>
      <c r="C10323">
        <v>67120</v>
      </c>
      <c r="D10323" t="str">
        <f>"67120"</f>
        <v>67120</v>
      </c>
      <c r="E10323">
        <v>79.37</v>
      </c>
    </row>
    <row r="10324" spans="1:5" x14ac:dyDescent="0.2">
      <c r="A10324">
        <v>67122</v>
      </c>
      <c r="B10324" t="s">
        <v>22</v>
      </c>
      <c r="C10324">
        <v>67122</v>
      </c>
      <c r="D10324" t="str">
        <f>"67122"</f>
        <v>67122</v>
      </c>
      <c r="E10324" t="s">
        <v>6</v>
      </c>
    </row>
    <row r="10325" spans="1:5" x14ac:dyDescent="0.2">
      <c r="A10325">
        <v>67123</v>
      </c>
      <c r="B10325" t="s">
        <v>22</v>
      </c>
      <c r="C10325">
        <v>67123</v>
      </c>
      <c r="D10325" t="str">
        <f>"67123"</f>
        <v>67123</v>
      </c>
      <c r="E10325">
        <v>68.97</v>
      </c>
    </row>
    <row r="10326" spans="1:5" x14ac:dyDescent="0.2">
      <c r="A10326">
        <v>67124</v>
      </c>
      <c r="B10326" t="s">
        <v>22</v>
      </c>
      <c r="C10326">
        <v>67124</v>
      </c>
      <c r="D10326" t="str">
        <f>"67124"</f>
        <v>67124</v>
      </c>
      <c r="E10326">
        <v>69.86</v>
      </c>
    </row>
    <row r="10327" spans="1:5" x14ac:dyDescent="0.2">
      <c r="A10327">
        <v>67127</v>
      </c>
      <c r="B10327" t="s">
        <v>22</v>
      </c>
      <c r="C10327">
        <v>67127</v>
      </c>
      <c r="D10327" t="str">
        <f>"67127"</f>
        <v>67127</v>
      </c>
      <c r="E10327">
        <v>74.069999999999993</v>
      </c>
    </row>
    <row r="10328" spans="1:5" x14ac:dyDescent="0.2">
      <c r="A10328">
        <v>67131</v>
      </c>
      <c r="B10328" t="s">
        <v>22</v>
      </c>
      <c r="C10328">
        <v>67131</v>
      </c>
      <c r="D10328" t="str">
        <f>"67131"</f>
        <v>67131</v>
      </c>
      <c r="E10328">
        <v>58.33</v>
      </c>
    </row>
    <row r="10329" spans="1:5" x14ac:dyDescent="0.2">
      <c r="A10329">
        <v>67132</v>
      </c>
      <c r="B10329" t="s">
        <v>22</v>
      </c>
      <c r="C10329">
        <v>67132</v>
      </c>
      <c r="D10329" t="str">
        <f>"67132"</f>
        <v>67132</v>
      </c>
      <c r="E10329">
        <v>68.75</v>
      </c>
    </row>
    <row r="10330" spans="1:5" x14ac:dyDescent="0.2">
      <c r="A10330">
        <v>67133</v>
      </c>
      <c r="B10330" t="s">
        <v>22</v>
      </c>
      <c r="C10330">
        <v>67133</v>
      </c>
      <c r="D10330" t="str">
        <f>"67133"</f>
        <v>67133</v>
      </c>
      <c r="E10330">
        <v>77.48</v>
      </c>
    </row>
    <row r="10331" spans="1:5" x14ac:dyDescent="0.2">
      <c r="A10331">
        <v>67134</v>
      </c>
      <c r="B10331" t="s">
        <v>22</v>
      </c>
      <c r="C10331">
        <v>67134</v>
      </c>
      <c r="D10331" t="str">
        <f>"67134"</f>
        <v>67134</v>
      </c>
      <c r="E10331">
        <v>73.33</v>
      </c>
    </row>
    <row r="10332" spans="1:5" x14ac:dyDescent="0.2">
      <c r="A10332">
        <v>67135</v>
      </c>
      <c r="B10332" t="s">
        <v>22</v>
      </c>
      <c r="C10332">
        <v>67135</v>
      </c>
      <c r="D10332" t="str">
        <f>"67135"</f>
        <v>67135</v>
      </c>
      <c r="E10332">
        <v>72.11</v>
      </c>
    </row>
    <row r="10333" spans="1:5" x14ac:dyDescent="0.2">
      <c r="A10333">
        <v>67137</v>
      </c>
      <c r="B10333" t="s">
        <v>22</v>
      </c>
      <c r="C10333">
        <v>67137</v>
      </c>
      <c r="D10333" t="str">
        <f>"67137"</f>
        <v>67137</v>
      </c>
      <c r="E10333">
        <v>63.64</v>
      </c>
    </row>
    <row r="10334" spans="1:5" x14ac:dyDescent="0.2">
      <c r="A10334">
        <v>67138</v>
      </c>
      <c r="B10334" t="s">
        <v>22</v>
      </c>
      <c r="C10334">
        <v>67138</v>
      </c>
      <c r="D10334" t="str">
        <f>"67138"</f>
        <v>67138</v>
      </c>
      <c r="E10334">
        <v>64.709999999999994</v>
      </c>
    </row>
    <row r="10335" spans="1:5" x14ac:dyDescent="0.2">
      <c r="A10335">
        <v>67140</v>
      </c>
      <c r="B10335" t="s">
        <v>22</v>
      </c>
      <c r="C10335">
        <v>67140</v>
      </c>
      <c r="D10335" t="str">
        <f>"67140"</f>
        <v>67140</v>
      </c>
      <c r="E10335">
        <v>69.7</v>
      </c>
    </row>
    <row r="10336" spans="1:5" x14ac:dyDescent="0.2">
      <c r="A10336">
        <v>67142</v>
      </c>
      <c r="B10336" t="s">
        <v>22</v>
      </c>
      <c r="C10336">
        <v>67142</v>
      </c>
      <c r="D10336" t="str">
        <f>"67142"</f>
        <v>67142</v>
      </c>
      <c r="E10336">
        <v>64.709999999999994</v>
      </c>
    </row>
    <row r="10337" spans="1:5" x14ac:dyDescent="0.2">
      <c r="A10337">
        <v>67143</v>
      </c>
      <c r="B10337" t="s">
        <v>22</v>
      </c>
      <c r="C10337">
        <v>67143</v>
      </c>
      <c r="D10337" t="str">
        <f>"67143"</f>
        <v>67143</v>
      </c>
      <c r="E10337" t="s">
        <v>6</v>
      </c>
    </row>
    <row r="10338" spans="1:5" x14ac:dyDescent="0.2">
      <c r="A10338">
        <v>67144</v>
      </c>
      <c r="B10338" t="s">
        <v>22</v>
      </c>
      <c r="C10338">
        <v>67144</v>
      </c>
      <c r="D10338" t="str">
        <f>"67144"</f>
        <v>67144</v>
      </c>
      <c r="E10338">
        <v>73.02</v>
      </c>
    </row>
    <row r="10339" spans="1:5" x14ac:dyDescent="0.2">
      <c r="A10339">
        <v>67146</v>
      </c>
      <c r="B10339" t="s">
        <v>22</v>
      </c>
      <c r="C10339">
        <v>67146</v>
      </c>
      <c r="D10339" t="str">
        <f>"67146"</f>
        <v>67146</v>
      </c>
      <c r="E10339">
        <v>72.5</v>
      </c>
    </row>
    <row r="10340" spans="1:5" x14ac:dyDescent="0.2">
      <c r="A10340">
        <v>67147</v>
      </c>
      <c r="B10340" t="s">
        <v>22</v>
      </c>
      <c r="C10340">
        <v>67147</v>
      </c>
      <c r="D10340" t="str">
        <f>"67147"</f>
        <v>67147</v>
      </c>
      <c r="E10340">
        <v>74.319999999999993</v>
      </c>
    </row>
    <row r="10341" spans="1:5" x14ac:dyDescent="0.2">
      <c r="A10341">
        <v>67149</v>
      </c>
      <c r="B10341" t="s">
        <v>22</v>
      </c>
      <c r="C10341">
        <v>67149</v>
      </c>
      <c r="D10341" t="str">
        <f>"67149"</f>
        <v>67149</v>
      </c>
      <c r="E10341">
        <v>76.599999999999994</v>
      </c>
    </row>
    <row r="10342" spans="1:5" x14ac:dyDescent="0.2">
      <c r="A10342">
        <v>67150</v>
      </c>
      <c r="B10342" t="s">
        <v>22</v>
      </c>
      <c r="C10342">
        <v>67150</v>
      </c>
      <c r="D10342" t="str">
        <f>"67150"</f>
        <v>67150</v>
      </c>
      <c r="E10342" t="s">
        <v>6</v>
      </c>
    </row>
    <row r="10343" spans="1:5" x14ac:dyDescent="0.2">
      <c r="A10343">
        <v>67151</v>
      </c>
      <c r="B10343" t="s">
        <v>22</v>
      </c>
      <c r="C10343">
        <v>67151</v>
      </c>
      <c r="D10343" t="str">
        <f>"67151"</f>
        <v>67151</v>
      </c>
      <c r="E10343">
        <v>71.430000000000007</v>
      </c>
    </row>
    <row r="10344" spans="1:5" x14ac:dyDescent="0.2">
      <c r="A10344">
        <v>67152</v>
      </c>
      <c r="B10344" t="s">
        <v>22</v>
      </c>
      <c r="C10344">
        <v>67152</v>
      </c>
      <c r="D10344" t="str">
        <f>"67152"</f>
        <v>67152</v>
      </c>
      <c r="E10344">
        <v>67.180000000000007</v>
      </c>
    </row>
    <row r="10345" spans="1:5" x14ac:dyDescent="0.2">
      <c r="A10345">
        <v>67154</v>
      </c>
      <c r="B10345" t="s">
        <v>22</v>
      </c>
      <c r="C10345">
        <v>67154</v>
      </c>
      <c r="D10345" t="str">
        <f>"67154"</f>
        <v>67154</v>
      </c>
      <c r="E10345">
        <v>70.77</v>
      </c>
    </row>
    <row r="10346" spans="1:5" x14ac:dyDescent="0.2">
      <c r="A10346">
        <v>67155</v>
      </c>
      <c r="B10346" t="s">
        <v>22</v>
      </c>
      <c r="C10346">
        <v>67155</v>
      </c>
      <c r="D10346" t="str">
        <f>"67155"</f>
        <v>67155</v>
      </c>
      <c r="E10346" t="s">
        <v>6</v>
      </c>
    </row>
    <row r="10347" spans="1:5" x14ac:dyDescent="0.2">
      <c r="A10347">
        <v>67156</v>
      </c>
      <c r="B10347" t="s">
        <v>22</v>
      </c>
      <c r="C10347">
        <v>67156</v>
      </c>
      <c r="D10347" t="str">
        <f>"67156"</f>
        <v>67156</v>
      </c>
      <c r="E10347">
        <v>70.989999999999995</v>
      </c>
    </row>
    <row r="10348" spans="1:5" x14ac:dyDescent="0.2">
      <c r="A10348">
        <v>67159</v>
      </c>
      <c r="B10348" t="s">
        <v>22</v>
      </c>
      <c r="C10348">
        <v>67159</v>
      </c>
      <c r="D10348" t="str">
        <f>"67159"</f>
        <v>67159</v>
      </c>
      <c r="E10348">
        <v>66.67</v>
      </c>
    </row>
    <row r="10349" spans="1:5" x14ac:dyDescent="0.2">
      <c r="A10349">
        <v>67202</v>
      </c>
      <c r="B10349" t="s">
        <v>22</v>
      </c>
      <c r="C10349">
        <v>67202</v>
      </c>
      <c r="D10349" t="str">
        <f>"67202"</f>
        <v>67202</v>
      </c>
      <c r="E10349">
        <v>81.48</v>
      </c>
    </row>
    <row r="10350" spans="1:5" x14ac:dyDescent="0.2">
      <c r="A10350">
        <v>67203</v>
      </c>
      <c r="B10350" t="s">
        <v>22</v>
      </c>
      <c r="C10350">
        <v>67203</v>
      </c>
      <c r="D10350" t="str">
        <f>"67203"</f>
        <v>67203</v>
      </c>
      <c r="E10350">
        <v>67.48</v>
      </c>
    </row>
    <row r="10351" spans="1:5" x14ac:dyDescent="0.2">
      <c r="A10351">
        <v>67204</v>
      </c>
      <c r="B10351" t="s">
        <v>22</v>
      </c>
      <c r="C10351">
        <v>67204</v>
      </c>
      <c r="D10351" t="str">
        <f>"67204"</f>
        <v>67204</v>
      </c>
      <c r="E10351">
        <v>66.97</v>
      </c>
    </row>
    <row r="10352" spans="1:5" x14ac:dyDescent="0.2">
      <c r="A10352">
        <v>67205</v>
      </c>
      <c r="B10352" t="s">
        <v>22</v>
      </c>
      <c r="C10352">
        <v>67205</v>
      </c>
      <c r="D10352" t="str">
        <f>"67205"</f>
        <v>67205</v>
      </c>
      <c r="E10352">
        <v>79.650000000000006</v>
      </c>
    </row>
    <row r="10353" spans="1:5" x14ac:dyDescent="0.2">
      <c r="A10353">
        <v>67206</v>
      </c>
      <c r="B10353" t="s">
        <v>22</v>
      </c>
      <c r="C10353">
        <v>67206</v>
      </c>
      <c r="D10353" t="str">
        <f>"67206"</f>
        <v>67206</v>
      </c>
      <c r="E10353">
        <v>79.5</v>
      </c>
    </row>
    <row r="10354" spans="1:5" x14ac:dyDescent="0.2">
      <c r="A10354">
        <v>67207</v>
      </c>
      <c r="B10354" t="s">
        <v>22</v>
      </c>
      <c r="C10354">
        <v>67207</v>
      </c>
      <c r="D10354" t="str">
        <f>"67207"</f>
        <v>67207</v>
      </c>
      <c r="E10354">
        <v>70.77</v>
      </c>
    </row>
    <row r="10355" spans="1:5" x14ac:dyDescent="0.2">
      <c r="A10355">
        <v>67208</v>
      </c>
      <c r="B10355" t="s">
        <v>22</v>
      </c>
      <c r="C10355">
        <v>67208</v>
      </c>
      <c r="D10355" t="str">
        <f>"67208"</f>
        <v>67208</v>
      </c>
      <c r="E10355">
        <v>66.83</v>
      </c>
    </row>
    <row r="10356" spans="1:5" x14ac:dyDescent="0.2">
      <c r="A10356">
        <v>67209</v>
      </c>
      <c r="B10356" t="s">
        <v>22</v>
      </c>
      <c r="C10356">
        <v>67209</v>
      </c>
      <c r="D10356" t="str">
        <f>"67209"</f>
        <v>67209</v>
      </c>
      <c r="E10356">
        <v>76.16</v>
      </c>
    </row>
    <row r="10357" spans="1:5" x14ac:dyDescent="0.2">
      <c r="A10357">
        <v>67210</v>
      </c>
      <c r="B10357" t="s">
        <v>22</v>
      </c>
      <c r="C10357">
        <v>67210</v>
      </c>
      <c r="D10357" t="str">
        <f>"67210"</f>
        <v>67210</v>
      </c>
      <c r="E10357">
        <v>58.89</v>
      </c>
    </row>
    <row r="10358" spans="1:5" x14ac:dyDescent="0.2">
      <c r="A10358">
        <v>67211</v>
      </c>
      <c r="B10358" t="s">
        <v>22</v>
      </c>
      <c r="C10358">
        <v>67211</v>
      </c>
      <c r="D10358" t="str">
        <f>"67211"</f>
        <v>67211</v>
      </c>
      <c r="E10358">
        <v>58.36</v>
      </c>
    </row>
    <row r="10359" spans="1:5" x14ac:dyDescent="0.2">
      <c r="A10359">
        <v>67212</v>
      </c>
      <c r="B10359" t="s">
        <v>22</v>
      </c>
      <c r="C10359">
        <v>67212</v>
      </c>
      <c r="D10359" t="str">
        <f>"67212"</f>
        <v>67212</v>
      </c>
      <c r="E10359">
        <v>75.58</v>
      </c>
    </row>
    <row r="10360" spans="1:5" x14ac:dyDescent="0.2">
      <c r="A10360">
        <v>67213</v>
      </c>
      <c r="B10360" t="s">
        <v>22</v>
      </c>
      <c r="C10360">
        <v>67213</v>
      </c>
      <c r="D10360" t="str">
        <f>"67213"</f>
        <v>67213</v>
      </c>
      <c r="E10360">
        <v>58.56</v>
      </c>
    </row>
    <row r="10361" spans="1:5" x14ac:dyDescent="0.2">
      <c r="A10361">
        <v>67214</v>
      </c>
      <c r="B10361" t="s">
        <v>22</v>
      </c>
      <c r="C10361">
        <v>67214</v>
      </c>
      <c r="D10361" t="str">
        <f>"67214"</f>
        <v>67214</v>
      </c>
      <c r="E10361">
        <v>45.84</v>
      </c>
    </row>
    <row r="10362" spans="1:5" x14ac:dyDescent="0.2">
      <c r="A10362">
        <v>67215</v>
      </c>
      <c r="B10362" t="s">
        <v>22</v>
      </c>
      <c r="C10362">
        <v>67215</v>
      </c>
      <c r="D10362" t="str">
        <f>"67215"</f>
        <v>67215</v>
      </c>
      <c r="E10362">
        <v>79.319999999999993</v>
      </c>
    </row>
    <row r="10363" spans="1:5" x14ac:dyDescent="0.2">
      <c r="A10363">
        <v>67216</v>
      </c>
      <c r="B10363" t="s">
        <v>22</v>
      </c>
      <c r="C10363">
        <v>67216</v>
      </c>
      <c r="D10363" t="str">
        <f>"67216"</f>
        <v>67216</v>
      </c>
      <c r="E10363">
        <v>59.66</v>
      </c>
    </row>
    <row r="10364" spans="1:5" x14ac:dyDescent="0.2">
      <c r="A10364">
        <v>67217</v>
      </c>
      <c r="B10364" t="s">
        <v>22</v>
      </c>
      <c r="C10364">
        <v>67217</v>
      </c>
      <c r="D10364" t="str">
        <f>"67217"</f>
        <v>67217</v>
      </c>
      <c r="E10364">
        <v>64.72</v>
      </c>
    </row>
    <row r="10365" spans="1:5" x14ac:dyDescent="0.2">
      <c r="A10365">
        <v>67218</v>
      </c>
      <c r="B10365" t="s">
        <v>22</v>
      </c>
      <c r="C10365">
        <v>67218</v>
      </c>
      <c r="D10365" t="str">
        <f>"67218"</f>
        <v>67218</v>
      </c>
      <c r="E10365">
        <v>62.95</v>
      </c>
    </row>
    <row r="10366" spans="1:5" x14ac:dyDescent="0.2">
      <c r="A10366">
        <v>67219</v>
      </c>
      <c r="B10366" t="s">
        <v>22</v>
      </c>
      <c r="C10366">
        <v>67219</v>
      </c>
      <c r="D10366" t="str">
        <f>"67219"</f>
        <v>67219</v>
      </c>
      <c r="E10366">
        <v>65.67</v>
      </c>
    </row>
    <row r="10367" spans="1:5" x14ac:dyDescent="0.2">
      <c r="A10367">
        <v>67220</v>
      </c>
      <c r="B10367" t="s">
        <v>22</v>
      </c>
      <c r="C10367">
        <v>67220</v>
      </c>
      <c r="D10367" t="str">
        <f>"67220"</f>
        <v>67220</v>
      </c>
      <c r="E10367">
        <v>73.05</v>
      </c>
    </row>
    <row r="10368" spans="1:5" x14ac:dyDescent="0.2">
      <c r="A10368">
        <v>67221</v>
      </c>
      <c r="B10368" t="s">
        <v>22</v>
      </c>
      <c r="C10368">
        <v>67221</v>
      </c>
      <c r="D10368" t="str">
        <f>"67221"</f>
        <v>67221</v>
      </c>
      <c r="E10368" t="s">
        <v>6</v>
      </c>
    </row>
    <row r="10369" spans="1:5" x14ac:dyDescent="0.2">
      <c r="A10369">
        <v>67223</v>
      </c>
      <c r="B10369" t="s">
        <v>22</v>
      </c>
      <c r="C10369">
        <v>67223</v>
      </c>
      <c r="D10369" t="str">
        <f>"67223"</f>
        <v>67223</v>
      </c>
      <c r="E10369">
        <v>80.77</v>
      </c>
    </row>
    <row r="10370" spans="1:5" x14ac:dyDescent="0.2">
      <c r="A10370">
        <v>67226</v>
      </c>
      <c r="B10370" t="s">
        <v>22</v>
      </c>
      <c r="C10370">
        <v>67226</v>
      </c>
      <c r="D10370" t="str">
        <f>"67226"</f>
        <v>67226</v>
      </c>
      <c r="E10370">
        <v>78.319999999999993</v>
      </c>
    </row>
    <row r="10371" spans="1:5" x14ac:dyDescent="0.2">
      <c r="A10371">
        <v>67227</v>
      </c>
      <c r="B10371" t="s">
        <v>22</v>
      </c>
      <c r="C10371">
        <v>67227</v>
      </c>
      <c r="D10371" t="str">
        <f>"67227"</f>
        <v>67227</v>
      </c>
      <c r="E10371">
        <v>78.95</v>
      </c>
    </row>
    <row r="10372" spans="1:5" x14ac:dyDescent="0.2">
      <c r="A10372">
        <v>67228</v>
      </c>
      <c r="B10372" t="s">
        <v>22</v>
      </c>
      <c r="C10372">
        <v>67228</v>
      </c>
      <c r="D10372" t="str">
        <f>"67228"</f>
        <v>67228</v>
      </c>
      <c r="E10372">
        <v>81.44</v>
      </c>
    </row>
    <row r="10373" spans="1:5" x14ac:dyDescent="0.2">
      <c r="A10373">
        <v>67230</v>
      </c>
      <c r="B10373" t="s">
        <v>22</v>
      </c>
      <c r="C10373">
        <v>67230</v>
      </c>
      <c r="D10373" t="str">
        <f>"67230"</f>
        <v>67230</v>
      </c>
      <c r="E10373">
        <v>81.849999999999994</v>
      </c>
    </row>
    <row r="10374" spans="1:5" x14ac:dyDescent="0.2">
      <c r="A10374">
        <v>67232</v>
      </c>
      <c r="B10374" t="s">
        <v>22</v>
      </c>
      <c r="C10374">
        <v>67232</v>
      </c>
      <c r="D10374" t="str">
        <f>"67232"</f>
        <v>67232</v>
      </c>
      <c r="E10374">
        <v>69.23</v>
      </c>
    </row>
    <row r="10375" spans="1:5" x14ac:dyDescent="0.2">
      <c r="A10375">
        <v>67235</v>
      </c>
      <c r="B10375" t="s">
        <v>22</v>
      </c>
      <c r="C10375">
        <v>67235</v>
      </c>
      <c r="D10375" t="str">
        <f>"67235"</f>
        <v>67235</v>
      </c>
      <c r="E10375">
        <v>82</v>
      </c>
    </row>
    <row r="10376" spans="1:5" x14ac:dyDescent="0.2">
      <c r="A10376">
        <v>67260</v>
      </c>
      <c r="B10376" t="s">
        <v>22</v>
      </c>
      <c r="C10376">
        <v>67260</v>
      </c>
      <c r="D10376" t="str">
        <f>"67260"</f>
        <v>67260</v>
      </c>
      <c r="E10376" t="s">
        <v>6</v>
      </c>
    </row>
    <row r="10377" spans="1:5" x14ac:dyDescent="0.2">
      <c r="A10377">
        <v>67301</v>
      </c>
      <c r="B10377" t="s">
        <v>22</v>
      </c>
      <c r="C10377">
        <v>67301</v>
      </c>
      <c r="D10377" t="str">
        <f>"67301"</f>
        <v>67301</v>
      </c>
      <c r="E10377">
        <v>65.23</v>
      </c>
    </row>
    <row r="10378" spans="1:5" x14ac:dyDescent="0.2">
      <c r="A10378">
        <v>67330</v>
      </c>
      <c r="B10378" t="s">
        <v>22</v>
      </c>
      <c r="C10378">
        <v>67330</v>
      </c>
      <c r="D10378" t="str">
        <f>"67330"</f>
        <v>67330</v>
      </c>
      <c r="E10378">
        <v>69.12</v>
      </c>
    </row>
    <row r="10379" spans="1:5" x14ac:dyDescent="0.2">
      <c r="A10379">
        <v>67332</v>
      </c>
      <c r="B10379" t="s">
        <v>22</v>
      </c>
      <c r="C10379">
        <v>67332</v>
      </c>
      <c r="D10379" t="str">
        <f>"67332"</f>
        <v>67332</v>
      </c>
      <c r="E10379" t="s">
        <v>6</v>
      </c>
    </row>
    <row r="10380" spans="1:5" x14ac:dyDescent="0.2">
      <c r="A10380">
        <v>67333</v>
      </c>
      <c r="B10380" t="s">
        <v>22</v>
      </c>
      <c r="C10380">
        <v>67333</v>
      </c>
      <c r="D10380" t="str">
        <f>"67333"</f>
        <v>67333</v>
      </c>
      <c r="E10380">
        <v>66.38</v>
      </c>
    </row>
    <row r="10381" spans="1:5" x14ac:dyDescent="0.2">
      <c r="A10381">
        <v>67334</v>
      </c>
      <c r="B10381" t="s">
        <v>22</v>
      </c>
      <c r="C10381">
        <v>67334</v>
      </c>
      <c r="D10381" t="str">
        <f>"67334"</f>
        <v>67334</v>
      </c>
      <c r="E10381" t="s">
        <v>6</v>
      </c>
    </row>
    <row r="10382" spans="1:5" x14ac:dyDescent="0.2">
      <c r="A10382">
        <v>67335</v>
      </c>
      <c r="B10382" t="s">
        <v>22</v>
      </c>
      <c r="C10382">
        <v>67335</v>
      </c>
      <c r="D10382" t="str">
        <f>"67335"</f>
        <v>67335</v>
      </c>
      <c r="E10382">
        <v>63.77</v>
      </c>
    </row>
    <row r="10383" spans="1:5" x14ac:dyDescent="0.2">
      <c r="A10383">
        <v>67336</v>
      </c>
      <c r="B10383" t="s">
        <v>22</v>
      </c>
      <c r="C10383">
        <v>67336</v>
      </c>
      <c r="D10383" t="str">
        <f>"67336"</f>
        <v>67336</v>
      </c>
      <c r="E10383">
        <v>56.45</v>
      </c>
    </row>
    <row r="10384" spans="1:5" x14ac:dyDescent="0.2">
      <c r="A10384">
        <v>67337</v>
      </c>
      <c r="B10384" t="s">
        <v>22</v>
      </c>
      <c r="C10384">
        <v>67337</v>
      </c>
      <c r="D10384" t="str">
        <f>"67337"</f>
        <v>67337</v>
      </c>
      <c r="E10384">
        <v>63.66</v>
      </c>
    </row>
    <row r="10385" spans="1:5" x14ac:dyDescent="0.2">
      <c r="A10385">
        <v>67340</v>
      </c>
      <c r="B10385" t="s">
        <v>22</v>
      </c>
      <c r="C10385">
        <v>67340</v>
      </c>
      <c r="D10385" t="str">
        <f>"67340"</f>
        <v>67340</v>
      </c>
      <c r="E10385" t="s">
        <v>6</v>
      </c>
    </row>
    <row r="10386" spans="1:5" x14ac:dyDescent="0.2">
      <c r="A10386">
        <v>67341</v>
      </c>
      <c r="B10386" t="s">
        <v>22</v>
      </c>
      <c r="C10386">
        <v>67341</v>
      </c>
      <c r="D10386" t="str">
        <f>"67341"</f>
        <v>67341</v>
      </c>
      <c r="E10386">
        <v>52.94</v>
      </c>
    </row>
    <row r="10387" spans="1:5" x14ac:dyDescent="0.2">
      <c r="A10387">
        <v>67342</v>
      </c>
      <c r="B10387" t="s">
        <v>22</v>
      </c>
      <c r="C10387">
        <v>67342</v>
      </c>
      <c r="D10387" t="str">
        <f>"67342"</f>
        <v>67342</v>
      </c>
      <c r="E10387">
        <v>67.569999999999993</v>
      </c>
    </row>
    <row r="10388" spans="1:5" x14ac:dyDescent="0.2">
      <c r="A10388">
        <v>67344</v>
      </c>
      <c r="B10388" t="s">
        <v>22</v>
      </c>
      <c r="C10388">
        <v>67344</v>
      </c>
      <c r="D10388" t="str">
        <f>"67344"</f>
        <v>67344</v>
      </c>
      <c r="E10388">
        <v>70.59</v>
      </c>
    </row>
    <row r="10389" spans="1:5" x14ac:dyDescent="0.2">
      <c r="A10389">
        <v>67345</v>
      </c>
      <c r="B10389" t="s">
        <v>22</v>
      </c>
      <c r="C10389">
        <v>67345</v>
      </c>
      <c r="D10389" t="str">
        <f>"67345"</f>
        <v>67345</v>
      </c>
      <c r="E10389" t="s">
        <v>6</v>
      </c>
    </row>
    <row r="10390" spans="1:5" x14ac:dyDescent="0.2">
      <c r="A10390">
        <v>67346</v>
      </c>
      <c r="B10390" t="s">
        <v>22</v>
      </c>
      <c r="C10390">
        <v>67346</v>
      </c>
      <c r="D10390" t="str">
        <f>"67346"</f>
        <v>67346</v>
      </c>
      <c r="E10390">
        <v>56.25</v>
      </c>
    </row>
    <row r="10391" spans="1:5" x14ac:dyDescent="0.2">
      <c r="A10391">
        <v>67347</v>
      </c>
      <c r="B10391" t="s">
        <v>22</v>
      </c>
      <c r="C10391">
        <v>67347</v>
      </c>
      <c r="D10391" t="str">
        <f>"67347"</f>
        <v>67347</v>
      </c>
      <c r="E10391">
        <v>75</v>
      </c>
    </row>
    <row r="10392" spans="1:5" x14ac:dyDescent="0.2">
      <c r="A10392">
        <v>67349</v>
      </c>
      <c r="B10392" t="s">
        <v>22</v>
      </c>
      <c r="C10392">
        <v>67349</v>
      </c>
      <c r="D10392" t="str">
        <f>"67349"</f>
        <v>67349</v>
      </c>
      <c r="E10392">
        <v>66.67</v>
      </c>
    </row>
    <row r="10393" spans="1:5" x14ac:dyDescent="0.2">
      <c r="A10393">
        <v>67351</v>
      </c>
      <c r="B10393" t="s">
        <v>22</v>
      </c>
      <c r="C10393">
        <v>67351</v>
      </c>
      <c r="D10393" t="str">
        <f>"67351"</f>
        <v>67351</v>
      </c>
      <c r="E10393">
        <v>68.75</v>
      </c>
    </row>
    <row r="10394" spans="1:5" x14ac:dyDescent="0.2">
      <c r="A10394">
        <v>67352</v>
      </c>
      <c r="B10394" t="s">
        <v>22</v>
      </c>
      <c r="C10394">
        <v>67352</v>
      </c>
      <c r="D10394" t="str">
        <f>"67352"</f>
        <v>67352</v>
      </c>
      <c r="E10394">
        <v>52.63</v>
      </c>
    </row>
    <row r="10395" spans="1:5" x14ac:dyDescent="0.2">
      <c r="A10395">
        <v>67353</v>
      </c>
      <c r="B10395" t="s">
        <v>22</v>
      </c>
      <c r="C10395">
        <v>67353</v>
      </c>
      <c r="D10395" t="str">
        <f>"67353"</f>
        <v>67353</v>
      </c>
      <c r="E10395">
        <v>52.17</v>
      </c>
    </row>
    <row r="10396" spans="1:5" x14ac:dyDescent="0.2">
      <c r="A10396">
        <v>67354</v>
      </c>
      <c r="B10396" t="s">
        <v>22</v>
      </c>
      <c r="C10396">
        <v>67354</v>
      </c>
      <c r="D10396" t="str">
        <f>"67354"</f>
        <v>67354</v>
      </c>
      <c r="E10396">
        <v>64.52</v>
      </c>
    </row>
    <row r="10397" spans="1:5" x14ac:dyDescent="0.2">
      <c r="A10397">
        <v>67355</v>
      </c>
      <c r="B10397" t="s">
        <v>22</v>
      </c>
      <c r="C10397">
        <v>67355</v>
      </c>
      <c r="D10397" t="str">
        <f>"67355"</f>
        <v>67355</v>
      </c>
      <c r="E10397" t="s">
        <v>6</v>
      </c>
    </row>
    <row r="10398" spans="1:5" x14ac:dyDescent="0.2">
      <c r="A10398">
        <v>67356</v>
      </c>
      <c r="B10398" t="s">
        <v>22</v>
      </c>
      <c r="C10398">
        <v>67356</v>
      </c>
      <c r="D10398" t="str">
        <f>"67356"</f>
        <v>67356</v>
      </c>
      <c r="E10398">
        <v>64.22</v>
      </c>
    </row>
    <row r="10399" spans="1:5" x14ac:dyDescent="0.2">
      <c r="A10399">
        <v>67357</v>
      </c>
      <c r="B10399" t="s">
        <v>22</v>
      </c>
      <c r="C10399">
        <v>67357</v>
      </c>
      <c r="D10399" t="str">
        <f>"67357"</f>
        <v>67357</v>
      </c>
      <c r="E10399">
        <v>62.84</v>
      </c>
    </row>
    <row r="10400" spans="1:5" x14ac:dyDescent="0.2">
      <c r="A10400">
        <v>67360</v>
      </c>
      <c r="B10400" t="s">
        <v>22</v>
      </c>
      <c r="C10400">
        <v>67360</v>
      </c>
      <c r="D10400" t="str">
        <f>"67360"</f>
        <v>67360</v>
      </c>
      <c r="E10400">
        <v>61.54</v>
      </c>
    </row>
    <row r="10401" spans="1:5" x14ac:dyDescent="0.2">
      <c r="A10401">
        <v>67361</v>
      </c>
      <c r="B10401" t="s">
        <v>22</v>
      </c>
      <c r="C10401">
        <v>67361</v>
      </c>
      <c r="D10401" t="str">
        <f>"67361"</f>
        <v>67361</v>
      </c>
      <c r="E10401">
        <v>62.32</v>
      </c>
    </row>
    <row r="10402" spans="1:5" x14ac:dyDescent="0.2">
      <c r="A10402">
        <v>67363</v>
      </c>
      <c r="B10402" t="s">
        <v>22</v>
      </c>
      <c r="C10402">
        <v>67363</v>
      </c>
      <c r="D10402" t="str">
        <f>"67363"</f>
        <v>67363</v>
      </c>
      <c r="E10402" t="s">
        <v>6</v>
      </c>
    </row>
    <row r="10403" spans="1:5" x14ac:dyDescent="0.2">
      <c r="A10403">
        <v>67364</v>
      </c>
      <c r="B10403" t="s">
        <v>22</v>
      </c>
      <c r="C10403">
        <v>67364</v>
      </c>
      <c r="D10403" t="str">
        <f>"67364"</f>
        <v>67364</v>
      </c>
      <c r="E10403" t="s">
        <v>6</v>
      </c>
    </row>
    <row r="10404" spans="1:5" x14ac:dyDescent="0.2">
      <c r="A10404">
        <v>67401</v>
      </c>
      <c r="B10404" t="s">
        <v>22</v>
      </c>
      <c r="C10404">
        <v>67401</v>
      </c>
      <c r="D10404" t="str">
        <f>"67401"</f>
        <v>67401</v>
      </c>
      <c r="E10404">
        <v>70.510000000000005</v>
      </c>
    </row>
    <row r="10405" spans="1:5" x14ac:dyDescent="0.2">
      <c r="A10405">
        <v>67410</v>
      </c>
      <c r="B10405" t="s">
        <v>22</v>
      </c>
      <c r="C10405">
        <v>67410</v>
      </c>
      <c r="D10405" t="str">
        <f>"67410"</f>
        <v>67410</v>
      </c>
      <c r="E10405">
        <v>70.09</v>
      </c>
    </row>
    <row r="10406" spans="1:5" x14ac:dyDescent="0.2">
      <c r="A10406">
        <v>67416</v>
      </c>
      <c r="B10406" t="s">
        <v>22</v>
      </c>
      <c r="C10406">
        <v>67416</v>
      </c>
      <c r="D10406" t="str">
        <f>"67416"</f>
        <v>67416</v>
      </c>
      <c r="E10406">
        <v>71.430000000000007</v>
      </c>
    </row>
    <row r="10407" spans="1:5" x14ac:dyDescent="0.2">
      <c r="A10407">
        <v>67417</v>
      </c>
      <c r="B10407" t="s">
        <v>22</v>
      </c>
      <c r="C10407">
        <v>67417</v>
      </c>
      <c r="D10407" t="str">
        <f>"67417"</f>
        <v>67417</v>
      </c>
      <c r="E10407" t="s">
        <v>6</v>
      </c>
    </row>
    <row r="10408" spans="1:5" x14ac:dyDescent="0.2">
      <c r="A10408">
        <v>67418</v>
      </c>
      <c r="B10408" t="s">
        <v>22</v>
      </c>
      <c r="C10408">
        <v>67418</v>
      </c>
      <c r="D10408" t="str">
        <f>"67418"</f>
        <v>67418</v>
      </c>
      <c r="E10408" t="s">
        <v>6</v>
      </c>
    </row>
    <row r="10409" spans="1:5" x14ac:dyDescent="0.2">
      <c r="A10409">
        <v>67420</v>
      </c>
      <c r="B10409" t="s">
        <v>22</v>
      </c>
      <c r="C10409">
        <v>67420</v>
      </c>
      <c r="D10409" t="str">
        <f>"67420"</f>
        <v>67420</v>
      </c>
      <c r="E10409">
        <v>68.45</v>
      </c>
    </row>
    <row r="10410" spans="1:5" x14ac:dyDescent="0.2">
      <c r="A10410">
        <v>67422</v>
      </c>
      <c r="B10410" t="s">
        <v>22</v>
      </c>
      <c r="C10410">
        <v>67422</v>
      </c>
      <c r="D10410" t="str">
        <f>"67422"</f>
        <v>67422</v>
      </c>
      <c r="E10410">
        <v>73.02</v>
      </c>
    </row>
    <row r="10411" spans="1:5" x14ac:dyDescent="0.2">
      <c r="A10411">
        <v>67423</v>
      </c>
      <c r="B10411" t="s">
        <v>22</v>
      </c>
      <c r="C10411">
        <v>67423</v>
      </c>
      <c r="D10411" t="str">
        <f>"67423"</f>
        <v>67423</v>
      </c>
      <c r="E10411">
        <v>66.67</v>
      </c>
    </row>
    <row r="10412" spans="1:5" x14ac:dyDescent="0.2">
      <c r="A10412">
        <v>67425</v>
      </c>
      <c r="B10412" t="s">
        <v>22</v>
      </c>
      <c r="C10412">
        <v>67425</v>
      </c>
      <c r="D10412" t="str">
        <f>"67425"</f>
        <v>67425</v>
      </c>
      <c r="E10412">
        <v>71.88</v>
      </c>
    </row>
    <row r="10413" spans="1:5" x14ac:dyDescent="0.2">
      <c r="A10413">
        <v>67427</v>
      </c>
      <c r="B10413" t="s">
        <v>22</v>
      </c>
      <c r="C10413">
        <v>67427</v>
      </c>
      <c r="D10413" t="str">
        <f>"67427"</f>
        <v>67427</v>
      </c>
      <c r="E10413">
        <v>70.59</v>
      </c>
    </row>
    <row r="10414" spans="1:5" x14ac:dyDescent="0.2">
      <c r="A10414">
        <v>67428</v>
      </c>
      <c r="B10414" t="s">
        <v>22</v>
      </c>
      <c r="C10414">
        <v>67428</v>
      </c>
      <c r="D10414" t="str">
        <f>"67428"</f>
        <v>67428</v>
      </c>
      <c r="E10414">
        <v>73.13</v>
      </c>
    </row>
    <row r="10415" spans="1:5" x14ac:dyDescent="0.2">
      <c r="A10415">
        <v>67430</v>
      </c>
      <c r="B10415" t="s">
        <v>22</v>
      </c>
      <c r="C10415">
        <v>67430</v>
      </c>
      <c r="D10415" t="str">
        <f>"67430"</f>
        <v>67430</v>
      </c>
      <c r="E10415">
        <v>65.52</v>
      </c>
    </row>
    <row r="10416" spans="1:5" x14ac:dyDescent="0.2">
      <c r="A10416">
        <v>67431</v>
      </c>
      <c r="B10416" t="s">
        <v>22</v>
      </c>
      <c r="C10416">
        <v>67431</v>
      </c>
      <c r="D10416" t="str">
        <f>"67431"</f>
        <v>67431</v>
      </c>
      <c r="E10416">
        <v>71.17</v>
      </c>
    </row>
    <row r="10417" spans="1:5" x14ac:dyDescent="0.2">
      <c r="A10417">
        <v>67432</v>
      </c>
      <c r="B10417" t="s">
        <v>22</v>
      </c>
      <c r="C10417">
        <v>67432</v>
      </c>
      <c r="D10417" t="str">
        <f>"67432"</f>
        <v>67432</v>
      </c>
      <c r="E10417">
        <v>66.790000000000006</v>
      </c>
    </row>
    <row r="10418" spans="1:5" x14ac:dyDescent="0.2">
      <c r="A10418">
        <v>67436</v>
      </c>
      <c r="B10418" t="s">
        <v>22</v>
      </c>
      <c r="C10418">
        <v>67436</v>
      </c>
      <c r="D10418" t="str">
        <f>"67436"</f>
        <v>67436</v>
      </c>
      <c r="E10418">
        <v>69.23</v>
      </c>
    </row>
    <row r="10419" spans="1:5" x14ac:dyDescent="0.2">
      <c r="A10419">
        <v>67437</v>
      </c>
      <c r="B10419" t="s">
        <v>22</v>
      </c>
      <c r="C10419">
        <v>67437</v>
      </c>
      <c r="D10419" t="str">
        <f>"67437"</f>
        <v>67437</v>
      </c>
      <c r="E10419">
        <v>69.39</v>
      </c>
    </row>
    <row r="10420" spans="1:5" x14ac:dyDescent="0.2">
      <c r="A10420">
        <v>67438</v>
      </c>
      <c r="B10420" t="s">
        <v>22</v>
      </c>
      <c r="C10420">
        <v>67438</v>
      </c>
      <c r="D10420" t="str">
        <f>"67438"</f>
        <v>67438</v>
      </c>
      <c r="E10420">
        <v>69.23</v>
      </c>
    </row>
    <row r="10421" spans="1:5" x14ac:dyDescent="0.2">
      <c r="A10421">
        <v>67439</v>
      </c>
      <c r="B10421" t="s">
        <v>22</v>
      </c>
      <c r="C10421">
        <v>67439</v>
      </c>
      <c r="D10421" t="str">
        <f>"67439"</f>
        <v>67439</v>
      </c>
      <c r="E10421">
        <v>72.73</v>
      </c>
    </row>
    <row r="10422" spans="1:5" x14ac:dyDescent="0.2">
      <c r="A10422">
        <v>67441</v>
      </c>
      <c r="B10422" t="s">
        <v>22</v>
      </c>
      <c r="C10422">
        <v>67441</v>
      </c>
      <c r="D10422" t="str">
        <f>"67441"</f>
        <v>67441</v>
      </c>
      <c r="E10422">
        <v>65.31</v>
      </c>
    </row>
    <row r="10423" spans="1:5" x14ac:dyDescent="0.2">
      <c r="A10423">
        <v>67442</v>
      </c>
      <c r="B10423" t="s">
        <v>22</v>
      </c>
      <c r="C10423">
        <v>67442</v>
      </c>
      <c r="D10423" t="str">
        <f>"67442"</f>
        <v>67442</v>
      </c>
      <c r="E10423">
        <v>81.819999999999993</v>
      </c>
    </row>
    <row r="10424" spans="1:5" x14ac:dyDescent="0.2">
      <c r="A10424">
        <v>67443</v>
      </c>
      <c r="B10424" t="s">
        <v>22</v>
      </c>
      <c r="C10424">
        <v>67443</v>
      </c>
      <c r="D10424" t="str">
        <f>"67443"</f>
        <v>67443</v>
      </c>
      <c r="E10424">
        <v>75.58</v>
      </c>
    </row>
    <row r="10425" spans="1:5" x14ac:dyDescent="0.2">
      <c r="A10425">
        <v>67444</v>
      </c>
      <c r="B10425" t="s">
        <v>22</v>
      </c>
      <c r="C10425">
        <v>67444</v>
      </c>
      <c r="D10425" t="str">
        <f>"67444"</f>
        <v>67444</v>
      </c>
      <c r="E10425">
        <v>61.9</v>
      </c>
    </row>
    <row r="10426" spans="1:5" x14ac:dyDescent="0.2">
      <c r="A10426">
        <v>67445</v>
      </c>
      <c r="B10426" t="s">
        <v>22</v>
      </c>
      <c r="C10426">
        <v>67445</v>
      </c>
      <c r="D10426" t="str">
        <f>"67445"</f>
        <v>67445</v>
      </c>
      <c r="E10426">
        <v>66.67</v>
      </c>
    </row>
    <row r="10427" spans="1:5" x14ac:dyDescent="0.2">
      <c r="A10427">
        <v>67446</v>
      </c>
      <c r="B10427" t="s">
        <v>22</v>
      </c>
      <c r="C10427">
        <v>67446</v>
      </c>
      <c r="D10427" t="str">
        <f>"67446"</f>
        <v>67446</v>
      </c>
      <c r="E10427">
        <v>60</v>
      </c>
    </row>
    <row r="10428" spans="1:5" x14ac:dyDescent="0.2">
      <c r="A10428">
        <v>67447</v>
      </c>
      <c r="B10428" t="s">
        <v>22</v>
      </c>
      <c r="C10428">
        <v>67447</v>
      </c>
      <c r="D10428" t="str">
        <f>"67447"</f>
        <v>67447</v>
      </c>
      <c r="E10428">
        <v>58.33</v>
      </c>
    </row>
    <row r="10429" spans="1:5" x14ac:dyDescent="0.2">
      <c r="A10429">
        <v>67448</v>
      </c>
      <c r="B10429" t="s">
        <v>22</v>
      </c>
      <c r="C10429">
        <v>67448</v>
      </c>
      <c r="D10429" t="str">
        <f>"67448"</f>
        <v>67448</v>
      </c>
      <c r="E10429">
        <v>70.489999999999995</v>
      </c>
    </row>
    <row r="10430" spans="1:5" x14ac:dyDescent="0.2">
      <c r="A10430">
        <v>67449</v>
      </c>
      <c r="B10430" t="s">
        <v>22</v>
      </c>
      <c r="C10430">
        <v>67449</v>
      </c>
      <c r="D10430" t="str">
        <f>"67449"</f>
        <v>67449</v>
      </c>
      <c r="E10430">
        <v>67.19</v>
      </c>
    </row>
    <row r="10431" spans="1:5" x14ac:dyDescent="0.2">
      <c r="A10431">
        <v>67450</v>
      </c>
      <c r="B10431" t="s">
        <v>22</v>
      </c>
      <c r="C10431">
        <v>67450</v>
      </c>
      <c r="D10431" t="str">
        <f>"67450"</f>
        <v>67450</v>
      </c>
      <c r="E10431">
        <v>70.83</v>
      </c>
    </row>
    <row r="10432" spans="1:5" x14ac:dyDescent="0.2">
      <c r="A10432">
        <v>67451</v>
      </c>
      <c r="B10432" t="s">
        <v>22</v>
      </c>
      <c r="C10432">
        <v>67451</v>
      </c>
      <c r="D10432" t="str">
        <f>"67451"</f>
        <v>67451</v>
      </c>
      <c r="E10432">
        <v>73.17</v>
      </c>
    </row>
    <row r="10433" spans="1:5" x14ac:dyDescent="0.2">
      <c r="A10433">
        <v>67452</v>
      </c>
      <c r="B10433" t="s">
        <v>22</v>
      </c>
      <c r="C10433">
        <v>67452</v>
      </c>
      <c r="D10433" t="str">
        <f>"67452"</f>
        <v>67452</v>
      </c>
      <c r="E10433" t="s">
        <v>6</v>
      </c>
    </row>
    <row r="10434" spans="1:5" x14ac:dyDescent="0.2">
      <c r="A10434">
        <v>67454</v>
      </c>
      <c r="B10434" t="s">
        <v>22</v>
      </c>
      <c r="C10434">
        <v>67454</v>
      </c>
      <c r="D10434" t="str">
        <f>"67454"</f>
        <v>67454</v>
      </c>
      <c r="E10434">
        <v>68.97</v>
      </c>
    </row>
    <row r="10435" spans="1:5" x14ac:dyDescent="0.2">
      <c r="A10435">
        <v>67455</v>
      </c>
      <c r="B10435" t="s">
        <v>22</v>
      </c>
      <c r="C10435">
        <v>67455</v>
      </c>
      <c r="D10435" t="str">
        <f>"67455"</f>
        <v>67455</v>
      </c>
      <c r="E10435">
        <v>67.5</v>
      </c>
    </row>
    <row r="10436" spans="1:5" x14ac:dyDescent="0.2">
      <c r="A10436">
        <v>67456</v>
      </c>
      <c r="B10436" t="s">
        <v>22</v>
      </c>
      <c r="C10436">
        <v>67456</v>
      </c>
      <c r="D10436" t="str">
        <f>"67456"</f>
        <v>67456</v>
      </c>
      <c r="E10436">
        <v>73.11</v>
      </c>
    </row>
    <row r="10437" spans="1:5" x14ac:dyDescent="0.2">
      <c r="A10437">
        <v>67457</v>
      </c>
      <c r="B10437" t="s">
        <v>22</v>
      </c>
      <c r="C10437">
        <v>67457</v>
      </c>
      <c r="D10437" t="str">
        <f>"67457"</f>
        <v>67457</v>
      </c>
      <c r="E10437">
        <v>69.44</v>
      </c>
    </row>
    <row r="10438" spans="1:5" x14ac:dyDescent="0.2">
      <c r="A10438">
        <v>67458</v>
      </c>
      <c r="B10438" t="s">
        <v>22</v>
      </c>
      <c r="C10438">
        <v>67458</v>
      </c>
      <c r="D10438" t="str">
        <f>"67458"</f>
        <v>67458</v>
      </c>
      <c r="E10438">
        <v>60</v>
      </c>
    </row>
    <row r="10439" spans="1:5" x14ac:dyDescent="0.2">
      <c r="A10439">
        <v>67459</v>
      </c>
      <c r="B10439" t="s">
        <v>22</v>
      </c>
      <c r="C10439">
        <v>67459</v>
      </c>
      <c r="D10439" t="str">
        <f>"67459"</f>
        <v>67459</v>
      </c>
      <c r="E10439" t="s">
        <v>6</v>
      </c>
    </row>
    <row r="10440" spans="1:5" x14ac:dyDescent="0.2">
      <c r="A10440">
        <v>67460</v>
      </c>
      <c r="B10440" t="s">
        <v>22</v>
      </c>
      <c r="C10440">
        <v>67460</v>
      </c>
      <c r="D10440" t="str">
        <f>"67460"</f>
        <v>67460</v>
      </c>
      <c r="E10440">
        <v>73.59</v>
      </c>
    </row>
    <row r="10441" spans="1:5" x14ac:dyDescent="0.2">
      <c r="A10441">
        <v>67464</v>
      </c>
      <c r="B10441" t="s">
        <v>22</v>
      </c>
      <c r="C10441">
        <v>67464</v>
      </c>
      <c r="D10441" t="str">
        <f>"67464"</f>
        <v>67464</v>
      </c>
      <c r="E10441">
        <v>72.92</v>
      </c>
    </row>
    <row r="10442" spans="1:5" x14ac:dyDescent="0.2">
      <c r="A10442">
        <v>67466</v>
      </c>
      <c r="B10442" t="s">
        <v>22</v>
      </c>
      <c r="C10442">
        <v>67466</v>
      </c>
      <c r="D10442" t="str">
        <f>"67466"</f>
        <v>67466</v>
      </c>
      <c r="E10442">
        <v>57.14</v>
      </c>
    </row>
    <row r="10443" spans="1:5" x14ac:dyDescent="0.2">
      <c r="A10443">
        <v>67467</v>
      </c>
      <c r="B10443" t="s">
        <v>22</v>
      </c>
      <c r="C10443">
        <v>67467</v>
      </c>
      <c r="D10443" t="str">
        <f>"67467"</f>
        <v>67467</v>
      </c>
      <c r="E10443">
        <v>70.63</v>
      </c>
    </row>
    <row r="10444" spans="1:5" x14ac:dyDescent="0.2">
      <c r="A10444">
        <v>67468</v>
      </c>
      <c r="B10444" t="s">
        <v>22</v>
      </c>
      <c r="C10444">
        <v>67468</v>
      </c>
      <c r="D10444" t="str">
        <f>"67468"</f>
        <v>67468</v>
      </c>
      <c r="E10444">
        <v>75</v>
      </c>
    </row>
    <row r="10445" spans="1:5" x14ac:dyDescent="0.2">
      <c r="A10445">
        <v>67470</v>
      </c>
      <c r="B10445" t="s">
        <v>22</v>
      </c>
      <c r="C10445">
        <v>67470</v>
      </c>
      <c r="D10445" t="str">
        <f>"67470"</f>
        <v>67470</v>
      </c>
      <c r="E10445">
        <v>72</v>
      </c>
    </row>
    <row r="10446" spans="1:5" x14ac:dyDescent="0.2">
      <c r="A10446">
        <v>67473</v>
      </c>
      <c r="B10446" t="s">
        <v>22</v>
      </c>
      <c r="C10446">
        <v>67473</v>
      </c>
      <c r="D10446" t="str">
        <f>"67473"</f>
        <v>67473</v>
      </c>
      <c r="E10446">
        <v>67.53</v>
      </c>
    </row>
    <row r="10447" spans="1:5" x14ac:dyDescent="0.2">
      <c r="A10447">
        <v>67474</v>
      </c>
      <c r="B10447" t="s">
        <v>22</v>
      </c>
      <c r="C10447">
        <v>67474</v>
      </c>
      <c r="D10447" t="str">
        <f>"67474"</f>
        <v>67474</v>
      </c>
      <c r="E10447">
        <v>60</v>
      </c>
    </row>
    <row r="10448" spans="1:5" x14ac:dyDescent="0.2">
      <c r="A10448">
        <v>67475</v>
      </c>
      <c r="B10448" t="s">
        <v>22</v>
      </c>
      <c r="C10448">
        <v>67475</v>
      </c>
      <c r="D10448" t="str">
        <f>"67475"</f>
        <v>67475</v>
      </c>
      <c r="E10448" t="s">
        <v>6</v>
      </c>
    </row>
    <row r="10449" spans="1:5" x14ac:dyDescent="0.2">
      <c r="A10449">
        <v>67476</v>
      </c>
      <c r="B10449" t="s">
        <v>22</v>
      </c>
      <c r="C10449">
        <v>67476</v>
      </c>
      <c r="D10449" t="str">
        <f>"67476"</f>
        <v>67476</v>
      </c>
      <c r="E10449" t="s">
        <v>6</v>
      </c>
    </row>
    <row r="10450" spans="1:5" x14ac:dyDescent="0.2">
      <c r="A10450">
        <v>67478</v>
      </c>
      <c r="B10450" t="s">
        <v>22</v>
      </c>
      <c r="C10450">
        <v>67478</v>
      </c>
      <c r="D10450" t="str">
        <f>"67478"</f>
        <v>67478</v>
      </c>
      <c r="E10450" t="s">
        <v>6</v>
      </c>
    </row>
    <row r="10451" spans="1:5" x14ac:dyDescent="0.2">
      <c r="A10451">
        <v>67480</v>
      </c>
      <c r="B10451" t="s">
        <v>22</v>
      </c>
      <c r="C10451">
        <v>67480</v>
      </c>
      <c r="D10451" t="str">
        <f>"67480"</f>
        <v>67480</v>
      </c>
      <c r="E10451">
        <v>73.08</v>
      </c>
    </row>
    <row r="10452" spans="1:5" x14ac:dyDescent="0.2">
      <c r="A10452">
        <v>67481</v>
      </c>
      <c r="B10452" t="s">
        <v>22</v>
      </c>
      <c r="C10452">
        <v>67481</v>
      </c>
      <c r="D10452" t="str">
        <f>"67481"</f>
        <v>67481</v>
      </c>
      <c r="E10452">
        <v>64.290000000000006</v>
      </c>
    </row>
    <row r="10453" spans="1:5" x14ac:dyDescent="0.2">
      <c r="A10453">
        <v>67482</v>
      </c>
      <c r="B10453" t="s">
        <v>22</v>
      </c>
      <c r="C10453">
        <v>67482</v>
      </c>
      <c r="D10453" t="str">
        <f>"67482"</f>
        <v>67482</v>
      </c>
      <c r="E10453" t="s">
        <v>6</v>
      </c>
    </row>
    <row r="10454" spans="1:5" x14ac:dyDescent="0.2">
      <c r="A10454">
        <v>67483</v>
      </c>
      <c r="B10454" t="s">
        <v>22</v>
      </c>
      <c r="C10454">
        <v>67483</v>
      </c>
      <c r="D10454" t="str">
        <f>"67483"</f>
        <v>67483</v>
      </c>
      <c r="E10454">
        <v>61.54</v>
      </c>
    </row>
    <row r="10455" spans="1:5" x14ac:dyDescent="0.2">
      <c r="A10455">
        <v>67484</v>
      </c>
      <c r="B10455" t="s">
        <v>22</v>
      </c>
      <c r="C10455">
        <v>67484</v>
      </c>
      <c r="D10455" t="str">
        <f>"67484"</f>
        <v>67484</v>
      </c>
      <c r="E10455">
        <v>64.86</v>
      </c>
    </row>
    <row r="10456" spans="1:5" x14ac:dyDescent="0.2">
      <c r="A10456">
        <v>67485</v>
      </c>
      <c r="B10456" t="s">
        <v>22</v>
      </c>
      <c r="C10456">
        <v>67485</v>
      </c>
      <c r="D10456" t="str">
        <f>"67485"</f>
        <v>67485</v>
      </c>
      <c r="E10456">
        <v>73.33</v>
      </c>
    </row>
    <row r="10457" spans="1:5" x14ac:dyDescent="0.2">
      <c r="A10457">
        <v>67487</v>
      </c>
      <c r="B10457" t="s">
        <v>22</v>
      </c>
      <c r="C10457">
        <v>67487</v>
      </c>
      <c r="D10457" t="str">
        <f>"67487"</f>
        <v>67487</v>
      </c>
      <c r="E10457">
        <v>74.19</v>
      </c>
    </row>
    <row r="10458" spans="1:5" x14ac:dyDescent="0.2">
      <c r="A10458">
        <v>67490</v>
      </c>
      <c r="B10458" t="s">
        <v>22</v>
      </c>
      <c r="C10458">
        <v>67490</v>
      </c>
      <c r="D10458" t="str">
        <f>"67490"</f>
        <v>67490</v>
      </c>
      <c r="E10458">
        <v>67.39</v>
      </c>
    </row>
    <row r="10459" spans="1:5" x14ac:dyDescent="0.2">
      <c r="A10459">
        <v>67491</v>
      </c>
      <c r="B10459" t="s">
        <v>22</v>
      </c>
      <c r="C10459">
        <v>67491</v>
      </c>
      <c r="D10459" t="str">
        <f>"67491"</f>
        <v>67491</v>
      </c>
      <c r="E10459">
        <v>75</v>
      </c>
    </row>
    <row r="10460" spans="1:5" x14ac:dyDescent="0.2">
      <c r="A10460">
        <v>67492</v>
      </c>
      <c r="B10460" t="s">
        <v>22</v>
      </c>
      <c r="C10460">
        <v>67492</v>
      </c>
      <c r="D10460" t="str">
        <f>"67492"</f>
        <v>67492</v>
      </c>
      <c r="E10460">
        <v>69.23</v>
      </c>
    </row>
    <row r="10461" spans="1:5" x14ac:dyDescent="0.2">
      <c r="A10461">
        <v>67501</v>
      </c>
      <c r="B10461" t="s">
        <v>22</v>
      </c>
      <c r="C10461">
        <v>67501</v>
      </c>
      <c r="D10461" t="str">
        <f>"67501"</f>
        <v>67501</v>
      </c>
      <c r="E10461">
        <v>63.42</v>
      </c>
    </row>
    <row r="10462" spans="1:5" x14ac:dyDescent="0.2">
      <c r="A10462">
        <v>67502</v>
      </c>
      <c r="B10462" t="s">
        <v>22</v>
      </c>
      <c r="C10462">
        <v>67502</v>
      </c>
      <c r="D10462" t="str">
        <f>"67502"</f>
        <v>67502</v>
      </c>
      <c r="E10462">
        <v>75.5</v>
      </c>
    </row>
    <row r="10463" spans="1:5" x14ac:dyDescent="0.2">
      <c r="A10463">
        <v>67505</v>
      </c>
      <c r="B10463" t="s">
        <v>22</v>
      </c>
      <c r="C10463">
        <v>67505</v>
      </c>
      <c r="D10463" t="str">
        <f>"67505"</f>
        <v>67505</v>
      </c>
      <c r="E10463">
        <v>69.03</v>
      </c>
    </row>
    <row r="10464" spans="1:5" x14ac:dyDescent="0.2">
      <c r="A10464">
        <v>67510</v>
      </c>
      <c r="B10464" t="s">
        <v>22</v>
      </c>
      <c r="C10464">
        <v>67510</v>
      </c>
      <c r="D10464" t="str">
        <f>"67510"</f>
        <v>67510</v>
      </c>
      <c r="E10464">
        <v>64.290000000000006</v>
      </c>
    </row>
    <row r="10465" spans="1:5" x14ac:dyDescent="0.2">
      <c r="A10465">
        <v>67511</v>
      </c>
      <c r="B10465" t="s">
        <v>22</v>
      </c>
      <c r="C10465">
        <v>67511</v>
      </c>
      <c r="D10465" t="str">
        <f>"67511"</f>
        <v>67511</v>
      </c>
      <c r="E10465">
        <v>73.33</v>
      </c>
    </row>
    <row r="10466" spans="1:5" x14ac:dyDescent="0.2">
      <c r="A10466">
        <v>67512</v>
      </c>
      <c r="B10466" t="s">
        <v>22</v>
      </c>
      <c r="C10466">
        <v>67512</v>
      </c>
      <c r="D10466" t="str">
        <f>"67512"</f>
        <v>67512</v>
      </c>
      <c r="E10466" t="s">
        <v>6</v>
      </c>
    </row>
    <row r="10467" spans="1:5" x14ac:dyDescent="0.2">
      <c r="A10467">
        <v>67513</v>
      </c>
      <c r="B10467" t="s">
        <v>22</v>
      </c>
      <c r="C10467">
        <v>67513</v>
      </c>
      <c r="D10467" t="str">
        <f>"67513"</f>
        <v>67513</v>
      </c>
      <c r="E10467" t="s">
        <v>6</v>
      </c>
    </row>
    <row r="10468" spans="1:5" x14ac:dyDescent="0.2">
      <c r="A10468">
        <v>67514</v>
      </c>
      <c r="B10468" t="s">
        <v>22</v>
      </c>
      <c r="C10468">
        <v>67514</v>
      </c>
      <c r="D10468" t="str">
        <f>"67514"</f>
        <v>67514</v>
      </c>
      <c r="E10468">
        <v>73.33</v>
      </c>
    </row>
    <row r="10469" spans="1:5" x14ac:dyDescent="0.2">
      <c r="A10469">
        <v>67515</v>
      </c>
      <c r="B10469" t="s">
        <v>22</v>
      </c>
      <c r="C10469">
        <v>67515</v>
      </c>
      <c r="D10469" t="str">
        <f>"67515"</f>
        <v>67515</v>
      </c>
      <c r="E10469" t="s">
        <v>6</v>
      </c>
    </row>
    <row r="10470" spans="1:5" x14ac:dyDescent="0.2">
      <c r="A10470">
        <v>67516</v>
      </c>
      <c r="B10470" t="s">
        <v>22</v>
      </c>
      <c r="C10470">
        <v>67516</v>
      </c>
      <c r="D10470" t="str">
        <f>"67516"</f>
        <v>67516</v>
      </c>
      <c r="E10470">
        <v>66.67</v>
      </c>
    </row>
    <row r="10471" spans="1:5" x14ac:dyDescent="0.2">
      <c r="A10471">
        <v>67518</v>
      </c>
      <c r="B10471" t="s">
        <v>22</v>
      </c>
      <c r="C10471">
        <v>67518</v>
      </c>
      <c r="D10471" t="str">
        <f>"67518"</f>
        <v>67518</v>
      </c>
      <c r="E10471" t="s">
        <v>6</v>
      </c>
    </row>
    <row r="10472" spans="1:5" x14ac:dyDescent="0.2">
      <c r="A10472">
        <v>67519</v>
      </c>
      <c r="B10472" t="s">
        <v>22</v>
      </c>
      <c r="C10472">
        <v>67519</v>
      </c>
      <c r="D10472" t="str">
        <f>"67519"</f>
        <v>67519</v>
      </c>
      <c r="E10472" t="s">
        <v>6</v>
      </c>
    </row>
    <row r="10473" spans="1:5" x14ac:dyDescent="0.2">
      <c r="A10473">
        <v>67520</v>
      </c>
      <c r="B10473" t="s">
        <v>22</v>
      </c>
      <c r="C10473">
        <v>67520</v>
      </c>
      <c r="D10473" t="str">
        <f>"67520"</f>
        <v>67520</v>
      </c>
      <c r="E10473">
        <v>73.33</v>
      </c>
    </row>
    <row r="10474" spans="1:5" x14ac:dyDescent="0.2">
      <c r="A10474">
        <v>67521</v>
      </c>
      <c r="B10474" t="s">
        <v>22</v>
      </c>
      <c r="C10474">
        <v>67521</v>
      </c>
      <c r="D10474" t="str">
        <f>"67521"</f>
        <v>67521</v>
      </c>
      <c r="E10474" t="s">
        <v>6</v>
      </c>
    </row>
    <row r="10475" spans="1:5" x14ac:dyDescent="0.2">
      <c r="A10475">
        <v>67522</v>
      </c>
      <c r="B10475" t="s">
        <v>22</v>
      </c>
      <c r="C10475">
        <v>67522</v>
      </c>
      <c r="D10475" t="str">
        <f>"67522"</f>
        <v>67522</v>
      </c>
      <c r="E10475">
        <v>71.739999999999995</v>
      </c>
    </row>
    <row r="10476" spans="1:5" x14ac:dyDescent="0.2">
      <c r="A10476">
        <v>67523</v>
      </c>
      <c r="B10476" t="s">
        <v>22</v>
      </c>
      <c r="C10476">
        <v>67523</v>
      </c>
      <c r="D10476" t="str">
        <f>"67523"</f>
        <v>67523</v>
      </c>
      <c r="E10476">
        <v>62.5</v>
      </c>
    </row>
    <row r="10477" spans="1:5" x14ac:dyDescent="0.2">
      <c r="A10477">
        <v>67524</v>
      </c>
      <c r="B10477" t="s">
        <v>22</v>
      </c>
      <c r="C10477">
        <v>67524</v>
      </c>
      <c r="D10477" t="str">
        <f>"67524"</f>
        <v>67524</v>
      </c>
      <c r="E10477">
        <v>73.08</v>
      </c>
    </row>
    <row r="10478" spans="1:5" x14ac:dyDescent="0.2">
      <c r="A10478">
        <v>67525</v>
      </c>
      <c r="B10478" t="s">
        <v>22</v>
      </c>
      <c r="C10478">
        <v>67525</v>
      </c>
      <c r="D10478" t="str">
        <f>"67525"</f>
        <v>67525</v>
      </c>
      <c r="E10478">
        <v>76.47</v>
      </c>
    </row>
    <row r="10479" spans="1:5" x14ac:dyDescent="0.2">
      <c r="A10479">
        <v>67526</v>
      </c>
      <c r="B10479" t="s">
        <v>22</v>
      </c>
      <c r="C10479">
        <v>67526</v>
      </c>
      <c r="D10479" t="str">
        <f>"67526"</f>
        <v>67526</v>
      </c>
      <c r="E10479">
        <v>72.5</v>
      </c>
    </row>
    <row r="10480" spans="1:5" x14ac:dyDescent="0.2">
      <c r="A10480">
        <v>67529</v>
      </c>
      <c r="B10480" t="s">
        <v>22</v>
      </c>
      <c r="C10480">
        <v>67529</v>
      </c>
      <c r="D10480" t="str">
        <f>"67529"</f>
        <v>67529</v>
      </c>
      <c r="E10480">
        <v>71.430000000000007</v>
      </c>
    </row>
    <row r="10481" spans="1:5" x14ac:dyDescent="0.2">
      <c r="A10481">
        <v>67530</v>
      </c>
      <c r="B10481" t="s">
        <v>22</v>
      </c>
      <c r="C10481">
        <v>67530</v>
      </c>
      <c r="D10481" t="str">
        <f>"67530"</f>
        <v>67530</v>
      </c>
      <c r="E10481">
        <v>66.05</v>
      </c>
    </row>
    <row r="10482" spans="1:5" x14ac:dyDescent="0.2">
      <c r="A10482">
        <v>67543</v>
      </c>
      <c r="B10482" t="s">
        <v>22</v>
      </c>
      <c r="C10482">
        <v>67543</v>
      </c>
      <c r="D10482" t="str">
        <f>"67543"</f>
        <v>67543</v>
      </c>
      <c r="E10482">
        <v>68.13</v>
      </c>
    </row>
    <row r="10483" spans="1:5" x14ac:dyDescent="0.2">
      <c r="A10483">
        <v>67544</v>
      </c>
      <c r="B10483" t="s">
        <v>22</v>
      </c>
      <c r="C10483">
        <v>67544</v>
      </c>
      <c r="D10483" t="str">
        <f>"67544"</f>
        <v>67544</v>
      </c>
      <c r="E10483">
        <v>68.03</v>
      </c>
    </row>
    <row r="10484" spans="1:5" x14ac:dyDescent="0.2">
      <c r="A10484">
        <v>67545</v>
      </c>
      <c r="B10484" t="s">
        <v>22</v>
      </c>
      <c r="C10484">
        <v>67545</v>
      </c>
      <c r="D10484" t="str">
        <f>"67545"</f>
        <v>67545</v>
      </c>
      <c r="E10484" t="s">
        <v>6</v>
      </c>
    </row>
    <row r="10485" spans="1:5" x14ac:dyDescent="0.2">
      <c r="A10485">
        <v>67546</v>
      </c>
      <c r="B10485" t="s">
        <v>22</v>
      </c>
      <c r="C10485">
        <v>67546</v>
      </c>
      <c r="D10485" t="str">
        <f>"67546"</f>
        <v>67546</v>
      </c>
      <c r="E10485">
        <v>73.680000000000007</v>
      </c>
    </row>
    <row r="10486" spans="1:5" x14ac:dyDescent="0.2">
      <c r="A10486">
        <v>67547</v>
      </c>
      <c r="B10486" t="s">
        <v>22</v>
      </c>
      <c r="C10486">
        <v>67547</v>
      </c>
      <c r="D10486" t="str">
        <f>"67547"</f>
        <v>67547</v>
      </c>
      <c r="E10486">
        <v>69.41</v>
      </c>
    </row>
    <row r="10487" spans="1:5" x14ac:dyDescent="0.2">
      <c r="A10487">
        <v>67548</v>
      </c>
      <c r="B10487" t="s">
        <v>22</v>
      </c>
      <c r="C10487">
        <v>67548</v>
      </c>
      <c r="D10487" t="str">
        <f>"67548"</f>
        <v>67548</v>
      </c>
      <c r="E10487">
        <v>68.12</v>
      </c>
    </row>
    <row r="10488" spans="1:5" x14ac:dyDescent="0.2">
      <c r="A10488">
        <v>67550</v>
      </c>
      <c r="B10488" t="s">
        <v>22</v>
      </c>
      <c r="C10488">
        <v>67550</v>
      </c>
      <c r="D10488" t="str">
        <f>"67550"</f>
        <v>67550</v>
      </c>
      <c r="E10488">
        <v>67.260000000000005</v>
      </c>
    </row>
    <row r="10489" spans="1:5" x14ac:dyDescent="0.2">
      <c r="A10489">
        <v>67552</v>
      </c>
      <c r="B10489" t="s">
        <v>22</v>
      </c>
      <c r="C10489">
        <v>67552</v>
      </c>
      <c r="D10489" t="str">
        <f>"67552"</f>
        <v>67552</v>
      </c>
      <c r="E10489">
        <v>75</v>
      </c>
    </row>
    <row r="10490" spans="1:5" x14ac:dyDescent="0.2">
      <c r="A10490">
        <v>67553</v>
      </c>
      <c r="B10490" t="s">
        <v>22</v>
      </c>
      <c r="C10490">
        <v>67553</v>
      </c>
      <c r="D10490" t="str">
        <f>"67553"</f>
        <v>67553</v>
      </c>
      <c r="E10490" t="s">
        <v>6</v>
      </c>
    </row>
    <row r="10491" spans="1:5" x14ac:dyDescent="0.2">
      <c r="A10491">
        <v>67554</v>
      </c>
      <c r="B10491" t="s">
        <v>22</v>
      </c>
      <c r="C10491">
        <v>67554</v>
      </c>
      <c r="D10491" t="str">
        <f>"67554"</f>
        <v>67554</v>
      </c>
      <c r="E10491">
        <v>66.67</v>
      </c>
    </row>
    <row r="10492" spans="1:5" x14ac:dyDescent="0.2">
      <c r="A10492">
        <v>67556</v>
      </c>
      <c r="B10492" t="s">
        <v>22</v>
      </c>
      <c r="C10492">
        <v>67556</v>
      </c>
      <c r="D10492" t="str">
        <f>"67556"</f>
        <v>67556</v>
      </c>
      <c r="E10492">
        <v>53.85</v>
      </c>
    </row>
    <row r="10493" spans="1:5" x14ac:dyDescent="0.2">
      <c r="A10493">
        <v>67557</v>
      </c>
      <c r="B10493" t="s">
        <v>22</v>
      </c>
      <c r="C10493">
        <v>67557</v>
      </c>
      <c r="D10493" t="str">
        <f>"67557"</f>
        <v>67557</v>
      </c>
      <c r="E10493">
        <v>60.71</v>
      </c>
    </row>
    <row r="10494" spans="1:5" x14ac:dyDescent="0.2">
      <c r="A10494">
        <v>67559</v>
      </c>
      <c r="B10494" t="s">
        <v>22</v>
      </c>
      <c r="C10494">
        <v>67559</v>
      </c>
      <c r="D10494" t="str">
        <f>"67559"</f>
        <v>67559</v>
      </c>
      <c r="E10494" t="s">
        <v>6</v>
      </c>
    </row>
    <row r="10495" spans="1:5" x14ac:dyDescent="0.2">
      <c r="A10495">
        <v>67560</v>
      </c>
      <c r="B10495" t="s">
        <v>22</v>
      </c>
      <c r="C10495">
        <v>67560</v>
      </c>
      <c r="D10495" t="str">
        <f>"67560"</f>
        <v>67560</v>
      </c>
      <c r="E10495">
        <v>69.62</v>
      </c>
    </row>
    <row r="10496" spans="1:5" x14ac:dyDescent="0.2">
      <c r="A10496">
        <v>67561</v>
      </c>
      <c r="B10496" t="s">
        <v>22</v>
      </c>
      <c r="C10496">
        <v>67561</v>
      </c>
      <c r="D10496" t="str">
        <f>"67561"</f>
        <v>67561</v>
      </c>
      <c r="E10496">
        <v>66.67</v>
      </c>
    </row>
    <row r="10497" spans="1:5" x14ac:dyDescent="0.2">
      <c r="A10497">
        <v>67563</v>
      </c>
      <c r="B10497" t="s">
        <v>22</v>
      </c>
      <c r="C10497">
        <v>67563</v>
      </c>
      <c r="D10497" t="str">
        <f>"67563"</f>
        <v>67563</v>
      </c>
      <c r="E10497">
        <v>60</v>
      </c>
    </row>
    <row r="10498" spans="1:5" x14ac:dyDescent="0.2">
      <c r="A10498">
        <v>67564</v>
      </c>
      <c r="B10498" t="s">
        <v>22</v>
      </c>
      <c r="C10498">
        <v>67564</v>
      </c>
      <c r="D10498" t="str">
        <f>"67564"</f>
        <v>67564</v>
      </c>
      <c r="E10498">
        <v>71.430000000000007</v>
      </c>
    </row>
    <row r="10499" spans="1:5" x14ac:dyDescent="0.2">
      <c r="A10499">
        <v>67565</v>
      </c>
      <c r="B10499" t="s">
        <v>22</v>
      </c>
      <c r="C10499">
        <v>67565</v>
      </c>
      <c r="D10499" t="str">
        <f>"67565"</f>
        <v>67565</v>
      </c>
      <c r="E10499">
        <v>65</v>
      </c>
    </row>
    <row r="10500" spans="1:5" x14ac:dyDescent="0.2">
      <c r="A10500">
        <v>67566</v>
      </c>
      <c r="B10500" t="s">
        <v>22</v>
      </c>
      <c r="C10500">
        <v>67566</v>
      </c>
      <c r="D10500" t="str">
        <f>"67566"</f>
        <v>67566</v>
      </c>
      <c r="E10500">
        <v>62.96</v>
      </c>
    </row>
    <row r="10501" spans="1:5" x14ac:dyDescent="0.2">
      <c r="A10501">
        <v>67567</v>
      </c>
      <c r="B10501" t="s">
        <v>22</v>
      </c>
      <c r="C10501">
        <v>67567</v>
      </c>
      <c r="D10501" t="str">
        <f>"67567"</f>
        <v>67567</v>
      </c>
      <c r="E10501">
        <v>66.67</v>
      </c>
    </row>
    <row r="10502" spans="1:5" x14ac:dyDescent="0.2">
      <c r="A10502">
        <v>67568</v>
      </c>
      <c r="B10502" t="s">
        <v>22</v>
      </c>
      <c r="C10502">
        <v>67568</v>
      </c>
      <c r="D10502" t="str">
        <f>"67568"</f>
        <v>67568</v>
      </c>
      <c r="E10502">
        <v>58.33</v>
      </c>
    </row>
    <row r="10503" spans="1:5" x14ac:dyDescent="0.2">
      <c r="A10503">
        <v>67570</v>
      </c>
      <c r="B10503" t="s">
        <v>22</v>
      </c>
      <c r="C10503">
        <v>67570</v>
      </c>
      <c r="D10503" t="str">
        <f>"67570"</f>
        <v>67570</v>
      </c>
      <c r="E10503">
        <v>71.930000000000007</v>
      </c>
    </row>
    <row r="10504" spans="1:5" x14ac:dyDescent="0.2">
      <c r="A10504">
        <v>67572</v>
      </c>
      <c r="B10504" t="s">
        <v>22</v>
      </c>
      <c r="C10504">
        <v>67572</v>
      </c>
      <c r="D10504" t="str">
        <f>"67572"</f>
        <v>67572</v>
      </c>
      <c r="E10504">
        <v>65</v>
      </c>
    </row>
    <row r="10505" spans="1:5" x14ac:dyDescent="0.2">
      <c r="A10505">
        <v>67573</v>
      </c>
      <c r="B10505" t="s">
        <v>22</v>
      </c>
      <c r="C10505">
        <v>67573</v>
      </c>
      <c r="D10505" t="str">
        <f>"67573"</f>
        <v>67573</v>
      </c>
      <c r="E10505" t="s">
        <v>6</v>
      </c>
    </row>
    <row r="10506" spans="1:5" x14ac:dyDescent="0.2">
      <c r="A10506">
        <v>67574</v>
      </c>
      <c r="B10506" t="s">
        <v>22</v>
      </c>
      <c r="C10506">
        <v>67574</v>
      </c>
      <c r="D10506" t="str">
        <f>"67574"</f>
        <v>67574</v>
      </c>
      <c r="E10506">
        <v>66.67</v>
      </c>
    </row>
    <row r="10507" spans="1:5" x14ac:dyDescent="0.2">
      <c r="A10507">
        <v>67575</v>
      </c>
      <c r="B10507" t="s">
        <v>22</v>
      </c>
      <c r="C10507">
        <v>67575</v>
      </c>
      <c r="D10507" t="str">
        <f>"67575"</f>
        <v>67575</v>
      </c>
      <c r="E10507">
        <v>68.42</v>
      </c>
    </row>
    <row r="10508" spans="1:5" x14ac:dyDescent="0.2">
      <c r="A10508">
        <v>67576</v>
      </c>
      <c r="B10508" t="s">
        <v>22</v>
      </c>
      <c r="C10508">
        <v>67576</v>
      </c>
      <c r="D10508" t="str">
        <f>"67576"</f>
        <v>67576</v>
      </c>
      <c r="E10508">
        <v>69.510000000000005</v>
      </c>
    </row>
    <row r="10509" spans="1:5" x14ac:dyDescent="0.2">
      <c r="A10509">
        <v>67578</v>
      </c>
      <c r="B10509" t="s">
        <v>22</v>
      </c>
      <c r="C10509">
        <v>67578</v>
      </c>
      <c r="D10509" t="str">
        <f>"67578"</f>
        <v>67578</v>
      </c>
      <c r="E10509">
        <v>64.41</v>
      </c>
    </row>
    <row r="10510" spans="1:5" x14ac:dyDescent="0.2">
      <c r="A10510">
        <v>67579</v>
      </c>
      <c r="B10510" t="s">
        <v>22</v>
      </c>
      <c r="C10510">
        <v>67579</v>
      </c>
      <c r="D10510" t="str">
        <f>"67579"</f>
        <v>67579</v>
      </c>
      <c r="E10510">
        <v>69.92</v>
      </c>
    </row>
    <row r="10511" spans="1:5" x14ac:dyDescent="0.2">
      <c r="A10511">
        <v>67581</v>
      </c>
      <c r="B10511" t="s">
        <v>22</v>
      </c>
      <c r="C10511">
        <v>67581</v>
      </c>
      <c r="D10511" t="str">
        <f>"67581"</f>
        <v>67581</v>
      </c>
      <c r="E10511">
        <v>61.54</v>
      </c>
    </row>
    <row r="10512" spans="1:5" x14ac:dyDescent="0.2">
      <c r="A10512">
        <v>67583</v>
      </c>
      <c r="B10512" t="s">
        <v>22</v>
      </c>
      <c r="C10512">
        <v>67583</v>
      </c>
      <c r="D10512" t="str">
        <f>"67583"</f>
        <v>67583</v>
      </c>
      <c r="E10512">
        <v>65.790000000000006</v>
      </c>
    </row>
    <row r="10513" spans="1:5" x14ac:dyDescent="0.2">
      <c r="A10513">
        <v>67584</v>
      </c>
      <c r="B10513" t="s">
        <v>22</v>
      </c>
      <c r="C10513">
        <v>67584</v>
      </c>
      <c r="D10513" t="str">
        <f>"67584"</f>
        <v>67584</v>
      </c>
      <c r="E10513">
        <v>81.819999999999993</v>
      </c>
    </row>
    <row r="10514" spans="1:5" x14ac:dyDescent="0.2">
      <c r="A10514">
        <v>67585</v>
      </c>
      <c r="B10514" t="s">
        <v>22</v>
      </c>
      <c r="C10514">
        <v>67585</v>
      </c>
      <c r="D10514" t="str">
        <f>"67585"</f>
        <v>67585</v>
      </c>
      <c r="E10514" t="s">
        <v>6</v>
      </c>
    </row>
    <row r="10515" spans="1:5" x14ac:dyDescent="0.2">
      <c r="A10515">
        <v>67601</v>
      </c>
      <c r="B10515" t="s">
        <v>22</v>
      </c>
      <c r="C10515">
        <v>67601</v>
      </c>
      <c r="D10515" t="str">
        <f>"67601"</f>
        <v>67601</v>
      </c>
      <c r="E10515">
        <v>71.290000000000006</v>
      </c>
    </row>
    <row r="10516" spans="1:5" x14ac:dyDescent="0.2">
      <c r="A10516">
        <v>67621</v>
      </c>
      <c r="B10516" t="s">
        <v>22</v>
      </c>
      <c r="C10516">
        <v>67621</v>
      </c>
      <c r="D10516" t="str">
        <f>"67621"</f>
        <v>67621</v>
      </c>
      <c r="E10516">
        <v>63.16</v>
      </c>
    </row>
    <row r="10517" spans="1:5" x14ac:dyDescent="0.2">
      <c r="A10517">
        <v>67622</v>
      </c>
      <c r="B10517" t="s">
        <v>22</v>
      </c>
      <c r="C10517">
        <v>67622</v>
      </c>
      <c r="D10517" t="str">
        <f>"67622"</f>
        <v>67622</v>
      </c>
      <c r="E10517">
        <v>72</v>
      </c>
    </row>
    <row r="10518" spans="1:5" x14ac:dyDescent="0.2">
      <c r="A10518">
        <v>67623</v>
      </c>
      <c r="B10518" t="s">
        <v>22</v>
      </c>
      <c r="C10518">
        <v>67623</v>
      </c>
      <c r="D10518" t="str">
        <f>"67623"</f>
        <v>67623</v>
      </c>
      <c r="E10518">
        <v>54.55</v>
      </c>
    </row>
    <row r="10519" spans="1:5" x14ac:dyDescent="0.2">
      <c r="A10519">
        <v>67625</v>
      </c>
      <c r="B10519" t="s">
        <v>22</v>
      </c>
      <c r="C10519">
        <v>67625</v>
      </c>
      <c r="D10519" t="str">
        <f>"67625"</f>
        <v>67625</v>
      </c>
      <c r="E10519">
        <v>70</v>
      </c>
    </row>
    <row r="10520" spans="1:5" x14ac:dyDescent="0.2">
      <c r="A10520">
        <v>67626</v>
      </c>
      <c r="B10520" t="s">
        <v>22</v>
      </c>
      <c r="C10520">
        <v>67626</v>
      </c>
      <c r="D10520" t="str">
        <f>"67626"</f>
        <v>67626</v>
      </c>
      <c r="E10520" t="s">
        <v>6</v>
      </c>
    </row>
    <row r="10521" spans="1:5" x14ac:dyDescent="0.2">
      <c r="A10521">
        <v>67627</v>
      </c>
      <c r="B10521" t="s">
        <v>22</v>
      </c>
      <c r="C10521">
        <v>67627</v>
      </c>
      <c r="D10521" t="str">
        <f>"67627"</f>
        <v>67627</v>
      </c>
      <c r="E10521" t="s">
        <v>6</v>
      </c>
    </row>
    <row r="10522" spans="1:5" x14ac:dyDescent="0.2">
      <c r="A10522">
        <v>67628</v>
      </c>
      <c r="B10522" t="s">
        <v>22</v>
      </c>
      <c r="C10522">
        <v>67628</v>
      </c>
      <c r="D10522" t="str">
        <f>"67628"</f>
        <v>67628</v>
      </c>
      <c r="E10522" t="s">
        <v>6</v>
      </c>
    </row>
    <row r="10523" spans="1:5" x14ac:dyDescent="0.2">
      <c r="A10523">
        <v>67629</v>
      </c>
      <c r="B10523" t="s">
        <v>22</v>
      </c>
      <c r="C10523">
        <v>67629</v>
      </c>
      <c r="D10523" t="str">
        <f>"67629"</f>
        <v>67629</v>
      </c>
      <c r="E10523" t="s">
        <v>6</v>
      </c>
    </row>
    <row r="10524" spans="1:5" x14ac:dyDescent="0.2">
      <c r="A10524">
        <v>67631</v>
      </c>
      <c r="B10524" t="s">
        <v>22</v>
      </c>
      <c r="C10524">
        <v>67631</v>
      </c>
      <c r="D10524" t="str">
        <f>"67631"</f>
        <v>67631</v>
      </c>
      <c r="E10524" t="s">
        <v>6</v>
      </c>
    </row>
    <row r="10525" spans="1:5" x14ac:dyDescent="0.2">
      <c r="A10525">
        <v>67632</v>
      </c>
      <c r="B10525" t="s">
        <v>22</v>
      </c>
      <c r="C10525">
        <v>67632</v>
      </c>
      <c r="D10525" t="str">
        <f>"67632"</f>
        <v>67632</v>
      </c>
      <c r="E10525">
        <v>63.64</v>
      </c>
    </row>
    <row r="10526" spans="1:5" x14ac:dyDescent="0.2">
      <c r="A10526">
        <v>67634</v>
      </c>
      <c r="B10526" t="s">
        <v>22</v>
      </c>
      <c r="C10526">
        <v>67634</v>
      </c>
      <c r="D10526" t="str">
        <f>"67634"</f>
        <v>67634</v>
      </c>
      <c r="E10526">
        <v>61.54</v>
      </c>
    </row>
    <row r="10527" spans="1:5" x14ac:dyDescent="0.2">
      <c r="A10527">
        <v>67635</v>
      </c>
      <c r="B10527" t="s">
        <v>22</v>
      </c>
      <c r="C10527">
        <v>67635</v>
      </c>
      <c r="D10527" t="str">
        <f>"67635"</f>
        <v>67635</v>
      </c>
      <c r="E10527" t="s">
        <v>6</v>
      </c>
    </row>
    <row r="10528" spans="1:5" x14ac:dyDescent="0.2">
      <c r="A10528">
        <v>67637</v>
      </c>
      <c r="B10528" t="s">
        <v>22</v>
      </c>
      <c r="C10528">
        <v>67637</v>
      </c>
      <c r="D10528" t="str">
        <f>"67637"</f>
        <v>67637</v>
      </c>
      <c r="E10528">
        <v>73.98</v>
      </c>
    </row>
    <row r="10529" spans="1:5" x14ac:dyDescent="0.2">
      <c r="A10529">
        <v>67638</v>
      </c>
      <c r="B10529" t="s">
        <v>22</v>
      </c>
      <c r="C10529">
        <v>67638</v>
      </c>
      <c r="D10529" t="str">
        <f>"67638"</f>
        <v>67638</v>
      </c>
      <c r="E10529">
        <v>60</v>
      </c>
    </row>
    <row r="10530" spans="1:5" x14ac:dyDescent="0.2">
      <c r="A10530">
        <v>67639</v>
      </c>
      <c r="B10530" t="s">
        <v>22</v>
      </c>
      <c r="C10530">
        <v>67639</v>
      </c>
      <c r="D10530" t="str">
        <f>"67639"</f>
        <v>67639</v>
      </c>
      <c r="E10530" t="s">
        <v>6</v>
      </c>
    </row>
    <row r="10531" spans="1:5" x14ac:dyDescent="0.2">
      <c r="A10531">
        <v>67640</v>
      </c>
      <c r="B10531" t="s">
        <v>22</v>
      </c>
      <c r="C10531">
        <v>67640</v>
      </c>
      <c r="D10531" t="str">
        <f>"67640"</f>
        <v>67640</v>
      </c>
      <c r="E10531">
        <v>68.180000000000007</v>
      </c>
    </row>
    <row r="10532" spans="1:5" x14ac:dyDescent="0.2">
      <c r="A10532">
        <v>67642</v>
      </c>
      <c r="B10532" t="s">
        <v>22</v>
      </c>
      <c r="C10532">
        <v>67642</v>
      </c>
      <c r="D10532" t="str">
        <f>"67642"</f>
        <v>67642</v>
      </c>
      <c r="E10532">
        <v>62.65</v>
      </c>
    </row>
    <row r="10533" spans="1:5" x14ac:dyDescent="0.2">
      <c r="A10533">
        <v>67643</v>
      </c>
      <c r="B10533" t="s">
        <v>22</v>
      </c>
      <c r="C10533">
        <v>67643</v>
      </c>
      <c r="D10533" t="str">
        <f>"67643"</f>
        <v>67643</v>
      </c>
      <c r="E10533">
        <v>54.55</v>
      </c>
    </row>
    <row r="10534" spans="1:5" x14ac:dyDescent="0.2">
      <c r="A10534">
        <v>67644</v>
      </c>
      <c r="B10534" t="s">
        <v>22</v>
      </c>
      <c r="C10534">
        <v>67644</v>
      </c>
      <c r="D10534" t="str">
        <f>"67644"</f>
        <v>67644</v>
      </c>
      <c r="E10534">
        <v>60</v>
      </c>
    </row>
    <row r="10535" spans="1:5" x14ac:dyDescent="0.2">
      <c r="A10535">
        <v>67645</v>
      </c>
      <c r="B10535" t="s">
        <v>22</v>
      </c>
      <c r="C10535">
        <v>67645</v>
      </c>
      <c r="D10535" t="str">
        <f>"67645"</f>
        <v>67645</v>
      </c>
      <c r="E10535">
        <v>63.16</v>
      </c>
    </row>
    <row r="10536" spans="1:5" x14ac:dyDescent="0.2">
      <c r="A10536">
        <v>67646</v>
      </c>
      <c r="B10536" t="s">
        <v>22</v>
      </c>
      <c r="C10536">
        <v>67646</v>
      </c>
      <c r="D10536" t="str">
        <f>"67646"</f>
        <v>67646</v>
      </c>
      <c r="E10536">
        <v>58.06</v>
      </c>
    </row>
    <row r="10537" spans="1:5" x14ac:dyDescent="0.2">
      <c r="A10537">
        <v>67647</v>
      </c>
      <c r="B10537" t="s">
        <v>22</v>
      </c>
      <c r="C10537">
        <v>67647</v>
      </c>
      <c r="D10537" t="str">
        <f>"67647"</f>
        <v>67647</v>
      </c>
      <c r="E10537">
        <v>70</v>
      </c>
    </row>
    <row r="10538" spans="1:5" x14ac:dyDescent="0.2">
      <c r="A10538">
        <v>67648</v>
      </c>
      <c r="B10538" t="s">
        <v>22</v>
      </c>
      <c r="C10538">
        <v>67648</v>
      </c>
      <c r="D10538" t="str">
        <f>"67648"</f>
        <v>67648</v>
      </c>
      <c r="E10538">
        <v>54.55</v>
      </c>
    </row>
    <row r="10539" spans="1:5" x14ac:dyDescent="0.2">
      <c r="A10539">
        <v>67649</v>
      </c>
      <c r="B10539" t="s">
        <v>22</v>
      </c>
      <c r="C10539">
        <v>67649</v>
      </c>
      <c r="D10539" t="str">
        <f>"67649"</f>
        <v>67649</v>
      </c>
      <c r="E10539">
        <v>63.64</v>
      </c>
    </row>
    <row r="10540" spans="1:5" x14ac:dyDescent="0.2">
      <c r="A10540">
        <v>67650</v>
      </c>
      <c r="B10540" t="s">
        <v>22</v>
      </c>
      <c r="C10540">
        <v>67650</v>
      </c>
      <c r="D10540" t="str">
        <f>"67650"</f>
        <v>67650</v>
      </c>
      <c r="E10540">
        <v>70</v>
      </c>
    </row>
    <row r="10541" spans="1:5" x14ac:dyDescent="0.2">
      <c r="A10541">
        <v>67651</v>
      </c>
      <c r="B10541" t="s">
        <v>22</v>
      </c>
      <c r="C10541">
        <v>67651</v>
      </c>
      <c r="D10541" t="str">
        <f>"67651"</f>
        <v>67651</v>
      </c>
      <c r="E10541">
        <v>55</v>
      </c>
    </row>
    <row r="10542" spans="1:5" x14ac:dyDescent="0.2">
      <c r="A10542">
        <v>67653</v>
      </c>
      <c r="B10542" t="s">
        <v>22</v>
      </c>
      <c r="C10542">
        <v>67653</v>
      </c>
      <c r="D10542" t="str">
        <f>"67653"</f>
        <v>67653</v>
      </c>
      <c r="E10542">
        <v>54.55</v>
      </c>
    </row>
    <row r="10543" spans="1:5" x14ac:dyDescent="0.2">
      <c r="A10543">
        <v>67654</v>
      </c>
      <c r="B10543" t="s">
        <v>22</v>
      </c>
      <c r="C10543">
        <v>67654</v>
      </c>
      <c r="D10543" t="str">
        <f>"67654"</f>
        <v>67654</v>
      </c>
      <c r="E10543">
        <v>70.83</v>
      </c>
    </row>
    <row r="10544" spans="1:5" x14ac:dyDescent="0.2">
      <c r="A10544">
        <v>67656</v>
      </c>
      <c r="B10544" t="s">
        <v>22</v>
      </c>
      <c r="C10544">
        <v>67656</v>
      </c>
      <c r="D10544" t="str">
        <f>"67656"</f>
        <v>67656</v>
      </c>
      <c r="E10544" t="s">
        <v>6</v>
      </c>
    </row>
    <row r="10545" spans="1:5" x14ac:dyDescent="0.2">
      <c r="A10545">
        <v>67657</v>
      </c>
      <c r="B10545" t="s">
        <v>22</v>
      </c>
      <c r="C10545">
        <v>67657</v>
      </c>
      <c r="D10545" t="str">
        <f>"67657"</f>
        <v>67657</v>
      </c>
      <c r="E10545">
        <v>60</v>
      </c>
    </row>
    <row r="10546" spans="1:5" x14ac:dyDescent="0.2">
      <c r="A10546">
        <v>67658</v>
      </c>
      <c r="B10546" t="s">
        <v>22</v>
      </c>
      <c r="C10546">
        <v>67658</v>
      </c>
      <c r="D10546" t="str">
        <f>"67658"</f>
        <v>67658</v>
      </c>
      <c r="E10546" t="s">
        <v>6</v>
      </c>
    </row>
    <row r="10547" spans="1:5" x14ac:dyDescent="0.2">
      <c r="A10547">
        <v>67659</v>
      </c>
      <c r="B10547" t="s">
        <v>22</v>
      </c>
      <c r="C10547">
        <v>67659</v>
      </c>
      <c r="D10547" t="str">
        <f>"67659"</f>
        <v>67659</v>
      </c>
      <c r="E10547" t="s">
        <v>6</v>
      </c>
    </row>
    <row r="10548" spans="1:5" x14ac:dyDescent="0.2">
      <c r="A10548">
        <v>67660</v>
      </c>
      <c r="B10548" t="s">
        <v>22</v>
      </c>
      <c r="C10548">
        <v>67660</v>
      </c>
      <c r="D10548" t="str">
        <f>"67660"</f>
        <v>67660</v>
      </c>
      <c r="E10548" t="s">
        <v>6</v>
      </c>
    </row>
    <row r="10549" spans="1:5" x14ac:dyDescent="0.2">
      <c r="A10549">
        <v>67661</v>
      </c>
      <c r="B10549" t="s">
        <v>22</v>
      </c>
      <c r="C10549">
        <v>67661</v>
      </c>
      <c r="D10549" t="str">
        <f>"67661"</f>
        <v>67661</v>
      </c>
      <c r="E10549">
        <v>66.88</v>
      </c>
    </row>
    <row r="10550" spans="1:5" x14ac:dyDescent="0.2">
      <c r="A10550">
        <v>67663</v>
      </c>
      <c r="B10550" t="s">
        <v>22</v>
      </c>
      <c r="C10550">
        <v>67663</v>
      </c>
      <c r="D10550" t="str">
        <f>"67663"</f>
        <v>67663</v>
      </c>
      <c r="E10550">
        <v>69.17</v>
      </c>
    </row>
    <row r="10551" spans="1:5" x14ac:dyDescent="0.2">
      <c r="A10551">
        <v>67664</v>
      </c>
      <c r="B10551" t="s">
        <v>22</v>
      </c>
      <c r="C10551">
        <v>67664</v>
      </c>
      <c r="D10551" t="str">
        <f>"67664"</f>
        <v>67664</v>
      </c>
      <c r="E10551">
        <v>61.54</v>
      </c>
    </row>
    <row r="10552" spans="1:5" x14ac:dyDescent="0.2">
      <c r="A10552">
        <v>67665</v>
      </c>
      <c r="B10552" t="s">
        <v>22</v>
      </c>
      <c r="C10552">
        <v>67665</v>
      </c>
      <c r="D10552" t="str">
        <f>"67665"</f>
        <v>67665</v>
      </c>
      <c r="E10552">
        <v>65.930000000000007</v>
      </c>
    </row>
    <row r="10553" spans="1:5" x14ac:dyDescent="0.2">
      <c r="A10553">
        <v>67667</v>
      </c>
      <c r="B10553" t="s">
        <v>22</v>
      </c>
      <c r="C10553">
        <v>67667</v>
      </c>
      <c r="D10553" t="str">
        <f>"67667"</f>
        <v>67667</v>
      </c>
      <c r="E10553" t="s">
        <v>6</v>
      </c>
    </row>
    <row r="10554" spans="1:5" x14ac:dyDescent="0.2">
      <c r="A10554">
        <v>67669</v>
      </c>
      <c r="B10554" t="s">
        <v>22</v>
      </c>
      <c r="C10554">
        <v>67669</v>
      </c>
      <c r="D10554" t="str">
        <f>"67669"</f>
        <v>67669</v>
      </c>
      <c r="E10554">
        <v>65.430000000000007</v>
      </c>
    </row>
    <row r="10555" spans="1:5" x14ac:dyDescent="0.2">
      <c r="A10555">
        <v>67671</v>
      </c>
      <c r="B10555" t="s">
        <v>22</v>
      </c>
      <c r="C10555">
        <v>67671</v>
      </c>
      <c r="D10555" t="str">
        <f>"67671"</f>
        <v>67671</v>
      </c>
      <c r="E10555">
        <v>71.430000000000007</v>
      </c>
    </row>
    <row r="10556" spans="1:5" x14ac:dyDescent="0.2">
      <c r="A10556">
        <v>67672</v>
      </c>
      <c r="B10556" t="s">
        <v>22</v>
      </c>
      <c r="C10556">
        <v>67672</v>
      </c>
      <c r="D10556" t="str">
        <f>"67672"</f>
        <v>67672</v>
      </c>
      <c r="E10556">
        <v>71.430000000000007</v>
      </c>
    </row>
    <row r="10557" spans="1:5" x14ac:dyDescent="0.2">
      <c r="A10557">
        <v>67673</v>
      </c>
      <c r="B10557" t="s">
        <v>22</v>
      </c>
      <c r="C10557">
        <v>67673</v>
      </c>
      <c r="D10557" t="str">
        <f>"67673"</f>
        <v>67673</v>
      </c>
      <c r="E10557" t="s">
        <v>6</v>
      </c>
    </row>
    <row r="10558" spans="1:5" x14ac:dyDescent="0.2">
      <c r="A10558">
        <v>67674</v>
      </c>
      <c r="B10558" t="s">
        <v>22</v>
      </c>
      <c r="C10558">
        <v>67674</v>
      </c>
      <c r="D10558" t="str">
        <f>"67674"</f>
        <v>67674</v>
      </c>
      <c r="E10558" t="s">
        <v>6</v>
      </c>
    </row>
    <row r="10559" spans="1:5" x14ac:dyDescent="0.2">
      <c r="A10559">
        <v>67675</v>
      </c>
      <c r="B10559" t="s">
        <v>22</v>
      </c>
      <c r="C10559">
        <v>67675</v>
      </c>
      <c r="D10559" t="str">
        <f>"67675"</f>
        <v>67675</v>
      </c>
      <c r="E10559" t="s">
        <v>6</v>
      </c>
    </row>
    <row r="10560" spans="1:5" x14ac:dyDescent="0.2">
      <c r="A10560">
        <v>67701</v>
      </c>
      <c r="B10560" t="s">
        <v>22</v>
      </c>
      <c r="C10560">
        <v>67701</v>
      </c>
      <c r="D10560" t="str">
        <f>"67701"</f>
        <v>67701</v>
      </c>
      <c r="E10560">
        <v>72.61</v>
      </c>
    </row>
    <row r="10561" spans="1:5" x14ac:dyDescent="0.2">
      <c r="A10561">
        <v>67730</v>
      </c>
      <c r="B10561" t="s">
        <v>22</v>
      </c>
      <c r="C10561">
        <v>67730</v>
      </c>
      <c r="D10561" t="str">
        <f>"67730"</f>
        <v>67730</v>
      </c>
      <c r="E10561">
        <v>70</v>
      </c>
    </row>
    <row r="10562" spans="1:5" x14ac:dyDescent="0.2">
      <c r="A10562">
        <v>67731</v>
      </c>
      <c r="B10562" t="s">
        <v>22</v>
      </c>
      <c r="C10562">
        <v>67731</v>
      </c>
      <c r="D10562" t="str">
        <f>"67731"</f>
        <v>67731</v>
      </c>
      <c r="E10562">
        <v>68</v>
      </c>
    </row>
    <row r="10563" spans="1:5" x14ac:dyDescent="0.2">
      <c r="A10563">
        <v>67732</v>
      </c>
      <c r="B10563" t="s">
        <v>22</v>
      </c>
      <c r="C10563">
        <v>67732</v>
      </c>
      <c r="D10563" t="str">
        <f>"67732"</f>
        <v>67732</v>
      </c>
      <c r="E10563">
        <v>70.83</v>
      </c>
    </row>
    <row r="10564" spans="1:5" x14ac:dyDescent="0.2">
      <c r="A10564">
        <v>67733</v>
      </c>
      <c r="B10564" t="s">
        <v>22</v>
      </c>
      <c r="C10564">
        <v>67733</v>
      </c>
      <c r="D10564" t="str">
        <f>"67733"</f>
        <v>67733</v>
      </c>
      <c r="E10564" t="s">
        <v>6</v>
      </c>
    </row>
    <row r="10565" spans="1:5" x14ac:dyDescent="0.2">
      <c r="A10565">
        <v>67734</v>
      </c>
      <c r="B10565" t="s">
        <v>22</v>
      </c>
      <c r="C10565">
        <v>67734</v>
      </c>
      <c r="D10565" t="str">
        <f>"67734"</f>
        <v>67734</v>
      </c>
      <c r="E10565" t="s">
        <v>6</v>
      </c>
    </row>
    <row r="10566" spans="1:5" x14ac:dyDescent="0.2">
      <c r="A10566">
        <v>67735</v>
      </c>
      <c r="B10566" t="s">
        <v>22</v>
      </c>
      <c r="C10566">
        <v>67735</v>
      </c>
      <c r="D10566" t="str">
        <f>"67735"</f>
        <v>67735</v>
      </c>
      <c r="E10566">
        <v>68.31</v>
      </c>
    </row>
    <row r="10567" spans="1:5" x14ac:dyDescent="0.2">
      <c r="A10567">
        <v>67736</v>
      </c>
      <c r="B10567" t="s">
        <v>22</v>
      </c>
      <c r="C10567">
        <v>67736</v>
      </c>
      <c r="D10567" t="str">
        <f>"67736"</f>
        <v>67736</v>
      </c>
      <c r="E10567">
        <v>66.67</v>
      </c>
    </row>
    <row r="10568" spans="1:5" x14ac:dyDescent="0.2">
      <c r="A10568">
        <v>67737</v>
      </c>
      <c r="B10568" t="s">
        <v>22</v>
      </c>
      <c r="C10568">
        <v>67737</v>
      </c>
      <c r="D10568" t="str">
        <f>"67737"</f>
        <v>67737</v>
      </c>
      <c r="E10568">
        <v>63.64</v>
      </c>
    </row>
    <row r="10569" spans="1:5" x14ac:dyDescent="0.2">
      <c r="A10569">
        <v>67738</v>
      </c>
      <c r="B10569" t="s">
        <v>22</v>
      </c>
      <c r="C10569">
        <v>67738</v>
      </c>
      <c r="D10569" t="str">
        <f>"67738"</f>
        <v>67738</v>
      </c>
      <c r="E10569">
        <v>68.180000000000007</v>
      </c>
    </row>
    <row r="10570" spans="1:5" x14ac:dyDescent="0.2">
      <c r="A10570">
        <v>67739</v>
      </c>
      <c r="B10570" t="s">
        <v>22</v>
      </c>
      <c r="C10570">
        <v>67739</v>
      </c>
      <c r="D10570" t="str">
        <f>"67739"</f>
        <v>67739</v>
      </c>
      <c r="E10570">
        <v>60</v>
      </c>
    </row>
    <row r="10571" spans="1:5" x14ac:dyDescent="0.2">
      <c r="A10571">
        <v>67740</v>
      </c>
      <c r="B10571" t="s">
        <v>22</v>
      </c>
      <c r="C10571">
        <v>67740</v>
      </c>
      <c r="D10571" t="str">
        <f>"67740"</f>
        <v>67740</v>
      </c>
      <c r="E10571">
        <v>70.73</v>
      </c>
    </row>
    <row r="10572" spans="1:5" x14ac:dyDescent="0.2">
      <c r="A10572">
        <v>67741</v>
      </c>
      <c r="B10572" t="s">
        <v>22</v>
      </c>
      <c r="C10572">
        <v>67741</v>
      </c>
      <c r="D10572" t="str">
        <f>"67741"</f>
        <v>67741</v>
      </c>
      <c r="E10572">
        <v>60</v>
      </c>
    </row>
    <row r="10573" spans="1:5" x14ac:dyDescent="0.2">
      <c r="A10573">
        <v>67743</v>
      </c>
      <c r="B10573" t="s">
        <v>22</v>
      </c>
      <c r="C10573">
        <v>67743</v>
      </c>
      <c r="D10573" t="str">
        <f>"67743"</f>
        <v>67743</v>
      </c>
      <c r="E10573" t="s">
        <v>6</v>
      </c>
    </row>
    <row r="10574" spans="1:5" x14ac:dyDescent="0.2">
      <c r="A10574">
        <v>67744</v>
      </c>
      <c r="B10574" t="s">
        <v>22</v>
      </c>
      <c r="C10574">
        <v>67744</v>
      </c>
      <c r="D10574" t="str">
        <f>"67744"</f>
        <v>67744</v>
      </c>
      <c r="E10574">
        <v>60</v>
      </c>
    </row>
    <row r="10575" spans="1:5" x14ac:dyDescent="0.2">
      <c r="A10575">
        <v>67745</v>
      </c>
      <c r="B10575" t="s">
        <v>22</v>
      </c>
      <c r="C10575">
        <v>67745</v>
      </c>
      <c r="D10575" t="str">
        <f>"67745"</f>
        <v>67745</v>
      </c>
      <c r="E10575">
        <v>69.23</v>
      </c>
    </row>
    <row r="10576" spans="1:5" x14ac:dyDescent="0.2">
      <c r="A10576">
        <v>67747</v>
      </c>
      <c r="B10576" t="s">
        <v>22</v>
      </c>
      <c r="C10576">
        <v>67747</v>
      </c>
      <c r="D10576" t="str">
        <f>"67747"</f>
        <v>67747</v>
      </c>
      <c r="E10576" t="s">
        <v>6</v>
      </c>
    </row>
    <row r="10577" spans="1:5" x14ac:dyDescent="0.2">
      <c r="A10577">
        <v>67748</v>
      </c>
      <c r="B10577" t="s">
        <v>22</v>
      </c>
      <c r="C10577">
        <v>67748</v>
      </c>
      <c r="D10577" t="str">
        <f>"67748"</f>
        <v>67748</v>
      </c>
      <c r="E10577">
        <v>69.05</v>
      </c>
    </row>
    <row r="10578" spans="1:5" x14ac:dyDescent="0.2">
      <c r="A10578">
        <v>67749</v>
      </c>
      <c r="B10578" t="s">
        <v>22</v>
      </c>
      <c r="C10578">
        <v>67749</v>
      </c>
      <c r="D10578" t="str">
        <f>"67749"</f>
        <v>67749</v>
      </c>
      <c r="E10578">
        <v>66.34</v>
      </c>
    </row>
    <row r="10579" spans="1:5" x14ac:dyDescent="0.2">
      <c r="A10579">
        <v>67751</v>
      </c>
      <c r="B10579" t="s">
        <v>22</v>
      </c>
      <c r="C10579">
        <v>67751</v>
      </c>
      <c r="D10579" t="str">
        <f>"67751"</f>
        <v>67751</v>
      </c>
      <c r="E10579">
        <v>66.67</v>
      </c>
    </row>
    <row r="10580" spans="1:5" x14ac:dyDescent="0.2">
      <c r="A10580">
        <v>67752</v>
      </c>
      <c r="B10580" t="s">
        <v>22</v>
      </c>
      <c r="C10580">
        <v>67752</v>
      </c>
      <c r="D10580" t="str">
        <f>"67752"</f>
        <v>67752</v>
      </c>
      <c r="E10580">
        <v>69.349999999999994</v>
      </c>
    </row>
    <row r="10581" spans="1:5" x14ac:dyDescent="0.2">
      <c r="A10581">
        <v>67753</v>
      </c>
      <c r="B10581" t="s">
        <v>22</v>
      </c>
      <c r="C10581">
        <v>67753</v>
      </c>
      <c r="D10581" t="str">
        <f>"67753"</f>
        <v>67753</v>
      </c>
      <c r="E10581">
        <v>70</v>
      </c>
    </row>
    <row r="10582" spans="1:5" x14ac:dyDescent="0.2">
      <c r="A10582">
        <v>67756</v>
      </c>
      <c r="B10582" t="s">
        <v>22</v>
      </c>
      <c r="C10582">
        <v>67756</v>
      </c>
      <c r="D10582" t="str">
        <f>"67756"</f>
        <v>67756</v>
      </c>
      <c r="E10582">
        <v>64.77</v>
      </c>
    </row>
    <row r="10583" spans="1:5" x14ac:dyDescent="0.2">
      <c r="A10583">
        <v>67757</v>
      </c>
      <c r="B10583" t="s">
        <v>22</v>
      </c>
      <c r="C10583">
        <v>67757</v>
      </c>
      <c r="D10583" t="str">
        <f>"67757"</f>
        <v>67757</v>
      </c>
      <c r="E10583">
        <v>65</v>
      </c>
    </row>
    <row r="10584" spans="1:5" x14ac:dyDescent="0.2">
      <c r="A10584">
        <v>67758</v>
      </c>
      <c r="B10584" t="s">
        <v>22</v>
      </c>
      <c r="C10584">
        <v>67758</v>
      </c>
      <c r="D10584" t="str">
        <f>"67758"</f>
        <v>67758</v>
      </c>
      <c r="E10584">
        <v>65.31</v>
      </c>
    </row>
    <row r="10585" spans="1:5" x14ac:dyDescent="0.2">
      <c r="A10585">
        <v>67761</v>
      </c>
      <c r="B10585" t="s">
        <v>22</v>
      </c>
      <c r="C10585">
        <v>67761</v>
      </c>
      <c r="D10585" t="str">
        <f>"67761"</f>
        <v>67761</v>
      </c>
      <c r="E10585">
        <v>58.33</v>
      </c>
    </row>
    <row r="10586" spans="1:5" x14ac:dyDescent="0.2">
      <c r="A10586">
        <v>67762</v>
      </c>
      <c r="B10586" t="s">
        <v>22</v>
      </c>
      <c r="C10586">
        <v>67762</v>
      </c>
      <c r="D10586" t="str">
        <f>"67762"</f>
        <v>67762</v>
      </c>
      <c r="E10586">
        <v>66.67</v>
      </c>
    </row>
    <row r="10587" spans="1:5" x14ac:dyDescent="0.2">
      <c r="A10587">
        <v>67764</v>
      </c>
      <c r="B10587" t="s">
        <v>22</v>
      </c>
      <c r="C10587">
        <v>67764</v>
      </c>
      <c r="D10587" t="str">
        <f>"67764"</f>
        <v>67764</v>
      </c>
      <c r="E10587">
        <v>66.67</v>
      </c>
    </row>
    <row r="10588" spans="1:5" x14ac:dyDescent="0.2">
      <c r="A10588">
        <v>67801</v>
      </c>
      <c r="B10588" t="s">
        <v>22</v>
      </c>
      <c r="C10588">
        <v>67801</v>
      </c>
      <c r="D10588" t="str">
        <f>"67801"</f>
        <v>67801</v>
      </c>
      <c r="E10588">
        <v>63.52</v>
      </c>
    </row>
    <row r="10589" spans="1:5" x14ac:dyDescent="0.2">
      <c r="A10589">
        <v>67831</v>
      </c>
      <c r="B10589" t="s">
        <v>22</v>
      </c>
      <c r="C10589">
        <v>67831</v>
      </c>
      <c r="D10589" t="str">
        <f>"67831"</f>
        <v>67831</v>
      </c>
      <c r="E10589">
        <v>70.209999999999994</v>
      </c>
    </row>
    <row r="10590" spans="1:5" x14ac:dyDescent="0.2">
      <c r="A10590">
        <v>67834</v>
      </c>
      <c r="B10590" t="s">
        <v>22</v>
      </c>
      <c r="C10590">
        <v>67834</v>
      </c>
      <c r="D10590" t="str">
        <f>"67834"</f>
        <v>67834</v>
      </c>
      <c r="E10590">
        <v>73.680000000000007</v>
      </c>
    </row>
    <row r="10591" spans="1:5" x14ac:dyDescent="0.2">
      <c r="A10591">
        <v>67835</v>
      </c>
      <c r="B10591" t="s">
        <v>22</v>
      </c>
      <c r="C10591">
        <v>67835</v>
      </c>
      <c r="D10591" t="str">
        <f>"67835"</f>
        <v>67835</v>
      </c>
      <c r="E10591">
        <v>69.400000000000006</v>
      </c>
    </row>
    <row r="10592" spans="1:5" x14ac:dyDescent="0.2">
      <c r="A10592">
        <v>67836</v>
      </c>
      <c r="B10592" t="s">
        <v>22</v>
      </c>
      <c r="C10592">
        <v>67836</v>
      </c>
      <c r="D10592" t="str">
        <f>"67836"</f>
        <v>67836</v>
      </c>
      <c r="E10592" t="s">
        <v>6</v>
      </c>
    </row>
    <row r="10593" spans="1:5" x14ac:dyDescent="0.2">
      <c r="A10593">
        <v>67837</v>
      </c>
      <c r="B10593" t="s">
        <v>22</v>
      </c>
      <c r="C10593">
        <v>67837</v>
      </c>
      <c r="D10593" t="str">
        <f>"67837"</f>
        <v>67837</v>
      </c>
      <c r="E10593">
        <v>77.78</v>
      </c>
    </row>
    <row r="10594" spans="1:5" x14ac:dyDescent="0.2">
      <c r="A10594">
        <v>67838</v>
      </c>
      <c r="B10594" t="s">
        <v>22</v>
      </c>
      <c r="C10594">
        <v>67838</v>
      </c>
      <c r="D10594" t="str">
        <f>"67838"</f>
        <v>67838</v>
      </c>
      <c r="E10594">
        <v>66.67</v>
      </c>
    </row>
    <row r="10595" spans="1:5" x14ac:dyDescent="0.2">
      <c r="A10595">
        <v>67839</v>
      </c>
      <c r="B10595" t="s">
        <v>22</v>
      </c>
      <c r="C10595">
        <v>67839</v>
      </c>
      <c r="D10595" t="str">
        <f>"67839"</f>
        <v>67839</v>
      </c>
      <c r="E10595">
        <v>70.59</v>
      </c>
    </row>
    <row r="10596" spans="1:5" x14ac:dyDescent="0.2">
      <c r="A10596">
        <v>67840</v>
      </c>
      <c r="B10596" t="s">
        <v>22</v>
      </c>
      <c r="C10596">
        <v>67840</v>
      </c>
      <c r="D10596" t="str">
        <f>"67840"</f>
        <v>67840</v>
      </c>
      <c r="E10596" t="s">
        <v>6</v>
      </c>
    </row>
    <row r="10597" spans="1:5" x14ac:dyDescent="0.2">
      <c r="A10597">
        <v>67841</v>
      </c>
      <c r="B10597" t="s">
        <v>22</v>
      </c>
      <c r="C10597">
        <v>67841</v>
      </c>
      <c r="D10597" t="str">
        <f>"67841"</f>
        <v>67841</v>
      </c>
      <c r="E10597">
        <v>62.5</v>
      </c>
    </row>
    <row r="10598" spans="1:5" x14ac:dyDescent="0.2">
      <c r="A10598">
        <v>67842</v>
      </c>
      <c r="B10598" t="s">
        <v>22</v>
      </c>
      <c r="C10598">
        <v>67842</v>
      </c>
      <c r="D10598" t="str">
        <f>"67842"</f>
        <v>67842</v>
      </c>
      <c r="E10598">
        <v>66.67</v>
      </c>
    </row>
    <row r="10599" spans="1:5" x14ac:dyDescent="0.2">
      <c r="A10599">
        <v>67843</v>
      </c>
      <c r="B10599" t="s">
        <v>22</v>
      </c>
      <c r="C10599">
        <v>67843</v>
      </c>
      <c r="D10599" t="str">
        <f>"67843"</f>
        <v>67843</v>
      </c>
      <c r="E10599" t="s">
        <v>6</v>
      </c>
    </row>
    <row r="10600" spans="1:5" x14ac:dyDescent="0.2">
      <c r="A10600">
        <v>67844</v>
      </c>
      <c r="B10600" t="s">
        <v>22</v>
      </c>
      <c r="C10600">
        <v>67844</v>
      </c>
      <c r="D10600" t="str">
        <f>"67844"</f>
        <v>67844</v>
      </c>
      <c r="E10600">
        <v>65</v>
      </c>
    </row>
    <row r="10601" spans="1:5" x14ac:dyDescent="0.2">
      <c r="A10601">
        <v>67846</v>
      </c>
      <c r="B10601" t="s">
        <v>22</v>
      </c>
      <c r="C10601">
        <v>67846</v>
      </c>
      <c r="D10601" t="str">
        <f>"67846"</f>
        <v>67846</v>
      </c>
      <c r="E10601">
        <v>66.27</v>
      </c>
    </row>
    <row r="10602" spans="1:5" x14ac:dyDescent="0.2">
      <c r="A10602">
        <v>67849</v>
      </c>
      <c r="B10602" t="s">
        <v>22</v>
      </c>
      <c r="C10602">
        <v>67849</v>
      </c>
      <c r="D10602" t="str">
        <f>"67849"</f>
        <v>67849</v>
      </c>
      <c r="E10602">
        <v>72.22</v>
      </c>
    </row>
    <row r="10603" spans="1:5" x14ac:dyDescent="0.2">
      <c r="A10603">
        <v>67850</v>
      </c>
      <c r="B10603" t="s">
        <v>22</v>
      </c>
      <c r="C10603">
        <v>67850</v>
      </c>
      <c r="D10603" t="str">
        <f>"67850"</f>
        <v>67850</v>
      </c>
      <c r="E10603">
        <v>60</v>
      </c>
    </row>
    <row r="10604" spans="1:5" x14ac:dyDescent="0.2">
      <c r="A10604">
        <v>67851</v>
      </c>
      <c r="B10604" t="s">
        <v>22</v>
      </c>
      <c r="C10604">
        <v>67851</v>
      </c>
      <c r="D10604" t="str">
        <f>"67851"</f>
        <v>67851</v>
      </c>
      <c r="E10604">
        <v>70.59</v>
      </c>
    </row>
    <row r="10605" spans="1:5" x14ac:dyDescent="0.2">
      <c r="A10605">
        <v>67853</v>
      </c>
      <c r="B10605" t="s">
        <v>22</v>
      </c>
      <c r="C10605">
        <v>67853</v>
      </c>
      <c r="D10605" t="str">
        <f>"67853"</f>
        <v>67853</v>
      </c>
      <c r="E10605">
        <v>72.97</v>
      </c>
    </row>
    <row r="10606" spans="1:5" x14ac:dyDescent="0.2">
      <c r="A10606">
        <v>67854</v>
      </c>
      <c r="B10606" t="s">
        <v>22</v>
      </c>
      <c r="C10606">
        <v>67854</v>
      </c>
      <c r="D10606" t="str">
        <f>"67854"</f>
        <v>67854</v>
      </c>
      <c r="E10606">
        <v>73.680000000000007</v>
      </c>
    </row>
    <row r="10607" spans="1:5" x14ac:dyDescent="0.2">
      <c r="A10607">
        <v>67855</v>
      </c>
      <c r="B10607" t="s">
        <v>22</v>
      </c>
      <c r="C10607">
        <v>67855</v>
      </c>
      <c r="D10607" t="str">
        <f>"67855"</f>
        <v>67855</v>
      </c>
      <c r="E10607">
        <v>68.599999999999994</v>
      </c>
    </row>
    <row r="10608" spans="1:5" x14ac:dyDescent="0.2">
      <c r="A10608">
        <v>67857</v>
      </c>
      <c r="B10608" t="s">
        <v>22</v>
      </c>
      <c r="C10608">
        <v>67857</v>
      </c>
      <c r="D10608" t="str">
        <f>"67857"</f>
        <v>67857</v>
      </c>
      <c r="E10608" t="s">
        <v>6</v>
      </c>
    </row>
    <row r="10609" spans="1:5" x14ac:dyDescent="0.2">
      <c r="A10609">
        <v>67859</v>
      </c>
      <c r="B10609" t="s">
        <v>22</v>
      </c>
      <c r="C10609">
        <v>67859</v>
      </c>
      <c r="D10609" t="str">
        <f>"67859"</f>
        <v>67859</v>
      </c>
      <c r="E10609">
        <v>73.08</v>
      </c>
    </row>
    <row r="10610" spans="1:5" x14ac:dyDescent="0.2">
      <c r="A10610">
        <v>67860</v>
      </c>
      <c r="B10610" t="s">
        <v>22</v>
      </c>
      <c r="C10610">
        <v>67860</v>
      </c>
      <c r="D10610" t="str">
        <f>"67860"</f>
        <v>67860</v>
      </c>
      <c r="E10610">
        <v>69.23</v>
      </c>
    </row>
    <row r="10611" spans="1:5" x14ac:dyDescent="0.2">
      <c r="A10611">
        <v>67861</v>
      </c>
      <c r="B10611" t="s">
        <v>22</v>
      </c>
      <c r="C10611">
        <v>67861</v>
      </c>
      <c r="D10611" t="str">
        <f>"67861"</f>
        <v>67861</v>
      </c>
      <c r="E10611">
        <v>68.540000000000006</v>
      </c>
    </row>
    <row r="10612" spans="1:5" x14ac:dyDescent="0.2">
      <c r="A10612">
        <v>67862</v>
      </c>
      <c r="B10612" t="s">
        <v>22</v>
      </c>
      <c r="C10612">
        <v>67862</v>
      </c>
      <c r="D10612" t="str">
        <f>"67862"</f>
        <v>67862</v>
      </c>
      <c r="E10612" t="s">
        <v>6</v>
      </c>
    </row>
    <row r="10613" spans="1:5" x14ac:dyDescent="0.2">
      <c r="A10613">
        <v>67863</v>
      </c>
      <c r="B10613" t="s">
        <v>22</v>
      </c>
      <c r="C10613">
        <v>67863</v>
      </c>
      <c r="D10613" t="str">
        <f>"67863"</f>
        <v>67863</v>
      </c>
      <c r="E10613">
        <v>75</v>
      </c>
    </row>
    <row r="10614" spans="1:5" x14ac:dyDescent="0.2">
      <c r="A10614">
        <v>67864</v>
      </c>
      <c r="B10614" t="s">
        <v>22</v>
      </c>
      <c r="C10614">
        <v>67864</v>
      </c>
      <c r="D10614" t="str">
        <f>"67864"</f>
        <v>67864</v>
      </c>
      <c r="E10614">
        <v>71.58</v>
      </c>
    </row>
    <row r="10615" spans="1:5" x14ac:dyDescent="0.2">
      <c r="A10615">
        <v>67865</v>
      </c>
      <c r="B10615" t="s">
        <v>22</v>
      </c>
      <c r="C10615">
        <v>67865</v>
      </c>
      <c r="D10615" t="str">
        <f>"67865"</f>
        <v>67865</v>
      </c>
      <c r="E10615">
        <v>68.89</v>
      </c>
    </row>
    <row r="10616" spans="1:5" x14ac:dyDescent="0.2">
      <c r="A10616">
        <v>67867</v>
      </c>
      <c r="B10616" t="s">
        <v>22</v>
      </c>
      <c r="C10616">
        <v>67867</v>
      </c>
      <c r="D10616" t="str">
        <f>"67867"</f>
        <v>67867</v>
      </c>
      <c r="E10616">
        <v>76.06</v>
      </c>
    </row>
    <row r="10617" spans="1:5" x14ac:dyDescent="0.2">
      <c r="A10617">
        <v>67868</v>
      </c>
      <c r="B10617" t="s">
        <v>22</v>
      </c>
      <c r="C10617">
        <v>67868</v>
      </c>
      <c r="D10617" t="str">
        <f>"67868"</f>
        <v>67868</v>
      </c>
      <c r="E10617">
        <v>63.64</v>
      </c>
    </row>
    <row r="10618" spans="1:5" x14ac:dyDescent="0.2">
      <c r="A10618">
        <v>67869</v>
      </c>
      <c r="B10618" t="s">
        <v>22</v>
      </c>
      <c r="C10618">
        <v>67869</v>
      </c>
      <c r="D10618" t="str">
        <f>"67869"</f>
        <v>67869</v>
      </c>
      <c r="E10618">
        <v>68.42</v>
      </c>
    </row>
    <row r="10619" spans="1:5" x14ac:dyDescent="0.2">
      <c r="A10619">
        <v>67870</v>
      </c>
      <c r="B10619" t="s">
        <v>22</v>
      </c>
      <c r="C10619">
        <v>67870</v>
      </c>
      <c r="D10619" t="str">
        <f>"67870"</f>
        <v>67870</v>
      </c>
      <c r="E10619">
        <v>65.150000000000006</v>
      </c>
    </row>
    <row r="10620" spans="1:5" x14ac:dyDescent="0.2">
      <c r="A10620">
        <v>67871</v>
      </c>
      <c r="B10620" t="s">
        <v>22</v>
      </c>
      <c r="C10620">
        <v>67871</v>
      </c>
      <c r="D10620" t="str">
        <f>"67871"</f>
        <v>67871</v>
      </c>
      <c r="E10620">
        <v>71</v>
      </c>
    </row>
    <row r="10621" spans="1:5" x14ac:dyDescent="0.2">
      <c r="A10621">
        <v>67876</v>
      </c>
      <c r="B10621" t="s">
        <v>22</v>
      </c>
      <c r="C10621">
        <v>67876</v>
      </c>
      <c r="D10621" t="str">
        <f>"67876"</f>
        <v>67876</v>
      </c>
      <c r="E10621">
        <v>76.36</v>
      </c>
    </row>
    <row r="10622" spans="1:5" x14ac:dyDescent="0.2">
      <c r="A10622">
        <v>67877</v>
      </c>
      <c r="B10622" t="s">
        <v>22</v>
      </c>
      <c r="C10622">
        <v>67877</v>
      </c>
      <c r="D10622" t="str">
        <f>"67877"</f>
        <v>67877</v>
      </c>
      <c r="E10622">
        <v>69.89</v>
      </c>
    </row>
    <row r="10623" spans="1:5" x14ac:dyDescent="0.2">
      <c r="A10623">
        <v>67878</v>
      </c>
      <c r="B10623" t="s">
        <v>22</v>
      </c>
      <c r="C10623">
        <v>67878</v>
      </c>
      <c r="D10623" t="str">
        <f>"67878"</f>
        <v>67878</v>
      </c>
      <c r="E10623">
        <v>64.52</v>
      </c>
    </row>
    <row r="10624" spans="1:5" x14ac:dyDescent="0.2">
      <c r="A10624">
        <v>67879</v>
      </c>
      <c r="B10624" t="s">
        <v>22</v>
      </c>
      <c r="C10624">
        <v>67879</v>
      </c>
      <c r="D10624" t="str">
        <f>"67879"</f>
        <v>67879</v>
      </c>
      <c r="E10624">
        <v>64.290000000000006</v>
      </c>
    </row>
    <row r="10625" spans="1:5" x14ac:dyDescent="0.2">
      <c r="A10625">
        <v>67880</v>
      </c>
      <c r="B10625" t="s">
        <v>22</v>
      </c>
      <c r="C10625">
        <v>67880</v>
      </c>
      <c r="D10625" t="str">
        <f>"67880"</f>
        <v>67880</v>
      </c>
      <c r="E10625">
        <v>65.709999999999994</v>
      </c>
    </row>
    <row r="10626" spans="1:5" x14ac:dyDescent="0.2">
      <c r="A10626">
        <v>67882</v>
      </c>
      <c r="B10626" t="s">
        <v>22</v>
      </c>
      <c r="C10626">
        <v>67882</v>
      </c>
      <c r="D10626" t="str">
        <f>"67882"</f>
        <v>67882</v>
      </c>
      <c r="E10626">
        <v>70.59</v>
      </c>
    </row>
    <row r="10627" spans="1:5" x14ac:dyDescent="0.2">
      <c r="A10627">
        <v>67901</v>
      </c>
      <c r="B10627" t="s">
        <v>22</v>
      </c>
      <c r="C10627">
        <v>67901</v>
      </c>
      <c r="D10627" t="str">
        <f>"67901"</f>
        <v>67901</v>
      </c>
      <c r="E10627">
        <v>60.8</v>
      </c>
    </row>
    <row r="10628" spans="1:5" x14ac:dyDescent="0.2">
      <c r="A10628">
        <v>67950</v>
      </c>
      <c r="B10628" t="s">
        <v>22</v>
      </c>
      <c r="C10628">
        <v>67950</v>
      </c>
      <c r="D10628" t="str">
        <f>"67950"</f>
        <v>67950</v>
      </c>
      <c r="E10628">
        <v>68.42</v>
      </c>
    </row>
    <row r="10629" spans="1:5" x14ac:dyDescent="0.2">
      <c r="A10629">
        <v>67951</v>
      </c>
      <c r="B10629" t="s">
        <v>22</v>
      </c>
      <c r="C10629">
        <v>67951</v>
      </c>
      <c r="D10629" t="str">
        <f>"67951"</f>
        <v>67951</v>
      </c>
      <c r="E10629">
        <v>66.150000000000006</v>
      </c>
    </row>
    <row r="10630" spans="1:5" x14ac:dyDescent="0.2">
      <c r="A10630">
        <v>67952</v>
      </c>
      <c r="B10630" t="s">
        <v>22</v>
      </c>
      <c r="C10630">
        <v>67952</v>
      </c>
      <c r="D10630" t="str">
        <f>"67952"</f>
        <v>67952</v>
      </c>
      <c r="E10630">
        <v>68</v>
      </c>
    </row>
    <row r="10631" spans="1:5" x14ac:dyDescent="0.2">
      <c r="A10631">
        <v>67953</v>
      </c>
      <c r="B10631" t="s">
        <v>22</v>
      </c>
      <c r="C10631">
        <v>67953</v>
      </c>
      <c r="D10631" t="str">
        <f>"67953"</f>
        <v>67953</v>
      </c>
      <c r="E10631" t="s">
        <v>6</v>
      </c>
    </row>
    <row r="10632" spans="1:5" x14ac:dyDescent="0.2">
      <c r="A10632">
        <v>67954</v>
      </c>
      <c r="B10632" t="s">
        <v>22</v>
      </c>
      <c r="C10632">
        <v>67954</v>
      </c>
      <c r="D10632" t="str">
        <f>"67954"</f>
        <v>67954</v>
      </c>
      <c r="E10632">
        <v>68.97</v>
      </c>
    </row>
    <row r="10633" spans="1:5" x14ac:dyDescent="0.2">
      <c r="A10633">
        <v>40003</v>
      </c>
      <c r="B10633" t="s">
        <v>23</v>
      </c>
      <c r="C10633">
        <v>40003</v>
      </c>
      <c r="D10633" t="str">
        <f>"40003"</f>
        <v>40003</v>
      </c>
      <c r="E10633">
        <v>74.16</v>
      </c>
    </row>
    <row r="10634" spans="1:5" x14ac:dyDescent="0.2">
      <c r="A10634">
        <v>40004</v>
      </c>
      <c r="B10634" t="s">
        <v>23</v>
      </c>
      <c r="C10634">
        <v>40004</v>
      </c>
      <c r="D10634" t="str">
        <f>"40004"</f>
        <v>40004</v>
      </c>
      <c r="E10634">
        <v>72.13</v>
      </c>
    </row>
    <row r="10635" spans="1:5" x14ac:dyDescent="0.2">
      <c r="A10635">
        <v>40006</v>
      </c>
      <c r="B10635" t="s">
        <v>23</v>
      </c>
      <c r="C10635">
        <v>40006</v>
      </c>
      <c r="D10635" t="str">
        <f>"40006"</f>
        <v>40006</v>
      </c>
      <c r="E10635">
        <v>70.05</v>
      </c>
    </row>
    <row r="10636" spans="1:5" x14ac:dyDescent="0.2">
      <c r="A10636">
        <v>40007</v>
      </c>
      <c r="B10636" t="s">
        <v>23</v>
      </c>
      <c r="C10636">
        <v>40007</v>
      </c>
      <c r="D10636" t="str">
        <f>"40007"</f>
        <v>40007</v>
      </c>
      <c r="E10636">
        <v>70</v>
      </c>
    </row>
    <row r="10637" spans="1:5" x14ac:dyDescent="0.2">
      <c r="A10637">
        <v>40008</v>
      </c>
      <c r="B10637" t="s">
        <v>23</v>
      </c>
      <c r="C10637">
        <v>40008</v>
      </c>
      <c r="D10637" t="str">
        <f>"40008"</f>
        <v>40008</v>
      </c>
      <c r="E10637">
        <v>70.11</v>
      </c>
    </row>
    <row r="10638" spans="1:5" x14ac:dyDescent="0.2">
      <c r="A10638">
        <v>40009</v>
      </c>
      <c r="B10638" t="s">
        <v>23</v>
      </c>
      <c r="C10638">
        <v>40009</v>
      </c>
      <c r="D10638" t="str">
        <f>"40009"</f>
        <v>40009</v>
      </c>
      <c r="E10638">
        <v>64.86</v>
      </c>
    </row>
    <row r="10639" spans="1:5" x14ac:dyDescent="0.2">
      <c r="A10639">
        <v>40010</v>
      </c>
      <c r="B10639" t="s">
        <v>23</v>
      </c>
      <c r="C10639">
        <v>40010</v>
      </c>
      <c r="D10639" t="str">
        <f>"40010"</f>
        <v>40010</v>
      </c>
      <c r="E10639">
        <v>77.42</v>
      </c>
    </row>
    <row r="10640" spans="1:5" x14ac:dyDescent="0.2">
      <c r="A10640">
        <v>40011</v>
      </c>
      <c r="B10640" t="s">
        <v>23</v>
      </c>
      <c r="C10640">
        <v>40011</v>
      </c>
      <c r="D10640" t="str">
        <f>"40011"</f>
        <v>40011</v>
      </c>
      <c r="E10640">
        <v>71.3</v>
      </c>
    </row>
    <row r="10641" spans="1:5" x14ac:dyDescent="0.2">
      <c r="A10641">
        <v>40012</v>
      </c>
      <c r="B10641" t="s">
        <v>23</v>
      </c>
      <c r="C10641">
        <v>40012</v>
      </c>
      <c r="D10641" t="str">
        <f>"40012"</f>
        <v>40012</v>
      </c>
      <c r="E10641">
        <v>65.38</v>
      </c>
    </row>
    <row r="10642" spans="1:5" x14ac:dyDescent="0.2">
      <c r="A10642">
        <v>40013</v>
      </c>
      <c r="B10642" t="s">
        <v>23</v>
      </c>
      <c r="C10642">
        <v>40013</v>
      </c>
      <c r="D10642" t="str">
        <f>"40013"</f>
        <v>40013</v>
      </c>
      <c r="E10642">
        <v>78.849999999999994</v>
      </c>
    </row>
    <row r="10643" spans="1:5" x14ac:dyDescent="0.2">
      <c r="A10643">
        <v>40014</v>
      </c>
      <c r="B10643" t="s">
        <v>23</v>
      </c>
      <c r="C10643">
        <v>40014</v>
      </c>
      <c r="D10643" t="str">
        <f>"40014"</f>
        <v>40014</v>
      </c>
      <c r="E10643">
        <v>79.239999999999995</v>
      </c>
    </row>
    <row r="10644" spans="1:5" x14ac:dyDescent="0.2">
      <c r="A10644">
        <v>40018</v>
      </c>
      <c r="B10644" t="s">
        <v>23</v>
      </c>
      <c r="C10644">
        <v>40018</v>
      </c>
      <c r="D10644" t="str">
        <f>"40018"</f>
        <v>40018</v>
      </c>
      <c r="E10644" t="s">
        <v>6</v>
      </c>
    </row>
    <row r="10645" spans="1:5" x14ac:dyDescent="0.2">
      <c r="A10645">
        <v>40019</v>
      </c>
      <c r="B10645" t="s">
        <v>23</v>
      </c>
      <c r="C10645">
        <v>40019</v>
      </c>
      <c r="D10645" t="str">
        <f>"40019"</f>
        <v>40019</v>
      </c>
      <c r="E10645">
        <v>68.67</v>
      </c>
    </row>
    <row r="10646" spans="1:5" x14ac:dyDescent="0.2">
      <c r="A10646">
        <v>40020</v>
      </c>
      <c r="B10646" t="s">
        <v>23</v>
      </c>
      <c r="C10646">
        <v>40020</v>
      </c>
      <c r="D10646" t="str">
        <f>"40020"</f>
        <v>40020</v>
      </c>
      <c r="E10646" t="s">
        <v>6</v>
      </c>
    </row>
    <row r="10647" spans="1:5" x14ac:dyDescent="0.2">
      <c r="A10647">
        <v>40022</v>
      </c>
      <c r="B10647" t="s">
        <v>23</v>
      </c>
      <c r="C10647">
        <v>40022</v>
      </c>
      <c r="D10647" t="str">
        <f>"40022"</f>
        <v>40022</v>
      </c>
      <c r="E10647">
        <v>78.430000000000007</v>
      </c>
    </row>
    <row r="10648" spans="1:5" x14ac:dyDescent="0.2">
      <c r="A10648">
        <v>40023</v>
      </c>
      <c r="B10648" t="s">
        <v>23</v>
      </c>
      <c r="C10648">
        <v>40023</v>
      </c>
      <c r="D10648" t="str">
        <f>"40023"</f>
        <v>40023</v>
      </c>
      <c r="E10648">
        <v>83.33</v>
      </c>
    </row>
    <row r="10649" spans="1:5" x14ac:dyDescent="0.2">
      <c r="A10649">
        <v>40025</v>
      </c>
      <c r="B10649" t="s">
        <v>23</v>
      </c>
      <c r="C10649">
        <v>40025</v>
      </c>
      <c r="D10649" t="str">
        <f>"40025"</f>
        <v>40025</v>
      </c>
      <c r="E10649" t="s">
        <v>6</v>
      </c>
    </row>
    <row r="10650" spans="1:5" x14ac:dyDescent="0.2">
      <c r="A10650">
        <v>40026</v>
      </c>
      <c r="B10650" t="s">
        <v>23</v>
      </c>
      <c r="C10650">
        <v>40026</v>
      </c>
      <c r="D10650" t="str">
        <f>"40026"</f>
        <v>40026</v>
      </c>
      <c r="E10650">
        <v>79.930000000000007</v>
      </c>
    </row>
    <row r="10651" spans="1:5" x14ac:dyDescent="0.2">
      <c r="A10651">
        <v>40031</v>
      </c>
      <c r="B10651" t="s">
        <v>23</v>
      </c>
      <c r="C10651">
        <v>40031</v>
      </c>
      <c r="D10651" t="str">
        <f>"40031"</f>
        <v>40031</v>
      </c>
      <c r="E10651">
        <v>76.27</v>
      </c>
    </row>
    <row r="10652" spans="1:5" x14ac:dyDescent="0.2">
      <c r="A10652">
        <v>40033</v>
      </c>
      <c r="B10652" t="s">
        <v>23</v>
      </c>
      <c r="C10652">
        <v>40033</v>
      </c>
      <c r="D10652" t="str">
        <f>"40033"</f>
        <v>40033</v>
      </c>
      <c r="E10652">
        <v>67.290000000000006</v>
      </c>
    </row>
    <row r="10653" spans="1:5" x14ac:dyDescent="0.2">
      <c r="A10653">
        <v>40036</v>
      </c>
      <c r="B10653" t="s">
        <v>23</v>
      </c>
      <c r="C10653">
        <v>40036</v>
      </c>
      <c r="D10653" t="str">
        <f>"40036"</f>
        <v>40036</v>
      </c>
      <c r="E10653" t="s">
        <v>6</v>
      </c>
    </row>
    <row r="10654" spans="1:5" x14ac:dyDescent="0.2">
      <c r="A10654">
        <v>40037</v>
      </c>
      <c r="B10654" t="s">
        <v>23</v>
      </c>
      <c r="C10654">
        <v>40037</v>
      </c>
      <c r="D10654" t="str">
        <f>"40037"</f>
        <v>40037</v>
      </c>
      <c r="E10654">
        <v>72.87</v>
      </c>
    </row>
    <row r="10655" spans="1:5" x14ac:dyDescent="0.2">
      <c r="A10655">
        <v>40040</v>
      </c>
      <c r="B10655" t="s">
        <v>23</v>
      </c>
      <c r="C10655">
        <v>40040</v>
      </c>
      <c r="D10655" t="str">
        <f>"40040"</f>
        <v>40040</v>
      </c>
      <c r="E10655">
        <v>68.180000000000007</v>
      </c>
    </row>
    <row r="10656" spans="1:5" x14ac:dyDescent="0.2">
      <c r="A10656">
        <v>40041</v>
      </c>
      <c r="B10656" t="s">
        <v>23</v>
      </c>
      <c r="C10656">
        <v>40041</v>
      </c>
      <c r="D10656" t="str">
        <f>"40041"</f>
        <v>40041</v>
      </c>
      <c r="E10656">
        <v>84.62</v>
      </c>
    </row>
    <row r="10657" spans="1:5" x14ac:dyDescent="0.2">
      <c r="A10657">
        <v>40045</v>
      </c>
      <c r="B10657" t="s">
        <v>23</v>
      </c>
      <c r="C10657">
        <v>40045</v>
      </c>
      <c r="D10657" t="str">
        <f>"40045"</f>
        <v>40045</v>
      </c>
      <c r="E10657">
        <v>72.31</v>
      </c>
    </row>
    <row r="10658" spans="1:5" x14ac:dyDescent="0.2">
      <c r="A10658">
        <v>40046</v>
      </c>
      <c r="B10658" t="s">
        <v>23</v>
      </c>
      <c r="C10658">
        <v>40046</v>
      </c>
      <c r="D10658" t="str">
        <f>"40046"</f>
        <v>40046</v>
      </c>
      <c r="E10658">
        <v>71.95</v>
      </c>
    </row>
    <row r="10659" spans="1:5" x14ac:dyDescent="0.2">
      <c r="A10659">
        <v>40047</v>
      </c>
      <c r="B10659" t="s">
        <v>23</v>
      </c>
      <c r="C10659">
        <v>40047</v>
      </c>
      <c r="D10659" t="str">
        <f>"40047"</f>
        <v>40047</v>
      </c>
      <c r="E10659">
        <v>79.680000000000007</v>
      </c>
    </row>
    <row r="10660" spans="1:5" x14ac:dyDescent="0.2">
      <c r="A10660">
        <v>40048</v>
      </c>
      <c r="B10660" t="s">
        <v>23</v>
      </c>
      <c r="C10660">
        <v>40048</v>
      </c>
      <c r="D10660" t="str">
        <f>"40048"</f>
        <v>40048</v>
      </c>
      <c r="E10660" t="s">
        <v>6</v>
      </c>
    </row>
    <row r="10661" spans="1:5" x14ac:dyDescent="0.2">
      <c r="A10661">
        <v>40049</v>
      </c>
      <c r="B10661" t="s">
        <v>23</v>
      </c>
      <c r="C10661">
        <v>40049</v>
      </c>
      <c r="D10661" t="str">
        <f>"40049"</f>
        <v>40049</v>
      </c>
      <c r="E10661" t="s">
        <v>6</v>
      </c>
    </row>
    <row r="10662" spans="1:5" x14ac:dyDescent="0.2">
      <c r="A10662">
        <v>40050</v>
      </c>
      <c r="B10662" t="s">
        <v>23</v>
      </c>
      <c r="C10662">
        <v>40050</v>
      </c>
      <c r="D10662" t="str">
        <f>"40050"</f>
        <v>40050</v>
      </c>
      <c r="E10662">
        <v>71.83</v>
      </c>
    </row>
    <row r="10663" spans="1:5" x14ac:dyDescent="0.2">
      <c r="A10663">
        <v>40051</v>
      </c>
      <c r="B10663" t="s">
        <v>23</v>
      </c>
      <c r="C10663">
        <v>40051</v>
      </c>
      <c r="D10663" t="str">
        <f>"40051"</f>
        <v>40051</v>
      </c>
      <c r="E10663">
        <v>70.3</v>
      </c>
    </row>
    <row r="10664" spans="1:5" x14ac:dyDescent="0.2">
      <c r="A10664">
        <v>40052</v>
      </c>
      <c r="B10664" t="s">
        <v>23</v>
      </c>
      <c r="C10664">
        <v>40052</v>
      </c>
      <c r="D10664" t="str">
        <f>"40052"</f>
        <v>40052</v>
      </c>
      <c r="E10664">
        <v>70.83</v>
      </c>
    </row>
    <row r="10665" spans="1:5" x14ac:dyDescent="0.2">
      <c r="A10665">
        <v>40055</v>
      </c>
      <c r="B10665" t="s">
        <v>23</v>
      </c>
      <c r="C10665">
        <v>40055</v>
      </c>
      <c r="D10665" t="str">
        <f>"40055"</f>
        <v>40055</v>
      </c>
      <c r="E10665">
        <v>76.599999999999994</v>
      </c>
    </row>
    <row r="10666" spans="1:5" x14ac:dyDescent="0.2">
      <c r="A10666">
        <v>40056</v>
      </c>
      <c r="B10666" t="s">
        <v>23</v>
      </c>
      <c r="C10666">
        <v>40056</v>
      </c>
      <c r="D10666" t="str">
        <f>"40056"</f>
        <v>40056</v>
      </c>
      <c r="E10666">
        <v>78.95</v>
      </c>
    </row>
    <row r="10667" spans="1:5" x14ac:dyDescent="0.2">
      <c r="A10667">
        <v>40057</v>
      </c>
      <c r="B10667" t="s">
        <v>23</v>
      </c>
      <c r="C10667">
        <v>40057</v>
      </c>
      <c r="D10667" t="str">
        <f>"40057"</f>
        <v>40057</v>
      </c>
      <c r="E10667">
        <v>68.87</v>
      </c>
    </row>
    <row r="10668" spans="1:5" x14ac:dyDescent="0.2">
      <c r="A10668">
        <v>40059</v>
      </c>
      <c r="B10668" t="s">
        <v>23</v>
      </c>
      <c r="C10668">
        <v>40059</v>
      </c>
      <c r="D10668" t="str">
        <f>"40059"</f>
        <v>40059</v>
      </c>
      <c r="E10668">
        <v>81.260000000000005</v>
      </c>
    </row>
    <row r="10669" spans="1:5" x14ac:dyDescent="0.2">
      <c r="A10669">
        <v>40060</v>
      </c>
      <c r="B10669" t="s">
        <v>23</v>
      </c>
      <c r="C10669">
        <v>40060</v>
      </c>
      <c r="D10669" t="str">
        <f>"40060"</f>
        <v>40060</v>
      </c>
      <c r="E10669">
        <v>73.47</v>
      </c>
    </row>
    <row r="10670" spans="1:5" x14ac:dyDescent="0.2">
      <c r="A10670">
        <v>40062</v>
      </c>
      <c r="B10670" t="s">
        <v>23</v>
      </c>
      <c r="C10670">
        <v>40062</v>
      </c>
      <c r="D10670" t="str">
        <f>"40062"</f>
        <v>40062</v>
      </c>
      <c r="E10670">
        <v>62.5</v>
      </c>
    </row>
    <row r="10671" spans="1:5" x14ac:dyDescent="0.2">
      <c r="A10671">
        <v>40065</v>
      </c>
      <c r="B10671" t="s">
        <v>23</v>
      </c>
      <c r="C10671">
        <v>40065</v>
      </c>
      <c r="D10671" t="str">
        <f>"40065"</f>
        <v>40065</v>
      </c>
      <c r="E10671">
        <v>70.709999999999994</v>
      </c>
    </row>
    <row r="10672" spans="1:5" x14ac:dyDescent="0.2">
      <c r="A10672">
        <v>40067</v>
      </c>
      <c r="B10672" t="s">
        <v>23</v>
      </c>
      <c r="C10672">
        <v>40067</v>
      </c>
      <c r="D10672" t="str">
        <f>"40067"</f>
        <v>40067</v>
      </c>
      <c r="E10672">
        <v>75.97</v>
      </c>
    </row>
    <row r="10673" spans="1:5" x14ac:dyDescent="0.2">
      <c r="A10673">
        <v>40068</v>
      </c>
      <c r="B10673" t="s">
        <v>23</v>
      </c>
      <c r="C10673">
        <v>40068</v>
      </c>
      <c r="D10673" t="str">
        <f>"40068"</f>
        <v>40068</v>
      </c>
      <c r="E10673">
        <v>76.42</v>
      </c>
    </row>
    <row r="10674" spans="1:5" x14ac:dyDescent="0.2">
      <c r="A10674">
        <v>40069</v>
      </c>
      <c r="B10674" t="s">
        <v>23</v>
      </c>
      <c r="C10674">
        <v>40069</v>
      </c>
      <c r="D10674" t="str">
        <f>"40069"</f>
        <v>40069</v>
      </c>
      <c r="E10674">
        <v>69.25</v>
      </c>
    </row>
    <row r="10675" spans="1:5" x14ac:dyDescent="0.2">
      <c r="A10675">
        <v>40070</v>
      </c>
      <c r="B10675" t="s">
        <v>23</v>
      </c>
      <c r="C10675">
        <v>40070</v>
      </c>
      <c r="D10675" t="str">
        <f>"40070"</f>
        <v>40070</v>
      </c>
      <c r="E10675">
        <v>68</v>
      </c>
    </row>
    <row r="10676" spans="1:5" x14ac:dyDescent="0.2">
      <c r="A10676">
        <v>40071</v>
      </c>
      <c r="B10676" t="s">
        <v>23</v>
      </c>
      <c r="C10676">
        <v>40071</v>
      </c>
      <c r="D10676" t="str">
        <f>"40071"</f>
        <v>40071</v>
      </c>
      <c r="E10676">
        <v>78.59</v>
      </c>
    </row>
    <row r="10677" spans="1:5" x14ac:dyDescent="0.2">
      <c r="A10677">
        <v>40075</v>
      </c>
      <c r="B10677" t="s">
        <v>23</v>
      </c>
      <c r="C10677">
        <v>40075</v>
      </c>
      <c r="D10677" t="str">
        <f>"40075"</f>
        <v>40075</v>
      </c>
      <c r="E10677">
        <v>68</v>
      </c>
    </row>
    <row r="10678" spans="1:5" x14ac:dyDescent="0.2">
      <c r="A10678">
        <v>40076</v>
      </c>
      <c r="B10678" t="s">
        <v>23</v>
      </c>
      <c r="C10678">
        <v>40076</v>
      </c>
      <c r="D10678" t="str">
        <f>"40076"</f>
        <v>40076</v>
      </c>
      <c r="E10678">
        <v>73.17</v>
      </c>
    </row>
    <row r="10679" spans="1:5" x14ac:dyDescent="0.2">
      <c r="A10679">
        <v>40077</v>
      </c>
      <c r="B10679" t="s">
        <v>23</v>
      </c>
      <c r="C10679">
        <v>40077</v>
      </c>
      <c r="D10679" t="str">
        <f>"40077"</f>
        <v>40077</v>
      </c>
      <c r="E10679">
        <v>75.86</v>
      </c>
    </row>
    <row r="10680" spans="1:5" x14ac:dyDescent="0.2">
      <c r="A10680">
        <v>40078</v>
      </c>
      <c r="B10680" t="s">
        <v>23</v>
      </c>
      <c r="C10680">
        <v>40078</v>
      </c>
      <c r="D10680" t="str">
        <f>"40078"</f>
        <v>40078</v>
      </c>
      <c r="E10680">
        <v>68.69</v>
      </c>
    </row>
    <row r="10681" spans="1:5" x14ac:dyDescent="0.2">
      <c r="A10681">
        <v>40104</v>
      </c>
      <c r="B10681" t="s">
        <v>23</v>
      </c>
      <c r="C10681">
        <v>40104</v>
      </c>
      <c r="D10681" t="str">
        <f>"40104"</f>
        <v>40104</v>
      </c>
      <c r="E10681">
        <v>66.67</v>
      </c>
    </row>
    <row r="10682" spans="1:5" x14ac:dyDescent="0.2">
      <c r="A10682">
        <v>40107</v>
      </c>
      <c r="B10682" t="s">
        <v>23</v>
      </c>
      <c r="C10682">
        <v>40107</v>
      </c>
      <c r="D10682" t="str">
        <f>"40107"</f>
        <v>40107</v>
      </c>
      <c r="E10682">
        <v>75.760000000000005</v>
      </c>
    </row>
    <row r="10683" spans="1:5" x14ac:dyDescent="0.2">
      <c r="A10683">
        <v>40108</v>
      </c>
      <c r="B10683" t="s">
        <v>23</v>
      </c>
      <c r="C10683">
        <v>40108</v>
      </c>
      <c r="D10683" t="str">
        <f>"40108"</f>
        <v>40108</v>
      </c>
      <c r="E10683">
        <v>73.040000000000006</v>
      </c>
    </row>
    <row r="10684" spans="1:5" x14ac:dyDescent="0.2">
      <c r="A10684">
        <v>40109</v>
      </c>
      <c r="B10684" t="s">
        <v>23</v>
      </c>
      <c r="C10684">
        <v>40109</v>
      </c>
      <c r="D10684" t="str">
        <f>"40109"</f>
        <v>40109</v>
      </c>
      <c r="E10684">
        <v>77.78</v>
      </c>
    </row>
    <row r="10685" spans="1:5" x14ac:dyDescent="0.2">
      <c r="A10685">
        <v>40110</v>
      </c>
      <c r="B10685" t="s">
        <v>23</v>
      </c>
      <c r="C10685">
        <v>40110</v>
      </c>
      <c r="D10685" t="str">
        <f>"40110"</f>
        <v>40110</v>
      </c>
      <c r="E10685" t="s">
        <v>6</v>
      </c>
    </row>
    <row r="10686" spans="1:5" x14ac:dyDescent="0.2">
      <c r="A10686">
        <v>40111</v>
      </c>
      <c r="B10686" t="s">
        <v>23</v>
      </c>
      <c r="C10686">
        <v>40111</v>
      </c>
      <c r="D10686" t="str">
        <f>"40111"</f>
        <v>40111</v>
      </c>
      <c r="E10686">
        <v>62.71</v>
      </c>
    </row>
    <row r="10687" spans="1:5" x14ac:dyDescent="0.2">
      <c r="A10687">
        <v>40115</v>
      </c>
      <c r="B10687" t="s">
        <v>23</v>
      </c>
      <c r="C10687">
        <v>40115</v>
      </c>
      <c r="D10687" t="str">
        <f>"40115"</f>
        <v>40115</v>
      </c>
      <c r="E10687">
        <v>64.290000000000006</v>
      </c>
    </row>
    <row r="10688" spans="1:5" x14ac:dyDescent="0.2">
      <c r="A10688">
        <v>40117</v>
      </c>
      <c r="B10688" t="s">
        <v>23</v>
      </c>
      <c r="C10688">
        <v>40117</v>
      </c>
      <c r="D10688" t="str">
        <f>"40117"</f>
        <v>40117</v>
      </c>
      <c r="E10688">
        <v>72.22</v>
      </c>
    </row>
    <row r="10689" spans="1:5" x14ac:dyDescent="0.2">
      <c r="A10689">
        <v>40118</v>
      </c>
      <c r="B10689" t="s">
        <v>23</v>
      </c>
      <c r="C10689">
        <v>40118</v>
      </c>
      <c r="D10689" t="str">
        <f>"40118"</f>
        <v>40118</v>
      </c>
      <c r="E10689">
        <v>68.09</v>
      </c>
    </row>
    <row r="10690" spans="1:5" x14ac:dyDescent="0.2">
      <c r="A10690">
        <v>40119</v>
      </c>
      <c r="B10690" t="s">
        <v>23</v>
      </c>
      <c r="C10690">
        <v>40119</v>
      </c>
      <c r="D10690" t="str">
        <f>"40119"</f>
        <v>40119</v>
      </c>
      <c r="E10690">
        <v>69.14</v>
      </c>
    </row>
    <row r="10691" spans="1:5" x14ac:dyDescent="0.2">
      <c r="A10691">
        <v>40121</v>
      </c>
      <c r="B10691" t="s">
        <v>23</v>
      </c>
      <c r="C10691">
        <v>40121</v>
      </c>
      <c r="D10691" t="str">
        <f>"40121"</f>
        <v>40121</v>
      </c>
      <c r="E10691">
        <v>73.06</v>
      </c>
    </row>
    <row r="10692" spans="1:5" x14ac:dyDescent="0.2">
      <c r="A10692">
        <v>40129</v>
      </c>
      <c r="B10692" t="s">
        <v>23</v>
      </c>
      <c r="C10692">
        <v>40129</v>
      </c>
      <c r="D10692" t="str">
        <f>"40129"</f>
        <v>40129</v>
      </c>
      <c r="E10692" t="s">
        <v>6</v>
      </c>
    </row>
    <row r="10693" spans="1:5" x14ac:dyDescent="0.2">
      <c r="A10693">
        <v>40140</v>
      </c>
      <c r="B10693" t="s">
        <v>23</v>
      </c>
      <c r="C10693">
        <v>40140</v>
      </c>
      <c r="D10693" t="str">
        <f>"40140"</f>
        <v>40140</v>
      </c>
      <c r="E10693">
        <v>73.53</v>
      </c>
    </row>
    <row r="10694" spans="1:5" x14ac:dyDescent="0.2">
      <c r="A10694">
        <v>40142</v>
      </c>
      <c r="B10694" t="s">
        <v>23</v>
      </c>
      <c r="C10694">
        <v>40142</v>
      </c>
      <c r="D10694" t="str">
        <f>"40142"</f>
        <v>40142</v>
      </c>
      <c r="E10694">
        <v>70.41</v>
      </c>
    </row>
    <row r="10695" spans="1:5" x14ac:dyDescent="0.2">
      <c r="A10695">
        <v>40143</v>
      </c>
      <c r="B10695" t="s">
        <v>23</v>
      </c>
      <c r="C10695">
        <v>40143</v>
      </c>
      <c r="D10695" t="str">
        <f>"40143"</f>
        <v>40143</v>
      </c>
      <c r="E10695">
        <v>67.81</v>
      </c>
    </row>
    <row r="10696" spans="1:5" x14ac:dyDescent="0.2">
      <c r="A10696">
        <v>40144</v>
      </c>
      <c r="B10696" t="s">
        <v>23</v>
      </c>
      <c r="C10696">
        <v>40144</v>
      </c>
      <c r="D10696" t="str">
        <f>"40144"</f>
        <v>40144</v>
      </c>
      <c r="E10696">
        <v>67.14</v>
      </c>
    </row>
    <row r="10697" spans="1:5" x14ac:dyDescent="0.2">
      <c r="A10697">
        <v>40145</v>
      </c>
      <c r="B10697" t="s">
        <v>23</v>
      </c>
      <c r="C10697">
        <v>40145</v>
      </c>
      <c r="D10697" t="str">
        <f>"40145"</f>
        <v>40145</v>
      </c>
      <c r="E10697">
        <v>62.07</v>
      </c>
    </row>
    <row r="10698" spans="1:5" x14ac:dyDescent="0.2">
      <c r="A10698">
        <v>40146</v>
      </c>
      <c r="B10698" t="s">
        <v>23</v>
      </c>
      <c r="C10698">
        <v>40146</v>
      </c>
      <c r="D10698" t="str">
        <f>"40146"</f>
        <v>40146</v>
      </c>
      <c r="E10698">
        <v>64.47</v>
      </c>
    </row>
    <row r="10699" spans="1:5" x14ac:dyDescent="0.2">
      <c r="A10699">
        <v>40150</v>
      </c>
      <c r="B10699" t="s">
        <v>23</v>
      </c>
      <c r="C10699">
        <v>40150</v>
      </c>
      <c r="D10699" t="str">
        <f>"40150"</f>
        <v>40150</v>
      </c>
      <c r="E10699">
        <v>72.55</v>
      </c>
    </row>
    <row r="10700" spans="1:5" x14ac:dyDescent="0.2">
      <c r="A10700">
        <v>40152</v>
      </c>
      <c r="B10700" t="s">
        <v>23</v>
      </c>
      <c r="C10700">
        <v>40152</v>
      </c>
      <c r="D10700" t="str">
        <f>"40152"</f>
        <v>40152</v>
      </c>
      <c r="E10700">
        <v>68.569999999999993</v>
      </c>
    </row>
    <row r="10701" spans="1:5" x14ac:dyDescent="0.2">
      <c r="A10701">
        <v>40155</v>
      </c>
      <c r="B10701" t="s">
        <v>23</v>
      </c>
      <c r="C10701">
        <v>40155</v>
      </c>
      <c r="D10701" t="str">
        <f>"40155"</f>
        <v>40155</v>
      </c>
      <c r="E10701">
        <v>56.1</v>
      </c>
    </row>
    <row r="10702" spans="1:5" x14ac:dyDescent="0.2">
      <c r="A10702">
        <v>40157</v>
      </c>
      <c r="B10702" t="s">
        <v>23</v>
      </c>
      <c r="C10702">
        <v>40157</v>
      </c>
      <c r="D10702" t="str">
        <f>"40157"</f>
        <v>40157</v>
      </c>
      <c r="E10702">
        <v>67.44</v>
      </c>
    </row>
    <row r="10703" spans="1:5" x14ac:dyDescent="0.2">
      <c r="A10703">
        <v>40160</v>
      </c>
      <c r="B10703" t="s">
        <v>23</v>
      </c>
      <c r="C10703">
        <v>40160</v>
      </c>
      <c r="D10703" t="str">
        <f>"40160"</f>
        <v>40160</v>
      </c>
      <c r="E10703">
        <v>65.319999999999993</v>
      </c>
    </row>
    <row r="10704" spans="1:5" x14ac:dyDescent="0.2">
      <c r="A10704">
        <v>40161</v>
      </c>
      <c r="B10704" t="s">
        <v>23</v>
      </c>
      <c r="C10704">
        <v>40161</v>
      </c>
      <c r="D10704" t="str">
        <f>"40161"</f>
        <v>40161</v>
      </c>
      <c r="E10704" t="s">
        <v>6</v>
      </c>
    </row>
    <row r="10705" spans="1:5" x14ac:dyDescent="0.2">
      <c r="A10705">
        <v>40162</v>
      </c>
      <c r="B10705" t="s">
        <v>23</v>
      </c>
      <c r="C10705">
        <v>40162</v>
      </c>
      <c r="D10705" t="str">
        <f>"40162"</f>
        <v>40162</v>
      </c>
      <c r="E10705">
        <v>75</v>
      </c>
    </row>
    <row r="10706" spans="1:5" x14ac:dyDescent="0.2">
      <c r="A10706">
        <v>40165</v>
      </c>
      <c r="B10706" t="s">
        <v>23</v>
      </c>
      <c r="C10706">
        <v>40165</v>
      </c>
      <c r="D10706" t="str">
        <f>"40165"</f>
        <v>40165</v>
      </c>
      <c r="E10706">
        <v>75.569999999999993</v>
      </c>
    </row>
    <row r="10707" spans="1:5" x14ac:dyDescent="0.2">
      <c r="A10707">
        <v>40170</v>
      </c>
      <c r="B10707" t="s">
        <v>23</v>
      </c>
      <c r="C10707">
        <v>40170</v>
      </c>
      <c r="D10707" t="str">
        <f>"40170"</f>
        <v>40170</v>
      </c>
      <c r="E10707">
        <v>58.33</v>
      </c>
    </row>
    <row r="10708" spans="1:5" x14ac:dyDescent="0.2">
      <c r="A10708">
        <v>40171</v>
      </c>
      <c r="B10708" t="s">
        <v>23</v>
      </c>
      <c r="C10708">
        <v>40171</v>
      </c>
      <c r="D10708" t="str">
        <f>"40171"</f>
        <v>40171</v>
      </c>
      <c r="E10708">
        <v>70</v>
      </c>
    </row>
    <row r="10709" spans="1:5" x14ac:dyDescent="0.2">
      <c r="A10709">
        <v>40175</v>
      </c>
      <c r="B10709" t="s">
        <v>23</v>
      </c>
      <c r="C10709">
        <v>40175</v>
      </c>
      <c r="D10709" t="str">
        <f>"40175"</f>
        <v>40175</v>
      </c>
      <c r="E10709">
        <v>72.150000000000006</v>
      </c>
    </row>
    <row r="10710" spans="1:5" x14ac:dyDescent="0.2">
      <c r="A10710">
        <v>40176</v>
      </c>
      <c r="B10710" t="s">
        <v>23</v>
      </c>
      <c r="C10710">
        <v>40176</v>
      </c>
      <c r="D10710" t="str">
        <f>"40176"</f>
        <v>40176</v>
      </c>
      <c r="E10710">
        <v>68</v>
      </c>
    </row>
    <row r="10711" spans="1:5" x14ac:dyDescent="0.2">
      <c r="A10711">
        <v>40177</v>
      </c>
      <c r="B10711" t="s">
        <v>23</v>
      </c>
      <c r="C10711">
        <v>40177</v>
      </c>
      <c r="D10711" t="str">
        <f>"40177"</f>
        <v>40177</v>
      </c>
      <c r="E10711">
        <v>69.349999999999994</v>
      </c>
    </row>
    <row r="10712" spans="1:5" x14ac:dyDescent="0.2">
      <c r="A10712">
        <v>40178</v>
      </c>
      <c r="B10712" t="s">
        <v>23</v>
      </c>
      <c r="C10712">
        <v>40178</v>
      </c>
      <c r="D10712" t="str">
        <f>"40178"</f>
        <v>40178</v>
      </c>
      <c r="E10712">
        <v>61.11</v>
      </c>
    </row>
    <row r="10713" spans="1:5" x14ac:dyDescent="0.2">
      <c r="A10713">
        <v>40202</v>
      </c>
      <c r="B10713" t="s">
        <v>23</v>
      </c>
      <c r="C10713">
        <v>40202</v>
      </c>
      <c r="D10713" t="str">
        <f>"40202"</f>
        <v>40202</v>
      </c>
      <c r="E10713">
        <v>64.09</v>
      </c>
    </row>
    <row r="10714" spans="1:5" x14ac:dyDescent="0.2">
      <c r="A10714">
        <v>40203</v>
      </c>
      <c r="B10714" t="s">
        <v>23</v>
      </c>
      <c r="C10714">
        <v>40203</v>
      </c>
      <c r="D10714" t="str">
        <f>"40203"</f>
        <v>40203</v>
      </c>
      <c r="E10714">
        <v>51.11</v>
      </c>
    </row>
    <row r="10715" spans="1:5" x14ac:dyDescent="0.2">
      <c r="A10715">
        <v>40204</v>
      </c>
      <c r="B10715" t="s">
        <v>23</v>
      </c>
      <c r="C10715">
        <v>40204</v>
      </c>
      <c r="D10715" t="str">
        <f>"40204"</f>
        <v>40204</v>
      </c>
      <c r="E10715">
        <v>81.84</v>
      </c>
    </row>
    <row r="10716" spans="1:5" x14ac:dyDescent="0.2">
      <c r="A10716">
        <v>40205</v>
      </c>
      <c r="B10716" t="s">
        <v>23</v>
      </c>
      <c r="C10716">
        <v>40205</v>
      </c>
      <c r="D10716" t="str">
        <f>"40205"</f>
        <v>40205</v>
      </c>
      <c r="E10716">
        <v>83.11</v>
      </c>
    </row>
    <row r="10717" spans="1:5" x14ac:dyDescent="0.2">
      <c r="A10717">
        <v>40206</v>
      </c>
      <c r="B10717" t="s">
        <v>23</v>
      </c>
      <c r="C10717">
        <v>40206</v>
      </c>
      <c r="D10717" t="str">
        <f>"40206"</f>
        <v>40206</v>
      </c>
      <c r="E10717">
        <v>78.81</v>
      </c>
    </row>
    <row r="10718" spans="1:5" x14ac:dyDescent="0.2">
      <c r="A10718">
        <v>40207</v>
      </c>
      <c r="B10718" t="s">
        <v>23</v>
      </c>
      <c r="C10718">
        <v>40207</v>
      </c>
      <c r="D10718" t="str">
        <f>"40207"</f>
        <v>40207</v>
      </c>
      <c r="E10718">
        <v>81.3</v>
      </c>
    </row>
    <row r="10719" spans="1:5" x14ac:dyDescent="0.2">
      <c r="A10719">
        <v>40208</v>
      </c>
      <c r="B10719" t="s">
        <v>23</v>
      </c>
      <c r="C10719">
        <v>40208</v>
      </c>
      <c r="D10719" t="str">
        <f>"40208"</f>
        <v>40208</v>
      </c>
      <c r="E10719">
        <v>60.53</v>
      </c>
    </row>
    <row r="10720" spans="1:5" x14ac:dyDescent="0.2">
      <c r="A10720">
        <v>40209</v>
      </c>
      <c r="B10720" t="s">
        <v>23</v>
      </c>
      <c r="C10720">
        <v>40209</v>
      </c>
      <c r="D10720" t="str">
        <f>"40209"</f>
        <v>40209</v>
      </c>
      <c r="E10720">
        <v>62.5</v>
      </c>
    </row>
    <row r="10721" spans="1:5" x14ac:dyDescent="0.2">
      <c r="A10721">
        <v>40210</v>
      </c>
      <c r="B10721" t="s">
        <v>23</v>
      </c>
      <c r="C10721">
        <v>40210</v>
      </c>
      <c r="D10721" t="str">
        <f>"40210"</f>
        <v>40210</v>
      </c>
      <c r="E10721">
        <v>47.41</v>
      </c>
    </row>
    <row r="10722" spans="1:5" x14ac:dyDescent="0.2">
      <c r="A10722">
        <v>40211</v>
      </c>
      <c r="B10722" t="s">
        <v>23</v>
      </c>
      <c r="C10722">
        <v>40211</v>
      </c>
      <c r="D10722" t="str">
        <f>"40211"</f>
        <v>40211</v>
      </c>
      <c r="E10722">
        <v>51.56</v>
      </c>
    </row>
    <row r="10723" spans="1:5" x14ac:dyDescent="0.2">
      <c r="A10723">
        <v>40212</v>
      </c>
      <c r="B10723" t="s">
        <v>23</v>
      </c>
      <c r="C10723">
        <v>40212</v>
      </c>
      <c r="D10723" t="str">
        <f>"40212"</f>
        <v>40212</v>
      </c>
      <c r="E10723">
        <v>50.15</v>
      </c>
    </row>
    <row r="10724" spans="1:5" x14ac:dyDescent="0.2">
      <c r="A10724">
        <v>40213</v>
      </c>
      <c r="B10724" t="s">
        <v>23</v>
      </c>
      <c r="C10724">
        <v>40213</v>
      </c>
      <c r="D10724" t="str">
        <f>"40213"</f>
        <v>40213</v>
      </c>
      <c r="E10724">
        <v>68.5</v>
      </c>
    </row>
    <row r="10725" spans="1:5" x14ac:dyDescent="0.2">
      <c r="A10725">
        <v>40214</v>
      </c>
      <c r="B10725" t="s">
        <v>23</v>
      </c>
      <c r="C10725">
        <v>40214</v>
      </c>
      <c r="D10725" t="str">
        <f>"40214"</f>
        <v>40214</v>
      </c>
      <c r="E10725">
        <v>64.67</v>
      </c>
    </row>
    <row r="10726" spans="1:5" x14ac:dyDescent="0.2">
      <c r="A10726">
        <v>40215</v>
      </c>
      <c r="B10726" t="s">
        <v>23</v>
      </c>
      <c r="C10726">
        <v>40215</v>
      </c>
      <c r="D10726" t="str">
        <f>"40215"</f>
        <v>40215</v>
      </c>
      <c r="E10726">
        <v>54.53</v>
      </c>
    </row>
    <row r="10727" spans="1:5" x14ac:dyDescent="0.2">
      <c r="A10727">
        <v>40216</v>
      </c>
      <c r="B10727" t="s">
        <v>23</v>
      </c>
      <c r="C10727">
        <v>40216</v>
      </c>
      <c r="D10727" t="str">
        <f>"40216"</f>
        <v>40216</v>
      </c>
      <c r="E10727">
        <v>66.12</v>
      </c>
    </row>
    <row r="10728" spans="1:5" x14ac:dyDescent="0.2">
      <c r="A10728">
        <v>40217</v>
      </c>
      <c r="B10728" t="s">
        <v>23</v>
      </c>
      <c r="C10728">
        <v>40217</v>
      </c>
      <c r="D10728" t="str">
        <f>"40217"</f>
        <v>40217</v>
      </c>
      <c r="E10728">
        <v>78.180000000000007</v>
      </c>
    </row>
    <row r="10729" spans="1:5" x14ac:dyDescent="0.2">
      <c r="A10729">
        <v>40218</v>
      </c>
      <c r="B10729" t="s">
        <v>23</v>
      </c>
      <c r="C10729">
        <v>40218</v>
      </c>
      <c r="D10729" t="str">
        <f>"40218"</f>
        <v>40218</v>
      </c>
      <c r="E10729">
        <v>64.13</v>
      </c>
    </row>
    <row r="10730" spans="1:5" x14ac:dyDescent="0.2">
      <c r="A10730">
        <v>40219</v>
      </c>
      <c r="B10730" t="s">
        <v>23</v>
      </c>
      <c r="C10730">
        <v>40219</v>
      </c>
      <c r="D10730" t="str">
        <f>"40219"</f>
        <v>40219</v>
      </c>
      <c r="E10730">
        <v>65.89</v>
      </c>
    </row>
    <row r="10731" spans="1:5" x14ac:dyDescent="0.2">
      <c r="A10731">
        <v>40220</v>
      </c>
      <c r="B10731" t="s">
        <v>23</v>
      </c>
      <c r="C10731">
        <v>40220</v>
      </c>
      <c r="D10731" t="str">
        <f>"40220"</f>
        <v>40220</v>
      </c>
      <c r="E10731">
        <v>77.7</v>
      </c>
    </row>
    <row r="10732" spans="1:5" x14ac:dyDescent="0.2">
      <c r="A10732">
        <v>40222</v>
      </c>
      <c r="B10732" t="s">
        <v>23</v>
      </c>
      <c r="C10732">
        <v>40222</v>
      </c>
      <c r="D10732" t="str">
        <f>"40222"</f>
        <v>40222</v>
      </c>
      <c r="E10732">
        <v>81.22</v>
      </c>
    </row>
    <row r="10733" spans="1:5" x14ac:dyDescent="0.2">
      <c r="A10733">
        <v>40223</v>
      </c>
      <c r="B10733" t="s">
        <v>23</v>
      </c>
      <c r="C10733">
        <v>40223</v>
      </c>
      <c r="D10733" t="str">
        <f>"40223"</f>
        <v>40223</v>
      </c>
      <c r="E10733">
        <v>80.069999999999993</v>
      </c>
    </row>
    <row r="10734" spans="1:5" x14ac:dyDescent="0.2">
      <c r="A10734">
        <v>40228</v>
      </c>
      <c r="B10734" t="s">
        <v>23</v>
      </c>
      <c r="C10734">
        <v>40228</v>
      </c>
      <c r="D10734" t="str">
        <f>"40228"</f>
        <v>40228</v>
      </c>
      <c r="E10734">
        <v>75.92</v>
      </c>
    </row>
    <row r="10735" spans="1:5" x14ac:dyDescent="0.2">
      <c r="A10735">
        <v>40229</v>
      </c>
      <c r="B10735" t="s">
        <v>23</v>
      </c>
      <c r="C10735">
        <v>40229</v>
      </c>
      <c r="D10735" t="str">
        <f>"40229"</f>
        <v>40229</v>
      </c>
      <c r="E10735">
        <v>73.47</v>
      </c>
    </row>
    <row r="10736" spans="1:5" x14ac:dyDescent="0.2">
      <c r="A10736">
        <v>40231</v>
      </c>
      <c r="B10736" t="s">
        <v>23</v>
      </c>
      <c r="C10736">
        <v>40231</v>
      </c>
      <c r="D10736" t="str">
        <f>"40231"</f>
        <v>40231</v>
      </c>
      <c r="E10736" t="s">
        <v>6</v>
      </c>
    </row>
    <row r="10737" spans="1:5" x14ac:dyDescent="0.2">
      <c r="A10737">
        <v>40241</v>
      </c>
      <c r="B10737" t="s">
        <v>23</v>
      </c>
      <c r="C10737">
        <v>40241</v>
      </c>
      <c r="D10737" t="str">
        <f>"40241"</f>
        <v>40241</v>
      </c>
      <c r="E10737">
        <v>80.8</v>
      </c>
    </row>
    <row r="10738" spans="1:5" x14ac:dyDescent="0.2">
      <c r="A10738">
        <v>40242</v>
      </c>
      <c r="B10738" t="s">
        <v>23</v>
      </c>
      <c r="C10738">
        <v>40242</v>
      </c>
      <c r="D10738" t="str">
        <f>"40242"</f>
        <v>40242</v>
      </c>
      <c r="E10738">
        <v>79.010000000000005</v>
      </c>
    </row>
    <row r="10739" spans="1:5" x14ac:dyDescent="0.2">
      <c r="A10739">
        <v>40243</v>
      </c>
      <c r="B10739" t="s">
        <v>23</v>
      </c>
      <c r="C10739">
        <v>40243</v>
      </c>
      <c r="D10739" t="str">
        <f>"40243"</f>
        <v>40243</v>
      </c>
      <c r="E10739">
        <v>79.959999999999994</v>
      </c>
    </row>
    <row r="10740" spans="1:5" x14ac:dyDescent="0.2">
      <c r="A10740">
        <v>40245</v>
      </c>
      <c r="B10740" t="s">
        <v>23</v>
      </c>
      <c r="C10740">
        <v>40245</v>
      </c>
      <c r="D10740" t="str">
        <f>"40245"</f>
        <v>40245</v>
      </c>
      <c r="E10740">
        <v>82.07</v>
      </c>
    </row>
    <row r="10741" spans="1:5" x14ac:dyDescent="0.2">
      <c r="A10741">
        <v>40258</v>
      </c>
      <c r="B10741" t="s">
        <v>23</v>
      </c>
      <c r="C10741">
        <v>40258</v>
      </c>
      <c r="D10741" t="str">
        <f>"40258"</f>
        <v>40258</v>
      </c>
      <c r="E10741">
        <v>71.569999999999993</v>
      </c>
    </row>
    <row r="10742" spans="1:5" x14ac:dyDescent="0.2">
      <c r="A10742">
        <v>40272</v>
      </c>
      <c r="B10742" t="s">
        <v>23</v>
      </c>
      <c r="C10742">
        <v>40272</v>
      </c>
      <c r="D10742" t="str">
        <f>"40272"</f>
        <v>40272</v>
      </c>
      <c r="E10742">
        <v>71.3</v>
      </c>
    </row>
    <row r="10743" spans="1:5" x14ac:dyDescent="0.2">
      <c r="A10743">
        <v>40291</v>
      </c>
      <c r="B10743" t="s">
        <v>23</v>
      </c>
      <c r="C10743">
        <v>40291</v>
      </c>
      <c r="D10743" t="str">
        <f>"40291"</f>
        <v>40291</v>
      </c>
      <c r="E10743">
        <v>78.5</v>
      </c>
    </row>
    <row r="10744" spans="1:5" x14ac:dyDescent="0.2">
      <c r="A10744">
        <v>40299</v>
      </c>
      <c r="B10744" t="s">
        <v>23</v>
      </c>
      <c r="C10744">
        <v>40299</v>
      </c>
      <c r="D10744" t="str">
        <f>"40299"</f>
        <v>40299</v>
      </c>
      <c r="E10744">
        <v>79.17</v>
      </c>
    </row>
    <row r="10745" spans="1:5" x14ac:dyDescent="0.2">
      <c r="A10745">
        <v>40310</v>
      </c>
      <c r="B10745" t="s">
        <v>23</v>
      </c>
      <c r="C10745">
        <v>40310</v>
      </c>
      <c r="D10745" t="str">
        <f>"40310"</f>
        <v>40310</v>
      </c>
      <c r="E10745" t="s">
        <v>6</v>
      </c>
    </row>
    <row r="10746" spans="1:5" x14ac:dyDescent="0.2">
      <c r="A10746">
        <v>40311</v>
      </c>
      <c r="B10746" t="s">
        <v>23</v>
      </c>
      <c r="C10746">
        <v>40311</v>
      </c>
      <c r="D10746" t="str">
        <f>"40311"</f>
        <v>40311</v>
      </c>
      <c r="E10746">
        <v>61.9</v>
      </c>
    </row>
    <row r="10747" spans="1:5" x14ac:dyDescent="0.2">
      <c r="A10747">
        <v>40312</v>
      </c>
      <c r="B10747" t="s">
        <v>23</v>
      </c>
      <c r="C10747">
        <v>40312</v>
      </c>
      <c r="D10747" t="str">
        <f>"40312"</f>
        <v>40312</v>
      </c>
      <c r="E10747">
        <v>57.82</v>
      </c>
    </row>
    <row r="10748" spans="1:5" x14ac:dyDescent="0.2">
      <c r="A10748">
        <v>40313</v>
      </c>
      <c r="B10748" t="s">
        <v>23</v>
      </c>
      <c r="C10748">
        <v>40313</v>
      </c>
      <c r="D10748" t="str">
        <f>"40313"</f>
        <v>40313</v>
      </c>
      <c r="E10748">
        <v>58.59</v>
      </c>
    </row>
    <row r="10749" spans="1:5" x14ac:dyDescent="0.2">
      <c r="A10749">
        <v>40316</v>
      </c>
      <c r="B10749" t="s">
        <v>23</v>
      </c>
      <c r="C10749">
        <v>40316</v>
      </c>
      <c r="D10749" t="str">
        <f>"40316"</f>
        <v>40316</v>
      </c>
      <c r="E10749">
        <v>66.67</v>
      </c>
    </row>
    <row r="10750" spans="1:5" x14ac:dyDescent="0.2">
      <c r="A10750">
        <v>40322</v>
      </c>
      <c r="B10750" t="s">
        <v>23</v>
      </c>
      <c r="C10750">
        <v>40322</v>
      </c>
      <c r="D10750" t="str">
        <f>"40322"</f>
        <v>40322</v>
      </c>
      <c r="E10750">
        <v>58.77</v>
      </c>
    </row>
    <row r="10751" spans="1:5" x14ac:dyDescent="0.2">
      <c r="A10751">
        <v>40324</v>
      </c>
      <c r="B10751" t="s">
        <v>23</v>
      </c>
      <c r="C10751">
        <v>40324</v>
      </c>
      <c r="D10751" t="str">
        <f>"40324"</f>
        <v>40324</v>
      </c>
      <c r="E10751">
        <v>75.94</v>
      </c>
    </row>
    <row r="10752" spans="1:5" x14ac:dyDescent="0.2">
      <c r="A10752">
        <v>40328</v>
      </c>
      <c r="B10752" t="s">
        <v>23</v>
      </c>
      <c r="C10752">
        <v>40328</v>
      </c>
      <c r="D10752" t="str">
        <f>"40328"</f>
        <v>40328</v>
      </c>
      <c r="E10752">
        <v>63.27</v>
      </c>
    </row>
    <row r="10753" spans="1:5" x14ac:dyDescent="0.2">
      <c r="A10753">
        <v>40330</v>
      </c>
      <c r="B10753" t="s">
        <v>23</v>
      </c>
      <c r="C10753">
        <v>40330</v>
      </c>
      <c r="D10753" t="str">
        <f>"40330"</f>
        <v>40330</v>
      </c>
      <c r="E10753">
        <v>69.349999999999994</v>
      </c>
    </row>
    <row r="10754" spans="1:5" x14ac:dyDescent="0.2">
      <c r="A10754">
        <v>40334</v>
      </c>
      <c r="B10754" t="s">
        <v>23</v>
      </c>
      <c r="C10754">
        <v>40334</v>
      </c>
      <c r="D10754" t="str">
        <f>"40334"</f>
        <v>40334</v>
      </c>
      <c r="E10754" t="s">
        <v>6</v>
      </c>
    </row>
    <row r="10755" spans="1:5" x14ac:dyDescent="0.2">
      <c r="A10755">
        <v>40336</v>
      </c>
      <c r="B10755" t="s">
        <v>23</v>
      </c>
      <c r="C10755">
        <v>40336</v>
      </c>
      <c r="D10755" t="str">
        <f>"40336"</f>
        <v>40336</v>
      </c>
      <c r="E10755">
        <v>63.16</v>
      </c>
    </row>
    <row r="10756" spans="1:5" x14ac:dyDescent="0.2">
      <c r="A10756">
        <v>40337</v>
      </c>
      <c r="B10756" t="s">
        <v>23</v>
      </c>
      <c r="C10756">
        <v>40337</v>
      </c>
      <c r="D10756" t="str">
        <f>"40337"</f>
        <v>40337</v>
      </c>
      <c r="E10756">
        <v>62.26</v>
      </c>
    </row>
    <row r="10757" spans="1:5" x14ac:dyDescent="0.2">
      <c r="A10757">
        <v>40342</v>
      </c>
      <c r="B10757" t="s">
        <v>23</v>
      </c>
      <c r="C10757">
        <v>40342</v>
      </c>
      <c r="D10757" t="str">
        <f>"40342"</f>
        <v>40342</v>
      </c>
      <c r="E10757">
        <v>73.62</v>
      </c>
    </row>
    <row r="10758" spans="1:5" x14ac:dyDescent="0.2">
      <c r="A10758">
        <v>40346</v>
      </c>
      <c r="B10758" t="s">
        <v>23</v>
      </c>
      <c r="C10758">
        <v>40346</v>
      </c>
      <c r="D10758" t="str">
        <f>"40346"</f>
        <v>40346</v>
      </c>
      <c r="E10758">
        <v>55.56</v>
      </c>
    </row>
    <row r="10759" spans="1:5" x14ac:dyDescent="0.2">
      <c r="A10759">
        <v>40347</v>
      </c>
      <c r="B10759" t="s">
        <v>23</v>
      </c>
      <c r="C10759">
        <v>40347</v>
      </c>
      <c r="D10759" t="str">
        <f>"40347"</f>
        <v>40347</v>
      </c>
      <c r="E10759">
        <v>75.540000000000006</v>
      </c>
    </row>
    <row r="10760" spans="1:5" x14ac:dyDescent="0.2">
      <c r="A10760">
        <v>40348</v>
      </c>
      <c r="B10760" t="s">
        <v>23</v>
      </c>
      <c r="C10760">
        <v>40348</v>
      </c>
      <c r="D10760" t="str">
        <f>"40348"</f>
        <v>40348</v>
      </c>
      <c r="E10760" t="s">
        <v>6</v>
      </c>
    </row>
    <row r="10761" spans="1:5" x14ac:dyDescent="0.2">
      <c r="A10761">
        <v>40350</v>
      </c>
      <c r="B10761" t="s">
        <v>23</v>
      </c>
      <c r="C10761">
        <v>40350</v>
      </c>
      <c r="D10761" t="str">
        <f>"40350"</f>
        <v>40350</v>
      </c>
      <c r="E10761">
        <v>60</v>
      </c>
    </row>
    <row r="10762" spans="1:5" x14ac:dyDescent="0.2">
      <c r="A10762">
        <v>40351</v>
      </c>
      <c r="B10762" t="s">
        <v>23</v>
      </c>
      <c r="C10762">
        <v>40351</v>
      </c>
      <c r="D10762" t="str">
        <f>"40351"</f>
        <v>40351</v>
      </c>
      <c r="E10762">
        <v>66.62</v>
      </c>
    </row>
    <row r="10763" spans="1:5" x14ac:dyDescent="0.2">
      <c r="A10763">
        <v>40353</v>
      </c>
      <c r="B10763" t="s">
        <v>23</v>
      </c>
      <c r="C10763">
        <v>40353</v>
      </c>
      <c r="D10763" t="str">
        <f>"40353"</f>
        <v>40353</v>
      </c>
      <c r="E10763">
        <v>67.709999999999994</v>
      </c>
    </row>
    <row r="10764" spans="1:5" x14ac:dyDescent="0.2">
      <c r="A10764">
        <v>40355</v>
      </c>
      <c r="B10764" t="s">
        <v>23</v>
      </c>
      <c r="C10764">
        <v>40355</v>
      </c>
      <c r="D10764" t="str">
        <f>"40355"</f>
        <v>40355</v>
      </c>
      <c r="E10764" t="s">
        <v>6</v>
      </c>
    </row>
    <row r="10765" spans="1:5" x14ac:dyDescent="0.2">
      <c r="A10765">
        <v>40356</v>
      </c>
      <c r="B10765" t="s">
        <v>23</v>
      </c>
      <c r="C10765">
        <v>40356</v>
      </c>
      <c r="D10765" t="str">
        <f>"40356"</f>
        <v>40356</v>
      </c>
      <c r="E10765">
        <v>69.48</v>
      </c>
    </row>
    <row r="10766" spans="1:5" x14ac:dyDescent="0.2">
      <c r="A10766">
        <v>40357</v>
      </c>
      <c r="B10766" t="s">
        <v>23</v>
      </c>
      <c r="C10766">
        <v>40357</v>
      </c>
      <c r="D10766" t="str">
        <f>"40357"</f>
        <v>40357</v>
      </c>
      <c r="E10766" t="s">
        <v>6</v>
      </c>
    </row>
    <row r="10767" spans="1:5" x14ac:dyDescent="0.2">
      <c r="A10767">
        <v>40358</v>
      </c>
      <c r="B10767" t="s">
        <v>23</v>
      </c>
      <c r="C10767">
        <v>40358</v>
      </c>
      <c r="D10767" t="str">
        <f>"40358"</f>
        <v>40358</v>
      </c>
      <c r="E10767">
        <v>66.67</v>
      </c>
    </row>
    <row r="10768" spans="1:5" x14ac:dyDescent="0.2">
      <c r="A10768">
        <v>40359</v>
      </c>
      <c r="B10768" t="s">
        <v>23</v>
      </c>
      <c r="C10768">
        <v>40359</v>
      </c>
      <c r="D10768" t="str">
        <f>"40359"</f>
        <v>40359</v>
      </c>
      <c r="E10768">
        <v>67.930000000000007</v>
      </c>
    </row>
    <row r="10769" spans="1:5" x14ac:dyDescent="0.2">
      <c r="A10769">
        <v>40360</v>
      </c>
      <c r="B10769" t="s">
        <v>23</v>
      </c>
      <c r="C10769">
        <v>40360</v>
      </c>
      <c r="D10769" t="str">
        <f>"40360"</f>
        <v>40360</v>
      </c>
      <c r="E10769">
        <v>61.96</v>
      </c>
    </row>
    <row r="10770" spans="1:5" x14ac:dyDescent="0.2">
      <c r="A10770">
        <v>40361</v>
      </c>
      <c r="B10770" t="s">
        <v>23</v>
      </c>
      <c r="C10770">
        <v>40361</v>
      </c>
      <c r="D10770" t="str">
        <f>"40361"</f>
        <v>40361</v>
      </c>
      <c r="E10770">
        <v>66.88</v>
      </c>
    </row>
    <row r="10771" spans="1:5" x14ac:dyDescent="0.2">
      <c r="A10771">
        <v>40363</v>
      </c>
      <c r="B10771" t="s">
        <v>23</v>
      </c>
      <c r="C10771">
        <v>40363</v>
      </c>
      <c r="D10771" t="str">
        <f>"40363"</f>
        <v>40363</v>
      </c>
      <c r="E10771" t="s">
        <v>6</v>
      </c>
    </row>
    <row r="10772" spans="1:5" x14ac:dyDescent="0.2">
      <c r="A10772">
        <v>40370</v>
      </c>
      <c r="B10772" t="s">
        <v>23</v>
      </c>
      <c r="C10772">
        <v>40370</v>
      </c>
      <c r="D10772" t="str">
        <f>"40370"</f>
        <v>40370</v>
      </c>
      <c r="E10772">
        <v>78.400000000000006</v>
      </c>
    </row>
    <row r="10773" spans="1:5" x14ac:dyDescent="0.2">
      <c r="A10773">
        <v>40371</v>
      </c>
      <c r="B10773" t="s">
        <v>23</v>
      </c>
      <c r="C10773">
        <v>40371</v>
      </c>
      <c r="D10773" t="str">
        <f>"40371"</f>
        <v>40371</v>
      </c>
      <c r="E10773">
        <v>62.5</v>
      </c>
    </row>
    <row r="10774" spans="1:5" x14ac:dyDescent="0.2">
      <c r="A10774">
        <v>40372</v>
      </c>
      <c r="B10774" t="s">
        <v>23</v>
      </c>
      <c r="C10774">
        <v>40372</v>
      </c>
      <c r="D10774" t="str">
        <f>"40372"</f>
        <v>40372</v>
      </c>
      <c r="E10774">
        <v>75.239999999999995</v>
      </c>
    </row>
    <row r="10775" spans="1:5" x14ac:dyDescent="0.2">
      <c r="A10775">
        <v>40374</v>
      </c>
      <c r="B10775" t="s">
        <v>23</v>
      </c>
      <c r="C10775">
        <v>40374</v>
      </c>
      <c r="D10775" t="str">
        <f>"40374"</f>
        <v>40374</v>
      </c>
      <c r="E10775">
        <v>61.19</v>
      </c>
    </row>
    <row r="10776" spans="1:5" x14ac:dyDescent="0.2">
      <c r="A10776">
        <v>40376</v>
      </c>
      <c r="B10776" t="s">
        <v>23</v>
      </c>
      <c r="C10776">
        <v>40376</v>
      </c>
      <c r="D10776" t="str">
        <f>"40376"</f>
        <v>40376</v>
      </c>
      <c r="E10776" t="s">
        <v>6</v>
      </c>
    </row>
    <row r="10777" spans="1:5" x14ac:dyDescent="0.2">
      <c r="A10777">
        <v>40379</v>
      </c>
      <c r="B10777" t="s">
        <v>23</v>
      </c>
      <c r="C10777">
        <v>40379</v>
      </c>
      <c r="D10777" t="str">
        <f>"40379"</f>
        <v>40379</v>
      </c>
      <c r="E10777">
        <v>71.7</v>
      </c>
    </row>
    <row r="10778" spans="1:5" x14ac:dyDescent="0.2">
      <c r="A10778">
        <v>40380</v>
      </c>
      <c r="B10778" t="s">
        <v>23</v>
      </c>
      <c r="C10778">
        <v>40380</v>
      </c>
      <c r="D10778" t="str">
        <f>"40380"</f>
        <v>40380</v>
      </c>
      <c r="E10778">
        <v>63.2</v>
      </c>
    </row>
    <row r="10779" spans="1:5" x14ac:dyDescent="0.2">
      <c r="A10779">
        <v>40383</v>
      </c>
      <c r="B10779" t="s">
        <v>23</v>
      </c>
      <c r="C10779">
        <v>40383</v>
      </c>
      <c r="D10779" t="str">
        <f>"40383"</f>
        <v>40383</v>
      </c>
      <c r="E10779">
        <v>73.180000000000007</v>
      </c>
    </row>
    <row r="10780" spans="1:5" x14ac:dyDescent="0.2">
      <c r="A10780">
        <v>40385</v>
      </c>
      <c r="B10780" t="s">
        <v>23</v>
      </c>
      <c r="C10780">
        <v>40385</v>
      </c>
      <c r="D10780" t="str">
        <f>"40385"</f>
        <v>40385</v>
      </c>
      <c r="E10780">
        <v>68.180000000000007</v>
      </c>
    </row>
    <row r="10781" spans="1:5" x14ac:dyDescent="0.2">
      <c r="A10781">
        <v>40387</v>
      </c>
      <c r="B10781" t="s">
        <v>23</v>
      </c>
      <c r="C10781">
        <v>40387</v>
      </c>
      <c r="D10781" t="str">
        <f>"40387"</f>
        <v>40387</v>
      </c>
      <c r="E10781">
        <v>59.7</v>
      </c>
    </row>
    <row r="10782" spans="1:5" x14ac:dyDescent="0.2">
      <c r="A10782">
        <v>40390</v>
      </c>
      <c r="B10782" t="s">
        <v>23</v>
      </c>
      <c r="C10782">
        <v>40390</v>
      </c>
      <c r="D10782" t="str">
        <f>"40390"</f>
        <v>40390</v>
      </c>
      <c r="E10782">
        <v>65.599999999999994</v>
      </c>
    </row>
    <row r="10783" spans="1:5" x14ac:dyDescent="0.2">
      <c r="A10783">
        <v>40391</v>
      </c>
      <c r="B10783" t="s">
        <v>23</v>
      </c>
      <c r="C10783">
        <v>40391</v>
      </c>
      <c r="D10783" t="str">
        <f>"40391"</f>
        <v>40391</v>
      </c>
      <c r="E10783">
        <v>70.25</v>
      </c>
    </row>
    <row r="10784" spans="1:5" x14ac:dyDescent="0.2">
      <c r="A10784">
        <v>40402</v>
      </c>
      <c r="B10784" t="s">
        <v>23</v>
      </c>
      <c r="C10784">
        <v>40402</v>
      </c>
      <c r="D10784" t="str">
        <f>"40402"</f>
        <v>40402</v>
      </c>
      <c r="E10784">
        <v>61.9</v>
      </c>
    </row>
    <row r="10785" spans="1:5" x14ac:dyDescent="0.2">
      <c r="A10785">
        <v>40403</v>
      </c>
      <c r="B10785" t="s">
        <v>23</v>
      </c>
      <c r="C10785">
        <v>40403</v>
      </c>
      <c r="D10785" t="str">
        <f>"40403"</f>
        <v>40403</v>
      </c>
      <c r="E10785">
        <v>68.75</v>
      </c>
    </row>
    <row r="10786" spans="1:5" x14ac:dyDescent="0.2">
      <c r="A10786">
        <v>40409</v>
      </c>
      <c r="B10786" t="s">
        <v>23</v>
      </c>
      <c r="C10786">
        <v>40409</v>
      </c>
      <c r="D10786" t="str">
        <f>"40409"</f>
        <v>40409</v>
      </c>
      <c r="E10786">
        <v>65.69</v>
      </c>
    </row>
    <row r="10787" spans="1:5" x14ac:dyDescent="0.2">
      <c r="A10787">
        <v>40419</v>
      </c>
      <c r="B10787" t="s">
        <v>23</v>
      </c>
      <c r="C10787">
        <v>40419</v>
      </c>
      <c r="D10787" t="str">
        <f>"40419"</f>
        <v>40419</v>
      </c>
      <c r="E10787">
        <v>60</v>
      </c>
    </row>
    <row r="10788" spans="1:5" x14ac:dyDescent="0.2">
      <c r="A10788">
        <v>40422</v>
      </c>
      <c r="B10788" t="s">
        <v>23</v>
      </c>
      <c r="C10788">
        <v>40422</v>
      </c>
      <c r="D10788" t="str">
        <f>"40422"</f>
        <v>40422</v>
      </c>
      <c r="E10788">
        <v>69.12</v>
      </c>
    </row>
    <row r="10789" spans="1:5" x14ac:dyDescent="0.2">
      <c r="A10789">
        <v>40437</v>
      </c>
      <c r="B10789" t="s">
        <v>23</v>
      </c>
      <c r="C10789">
        <v>40437</v>
      </c>
      <c r="D10789" t="str">
        <f>"40437"</f>
        <v>40437</v>
      </c>
      <c r="E10789">
        <v>61.9</v>
      </c>
    </row>
    <row r="10790" spans="1:5" x14ac:dyDescent="0.2">
      <c r="A10790">
        <v>40440</v>
      </c>
      <c r="B10790" t="s">
        <v>23</v>
      </c>
      <c r="C10790">
        <v>40440</v>
      </c>
      <c r="D10790" t="str">
        <f>"40440"</f>
        <v>40440</v>
      </c>
      <c r="E10790">
        <v>65.260000000000005</v>
      </c>
    </row>
    <row r="10791" spans="1:5" x14ac:dyDescent="0.2">
      <c r="A10791">
        <v>40442</v>
      </c>
      <c r="B10791" t="s">
        <v>23</v>
      </c>
      <c r="C10791">
        <v>40442</v>
      </c>
      <c r="D10791" t="str">
        <f>"40442"</f>
        <v>40442</v>
      </c>
      <c r="E10791">
        <v>61.54</v>
      </c>
    </row>
    <row r="10792" spans="1:5" x14ac:dyDescent="0.2">
      <c r="A10792">
        <v>40444</v>
      </c>
      <c r="B10792" t="s">
        <v>23</v>
      </c>
      <c r="C10792">
        <v>40444</v>
      </c>
      <c r="D10792" t="str">
        <f>"40444"</f>
        <v>40444</v>
      </c>
      <c r="E10792">
        <v>67.13</v>
      </c>
    </row>
    <row r="10793" spans="1:5" x14ac:dyDescent="0.2">
      <c r="A10793">
        <v>40445</v>
      </c>
      <c r="B10793" t="s">
        <v>23</v>
      </c>
      <c r="C10793">
        <v>40445</v>
      </c>
      <c r="D10793" t="str">
        <f>"40445"</f>
        <v>40445</v>
      </c>
      <c r="E10793">
        <v>60.71</v>
      </c>
    </row>
    <row r="10794" spans="1:5" x14ac:dyDescent="0.2">
      <c r="A10794">
        <v>40447</v>
      </c>
      <c r="B10794" t="s">
        <v>23</v>
      </c>
      <c r="C10794">
        <v>40447</v>
      </c>
      <c r="D10794" t="str">
        <f>"40447"</f>
        <v>40447</v>
      </c>
      <c r="E10794">
        <v>58.16</v>
      </c>
    </row>
    <row r="10795" spans="1:5" x14ac:dyDescent="0.2">
      <c r="A10795">
        <v>40448</v>
      </c>
      <c r="B10795" t="s">
        <v>23</v>
      </c>
      <c r="C10795">
        <v>40448</v>
      </c>
      <c r="D10795" t="str">
        <f>"40448"</f>
        <v>40448</v>
      </c>
      <c r="E10795" t="s">
        <v>6</v>
      </c>
    </row>
    <row r="10796" spans="1:5" x14ac:dyDescent="0.2">
      <c r="A10796">
        <v>40456</v>
      </c>
      <c r="B10796" t="s">
        <v>23</v>
      </c>
      <c r="C10796">
        <v>40456</v>
      </c>
      <c r="D10796" t="str">
        <f>"40456"</f>
        <v>40456</v>
      </c>
      <c r="E10796">
        <v>65.87</v>
      </c>
    </row>
    <row r="10797" spans="1:5" x14ac:dyDescent="0.2">
      <c r="A10797">
        <v>40460</v>
      </c>
      <c r="B10797" t="s">
        <v>23</v>
      </c>
      <c r="C10797">
        <v>40460</v>
      </c>
      <c r="D10797" t="str">
        <f>"40460"</f>
        <v>40460</v>
      </c>
      <c r="E10797">
        <v>62.07</v>
      </c>
    </row>
    <row r="10798" spans="1:5" x14ac:dyDescent="0.2">
      <c r="A10798">
        <v>40461</v>
      </c>
      <c r="B10798" t="s">
        <v>23</v>
      </c>
      <c r="C10798">
        <v>40461</v>
      </c>
      <c r="D10798" t="str">
        <f>"40461"</f>
        <v>40461</v>
      </c>
      <c r="E10798">
        <v>65</v>
      </c>
    </row>
    <row r="10799" spans="1:5" x14ac:dyDescent="0.2">
      <c r="A10799">
        <v>40464</v>
      </c>
      <c r="B10799" t="s">
        <v>23</v>
      </c>
      <c r="C10799">
        <v>40464</v>
      </c>
      <c r="D10799" t="str">
        <f>"40464"</f>
        <v>40464</v>
      </c>
      <c r="E10799">
        <v>65.790000000000006</v>
      </c>
    </row>
    <row r="10800" spans="1:5" x14ac:dyDescent="0.2">
      <c r="A10800">
        <v>40468</v>
      </c>
      <c r="B10800" t="s">
        <v>23</v>
      </c>
      <c r="C10800">
        <v>40468</v>
      </c>
      <c r="D10800" t="str">
        <f>"40468"</f>
        <v>40468</v>
      </c>
      <c r="E10800">
        <v>67.95</v>
      </c>
    </row>
    <row r="10801" spans="1:5" x14ac:dyDescent="0.2">
      <c r="A10801">
        <v>40472</v>
      </c>
      <c r="B10801" t="s">
        <v>23</v>
      </c>
      <c r="C10801">
        <v>40472</v>
      </c>
      <c r="D10801" t="str">
        <f>"40472"</f>
        <v>40472</v>
      </c>
      <c r="E10801">
        <v>62.26</v>
      </c>
    </row>
    <row r="10802" spans="1:5" x14ac:dyDescent="0.2">
      <c r="A10802">
        <v>40473</v>
      </c>
      <c r="B10802" t="s">
        <v>23</v>
      </c>
      <c r="C10802">
        <v>40473</v>
      </c>
      <c r="D10802" t="str">
        <f>"40473"</f>
        <v>40473</v>
      </c>
      <c r="E10802" t="s">
        <v>6</v>
      </c>
    </row>
    <row r="10803" spans="1:5" x14ac:dyDescent="0.2">
      <c r="A10803">
        <v>40475</v>
      </c>
      <c r="B10803" t="s">
        <v>23</v>
      </c>
      <c r="C10803">
        <v>40475</v>
      </c>
      <c r="D10803" t="str">
        <f>"40475"</f>
        <v>40475</v>
      </c>
      <c r="E10803">
        <v>72.16</v>
      </c>
    </row>
    <row r="10804" spans="1:5" x14ac:dyDescent="0.2">
      <c r="A10804">
        <v>40481</v>
      </c>
      <c r="B10804" t="s">
        <v>23</v>
      </c>
      <c r="C10804">
        <v>40481</v>
      </c>
      <c r="D10804" t="str">
        <f>"40481"</f>
        <v>40481</v>
      </c>
      <c r="E10804">
        <v>68.42</v>
      </c>
    </row>
    <row r="10805" spans="1:5" x14ac:dyDescent="0.2">
      <c r="A10805">
        <v>40484</v>
      </c>
      <c r="B10805" t="s">
        <v>23</v>
      </c>
      <c r="C10805">
        <v>40484</v>
      </c>
      <c r="D10805" t="str">
        <f>"40484"</f>
        <v>40484</v>
      </c>
      <c r="E10805">
        <v>66.33</v>
      </c>
    </row>
    <row r="10806" spans="1:5" x14ac:dyDescent="0.2">
      <c r="A10806">
        <v>40486</v>
      </c>
      <c r="B10806" t="s">
        <v>23</v>
      </c>
      <c r="C10806">
        <v>40486</v>
      </c>
      <c r="D10806" t="str">
        <f>"40486"</f>
        <v>40486</v>
      </c>
      <c r="E10806">
        <v>57.89</v>
      </c>
    </row>
    <row r="10807" spans="1:5" x14ac:dyDescent="0.2">
      <c r="A10807">
        <v>40489</v>
      </c>
      <c r="B10807" t="s">
        <v>23</v>
      </c>
      <c r="C10807">
        <v>40489</v>
      </c>
      <c r="D10807" t="str">
        <f>"40489"</f>
        <v>40489</v>
      </c>
      <c r="E10807">
        <v>59.29</v>
      </c>
    </row>
    <row r="10808" spans="1:5" x14ac:dyDescent="0.2">
      <c r="A10808">
        <v>40492</v>
      </c>
      <c r="B10808" t="s">
        <v>23</v>
      </c>
      <c r="C10808">
        <v>40492</v>
      </c>
      <c r="D10808" t="str">
        <f>"40492"</f>
        <v>40492</v>
      </c>
      <c r="E10808" t="s">
        <v>6</v>
      </c>
    </row>
    <row r="10809" spans="1:5" x14ac:dyDescent="0.2">
      <c r="A10809">
        <v>40502</v>
      </c>
      <c r="B10809" t="s">
        <v>23</v>
      </c>
      <c r="C10809">
        <v>40502</v>
      </c>
      <c r="D10809" t="str">
        <f>"40502"</f>
        <v>40502</v>
      </c>
      <c r="E10809">
        <v>79.61</v>
      </c>
    </row>
    <row r="10810" spans="1:5" x14ac:dyDescent="0.2">
      <c r="A10810">
        <v>40503</v>
      </c>
      <c r="B10810" t="s">
        <v>23</v>
      </c>
      <c r="C10810">
        <v>40503</v>
      </c>
      <c r="D10810" t="str">
        <f>"40503"</f>
        <v>40503</v>
      </c>
      <c r="E10810">
        <v>76.59</v>
      </c>
    </row>
    <row r="10811" spans="1:5" x14ac:dyDescent="0.2">
      <c r="A10811">
        <v>40504</v>
      </c>
      <c r="B10811" t="s">
        <v>23</v>
      </c>
      <c r="C10811">
        <v>40504</v>
      </c>
      <c r="D10811" t="str">
        <f>"40504"</f>
        <v>40504</v>
      </c>
      <c r="E10811">
        <v>62.17</v>
      </c>
    </row>
    <row r="10812" spans="1:5" x14ac:dyDescent="0.2">
      <c r="A10812">
        <v>40505</v>
      </c>
      <c r="B10812" t="s">
        <v>23</v>
      </c>
      <c r="C10812">
        <v>40505</v>
      </c>
      <c r="D10812" t="str">
        <f>"40505"</f>
        <v>40505</v>
      </c>
      <c r="E10812">
        <v>64.94</v>
      </c>
    </row>
    <row r="10813" spans="1:5" x14ac:dyDescent="0.2">
      <c r="A10813">
        <v>40506</v>
      </c>
      <c r="B10813" t="s">
        <v>23</v>
      </c>
      <c r="C10813">
        <v>40506</v>
      </c>
      <c r="D10813" t="str">
        <f>"40506"</f>
        <v>40506</v>
      </c>
      <c r="E10813" t="s">
        <v>6</v>
      </c>
    </row>
    <row r="10814" spans="1:5" x14ac:dyDescent="0.2">
      <c r="A10814">
        <v>40507</v>
      </c>
      <c r="B10814" t="s">
        <v>23</v>
      </c>
      <c r="C10814">
        <v>40507</v>
      </c>
      <c r="D10814" t="str">
        <f>"40507"</f>
        <v>40507</v>
      </c>
      <c r="E10814">
        <v>81.25</v>
      </c>
    </row>
    <row r="10815" spans="1:5" x14ac:dyDescent="0.2">
      <c r="A10815">
        <v>40508</v>
      </c>
      <c r="B10815" t="s">
        <v>23</v>
      </c>
      <c r="C10815">
        <v>40508</v>
      </c>
      <c r="D10815" t="str">
        <f>"40508"</f>
        <v>40508</v>
      </c>
      <c r="E10815">
        <v>58.55</v>
      </c>
    </row>
    <row r="10816" spans="1:5" x14ac:dyDescent="0.2">
      <c r="A10816">
        <v>40509</v>
      </c>
      <c r="B10816" t="s">
        <v>23</v>
      </c>
      <c r="C10816">
        <v>40509</v>
      </c>
      <c r="D10816" t="str">
        <f>"40509"</f>
        <v>40509</v>
      </c>
      <c r="E10816">
        <v>77.17</v>
      </c>
    </row>
    <row r="10817" spans="1:5" x14ac:dyDescent="0.2">
      <c r="A10817">
        <v>40510</v>
      </c>
      <c r="B10817" t="s">
        <v>23</v>
      </c>
      <c r="C10817">
        <v>40510</v>
      </c>
      <c r="D10817" t="str">
        <f>"40510"</f>
        <v>40510</v>
      </c>
      <c r="E10817">
        <v>77.08</v>
      </c>
    </row>
    <row r="10818" spans="1:5" x14ac:dyDescent="0.2">
      <c r="A10818">
        <v>40511</v>
      </c>
      <c r="B10818" t="s">
        <v>23</v>
      </c>
      <c r="C10818">
        <v>40511</v>
      </c>
      <c r="D10818" t="str">
        <f>"40511"</f>
        <v>40511</v>
      </c>
      <c r="E10818">
        <v>70.39</v>
      </c>
    </row>
    <row r="10819" spans="1:5" x14ac:dyDescent="0.2">
      <c r="A10819">
        <v>40513</v>
      </c>
      <c r="B10819" t="s">
        <v>23</v>
      </c>
      <c r="C10819">
        <v>40513</v>
      </c>
      <c r="D10819" t="str">
        <f>"40513"</f>
        <v>40513</v>
      </c>
      <c r="E10819">
        <v>81.8</v>
      </c>
    </row>
    <row r="10820" spans="1:5" x14ac:dyDescent="0.2">
      <c r="A10820">
        <v>40514</v>
      </c>
      <c r="B10820" t="s">
        <v>23</v>
      </c>
      <c r="C10820">
        <v>40514</v>
      </c>
      <c r="D10820" t="str">
        <f>"40514"</f>
        <v>40514</v>
      </c>
      <c r="E10820">
        <v>79.77</v>
      </c>
    </row>
    <row r="10821" spans="1:5" x14ac:dyDescent="0.2">
      <c r="A10821">
        <v>40515</v>
      </c>
      <c r="B10821" t="s">
        <v>23</v>
      </c>
      <c r="C10821">
        <v>40515</v>
      </c>
      <c r="D10821" t="str">
        <f>"40515"</f>
        <v>40515</v>
      </c>
      <c r="E10821">
        <v>77.459999999999994</v>
      </c>
    </row>
    <row r="10822" spans="1:5" x14ac:dyDescent="0.2">
      <c r="A10822">
        <v>40516</v>
      </c>
      <c r="B10822" t="s">
        <v>23</v>
      </c>
      <c r="C10822">
        <v>40516</v>
      </c>
      <c r="D10822" t="str">
        <f>"40516"</f>
        <v>40516</v>
      </c>
      <c r="E10822">
        <v>75.400000000000006</v>
      </c>
    </row>
    <row r="10823" spans="1:5" x14ac:dyDescent="0.2">
      <c r="A10823">
        <v>40517</v>
      </c>
      <c r="B10823" t="s">
        <v>23</v>
      </c>
      <c r="C10823">
        <v>40517</v>
      </c>
      <c r="D10823" t="str">
        <f>"40517"</f>
        <v>40517</v>
      </c>
      <c r="E10823">
        <v>67.37</v>
      </c>
    </row>
    <row r="10824" spans="1:5" x14ac:dyDescent="0.2">
      <c r="A10824">
        <v>40526</v>
      </c>
      <c r="B10824" t="s">
        <v>23</v>
      </c>
      <c r="C10824">
        <v>40526</v>
      </c>
      <c r="D10824" t="str">
        <f>"40526"</f>
        <v>40526</v>
      </c>
      <c r="E10824" t="s">
        <v>6</v>
      </c>
    </row>
    <row r="10825" spans="1:5" x14ac:dyDescent="0.2">
      <c r="A10825">
        <v>40536</v>
      </c>
      <c r="B10825" t="s">
        <v>23</v>
      </c>
      <c r="C10825">
        <v>40536</v>
      </c>
      <c r="D10825" t="str">
        <f>"40536"</f>
        <v>40536</v>
      </c>
      <c r="E10825" t="s">
        <v>6</v>
      </c>
    </row>
    <row r="10826" spans="1:5" x14ac:dyDescent="0.2">
      <c r="A10826">
        <v>40601</v>
      </c>
      <c r="B10826" t="s">
        <v>23</v>
      </c>
      <c r="C10826">
        <v>40601</v>
      </c>
      <c r="D10826" t="str">
        <f>"40601"</f>
        <v>40601</v>
      </c>
      <c r="E10826">
        <v>73.239999999999995</v>
      </c>
    </row>
    <row r="10827" spans="1:5" x14ac:dyDescent="0.2">
      <c r="A10827">
        <v>40701</v>
      </c>
      <c r="B10827" t="s">
        <v>23</v>
      </c>
      <c r="C10827">
        <v>40701</v>
      </c>
      <c r="D10827" t="str">
        <f>"40701"</f>
        <v>40701</v>
      </c>
      <c r="E10827">
        <v>62.18</v>
      </c>
    </row>
    <row r="10828" spans="1:5" x14ac:dyDescent="0.2">
      <c r="A10828">
        <v>40729</v>
      </c>
      <c r="B10828" t="s">
        <v>23</v>
      </c>
      <c r="C10828">
        <v>40729</v>
      </c>
      <c r="D10828" t="str">
        <f>"40729"</f>
        <v>40729</v>
      </c>
      <c r="E10828">
        <v>59.15</v>
      </c>
    </row>
    <row r="10829" spans="1:5" x14ac:dyDescent="0.2">
      <c r="A10829">
        <v>40734</v>
      </c>
      <c r="B10829" t="s">
        <v>23</v>
      </c>
      <c r="C10829">
        <v>40734</v>
      </c>
      <c r="D10829" t="str">
        <f>"40734"</f>
        <v>40734</v>
      </c>
      <c r="E10829">
        <v>52.99</v>
      </c>
    </row>
    <row r="10830" spans="1:5" x14ac:dyDescent="0.2">
      <c r="A10830">
        <v>40737</v>
      </c>
      <c r="B10830" t="s">
        <v>23</v>
      </c>
      <c r="C10830">
        <v>40737</v>
      </c>
      <c r="D10830" t="str">
        <f>"40737"</f>
        <v>40737</v>
      </c>
      <c r="E10830">
        <v>49.02</v>
      </c>
    </row>
    <row r="10831" spans="1:5" x14ac:dyDescent="0.2">
      <c r="A10831">
        <v>40740</v>
      </c>
      <c r="B10831" t="s">
        <v>23</v>
      </c>
      <c r="C10831">
        <v>40740</v>
      </c>
      <c r="D10831" t="str">
        <f>"40740"</f>
        <v>40740</v>
      </c>
      <c r="E10831">
        <v>59.13</v>
      </c>
    </row>
    <row r="10832" spans="1:5" x14ac:dyDescent="0.2">
      <c r="A10832">
        <v>40741</v>
      </c>
      <c r="B10832" t="s">
        <v>23</v>
      </c>
      <c r="C10832">
        <v>40741</v>
      </c>
      <c r="D10832" t="str">
        <f>"40741"</f>
        <v>40741</v>
      </c>
      <c r="E10832">
        <v>66.150000000000006</v>
      </c>
    </row>
    <row r="10833" spans="1:5" x14ac:dyDescent="0.2">
      <c r="A10833">
        <v>40744</v>
      </c>
      <c r="B10833" t="s">
        <v>23</v>
      </c>
      <c r="C10833">
        <v>40744</v>
      </c>
      <c r="D10833" t="str">
        <f>"40744"</f>
        <v>40744</v>
      </c>
      <c r="E10833">
        <v>64.62</v>
      </c>
    </row>
    <row r="10834" spans="1:5" x14ac:dyDescent="0.2">
      <c r="A10834">
        <v>40759</v>
      </c>
      <c r="B10834" t="s">
        <v>23</v>
      </c>
      <c r="C10834">
        <v>40759</v>
      </c>
      <c r="D10834" t="str">
        <f>"40759"</f>
        <v>40759</v>
      </c>
      <c r="E10834">
        <v>48.84</v>
      </c>
    </row>
    <row r="10835" spans="1:5" x14ac:dyDescent="0.2">
      <c r="A10835">
        <v>40763</v>
      </c>
      <c r="B10835" t="s">
        <v>23</v>
      </c>
      <c r="C10835">
        <v>40763</v>
      </c>
      <c r="D10835" t="str">
        <f>"40763"</f>
        <v>40763</v>
      </c>
      <c r="E10835">
        <v>42.86</v>
      </c>
    </row>
    <row r="10836" spans="1:5" x14ac:dyDescent="0.2">
      <c r="A10836">
        <v>40769</v>
      </c>
      <c r="B10836" t="s">
        <v>23</v>
      </c>
      <c r="C10836">
        <v>40769</v>
      </c>
      <c r="D10836" t="str">
        <f>"40769"</f>
        <v>40769</v>
      </c>
      <c r="E10836">
        <v>54.98</v>
      </c>
    </row>
    <row r="10837" spans="1:5" x14ac:dyDescent="0.2">
      <c r="A10837">
        <v>40771</v>
      </c>
      <c r="B10837" t="s">
        <v>23</v>
      </c>
      <c r="C10837">
        <v>40771</v>
      </c>
      <c r="D10837" t="str">
        <f>"40771"</f>
        <v>40771</v>
      </c>
      <c r="E10837">
        <v>51.11</v>
      </c>
    </row>
    <row r="10838" spans="1:5" x14ac:dyDescent="0.2">
      <c r="A10838">
        <v>40801</v>
      </c>
      <c r="B10838" t="s">
        <v>23</v>
      </c>
      <c r="C10838">
        <v>40801</v>
      </c>
      <c r="D10838" t="str">
        <f>"40801"</f>
        <v>40801</v>
      </c>
      <c r="E10838" t="s">
        <v>6</v>
      </c>
    </row>
    <row r="10839" spans="1:5" x14ac:dyDescent="0.2">
      <c r="A10839">
        <v>40806</v>
      </c>
      <c r="B10839" t="s">
        <v>23</v>
      </c>
      <c r="C10839">
        <v>40806</v>
      </c>
      <c r="D10839" t="str">
        <f>"40806"</f>
        <v>40806</v>
      </c>
      <c r="E10839">
        <v>60</v>
      </c>
    </row>
    <row r="10840" spans="1:5" x14ac:dyDescent="0.2">
      <c r="A10840">
        <v>40807</v>
      </c>
      <c r="B10840" t="s">
        <v>23</v>
      </c>
      <c r="C10840">
        <v>40807</v>
      </c>
      <c r="D10840" t="str">
        <f>"40807"</f>
        <v>40807</v>
      </c>
      <c r="E10840" t="s">
        <v>6</v>
      </c>
    </row>
    <row r="10841" spans="1:5" x14ac:dyDescent="0.2">
      <c r="A10841">
        <v>40808</v>
      </c>
      <c r="B10841" t="s">
        <v>23</v>
      </c>
      <c r="C10841">
        <v>40808</v>
      </c>
      <c r="D10841" t="str">
        <f>"40808"</f>
        <v>40808</v>
      </c>
      <c r="E10841" t="s">
        <v>6</v>
      </c>
    </row>
    <row r="10842" spans="1:5" x14ac:dyDescent="0.2">
      <c r="A10842">
        <v>40810</v>
      </c>
      <c r="B10842" t="s">
        <v>23</v>
      </c>
      <c r="C10842">
        <v>40810</v>
      </c>
      <c r="D10842" t="str">
        <f>"40810"</f>
        <v>40810</v>
      </c>
      <c r="E10842">
        <v>55.56</v>
      </c>
    </row>
    <row r="10843" spans="1:5" x14ac:dyDescent="0.2">
      <c r="A10843">
        <v>40813</v>
      </c>
      <c r="B10843" t="s">
        <v>23</v>
      </c>
      <c r="C10843">
        <v>40813</v>
      </c>
      <c r="D10843" t="str">
        <f>"40813"</f>
        <v>40813</v>
      </c>
      <c r="E10843">
        <v>59.09</v>
      </c>
    </row>
    <row r="10844" spans="1:5" x14ac:dyDescent="0.2">
      <c r="A10844">
        <v>40815</v>
      </c>
      <c r="B10844" t="s">
        <v>23</v>
      </c>
      <c r="C10844">
        <v>40815</v>
      </c>
      <c r="D10844" t="str">
        <f>"40815"</f>
        <v>40815</v>
      </c>
      <c r="E10844">
        <v>50</v>
      </c>
    </row>
    <row r="10845" spans="1:5" x14ac:dyDescent="0.2">
      <c r="A10845">
        <v>40816</v>
      </c>
      <c r="B10845" t="s">
        <v>23</v>
      </c>
      <c r="C10845">
        <v>40816</v>
      </c>
      <c r="D10845" t="str">
        <f>"40816"</f>
        <v>40816</v>
      </c>
      <c r="E10845" t="s">
        <v>6</v>
      </c>
    </row>
    <row r="10846" spans="1:5" x14ac:dyDescent="0.2">
      <c r="A10846">
        <v>40818</v>
      </c>
      <c r="B10846" t="s">
        <v>23</v>
      </c>
      <c r="C10846">
        <v>40818</v>
      </c>
      <c r="D10846" t="str">
        <f>"40818"</f>
        <v>40818</v>
      </c>
      <c r="E10846" t="s">
        <v>6</v>
      </c>
    </row>
    <row r="10847" spans="1:5" x14ac:dyDescent="0.2">
      <c r="A10847">
        <v>40819</v>
      </c>
      <c r="B10847" t="s">
        <v>23</v>
      </c>
      <c r="C10847">
        <v>40819</v>
      </c>
      <c r="D10847" t="str">
        <f>"40819"</f>
        <v>40819</v>
      </c>
      <c r="E10847">
        <v>60.87</v>
      </c>
    </row>
    <row r="10848" spans="1:5" x14ac:dyDescent="0.2">
      <c r="A10848">
        <v>40820</v>
      </c>
      <c r="B10848" t="s">
        <v>23</v>
      </c>
      <c r="C10848">
        <v>40820</v>
      </c>
      <c r="D10848" t="str">
        <f>"40820"</f>
        <v>40820</v>
      </c>
      <c r="E10848">
        <v>50</v>
      </c>
    </row>
    <row r="10849" spans="1:5" x14ac:dyDescent="0.2">
      <c r="A10849">
        <v>40823</v>
      </c>
      <c r="B10849" t="s">
        <v>23</v>
      </c>
      <c r="C10849">
        <v>40823</v>
      </c>
      <c r="D10849" t="str">
        <f>"40823"</f>
        <v>40823</v>
      </c>
      <c r="E10849">
        <v>52.88</v>
      </c>
    </row>
    <row r="10850" spans="1:5" x14ac:dyDescent="0.2">
      <c r="A10850">
        <v>40824</v>
      </c>
      <c r="B10850" t="s">
        <v>23</v>
      </c>
      <c r="C10850">
        <v>40824</v>
      </c>
      <c r="D10850" t="str">
        <f>"40824"</f>
        <v>40824</v>
      </c>
      <c r="E10850" t="s">
        <v>6</v>
      </c>
    </row>
    <row r="10851" spans="1:5" x14ac:dyDescent="0.2">
      <c r="A10851">
        <v>40826</v>
      </c>
      <c r="B10851" t="s">
        <v>23</v>
      </c>
      <c r="C10851">
        <v>40826</v>
      </c>
      <c r="D10851" t="str">
        <f>"40826"</f>
        <v>40826</v>
      </c>
      <c r="E10851">
        <v>56.25</v>
      </c>
    </row>
    <row r="10852" spans="1:5" x14ac:dyDescent="0.2">
      <c r="A10852">
        <v>40827</v>
      </c>
      <c r="B10852" t="s">
        <v>23</v>
      </c>
      <c r="C10852">
        <v>40827</v>
      </c>
      <c r="D10852" t="str">
        <f>"40827"</f>
        <v>40827</v>
      </c>
      <c r="E10852">
        <v>68.42</v>
      </c>
    </row>
    <row r="10853" spans="1:5" x14ac:dyDescent="0.2">
      <c r="A10853">
        <v>40828</v>
      </c>
      <c r="B10853" t="s">
        <v>23</v>
      </c>
      <c r="C10853">
        <v>40828</v>
      </c>
      <c r="D10853" t="str">
        <f>"40828"</f>
        <v>40828</v>
      </c>
      <c r="E10853">
        <v>50.46</v>
      </c>
    </row>
    <row r="10854" spans="1:5" x14ac:dyDescent="0.2">
      <c r="A10854">
        <v>40829</v>
      </c>
      <c r="B10854" t="s">
        <v>23</v>
      </c>
      <c r="C10854">
        <v>40829</v>
      </c>
      <c r="D10854" t="str">
        <f>"40829"</f>
        <v>40829</v>
      </c>
      <c r="E10854" t="s">
        <v>6</v>
      </c>
    </row>
    <row r="10855" spans="1:5" x14ac:dyDescent="0.2">
      <c r="A10855">
        <v>40830</v>
      </c>
      <c r="B10855" t="s">
        <v>23</v>
      </c>
      <c r="C10855">
        <v>40830</v>
      </c>
      <c r="D10855" t="str">
        <f>"40830"</f>
        <v>40830</v>
      </c>
      <c r="E10855" t="s">
        <v>6</v>
      </c>
    </row>
    <row r="10856" spans="1:5" x14ac:dyDescent="0.2">
      <c r="A10856">
        <v>40831</v>
      </c>
      <c r="B10856" t="s">
        <v>23</v>
      </c>
      <c r="C10856">
        <v>40831</v>
      </c>
      <c r="D10856" t="str">
        <f>"40831"</f>
        <v>40831</v>
      </c>
      <c r="E10856">
        <v>59.28</v>
      </c>
    </row>
    <row r="10857" spans="1:5" x14ac:dyDescent="0.2">
      <c r="A10857">
        <v>40840</v>
      </c>
      <c r="B10857" t="s">
        <v>23</v>
      </c>
      <c r="C10857">
        <v>40840</v>
      </c>
      <c r="D10857" t="str">
        <f>"40840"</f>
        <v>40840</v>
      </c>
      <c r="E10857" t="s">
        <v>6</v>
      </c>
    </row>
    <row r="10858" spans="1:5" x14ac:dyDescent="0.2">
      <c r="A10858">
        <v>40843</v>
      </c>
      <c r="B10858" t="s">
        <v>23</v>
      </c>
      <c r="C10858">
        <v>40843</v>
      </c>
      <c r="D10858" t="str">
        <f>"40843"</f>
        <v>40843</v>
      </c>
      <c r="E10858" t="s">
        <v>6</v>
      </c>
    </row>
    <row r="10859" spans="1:5" x14ac:dyDescent="0.2">
      <c r="A10859">
        <v>40844</v>
      </c>
      <c r="B10859" t="s">
        <v>23</v>
      </c>
      <c r="C10859">
        <v>40844</v>
      </c>
      <c r="D10859" t="str">
        <f>"40844"</f>
        <v>40844</v>
      </c>
      <c r="E10859" t="s">
        <v>6</v>
      </c>
    </row>
    <row r="10860" spans="1:5" x14ac:dyDescent="0.2">
      <c r="A10860">
        <v>40845</v>
      </c>
      <c r="B10860" t="s">
        <v>23</v>
      </c>
      <c r="C10860">
        <v>40845</v>
      </c>
      <c r="D10860" t="str">
        <f>"40845"</f>
        <v>40845</v>
      </c>
      <c r="E10860">
        <v>50</v>
      </c>
    </row>
    <row r="10861" spans="1:5" x14ac:dyDescent="0.2">
      <c r="A10861">
        <v>40847</v>
      </c>
      <c r="B10861" t="s">
        <v>23</v>
      </c>
      <c r="C10861">
        <v>40847</v>
      </c>
      <c r="D10861" t="str">
        <f>"40847"</f>
        <v>40847</v>
      </c>
      <c r="E10861" t="s">
        <v>6</v>
      </c>
    </row>
    <row r="10862" spans="1:5" x14ac:dyDescent="0.2">
      <c r="A10862">
        <v>40854</v>
      </c>
      <c r="B10862" t="s">
        <v>23</v>
      </c>
      <c r="C10862">
        <v>40854</v>
      </c>
      <c r="D10862" t="str">
        <f>"40854"</f>
        <v>40854</v>
      </c>
      <c r="E10862" t="s">
        <v>6</v>
      </c>
    </row>
    <row r="10863" spans="1:5" x14ac:dyDescent="0.2">
      <c r="A10863">
        <v>40855</v>
      </c>
      <c r="B10863" t="s">
        <v>23</v>
      </c>
      <c r="C10863">
        <v>40855</v>
      </c>
      <c r="D10863" t="str">
        <f>"40855"</f>
        <v>40855</v>
      </c>
      <c r="E10863" t="s">
        <v>6</v>
      </c>
    </row>
    <row r="10864" spans="1:5" x14ac:dyDescent="0.2">
      <c r="A10864">
        <v>40856</v>
      </c>
      <c r="B10864" t="s">
        <v>23</v>
      </c>
      <c r="C10864">
        <v>40856</v>
      </c>
      <c r="D10864" t="str">
        <f>"40856"</f>
        <v>40856</v>
      </c>
      <c r="E10864">
        <v>70</v>
      </c>
    </row>
    <row r="10865" spans="1:5" x14ac:dyDescent="0.2">
      <c r="A10865">
        <v>40858</v>
      </c>
      <c r="B10865" t="s">
        <v>23</v>
      </c>
      <c r="C10865">
        <v>40858</v>
      </c>
      <c r="D10865" t="str">
        <f>"40858"</f>
        <v>40858</v>
      </c>
      <c r="E10865" t="s">
        <v>6</v>
      </c>
    </row>
    <row r="10866" spans="1:5" x14ac:dyDescent="0.2">
      <c r="A10866">
        <v>40862</v>
      </c>
      <c r="B10866" t="s">
        <v>23</v>
      </c>
      <c r="C10866">
        <v>40862</v>
      </c>
      <c r="D10866" t="str">
        <f>"40862"</f>
        <v>40862</v>
      </c>
      <c r="E10866">
        <v>55.56</v>
      </c>
    </row>
    <row r="10867" spans="1:5" x14ac:dyDescent="0.2">
      <c r="A10867">
        <v>40863</v>
      </c>
      <c r="B10867" t="s">
        <v>23</v>
      </c>
      <c r="C10867">
        <v>40863</v>
      </c>
      <c r="D10867" t="str">
        <f>"40863"</f>
        <v>40863</v>
      </c>
      <c r="E10867">
        <v>64.290000000000006</v>
      </c>
    </row>
    <row r="10868" spans="1:5" x14ac:dyDescent="0.2">
      <c r="A10868">
        <v>40865</v>
      </c>
      <c r="B10868" t="s">
        <v>23</v>
      </c>
      <c r="C10868">
        <v>40865</v>
      </c>
      <c r="D10868" t="str">
        <f>"40865"</f>
        <v>40865</v>
      </c>
      <c r="E10868">
        <v>61.54</v>
      </c>
    </row>
    <row r="10869" spans="1:5" x14ac:dyDescent="0.2">
      <c r="A10869">
        <v>40868</v>
      </c>
      <c r="B10869" t="s">
        <v>23</v>
      </c>
      <c r="C10869">
        <v>40868</v>
      </c>
      <c r="D10869" t="str">
        <f>"40868"</f>
        <v>40868</v>
      </c>
      <c r="E10869">
        <v>54.55</v>
      </c>
    </row>
    <row r="10870" spans="1:5" x14ac:dyDescent="0.2">
      <c r="A10870">
        <v>40870</v>
      </c>
      <c r="B10870" t="s">
        <v>23</v>
      </c>
      <c r="C10870">
        <v>40870</v>
      </c>
      <c r="D10870" t="str">
        <f>"40870"</f>
        <v>40870</v>
      </c>
      <c r="E10870">
        <v>57.14</v>
      </c>
    </row>
    <row r="10871" spans="1:5" x14ac:dyDescent="0.2">
      <c r="A10871">
        <v>40873</v>
      </c>
      <c r="B10871" t="s">
        <v>23</v>
      </c>
      <c r="C10871">
        <v>40873</v>
      </c>
      <c r="D10871" t="str">
        <f>"40873"</f>
        <v>40873</v>
      </c>
      <c r="E10871">
        <v>55.74</v>
      </c>
    </row>
    <row r="10872" spans="1:5" x14ac:dyDescent="0.2">
      <c r="A10872">
        <v>40874</v>
      </c>
      <c r="B10872" t="s">
        <v>23</v>
      </c>
      <c r="C10872">
        <v>40874</v>
      </c>
      <c r="D10872" t="str">
        <f>"40874"</f>
        <v>40874</v>
      </c>
      <c r="E10872" t="s">
        <v>6</v>
      </c>
    </row>
    <row r="10873" spans="1:5" x14ac:dyDescent="0.2">
      <c r="A10873">
        <v>40902</v>
      </c>
      <c r="B10873" t="s">
        <v>23</v>
      </c>
      <c r="C10873">
        <v>40902</v>
      </c>
      <c r="D10873" t="str">
        <f>"40902"</f>
        <v>40902</v>
      </c>
      <c r="E10873">
        <v>47.62</v>
      </c>
    </row>
    <row r="10874" spans="1:5" x14ac:dyDescent="0.2">
      <c r="A10874">
        <v>40903</v>
      </c>
      <c r="B10874" t="s">
        <v>23</v>
      </c>
      <c r="C10874">
        <v>40903</v>
      </c>
      <c r="D10874" t="str">
        <f>"40903"</f>
        <v>40903</v>
      </c>
      <c r="E10874">
        <v>51.61</v>
      </c>
    </row>
    <row r="10875" spans="1:5" x14ac:dyDescent="0.2">
      <c r="A10875">
        <v>40906</v>
      </c>
      <c r="B10875" t="s">
        <v>23</v>
      </c>
      <c r="C10875">
        <v>40906</v>
      </c>
      <c r="D10875" t="str">
        <f>"40906"</f>
        <v>40906</v>
      </c>
      <c r="E10875">
        <v>58.42</v>
      </c>
    </row>
    <row r="10876" spans="1:5" x14ac:dyDescent="0.2">
      <c r="A10876">
        <v>40913</v>
      </c>
      <c r="B10876" t="s">
        <v>23</v>
      </c>
      <c r="C10876">
        <v>40913</v>
      </c>
      <c r="D10876" t="str">
        <f>"40913"</f>
        <v>40913</v>
      </c>
      <c r="E10876" t="s">
        <v>6</v>
      </c>
    </row>
    <row r="10877" spans="1:5" x14ac:dyDescent="0.2">
      <c r="A10877">
        <v>40914</v>
      </c>
      <c r="B10877" t="s">
        <v>23</v>
      </c>
      <c r="C10877">
        <v>40914</v>
      </c>
      <c r="D10877" t="str">
        <f>"40914"</f>
        <v>40914</v>
      </c>
      <c r="E10877">
        <v>52.63</v>
      </c>
    </row>
    <row r="10878" spans="1:5" x14ac:dyDescent="0.2">
      <c r="A10878">
        <v>40915</v>
      </c>
      <c r="B10878" t="s">
        <v>23</v>
      </c>
      <c r="C10878">
        <v>40915</v>
      </c>
      <c r="D10878" t="str">
        <f>"40915"</f>
        <v>40915</v>
      </c>
      <c r="E10878">
        <v>58.54</v>
      </c>
    </row>
    <row r="10879" spans="1:5" x14ac:dyDescent="0.2">
      <c r="A10879">
        <v>40921</v>
      </c>
      <c r="B10879" t="s">
        <v>23</v>
      </c>
      <c r="C10879">
        <v>40921</v>
      </c>
      <c r="D10879" t="str">
        <f>"40921"</f>
        <v>40921</v>
      </c>
      <c r="E10879" t="s">
        <v>6</v>
      </c>
    </row>
    <row r="10880" spans="1:5" x14ac:dyDescent="0.2">
      <c r="A10880">
        <v>40923</v>
      </c>
      <c r="B10880" t="s">
        <v>23</v>
      </c>
      <c r="C10880">
        <v>40923</v>
      </c>
      <c r="D10880" t="str">
        <f>"40923"</f>
        <v>40923</v>
      </c>
      <c r="E10880">
        <v>48.28</v>
      </c>
    </row>
    <row r="10881" spans="1:5" x14ac:dyDescent="0.2">
      <c r="A10881">
        <v>40927</v>
      </c>
      <c r="B10881" t="s">
        <v>23</v>
      </c>
      <c r="C10881">
        <v>40927</v>
      </c>
      <c r="D10881" t="str">
        <f>"40927"</f>
        <v>40927</v>
      </c>
      <c r="E10881">
        <v>63.64</v>
      </c>
    </row>
    <row r="10882" spans="1:5" x14ac:dyDescent="0.2">
      <c r="A10882">
        <v>40935</v>
      </c>
      <c r="B10882" t="s">
        <v>23</v>
      </c>
      <c r="C10882">
        <v>40935</v>
      </c>
      <c r="D10882" t="str">
        <f>"40935"</f>
        <v>40935</v>
      </c>
      <c r="E10882">
        <v>50.79</v>
      </c>
    </row>
    <row r="10883" spans="1:5" x14ac:dyDescent="0.2">
      <c r="A10883">
        <v>40939</v>
      </c>
      <c r="B10883" t="s">
        <v>23</v>
      </c>
      <c r="C10883">
        <v>40939</v>
      </c>
      <c r="D10883" t="str">
        <f>"40939"</f>
        <v>40939</v>
      </c>
      <c r="E10883">
        <v>57.89</v>
      </c>
    </row>
    <row r="10884" spans="1:5" x14ac:dyDescent="0.2">
      <c r="A10884">
        <v>40940</v>
      </c>
      <c r="B10884" t="s">
        <v>23</v>
      </c>
      <c r="C10884">
        <v>40940</v>
      </c>
      <c r="D10884" t="str">
        <f>"40940"</f>
        <v>40940</v>
      </c>
      <c r="E10884">
        <v>56.25</v>
      </c>
    </row>
    <row r="10885" spans="1:5" x14ac:dyDescent="0.2">
      <c r="A10885">
        <v>40943</v>
      </c>
      <c r="B10885" t="s">
        <v>23</v>
      </c>
      <c r="C10885">
        <v>40943</v>
      </c>
      <c r="D10885" t="str">
        <f>"40943"</f>
        <v>40943</v>
      </c>
      <c r="E10885">
        <v>54.55</v>
      </c>
    </row>
    <row r="10886" spans="1:5" x14ac:dyDescent="0.2">
      <c r="A10886">
        <v>40944</v>
      </c>
      <c r="B10886" t="s">
        <v>23</v>
      </c>
      <c r="C10886">
        <v>40944</v>
      </c>
      <c r="D10886" t="str">
        <f>"40944"</f>
        <v>40944</v>
      </c>
      <c r="E10886" t="s">
        <v>6</v>
      </c>
    </row>
    <row r="10887" spans="1:5" x14ac:dyDescent="0.2">
      <c r="A10887">
        <v>40946</v>
      </c>
      <c r="B10887" t="s">
        <v>23</v>
      </c>
      <c r="C10887">
        <v>40946</v>
      </c>
      <c r="D10887" t="str">
        <f>"40946"</f>
        <v>40946</v>
      </c>
      <c r="E10887" t="s">
        <v>6</v>
      </c>
    </row>
    <row r="10888" spans="1:5" x14ac:dyDescent="0.2">
      <c r="A10888">
        <v>40949</v>
      </c>
      <c r="B10888" t="s">
        <v>23</v>
      </c>
      <c r="C10888">
        <v>40949</v>
      </c>
      <c r="D10888" t="str">
        <f>"40949"</f>
        <v>40949</v>
      </c>
      <c r="E10888">
        <v>58.06</v>
      </c>
    </row>
    <row r="10889" spans="1:5" x14ac:dyDescent="0.2">
      <c r="A10889">
        <v>40953</v>
      </c>
      <c r="B10889" t="s">
        <v>23</v>
      </c>
      <c r="C10889">
        <v>40953</v>
      </c>
      <c r="D10889" t="str">
        <f>"40953"</f>
        <v>40953</v>
      </c>
      <c r="E10889">
        <v>47.62</v>
      </c>
    </row>
    <row r="10890" spans="1:5" x14ac:dyDescent="0.2">
      <c r="A10890">
        <v>40955</v>
      </c>
      <c r="B10890" t="s">
        <v>23</v>
      </c>
      <c r="C10890">
        <v>40955</v>
      </c>
      <c r="D10890" t="str">
        <f>"40955"</f>
        <v>40955</v>
      </c>
      <c r="E10890" t="s">
        <v>6</v>
      </c>
    </row>
    <row r="10891" spans="1:5" x14ac:dyDescent="0.2">
      <c r="A10891">
        <v>40958</v>
      </c>
      <c r="B10891" t="s">
        <v>23</v>
      </c>
      <c r="C10891">
        <v>40958</v>
      </c>
      <c r="D10891" t="str">
        <f>"40958"</f>
        <v>40958</v>
      </c>
      <c r="E10891">
        <v>58.82</v>
      </c>
    </row>
    <row r="10892" spans="1:5" x14ac:dyDescent="0.2">
      <c r="A10892">
        <v>40962</v>
      </c>
      <c r="B10892" t="s">
        <v>23</v>
      </c>
      <c r="C10892">
        <v>40962</v>
      </c>
      <c r="D10892" t="str">
        <f>"40962"</f>
        <v>40962</v>
      </c>
      <c r="E10892">
        <v>54.47</v>
      </c>
    </row>
    <row r="10893" spans="1:5" x14ac:dyDescent="0.2">
      <c r="A10893">
        <v>40964</v>
      </c>
      <c r="B10893" t="s">
        <v>23</v>
      </c>
      <c r="C10893">
        <v>40964</v>
      </c>
      <c r="D10893" t="str">
        <f>"40964"</f>
        <v>40964</v>
      </c>
      <c r="E10893" t="s">
        <v>6</v>
      </c>
    </row>
    <row r="10894" spans="1:5" x14ac:dyDescent="0.2">
      <c r="A10894">
        <v>40965</v>
      </c>
      <c r="B10894" t="s">
        <v>23</v>
      </c>
      <c r="C10894">
        <v>40965</v>
      </c>
      <c r="D10894" t="str">
        <f>"40965"</f>
        <v>40965</v>
      </c>
      <c r="E10894">
        <v>53.67</v>
      </c>
    </row>
    <row r="10895" spans="1:5" x14ac:dyDescent="0.2">
      <c r="A10895">
        <v>40972</v>
      </c>
      <c r="B10895" t="s">
        <v>23</v>
      </c>
      <c r="C10895">
        <v>40972</v>
      </c>
      <c r="D10895" t="str">
        <f>"40972"</f>
        <v>40972</v>
      </c>
      <c r="E10895">
        <v>44.19</v>
      </c>
    </row>
    <row r="10896" spans="1:5" x14ac:dyDescent="0.2">
      <c r="A10896">
        <v>40977</v>
      </c>
      <c r="B10896" t="s">
        <v>23</v>
      </c>
      <c r="C10896">
        <v>40977</v>
      </c>
      <c r="D10896" t="str">
        <f>"40977"</f>
        <v>40977</v>
      </c>
      <c r="E10896">
        <v>59.93</v>
      </c>
    </row>
    <row r="10897" spans="1:5" x14ac:dyDescent="0.2">
      <c r="A10897">
        <v>40979</v>
      </c>
      <c r="B10897" t="s">
        <v>23</v>
      </c>
      <c r="C10897">
        <v>40979</v>
      </c>
      <c r="D10897" t="str">
        <f>"40979"</f>
        <v>40979</v>
      </c>
      <c r="E10897" t="s">
        <v>6</v>
      </c>
    </row>
    <row r="10898" spans="1:5" x14ac:dyDescent="0.2">
      <c r="A10898">
        <v>40982</v>
      </c>
      <c r="B10898" t="s">
        <v>23</v>
      </c>
      <c r="C10898">
        <v>40982</v>
      </c>
      <c r="D10898" t="str">
        <f>"40982"</f>
        <v>40982</v>
      </c>
      <c r="E10898" t="s">
        <v>6</v>
      </c>
    </row>
    <row r="10899" spans="1:5" x14ac:dyDescent="0.2">
      <c r="A10899">
        <v>40983</v>
      </c>
      <c r="B10899" t="s">
        <v>23</v>
      </c>
      <c r="C10899">
        <v>40983</v>
      </c>
      <c r="D10899" t="str">
        <f>"40983"</f>
        <v>40983</v>
      </c>
      <c r="E10899" t="s">
        <v>6</v>
      </c>
    </row>
    <row r="10900" spans="1:5" x14ac:dyDescent="0.2">
      <c r="A10900">
        <v>40988</v>
      </c>
      <c r="B10900" t="s">
        <v>23</v>
      </c>
      <c r="C10900">
        <v>40988</v>
      </c>
      <c r="D10900" t="str">
        <f>"40988"</f>
        <v>40988</v>
      </c>
      <c r="E10900">
        <v>46.67</v>
      </c>
    </row>
    <row r="10901" spans="1:5" x14ac:dyDescent="0.2">
      <c r="A10901">
        <v>40995</v>
      </c>
      <c r="B10901" t="s">
        <v>23</v>
      </c>
      <c r="C10901">
        <v>40995</v>
      </c>
      <c r="D10901" t="str">
        <f>"40995"</f>
        <v>40995</v>
      </c>
      <c r="E10901" t="s">
        <v>6</v>
      </c>
    </row>
    <row r="10902" spans="1:5" x14ac:dyDescent="0.2">
      <c r="A10902">
        <v>40997</v>
      </c>
      <c r="B10902" t="s">
        <v>23</v>
      </c>
      <c r="C10902">
        <v>40997</v>
      </c>
      <c r="D10902" t="str">
        <f>"40997"</f>
        <v>40997</v>
      </c>
      <c r="E10902" t="s">
        <v>6</v>
      </c>
    </row>
    <row r="10903" spans="1:5" x14ac:dyDescent="0.2">
      <c r="A10903">
        <v>41001</v>
      </c>
      <c r="B10903" t="s">
        <v>23</v>
      </c>
      <c r="C10903">
        <v>41001</v>
      </c>
      <c r="D10903" t="str">
        <f>"41001"</f>
        <v>41001</v>
      </c>
      <c r="E10903">
        <v>78.97</v>
      </c>
    </row>
    <row r="10904" spans="1:5" x14ac:dyDescent="0.2">
      <c r="A10904">
        <v>41002</v>
      </c>
      <c r="B10904" t="s">
        <v>23</v>
      </c>
      <c r="C10904">
        <v>41002</v>
      </c>
      <c r="D10904" t="str">
        <f>"41002"</f>
        <v>41002</v>
      </c>
      <c r="E10904">
        <v>68.319999999999993</v>
      </c>
    </row>
    <row r="10905" spans="1:5" x14ac:dyDescent="0.2">
      <c r="A10905">
        <v>41003</v>
      </c>
      <c r="B10905" t="s">
        <v>23</v>
      </c>
      <c r="C10905">
        <v>41003</v>
      </c>
      <c r="D10905" t="str">
        <f>"41003"</f>
        <v>41003</v>
      </c>
      <c r="E10905">
        <v>67.349999999999994</v>
      </c>
    </row>
    <row r="10906" spans="1:5" x14ac:dyDescent="0.2">
      <c r="A10906">
        <v>41004</v>
      </c>
      <c r="B10906" t="s">
        <v>23</v>
      </c>
      <c r="C10906">
        <v>41004</v>
      </c>
      <c r="D10906" t="str">
        <f>"41004"</f>
        <v>41004</v>
      </c>
      <c r="E10906">
        <v>69.59</v>
      </c>
    </row>
    <row r="10907" spans="1:5" x14ac:dyDescent="0.2">
      <c r="A10907">
        <v>41005</v>
      </c>
      <c r="B10907" t="s">
        <v>23</v>
      </c>
      <c r="C10907">
        <v>41005</v>
      </c>
      <c r="D10907" t="str">
        <f>"41005"</f>
        <v>41005</v>
      </c>
      <c r="E10907">
        <v>77.48</v>
      </c>
    </row>
    <row r="10908" spans="1:5" x14ac:dyDescent="0.2">
      <c r="A10908">
        <v>41006</v>
      </c>
      <c r="B10908" t="s">
        <v>23</v>
      </c>
      <c r="C10908">
        <v>41006</v>
      </c>
      <c r="D10908" t="str">
        <f>"41006"</f>
        <v>41006</v>
      </c>
      <c r="E10908">
        <v>75.77</v>
      </c>
    </row>
    <row r="10909" spans="1:5" x14ac:dyDescent="0.2">
      <c r="A10909">
        <v>41007</v>
      </c>
      <c r="B10909" t="s">
        <v>23</v>
      </c>
      <c r="C10909">
        <v>41007</v>
      </c>
      <c r="D10909" t="str">
        <f>"41007"</f>
        <v>41007</v>
      </c>
      <c r="E10909">
        <v>80</v>
      </c>
    </row>
    <row r="10910" spans="1:5" x14ac:dyDescent="0.2">
      <c r="A10910">
        <v>41008</v>
      </c>
      <c r="B10910" t="s">
        <v>23</v>
      </c>
      <c r="C10910">
        <v>41008</v>
      </c>
      <c r="D10910" t="str">
        <f>"41008"</f>
        <v>41008</v>
      </c>
      <c r="E10910">
        <v>66.34</v>
      </c>
    </row>
    <row r="10911" spans="1:5" x14ac:dyDescent="0.2">
      <c r="A10911">
        <v>41010</v>
      </c>
      <c r="B10911" t="s">
        <v>23</v>
      </c>
      <c r="C10911">
        <v>41010</v>
      </c>
      <c r="D10911" t="str">
        <f>"41010"</f>
        <v>41010</v>
      </c>
      <c r="E10911">
        <v>68.22</v>
      </c>
    </row>
    <row r="10912" spans="1:5" x14ac:dyDescent="0.2">
      <c r="A10912">
        <v>41011</v>
      </c>
      <c r="B10912" t="s">
        <v>23</v>
      </c>
      <c r="C10912">
        <v>41011</v>
      </c>
      <c r="D10912" t="str">
        <f>"41011"</f>
        <v>41011</v>
      </c>
      <c r="E10912">
        <v>71.66</v>
      </c>
    </row>
    <row r="10913" spans="1:5" x14ac:dyDescent="0.2">
      <c r="A10913">
        <v>41014</v>
      </c>
      <c r="B10913" t="s">
        <v>23</v>
      </c>
      <c r="C10913">
        <v>41014</v>
      </c>
      <c r="D10913" t="str">
        <f>"41014"</f>
        <v>41014</v>
      </c>
      <c r="E10913">
        <v>64.61</v>
      </c>
    </row>
    <row r="10914" spans="1:5" x14ac:dyDescent="0.2">
      <c r="A10914">
        <v>41015</v>
      </c>
      <c r="B10914" t="s">
        <v>23</v>
      </c>
      <c r="C10914">
        <v>41015</v>
      </c>
      <c r="D10914" t="str">
        <f>"41015"</f>
        <v>41015</v>
      </c>
      <c r="E10914">
        <v>71.98</v>
      </c>
    </row>
    <row r="10915" spans="1:5" x14ac:dyDescent="0.2">
      <c r="A10915">
        <v>41016</v>
      </c>
      <c r="B10915" t="s">
        <v>23</v>
      </c>
      <c r="C10915">
        <v>41016</v>
      </c>
      <c r="D10915" t="str">
        <f>"41016"</f>
        <v>41016</v>
      </c>
      <c r="E10915">
        <v>73.209999999999994</v>
      </c>
    </row>
    <row r="10916" spans="1:5" x14ac:dyDescent="0.2">
      <c r="A10916">
        <v>41017</v>
      </c>
      <c r="B10916" t="s">
        <v>23</v>
      </c>
      <c r="C10916">
        <v>41017</v>
      </c>
      <c r="D10916" t="str">
        <f>"41017"</f>
        <v>41017</v>
      </c>
      <c r="E10916">
        <v>79.290000000000006</v>
      </c>
    </row>
    <row r="10917" spans="1:5" x14ac:dyDescent="0.2">
      <c r="A10917">
        <v>41018</v>
      </c>
      <c r="B10917" t="s">
        <v>23</v>
      </c>
      <c r="C10917">
        <v>41018</v>
      </c>
      <c r="D10917" t="str">
        <f>"41018"</f>
        <v>41018</v>
      </c>
      <c r="E10917">
        <v>72.849999999999994</v>
      </c>
    </row>
    <row r="10918" spans="1:5" x14ac:dyDescent="0.2">
      <c r="A10918">
        <v>41019</v>
      </c>
      <c r="B10918" t="s">
        <v>23</v>
      </c>
      <c r="C10918">
        <v>41019</v>
      </c>
      <c r="D10918" t="str">
        <f>"41019"</f>
        <v>41019</v>
      </c>
      <c r="E10918" t="s">
        <v>6</v>
      </c>
    </row>
    <row r="10919" spans="1:5" x14ac:dyDescent="0.2">
      <c r="A10919">
        <v>41030</v>
      </c>
      <c r="B10919" t="s">
        <v>23</v>
      </c>
      <c r="C10919">
        <v>41030</v>
      </c>
      <c r="D10919" t="str">
        <f>"41030"</f>
        <v>41030</v>
      </c>
      <c r="E10919">
        <v>70.33</v>
      </c>
    </row>
    <row r="10920" spans="1:5" x14ac:dyDescent="0.2">
      <c r="A10920">
        <v>41031</v>
      </c>
      <c r="B10920" t="s">
        <v>23</v>
      </c>
      <c r="C10920">
        <v>41031</v>
      </c>
      <c r="D10920" t="str">
        <f>"41031"</f>
        <v>41031</v>
      </c>
      <c r="E10920">
        <v>69.62</v>
      </c>
    </row>
    <row r="10921" spans="1:5" x14ac:dyDescent="0.2">
      <c r="A10921">
        <v>41033</v>
      </c>
      <c r="B10921" t="s">
        <v>23</v>
      </c>
      <c r="C10921">
        <v>41033</v>
      </c>
      <c r="D10921" t="str">
        <f>"41033"</f>
        <v>41033</v>
      </c>
      <c r="E10921">
        <v>73.91</v>
      </c>
    </row>
    <row r="10922" spans="1:5" x14ac:dyDescent="0.2">
      <c r="A10922">
        <v>41034</v>
      </c>
      <c r="B10922" t="s">
        <v>23</v>
      </c>
      <c r="C10922">
        <v>41034</v>
      </c>
      <c r="D10922" t="str">
        <f>"41034"</f>
        <v>41034</v>
      </c>
      <c r="E10922">
        <v>72.73</v>
      </c>
    </row>
    <row r="10923" spans="1:5" x14ac:dyDescent="0.2">
      <c r="A10923">
        <v>41035</v>
      </c>
      <c r="B10923" t="s">
        <v>23</v>
      </c>
      <c r="C10923">
        <v>41035</v>
      </c>
      <c r="D10923" t="str">
        <f>"41035"</f>
        <v>41035</v>
      </c>
      <c r="E10923">
        <v>70.25</v>
      </c>
    </row>
    <row r="10924" spans="1:5" x14ac:dyDescent="0.2">
      <c r="A10924">
        <v>41039</v>
      </c>
      <c r="B10924" t="s">
        <v>23</v>
      </c>
      <c r="C10924">
        <v>41039</v>
      </c>
      <c r="D10924" t="str">
        <f>"41039"</f>
        <v>41039</v>
      </c>
      <c r="E10924">
        <v>65.180000000000007</v>
      </c>
    </row>
    <row r="10925" spans="1:5" x14ac:dyDescent="0.2">
      <c r="A10925">
        <v>41040</v>
      </c>
      <c r="B10925" t="s">
        <v>23</v>
      </c>
      <c r="C10925">
        <v>41040</v>
      </c>
      <c r="D10925" t="str">
        <f>"41040"</f>
        <v>41040</v>
      </c>
      <c r="E10925">
        <v>67.55</v>
      </c>
    </row>
    <row r="10926" spans="1:5" x14ac:dyDescent="0.2">
      <c r="A10926">
        <v>41041</v>
      </c>
      <c r="B10926" t="s">
        <v>23</v>
      </c>
      <c r="C10926">
        <v>41041</v>
      </c>
      <c r="D10926" t="str">
        <f>"41041"</f>
        <v>41041</v>
      </c>
      <c r="E10926">
        <v>65.260000000000005</v>
      </c>
    </row>
    <row r="10927" spans="1:5" x14ac:dyDescent="0.2">
      <c r="A10927">
        <v>41042</v>
      </c>
      <c r="B10927" t="s">
        <v>23</v>
      </c>
      <c r="C10927">
        <v>41042</v>
      </c>
      <c r="D10927" t="str">
        <f>"41042"</f>
        <v>41042</v>
      </c>
      <c r="E10927">
        <v>73.66</v>
      </c>
    </row>
    <row r="10928" spans="1:5" x14ac:dyDescent="0.2">
      <c r="A10928">
        <v>41043</v>
      </c>
      <c r="B10928" t="s">
        <v>23</v>
      </c>
      <c r="C10928">
        <v>41043</v>
      </c>
      <c r="D10928" t="str">
        <f>"41043"</f>
        <v>41043</v>
      </c>
      <c r="E10928">
        <v>71.08</v>
      </c>
    </row>
    <row r="10929" spans="1:5" x14ac:dyDescent="0.2">
      <c r="A10929">
        <v>41044</v>
      </c>
      <c r="B10929" t="s">
        <v>23</v>
      </c>
      <c r="C10929">
        <v>41044</v>
      </c>
      <c r="D10929" t="str">
        <f>"41044"</f>
        <v>41044</v>
      </c>
      <c r="E10929">
        <v>69.05</v>
      </c>
    </row>
    <row r="10930" spans="1:5" x14ac:dyDescent="0.2">
      <c r="A10930">
        <v>41045</v>
      </c>
      <c r="B10930" t="s">
        <v>23</v>
      </c>
      <c r="C10930">
        <v>41045</v>
      </c>
      <c r="D10930" t="str">
        <f>"41045"</f>
        <v>41045</v>
      </c>
      <c r="E10930">
        <v>69.81</v>
      </c>
    </row>
    <row r="10931" spans="1:5" x14ac:dyDescent="0.2">
      <c r="A10931">
        <v>41046</v>
      </c>
      <c r="B10931" t="s">
        <v>23</v>
      </c>
      <c r="C10931">
        <v>41046</v>
      </c>
      <c r="D10931" t="str">
        <f>"41046"</f>
        <v>41046</v>
      </c>
      <c r="E10931">
        <v>69.010000000000005</v>
      </c>
    </row>
    <row r="10932" spans="1:5" x14ac:dyDescent="0.2">
      <c r="A10932">
        <v>41048</v>
      </c>
      <c r="B10932" t="s">
        <v>23</v>
      </c>
      <c r="C10932">
        <v>41048</v>
      </c>
      <c r="D10932" t="str">
        <f>"41048"</f>
        <v>41048</v>
      </c>
      <c r="E10932">
        <v>78.63</v>
      </c>
    </row>
    <row r="10933" spans="1:5" x14ac:dyDescent="0.2">
      <c r="A10933">
        <v>41049</v>
      </c>
      <c r="B10933" t="s">
        <v>23</v>
      </c>
      <c r="C10933">
        <v>41049</v>
      </c>
      <c r="D10933" t="str">
        <f>"41049"</f>
        <v>41049</v>
      </c>
      <c r="E10933">
        <v>61.8</v>
      </c>
    </row>
    <row r="10934" spans="1:5" x14ac:dyDescent="0.2">
      <c r="A10934">
        <v>41051</v>
      </c>
      <c r="B10934" t="s">
        <v>23</v>
      </c>
      <c r="C10934">
        <v>41051</v>
      </c>
      <c r="D10934" t="str">
        <f>"41051"</f>
        <v>41051</v>
      </c>
      <c r="E10934">
        <v>78.44</v>
      </c>
    </row>
    <row r="10935" spans="1:5" x14ac:dyDescent="0.2">
      <c r="A10935">
        <v>41052</v>
      </c>
      <c r="B10935" t="s">
        <v>23</v>
      </c>
      <c r="C10935">
        <v>41052</v>
      </c>
      <c r="D10935" t="str">
        <f>"41052"</f>
        <v>41052</v>
      </c>
      <c r="E10935">
        <v>66.67</v>
      </c>
    </row>
    <row r="10936" spans="1:5" x14ac:dyDescent="0.2">
      <c r="A10936">
        <v>41055</v>
      </c>
      <c r="B10936" t="s">
        <v>23</v>
      </c>
      <c r="C10936">
        <v>41055</v>
      </c>
      <c r="D10936" t="str">
        <f>"41055"</f>
        <v>41055</v>
      </c>
      <c r="E10936">
        <v>64.86</v>
      </c>
    </row>
    <row r="10937" spans="1:5" x14ac:dyDescent="0.2">
      <c r="A10937">
        <v>41056</v>
      </c>
      <c r="B10937" t="s">
        <v>23</v>
      </c>
      <c r="C10937">
        <v>41056</v>
      </c>
      <c r="D10937" t="str">
        <f>"41056"</f>
        <v>41056</v>
      </c>
      <c r="E10937">
        <v>65.53</v>
      </c>
    </row>
    <row r="10938" spans="1:5" x14ac:dyDescent="0.2">
      <c r="A10938">
        <v>41059</v>
      </c>
      <c r="B10938" t="s">
        <v>23</v>
      </c>
      <c r="C10938">
        <v>41059</v>
      </c>
      <c r="D10938" t="str">
        <f>"41059"</f>
        <v>41059</v>
      </c>
      <c r="E10938">
        <v>78.63</v>
      </c>
    </row>
    <row r="10939" spans="1:5" x14ac:dyDescent="0.2">
      <c r="A10939">
        <v>41063</v>
      </c>
      <c r="B10939" t="s">
        <v>23</v>
      </c>
      <c r="C10939">
        <v>41063</v>
      </c>
      <c r="D10939" t="str">
        <f>"41063"</f>
        <v>41063</v>
      </c>
      <c r="E10939">
        <v>78.010000000000005</v>
      </c>
    </row>
    <row r="10940" spans="1:5" x14ac:dyDescent="0.2">
      <c r="A10940">
        <v>41064</v>
      </c>
      <c r="B10940" t="s">
        <v>23</v>
      </c>
      <c r="C10940">
        <v>41064</v>
      </c>
      <c r="D10940" t="str">
        <f>"41064"</f>
        <v>41064</v>
      </c>
      <c r="E10940">
        <v>65.33</v>
      </c>
    </row>
    <row r="10941" spans="1:5" x14ac:dyDescent="0.2">
      <c r="A10941">
        <v>41071</v>
      </c>
      <c r="B10941" t="s">
        <v>23</v>
      </c>
      <c r="C10941">
        <v>41071</v>
      </c>
      <c r="D10941" t="str">
        <f>"41071"</f>
        <v>41071</v>
      </c>
      <c r="E10941">
        <v>72.290000000000006</v>
      </c>
    </row>
    <row r="10942" spans="1:5" x14ac:dyDescent="0.2">
      <c r="A10942">
        <v>41073</v>
      </c>
      <c r="B10942" t="s">
        <v>23</v>
      </c>
      <c r="C10942">
        <v>41073</v>
      </c>
      <c r="D10942" t="str">
        <f>"41073"</f>
        <v>41073</v>
      </c>
      <c r="E10942">
        <v>77.36</v>
      </c>
    </row>
    <row r="10943" spans="1:5" x14ac:dyDescent="0.2">
      <c r="A10943">
        <v>41074</v>
      </c>
      <c r="B10943" t="s">
        <v>23</v>
      </c>
      <c r="C10943">
        <v>41074</v>
      </c>
      <c r="D10943" t="str">
        <f>"41074"</f>
        <v>41074</v>
      </c>
      <c r="E10943">
        <v>67.09</v>
      </c>
    </row>
    <row r="10944" spans="1:5" x14ac:dyDescent="0.2">
      <c r="A10944">
        <v>41075</v>
      </c>
      <c r="B10944" t="s">
        <v>23</v>
      </c>
      <c r="C10944">
        <v>41075</v>
      </c>
      <c r="D10944" t="str">
        <f>"41075"</f>
        <v>41075</v>
      </c>
      <c r="E10944">
        <v>80.790000000000006</v>
      </c>
    </row>
    <row r="10945" spans="1:5" x14ac:dyDescent="0.2">
      <c r="A10945">
        <v>41076</v>
      </c>
      <c r="B10945" t="s">
        <v>23</v>
      </c>
      <c r="C10945">
        <v>41076</v>
      </c>
      <c r="D10945" t="str">
        <f>"41076"</f>
        <v>41076</v>
      </c>
      <c r="E10945">
        <v>79.510000000000005</v>
      </c>
    </row>
    <row r="10946" spans="1:5" x14ac:dyDescent="0.2">
      <c r="A10946">
        <v>41080</v>
      </c>
      <c r="B10946" t="s">
        <v>23</v>
      </c>
      <c r="C10946">
        <v>41080</v>
      </c>
      <c r="D10946" t="str">
        <f>"41080"</f>
        <v>41080</v>
      </c>
      <c r="E10946">
        <v>78.569999999999993</v>
      </c>
    </row>
    <row r="10947" spans="1:5" x14ac:dyDescent="0.2">
      <c r="A10947">
        <v>41083</v>
      </c>
      <c r="B10947" t="s">
        <v>23</v>
      </c>
      <c r="C10947">
        <v>41083</v>
      </c>
      <c r="D10947" t="str">
        <f>"41083"</f>
        <v>41083</v>
      </c>
      <c r="E10947">
        <v>70.83</v>
      </c>
    </row>
    <row r="10948" spans="1:5" x14ac:dyDescent="0.2">
      <c r="A10948">
        <v>41085</v>
      </c>
      <c r="B10948" t="s">
        <v>23</v>
      </c>
      <c r="C10948">
        <v>41085</v>
      </c>
      <c r="D10948" t="str">
        <f>"41085"</f>
        <v>41085</v>
      </c>
      <c r="E10948" t="s">
        <v>6</v>
      </c>
    </row>
    <row r="10949" spans="1:5" x14ac:dyDescent="0.2">
      <c r="A10949">
        <v>41086</v>
      </c>
      <c r="B10949" t="s">
        <v>23</v>
      </c>
      <c r="C10949">
        <v>41086</v>
      </c>
      <c r="D10949" t="str">
        <f>"41086"</f>
        <v>41086</v>
      </c>
      <c r="E10949">
        <v>68.97</v>
      </c>
    </row>
    <row r="10950" spans="1:5" x14ac:dyDescent="0.2">
      <c r="A10950">
        <v>41091</v>
      </c>
      <c r="B10950" t="s">
        <v>23</v>
      </c>
      <c r="C10950">
        <v>41091</v>
      </c>
      <c r="D10950" t="str">
        <f>"41091"</f>
        <v>41091</v>
      </c>
      <c r="E10950">
        <v>81.349999999999994</v>
      </c>
    </row>
    <row r="10951" spans="1:5" x14ac:dyDescent="0.2">
      <c r="A10951">
        <v>41092</v>
      </c>
      <c r="B10951" t="s">
        <v>23</v>
      </c>
      <c r="C10951">
        <v>41092</v>
      </c>
      <c r="D10951" t="str">
        <f>"41092"</f>
        <v>41092</v>
      </c>
      <c r="E10951">
        <v>75</v>
      </c>
    </row>
    <row r="10952" spans="1:5" x14ac:dyDescent="0.2">
      <c r="A10952">
        <v>41093</v>
      </c>
      <c r="B10952" t="s">
        <v>23</v>
      </c>
      <c r="C10952">
        <v>41093</v>
      </c>
      <c r="D10952" t="str">
        <f>"41093"</f>
        <v>41093</v>
      </c>
      <c r="E10952">
        <v>59.18</v>
      </c>
    </row>
    <row r="10953" spans="1:5" x14ac:dyDescent="0.2">
      <c r="A10953">
        <v>41094</v>
      </c>
      <c r="B10953" t="s">
        <v>23</v>
      </c>
      <c r="C10953">
        <v>41094</v>
      </c>
      <c r="D10953" t="str">
        <f>"41094"</f>
        <v>41094</v>
      </c>
      <c r="E10953">
        <v>76.239999999999995</v>
      </c>
    </row>
    <row r="10954" spans="1:5" x14ac:dyDescent="0.2">
      <c r="A10954">
        <v>41095</v>
      </c>
      <c r="B10954" t="s">
        <v>23</v>
      </c>
      <c r="C10954">
        <v>41095</v>
      </c>
      <c r="D10954" t="str">
        <f>"41095"</f>
        <v>41095</v>
      </c>
      <c r="E10954">
        <v>65.64</v>
      </c>
    </row>
    <row r="10955" spans="1:5" x14ac:dyDescent="0.2">
      <c r="A10955">
        <v>41097</v>
      </c>
      <c r="B10955" t="s">
        <v>23</v>
      </c>
      <c r="C10955">
        <v>41097</v>
      </c>
      <c r="D10955" t="str">
        <f>"41097"</f>
        <v>41097</v>
      </c>
      <c r="E10955">
        <v>66.78</v>
      </c>
    </row>
    <row r="10956" spans="1:5" x14ac:dyDescent="0.2">
      <c r="A10956">
        <v>41098</v>
      </c>
      <c r="B10956" t="s">
        <v>23</v>
      </c>
      <c r="C10956">
        <v>41098</v>
      </c>
      <c r="D10956" t="str">
        <f>"41098"</f>
        <v>41098</v>
      </c>
      <c r="E10956">
        <v>63.08</v>
      </c>
    </row>
    <row r="10957" spans="1:5" x14ac:dyDescent="0.2">
      <c r="A10957">
        <v>41101</v>
      </c>
      <c r="B10957" t="s">
        <v>23</v>
      </c>
      <c r="C10957">
        <v>41101</v>
      </c>
      <c r="D10957" t="str">
        <f>"41101"</f>
        <v>41101</v>
      </c>
      <c r="E10957">
        <v>66.010000000000005</v>
      </c>
    </row>
    <row r="10958" spans="1:5" x14ac:dyDescent="0.2">
      <c r="A10958">
        <v>41102</v>
      </c>
      <c r="B10958" t="s">
        <v>23</v>
      </c>
      <c r="C10958">
        <v>41102</v>
      </c>
      <c r="D10958" t="str">
        <f>"41102"</f>
        <v>41102</v>
      </c>
      <c r="E10958">
        <v>69.33</v>
      </c>
    </row>
    <row r="10959" spans="1:5" x14ac:dyDescent="0.2">
      <c r="A10959">
        <v>41121</v>
      </c>
      <c r="B10959" t="s">
        <v>23</v>
      </c>
      <c r="C10959">
        <v>41121</v>
      </c>
      <c r="D10959" t="str">
        <f>"41121"</f>
        <v>41121</v>
      </c>
      <c r="E10959">
        <v>65.63</v>
      </c>
    </row>
    <row r="10960" spans="1:5" x14ac:dyDescent="0.2">
      <c r="A10960">
        <v>41124</v>
      </c>
      <c r="B10960" t="s">
        <v>23</v>
      </c>
      <c r="C10960">
        <v>41124</v>
      </c>
      <c r="D10960" t="str">
        <f>"41124"</f>
        <v>41124</v>
      </c>
      <c r="E10960">
        <v>58.62</v>
      </c>
    </row>
    <row r="10961" spans="1:5" x14ac:dyDescent="0.2">
      <c r="A10961">
        <v>41129</v>
      </c>
      <c r="B10961" t="s">
        <v>23</v>
      </c>
      <c r="C10961">
        <v>41129</v>
      </c>
      <c r="D10961" t="str">
        <f>"41129"</f>
        <v>41129</v>
      </c>
      <c r="E10961">
        <v>72.19</v>
      </c>
    </row>
    <row r="10962" spans="1:5" x14ac:dyDescent="0.2">
      <c r="A10962">
        <v>41132</v>
      </c>
      <c r="B10962" t="s">
        <v>23</v>
      </c>
      <c r="C10962">
        <v>41132</v>
      </c>
      <c r="D10962" t="str">
        <f>"41132"</f>
        <v>41132</v>
      </c>
      <c r="E10962">
        <v>61.54</v>
      </c>
    </row>
    <row r="10963" spans="1:5" x14ac:dyDescent="0.2">
      <c r="A10963">
        <v>41135</v>
      </c>
      <c r="B10963" t="s">
        <v>23</v>
      </c>
      <c r="C10963">
        <v>41135</v>
      </c>
      <c r="D10963" t="str">
        <f>"41135"</f>
        <v>41135</v>
      </c>
      <c r="E10963" t="s">
        <v>6</v>
      </c>
    </row>
    <row r="10964" spans="1:5" x14ac:dyDescent="0.2">
      <c r="A10964">
        <v>41139</v>
      </c>
      <c r="B10964" t="s">
        <v>23</v>
      </c>
      <c r="C10964">
        <v>41139</v>
      </c>
      <c r="D10964" t="str">
        <f>"41139"</f>
        <v>41139</v>
      </c>
      <c r="E10964">
        <v>68.42</v>
      </c>
    </row>
    <row r="10965" spans="1:5" x14ac:dyDescent="0.2">
      <c r="A10965">
        <v>41141</v>
      </c>
      <c r="B10965" t="s">
        <v>23</v>
      </c>
      <c r="C10965">
        <v>41141</v>
      </c>
      <c r="D10965" t="str">
        <f>"41141"</f>
        <v>41141</v>
      </c>
      <c r="E10965">
        <v>61.45</v>
      </c>
    </row>
    <row r="10966" spans="1:5" x14ac:dyDescent="0.2">
      <c r="A10966">
        <v>41143</v>
      </c>
      <c r="B10966" t="s">
        <v>23</v>
      </c>
      <c r="C10966">
        <v>41143</v>
      </c>
      <c r="D10966" t="str">
        <f>"41143"</f>
        <v>41143</v>
      </c>
      <c r="E10966">
        <v>65.61</v>
      </c>
    </row>
    <row r="10967" spans="1:5" x14ac:dyDescent="0.2">
      <c r="A10967">
        <v>41144</v>
      </c>
      <c r="B10967" t="s">
        <v>23</v>
      </c>
      <c r="C10967">
        <v>41144</v>
      </c>
      <c r="D10967" t="str">
        <f>"41144"</f>
        <v>41144</v>
      </c>
      <c r="E10967">
        <v>67.34</v>
      </c>
    </row>
    <row r="10968" spans="1:5" x14ac:dyDescent="0.2">
      <c r="A10968">
        <v>41146</v>
      </c>
      <c r="B10968" t="s">
        <v>23</v>
      </c>
      <c r="C10968">
        <v>41146</v>
      </c>
      <c r="D10968" t="str">
        <f>"41146"</f>
        <v>41146</v>
      </c>
      <c r="E10968">
        <v>52.63</v>
      </c>
    </row>
    <row r="10969" spans="1:5" x14ac:dyDescent="0.2">
      <c r="A10969">
        <v>41149</v>
      </c>
      <c r="B10969" t="s">
        <v>23</v>
      </c>
      <c r="C10969">
        <v>41149</v>
      </c>
      <c r="D10969" t="str">
        <f>"41149"</f>
        <v>41149</v>
      </c>
      <c r="E10969">
        <v>50</v>
      </c>
    </row>
    <row r="10970" spans="1:5" x14ac:dyDescent="0.2">
      <c r="A10970">
        <v>41159</v>
      </c>
      <c r="B10970" t="s">
        <v>23</v>
      </c>
      <c r="C10970">
        <v>41159</v>
      </c>
      <c r="D10970" t="str">
        <f>"41159"</f>
        <v>41159</v>
      </c>
      <c r="E10970">
        <v>40</v>
      </c>
    </row>
    <row r="10971" spans="1:5" x14ac:dyDescent="0.2">
      <c r="A10971">
        <v>41164</v>
      </c>
      <c r="B10971" t="s">
        <v>23</v>
      </c>
      <c r="C10971">
        <v>41164</v>
      </c>
      <c r="D10971" t="str">
        <f>"41164"</f>
        <v>41164</v>
      </c>
      <c r="E10971">
        <v>61.73</v>
      </c>
    </row>
    <row r="10972" spans="1:5" x14ac:dyDescent="0.2">
      <c r="A10972">
        <v>41166</v>
      </c>
      <c r="B10972" t="s">
        <v>23</v>
      </c>
      <c r="C10972">
        <v>41166</v>
      </c>
      <c r="D10972" t="str">
        <f>"41166"</f>
        <v>41166</v>
      </c>
      <c r="E10972">
        <v>62.5</v>
      </c>
    </row>
    <row r="10973" spans="1:5" x14ac:dyDescent="0.2">
      <c r="A10973">
        <v>41168</v>
      </c>
      <c r="B10973" t="s">
        <v>23</v>
      </c>
      <c r="C10973">
        <v>41168</v>
      </c>
      <c r="D10973" t="str">
        <f>"41168"</f>
        <v>41168</v>
      </c>
      <c r="E10973">
        <v>66.959999999999994</v>
      </c>
    </row>
    <row r="10974" spans="1:5" x14ac:dyDescent="0.2">
      <c r="A10974">
        <v>41169</v>
      </c>
      <c r="B10974" t="s">
        <v>23</v>
      </c>
      <c r="C10974">
        <v>41169</v>
      </c>
      <c r="D10974" t="str">
        <f>"41169"</f>
        <v>41169</v>
      </c>
      <c r="E10974">
        <v>73.75</v>
      </c>
    </row>
    <row r="10975" spans="1:5" x14ac:dyDescent="0.2">
      <c r="A10975">
        <v>41171</v>
      </c>
      <c r="B10975" t="s">
        <v>23</v>
      </c>
      <c r="C10975">
        <v>41171</v>
      </c>
      <c r="D10975" t="str">
        <f>"41171"</f>
        <v>41171</v>
      </c>
      <c r="E10975">
        <v>62.41</v>
      </c>
    </row>
    <row r="10976" spans="1:5" x14ac:dyDescent="0.2">
      <c r="A10976">
        <v>41174</v>
      </c>
      <c r="B10976" t="s">
        <v>23</v>
      </c>
      <c r="C10976">
        <v>41174</v>
      </c>
      <c r="D10976" t="str">
        <f>"41174"</f>
        <v>41174</v>
      </c>
      <c r="E10976">
        <v>70</v>
      </c>
    </row>
    <row r="10977" spans="1:5" x14ac:dyDescent="0.2">
      <c r="A10977">
        <v>41175</v>
      </c>
      <c r="B10977" t="s">
        <v>23</v>
      </c>
      <c r="C10977">
        <v>41175</v>
      </c>
      <c r="D10977" t="str">
        <f>"41175"</f>
        <v>41175</v>
      </c>
      <c r="E10977">
        <v>66.67</v>
      </c>
    </row>
    <row r="10978" spans="1:5" x14ac:dyDescent="0.2">
      <c r="A10978">
        <v>41179</v>
      </c>
      <c r="B10978" t="s">
        <v>23</v>
      </c>
      <c r="C10978">
        <v>41179</v>
      </c>
      <c r="D10978" t="str">
        <f>"41179"</f>
        <v>41179</v>
      </c>
      <c r="E10978">
        <v>57.75</v>
      </c>
    </row>
    <row r="10979" spans="1:5" x14ac:dyDescent="0.2">
      <c r="A10979">
        <v>41180</v>
      </c>
      <c r="B10979" t="s">
        <v>23</v>
      </c>
      <c r="C10979">
        <v>41180</v>
      </c>
      <c r="D10979" t="str">
        <f>"41180"</f>
        <v>41180</v>
      </c>
      <c r="E10979">
        <v>61.29</v>
      </c>
    </row>
    <row r="10980" spans="1:5" x14ac:dyDescent="0.2">
      <c r="A10980">
        <v>41183</v>
      </c>
      <c r="B10980" t="s">
        <v>23</v>
      </c>
      <c r="C10980">
        <v>41183</v>
      </c>
      <c r="D10980" t="str">
        <f>"41183"</f>
        <v>41183</v>
      </c>
      <c r="E10980">
        <v>73.91</v>
      </c>
    </row>
    <row r="10981" spans="1:5" x14ac:dyDescent="0.2">
      <c r="A10981">
        <v>41189</v>
      </c>
      <c r="B10981" t="s">
        <v>23</v>
      </c>
      <c r="C10981">
        <v>41189</v>
      </c>
      <c r="D10981" t="str">
        <f>"41189"</f>
        <v>41189</v>
      </c>
      <c r="E10981">
        <v>65.98</v>
      </c>
    </row>
    <row r="10982" spans="1:5" x14ac:dyDescent="0.2">
      <c r="A10982">
        <v>41201</v>
      </c>
      <c r="B10982" t="s">
        <v>23</v>
      </c>
      <c r="C10982">
        <v>41201</v>
      </c>
      <c r="D10982" t="str">
        <f>"41201"</f>
        <v>41201</v>
      </c>
      <c r="E10982" t="s">
        <v>6</v>
      </c>
    </row>
    <row r="10983" spans="1:5" x14ac:dyDescent="0.2">
      <c r="A10983">
        <v>41203</v>
      </c>
      <c r="B10983" t="s">
        <v>23</v>
      </c>
      <c r="C10983">
        <v>41203</v>
      </c>
      <c r="D10983" t="str">
        <f>"41203"</f>
        <v>41203</v>
      </c>
      <c r="E10983">
        <v>53.85</v>
      </c>
    </row>
    <row r="10984" spans="1:5" x14ac:dyDescent="0.2">
      <c r="A10984">
        <v>41204</v>
      </c>
      <c r="B10984" t="s">
        <v>23</v>
      </c>
      <c r="C10984">
        <v>41204</v>
      </c>
      <c r="D10984" t="str">
        <f>"41204"</f>
        <v>41204</v>
      </c>
      <c r="E10984">
        <v>53.33</v>
      </c>
    </row>
    <row r="10985" spans="1:5" x14ac:dyDescent="0.2">
      <c r="A10985">
        <v>41214</v>
      </c>
      <c r="B10985" t="s">
        <v>23</v>
      </c>
      <c r="C10985">
        <v>41214</v>
      </c>
      <c r="D10985" t="str">
        <f>"41214"</f>
        <v>41214</v>
      </c>
      <c r="E10985">
        <v>50</v>
      </c>
    </row>
    <row r="10986" spans="1:5" x14ac:dyDescent="0.2">
      <c r="A10986">
        <v>41216</v>
      </c>
      <c r="B10986" t="s">
        <v>23</v>
      </c>
      <c r="C10986">
        <v>41216</v>
      </c>
      <c r="D10986" t="str">
        <f>"41216"</f>
        <v>41216</v>
      </c>
      <c r="E10986">
        <v>67.5</v>
      </c>
    </row>
    <row r="10987" spans="1:5" x14ac:dyDescent="0.2">
      <c r="A10987">
        <v>41219</v>
      </c>
      <c r="B10987" t="s">
        <v>23</v>
      </c>
      <c r="C10987">
        <v>41219</v>
      </c>
      <c r="D10987" t="str">
        <f>"41219"</f>
        <v>41219</v>
      </c>
      <c r="E10987">
        <v>62.9</v>
      </c>
    </row>
    <row r="10988" spans="1:5" x14ac:dyDescent="0.2">
      <c r="A10988">
        <v>41222</v>
      </c>
      <c r="B10988" t="s">
        <v>23</v>
      </c>
      <c r="C10988">
        <v>41222</v>
      </c>
      <c r="D10988" t="str">
        <f>"41222"</f>
        <v>41222</v>
      </c>
      <c r="E10988">
        <v>62.79</v>
      </c>
    </row>
    <row r="10989" spans="1:5" x14ac:dyDescent="0.2">
      <c r="A10989">
        <v>41224</v>
      </c>
      <c r="B10989" t="s">
        <v>23</v>
      </c>
      <c r="C10989">
        <v>41224</v>
      </c>
      <c r="D10989" t="str">
        <f>"41224"</f>
        <v>41224</v>
      </c>
      <c r="E10989">
        <v>61.33</v>
      </c>
    </row>
    <row r="10990" spans="1:5" x14ac:dyDescent="0.2">
      <c r="A10990">
        <v>41226</v>
      </c>
      <c r="B10990" t="s">
        <v>23</v>
      </c>
      <c r="C10990">
        <v>41226</v>
      </c>
      <c r="D10990" t="str">
        <f>"41226"</f>
        <v>41226</v>
      </c>
      <c r="E10990" t="s">
        <v>6</v>
      </c>
    </row>
    <row r="10991" spans="1:5" x14ac:dyDescent="0.2">
      <c r="A10991">
        <v>41230</v>
      </c>
      <c r="B10991" t="s">
        <v>23</v>
      </c>
      <c r="C10991">
        <v>41230</v>
      </c>
      <c r="D10991" t="str">
        <f>"41230"</f>
        <v>41230</v>
      </c>
      <c r="E10991">
        <v>62.35</v>
      </c>
    </row>
    <row r="10992" spans="1:5" x14ac:dyDescent="0.2">
      <c r="A10992">
        <v>41231</v>
      </c>
      <c r="B10992" t="s">
        <v>23</v>
      </c>
      <c r="C10992">
        <v>41231</v>
      </c>
      <c r="D10992" t="str">
        <f>"41231"</f>
        <v>41231</v>
      </c>
      <c r="E10992">
        <v>58.62</v>
      </c>
    </row>
    <row r="10993" spans="1:5" x14ac:dyDescent="0.2">
      <c r="A10993">
        <v>41232</v>
      </c>
      <c r="B10993" t="s">
        <v>23</v>
      </c>
      <c r="C10993">
        <v>41232</v>
      </c>
      <c r="D10993" t="str">
        <f>"41232"</f>
        <v>41232</v>
      </c>
      <c r="E10993">
        <v>57.14</v>
      </c>
    </row>
    <row r="10994" spans="1:5" x14ac:dyDescent="0.2">
      <c r="A10994">
        <v>41234</v>
      </c>
      <c r="B10994" t="s">
        <v>23</v>
      </c>
      <c r="C10994">
        <v>41234</v>
      </c>
      <c r="D10994" t="str">
        <f>"41234"</f>
        <v>41234</v>
      </c>
      <c r="E10994">
        <v>52.63</v>
      </c>
    </row>
    <row r="10995" spans="1:5" x14ac:dyDescent="0.2">
      <c r="A10995">
        <v>41238</v>
      </c>
      <c r="B10995" t="s">
        <v>23</v>
      </c>
      <c r="C10995">
        <v>41238</v>
      </c>
      <c r="D10995" t="str">
        <f>"41238"</f>
        <v>41238</v>
      </c>
      <c r="E10995">
        <v>65</v>
      </c>
    </row>
    <row r="10996" spans="1:5" x14ac:dyDescent="0.2">
      <c r="A10996">
        <v>41240</v>
      </c>
      <c r="B10996" t="s">
        <v>23</v>
      </c>
      <c r="C10996">
        <v>41240</v>
      </c>
      <c r="D10996" t="str">
        <f>"41240"</f>
        <v>41240</v>
      </c>
      <c r="E10996">
        <v>64.47</v>
      </c>
    </row>
    <row r="10997" spans="1:5" x14ac:dyDescent="0.2">
      <c r="A10997">
        <v>41250</v>
      </c>
      <c r="B10997" t="s">
        <v>23</v>
      </c>
      <c r="C10997">
        <v>41250</v>
      </c>
      <c r="D10997" t="str">
        <f>"41250"</f>
        <v>41250</v>
      </c>
      <c r="E10997">
        <v>50</v>
      </c>
    </row>
    <row r="10998" spans="1:5" x14ac:dyDescent="0.2">
      <c r="A10998">
        <v>41254</v>
      </c>
      <c r="B10998" t="s">
        <v>23</v>
      </c>
      <c r="C10998">
        <v>41254</v>
      </c>
      <c r="D10998" t="str">
        <f>"41254"</f>
        <v>41254</v>
      </c>
      <c r="E10998">
        <v>58.82</v>
      </c>
    </row>
    <row r="10999" spans="1:5" x14ac:dyDescent="0.2">
      <c r="A10999">
        <v>41255</v>
      </c>
      <c r="B10999" t="s">
        <v>23</v>
      </c>
      <c r="C10999">
        <v>41255</v>
      </c>
      <c r="D10999" t="str">
        <f>"41255"</f>
        <v>41255</v>
      </c>
      <c r="E10999">
        <v>57.58</v>
      </c>
    </row>
    <row r="11000" spans="1:5" x14ac:dyDescent="0.2">
      <c r="A11000">
        <v>41256</v>
      </c>
      <c r="B11000" t="s">
        <v>23</v>
      </c>
      <c r="C11000">
        <v>41256</v>
      </c>
      <c r="D11000" t="str">
        <f>"41256"</f>
        <v>41256</v>
      </c>
      <c r="E11000">
        <v>71.25</v>
      </c>
    </row>
    <row r="11001" spans="1:5" x14ac:dyDescent="0.2">
      <c r="A11001">
        <v>41257</v>
      </c>
      <c r="B11001" t="s">
        <v>23</v>
      </c>
      <c r="C11001">
        <v>41257</v>
      </c>
      <c r="D11001" t="str">
        <f>"41257"</f>
        <v>41257</v>
      </c>
      <c r="E11001">
        <v>55.56</v>
      </c>
    </row>
    <row r="11002" spans="1:5" x14ac:dyDescent="0.2">
      <c r="A11002">
        <v>41260</v>
      </c>
      <c r="B11002" t="s">
        <v>23</v>
      </c>
      <c r="C11002">
        <v>41260</v>
      </c>
      <c r="D11002" t="str">
        <f>"41260"</f>
        <v>41260</v>
      </c>
      <c r="E11002">
        <v>60.87</v>
      </c>
    </row>
    <row r="11003" spans="1:5" x14ac:dyDescent="0.2">
      <c r="A11003">
        <v>41262</v>
      </c>
      <c r="B11003" t="s">
        <v>23</v>
      </c>
      <c r="C11003">
        <v>41262</v>
      </c>
      <c r="D11003" t="str">
        <f>"41262"</f>
        <v>41262</v>
      </c>
      <c r="E11003">
        <v>47.06</v>
      </c>
    </row>
    <row r="11004" spans="1:5" x14ac:dyDescent="0.2">
      <c r="A11004">
        <v>41263</v>
      </c>
      <c r="B11004" t="s">
        <v>23</v>
      </c>
      <c r="C11004">
        <v>41263</v>
      </c>
      <c r="D11004" t="str">
        <f>"41263"</f>
        <v>41263</v>
      </c>
      <c r="E11004">
        <v>58.33</v>
      </c>
    </row>
    <row r="11005" spans="1:5" x14ac:dyDescent="0.2">
      <c r="A11005">
        <v>41264</v>
      </c>
      <c r="B11005" t="s">
        <v>23</v>
      </c>
      <c r="C11005">
        <v>41264</v>
      </c>
      <c r="D11005" t="str">
        <f>"41264"</f>
        <v>41264</v>
      </c>
      <c r="E11005">
        <v>50</v>
      </c>
    </row>
    <row r="11006" spans="1:5" x14ac:dyDescent="0.2">
      <c r="A11006">
        <v>41265</v>
      </c>
      <c r="B11006" t="s">
        <v>23</v>
      </c>
      <c r="C11006">
        <v>41265</v>
      </c>
      <c r="D11006" t="str">
        <f>"41265"</f>
        <v>41265</v>
      </c>
      <c r="E11006">
        <v>65.52</v>
      </c>
    </row>
    <row r="11007" spans="1:5" x14ac:dyDescent="0.2">
      <c r="A11007">
        <v>41267</v>
      </c>
      <c r="B11007" t="s">
        <v>23</v>
      </c>
      <c r="C11007">
        <v>41267</v>
      </c>
      <c r="D11007" t="str">
        <f>"41267"</f>
        <v>41267</v>
      </c>
      <c r="E11007">
        <v>42.31</v>
      </c>
    </row>
    <row r="11008" spans="1:5" x14ac:dyDescent="0.2">
      <c r="A11008">
        <v>41268</v>
      </c>
      <c r="B11008" t="s">
        <v>23</v>
      </c>
      <c r="C11008">
        <v>41268</v>
      </c>
      <c r="D11008" t="str">
        <f>"41268"</f>
        <v>41268</v>
      </c>
      <c r="E11008">
        <v>59.09</v>
      </c>
    </row>
    <row r="11009" spans="1:5" x14ac:dyDescent="0.2">
      <c r="A11009">
        <v>41271</v>
      </c>
      <c r="B11009" t="s">
        <v>23</v>
      </c>
      <c r="C11009">
        <v>41271</v>
      </c>
      <c r="D11009" t="str">
        <f>"41271"</f>
        <v>41271</v>
      </c>
      <c r="E11009" t="s">
        <v>6</v>
      </c>
    </row>
    <row r="11010" spans="1:5" x14ac:dyDescent="0.2">
      <c r="A11010">
        <v>41274</v>
      </c>
      <c r="B11010" t="s">
        <v>23</v>
      </c>
      <c r="C11010">
        <v>41274</v>
      </c>
      <c r="D11010" t="str">
        <f>"41274"</f>
        <v>41274</v>
      </c>
      <c r="E11010">
        <v>62.07</v>
      </c>
    </row>
    <row r="11011" spans="1:5" x14ac:dyDescent="0.2">
      <c r="A11011">
        <v>41301</v>
      </c>
      <c r="B11011" t="s">
        <v>23</v>
      </c>
      <c r="C11011">
        <v>41301</v>
      </c>
      <c r="D11011" t="str">
        <f>"41301"</f>
        <v>41301</v>
      </c>
      <c r="E11011">
        <v>54.5</v>
      </c>
    </row>
    <row r="11012" spans="1:5" x14ac:dyDescent="0.2">
      <c r="A11012">
        <v>41311</v>
      </c>
      <c r="B11012" t="s">
        <v>23</v>
      </c>
      <c r="C11012">
        <v>41311</v>
      </c>
      <c r="D11012" t="str">
        <f>"41311"</f>
        <v>41311</v>
      </c>
      <c r="E11012">
        <v>57.45</v>
      </c>
    </row>
    <row r="11013" spans="1:5" x14ac:dyDescent="0.2">
      <c r="A11013">
        <v>41314</v>
      </c>
      <c r="B11013" t="s">
        <v>23</v>
      </c>
      <c r="C11013">
        <v>41314</v>
      </c>
      <c r="D11013" t="str">
        <f>"41314"</f>
        <v>41314</v>
      </c>
      <c r="E11013">
        <v>54.07</v>
      </c>
    </row>
    <row r="11014" spans="1:5" x14ac:dyDescent="0.2">
      <c r="A11014">
        <v>41317</v>
      </c>
      <c r="B11014" t="s">
        <v>23</v>
      </c>
      <c r="C11014">
        <v>41317</v>
      </c>
      <c r="D11014" t="str">
        <f>"41317"</f>
        <v>41317</v>
      </c>
      <c r="E11014">
        <v>54.55</v>
      </c>
    </row>
    <row r="11015" spans="1:5" x14ac:dyDescent="0.2">
      <c r="A11015">
        <v>41332</v>
      </c>
      <c r="B11015" t="s">
        <v>23</v>
      </c>
      <c r="C11015">
        <v>41332</v>
      </c>
      <c r="D11015" t="str">
        <f>"41332"</f>
        <v>41332</v>
      </c>
      <c r="E11015">
        <v>55</v>
      </c>
    </row>
    <row r="11016" spans="1:5" x14ac:dyDescent="0.2">
      <c r="A11016">
        <v>41339</v>
      </c>
      <c r="B11016" t="s">
        <v>23</v>
      </c>
      <c r="C11016">
        <v>41339</v>
      </c>
      <c r="D11016" t="str">
        <f>"41339"</f>
        <v>41339</v>
      </c>
      <c r="E11016">
        <v>60.73</v>
      </c>
    </row>
    <row r="11017" spans="1:5" x14ac:dyDescent="0.2">
      <c r="A11017">
        <v>41347</v>
      </c>
      <c r="B11017" t="s">
        <v>23</v>
      </c>
      <c r="C11017">
        <v>41347</v>
      </c>
      <c r="D11017" t="str">
        <f>"41347"</f>
        <v>41347</v>
      </c>
      <c r="E11017" t="s">
        <v>6</v>
      </c>
    </row>
    <row r="11018" spans="1:5" x14ac:dyDescent="0.2">
      <c r="A11018">
        <v>41348</v>
      </c>
      <c r="B11018" t="s">
        <v>23</v>
      </c>
      <c r="C11018">
        <v>41348</v>
      </c>
      <c r="D11018" t="str">
        <f>"41348"</f>
        <v>41348</v>
      </c>
      <c r="E11018">
        <v>57.78</v>
      </c>
    </row>
    <row r="11019" spans="1:5" x14ac:dyDescent="0.2">
      <c r="A11019">
        <v>41351</v>
      </c>
      <c r="B11019" t="s">
        <v>23</v>
      </c>
      <c r="C11019">
        <v>41351</v>
      </c>
      <c r="D11019" t="str">
        <f>"41351"</f>
        <v>41351</v>
      </c>
      <c r="E11019" t="s">
        <v>6</v>
      </c>
    </row>
    <row r="11020" spans="1:5" x14ac:dyDescent="0.2">
      <c r="A11020">
        <v>41352</v>
      </c>
      <c r="B11020" t="s">
        <v>23</v>
      </c>
      <c r="C11020">
        <v>41352</v>
      </c>
      <c r="D11020" t="str">
        <f>"41352"</f>
        <v>41352</v>
      </c>
      <c r="E11020">
        <v>57.89</v>
      </c>
    </row>
    <row r="11021" spans="1:5" x14ac:dyDescent="0.2">
      <c r="A11021">
        <v>41360</v>
      </c>
      <c r="B11021" t="s">
        <v>23</v>
      </c>
      <c r="C11021">
        <v>41360</v>
      </c>
      <c r="D11021" t="str">
        <f>"41360"</f>
        <v>41360</v>
      </c>
      <c r="E11021">
        <v>53.85</v>
      </c>
    </row>
    <row r="11022" spans="1:5" x14ac:dyDescent="0.2">
      <c r="A11022">
        <v>41364</v>
      </c>
      <c r="B11022" t="s">
        <v>23</v>
      </c>
      <c r="C11022">
        <v>41364</v>
      </c>
      <c r="D11022" t="str">
        <f>"41364"</f>
        <v>41364</v>
      </c>
      <c r="E11022" t="s">
        <v>6</v>
      </c>
    </row>
    <row r="11023" spans="1:5" x14ac:dyDescent="0.2">
      <c r="A11023">
        <v>41365</v>
      </c>
      <c r="B11023" t="s">
        <v>23</v>
      </c>
      <c r="C11023">
        <v>41365</v>
      </c>
      <c r="D11023" t="str">
        <f>"41365"</f>
        <v>41365</v>
      </c>
      <c r="E11023">
        <v>56.25</v>
      </c>
    </row>
    <row r="11024" spans="1:5" x14ac:dyDescent="0.2">
      <c r="A11024">
        <v>41366</v>
      </c>
      <c r="B11024" t="s">
        <v>23</v>
      </c>
      <c r="C11024">
        <v>41366</v>
      </c>
      <c r="D11024" t="str">
        <f>"41366"</f>
        <v>41366</v>
      </c>
      <c r="E11024" t="s">
        <v>6</v>
      </c>
    </row>
    <row r="11025" spans="1:5" x14ac:dyDescent="0.2">
      <c r="A11025">
        <v>41367</v>
      </c>
      <c r="B11025" t="s">
        <v>23</v>
      </c>
      <c r="C11025">
        <v>41367</v>
      </c>
      <c r="D11025" t="str">
        <f>"41367"</f>
        <v>41367</v>
      </c>
      <c r="E11025" t="s">
        <v>6</v>
      </c>
    </row>
    <row r="11026" spans="1:5" x14ac:dyDescent="0.2">
      <c r="A11026">
        <v>41385</v>
      </c>
      <c r="B11026" t="s">
        <v>23</v>
      </c>
      <c r="C11026">
        <v>41385</v>
      </c>
      <c r="D11026" t="str">
        <f>"41385"</f>
        <v>41385</v>
      </c>
      <c r="E11026">
        <v>59.09</v>
      </c>
    </row>
    <row r="11027" spans="1:5" x14ac:dyDescent="0.2">
      <c r="A11027">
        <v>41386</v>
      </c>
      <c r="B11027" t="s">
        <v>23</v>
      </c>
      <c r="C11027">
        <v>41386</v>
      </c>
      <c r="D11027" t="str">
        <f>"41386"</f>
        <v>41386</v>
      </c>
      <c r="E11027" t="s">
        <v>6</v>
      </c>
    </row>
    <row r="11028" spans="1:5" x14ac:dyDescent="0.2">
      <c r="A11028">
        <v>41390</v>
      </c>
      <c r="B11028" t="s">
        <v>23</v>
      </c>
      <c r="C11028">
        <v>41390</v>
      </c>
      <c r="D11028" t="str">
        <f>"41390"</f>
        <v>41390</v>
      </c>
      <c r="E11028" t="s">
        <v>6</v>
      </c>
    </row>
    <row r="11029" spans="1:5" x14ac:dyDescent="0.2">
      <c r="A11029">
        <v>41397</v>
      </c>
      <c r="B11029" t="s">
        <v>23</v>
      </c>
      <c r="C11029">
        <v>41397</v>
      </c>
      <c r="D11029" t="str">
        <f>"41397"</f>
        <v>41397</v>
      </c>
      <c r="E11029" t="s">
        <v>6</v>
      </c>
    </row>
    <row r="11030" spans="1:5" x14ac:dyDescent="0.2">
      <c r="A11030">
        <v>41408</v>
      </c>
      <c r="B11030" t="s">
        <v>23</v>
      </c>
      <c r="C11030">
        <v>41408</v>
      </c>
      <c r="D11030" t="str">
        <f>"41408"</f>
        <v>41408</v>
      </c>
      <c r="E11030">
        <v>50</v>
      </c>
    </row>
    <row r="11031" spans="1:5" x14ac:dyDescent="0.2">
      <c r="A11031">
        <v>41421</v>
      </c>
      <c r="B11031" t="s">
        <v>23</v>
      </c>
      <c r="C11031">
        <v>41421</v>
      </c>
      <c r="D11031" t="str">
        <f>"41421"</f>
        <v>41421</v>
      </c>
      <c r="E11031">
        <v>60</v>
      </c>
    </row>
    <row r="11032" spans="1:5" x14ac:dyDescent="0.2">
      <c r="A11032">
        <v>41425</v>
      </c>
      <c r="B11032" t="s">
        <v>23</v>
      </c>
      <c r="C11032">
        <v>41425</v>
      </c>
      <c r="D11032" t="str">
        <f>"41425"</f>
        <v>41425</v>
      </c>
      <c r="E11032">
        <v>60</v>
      </c>
    </row>
    <row r="11033" spans="1:5" x14ac:dyDescent="0.2">
      <c r="A11033">
        <v>41464</v>
      </c>
      <c r="B11033" t="s">
        <v>23</v>
      </c>
      <c r="C11033">
        <v>41464</v>
      </c>
      <c r="D11033" t="str">
        <f>"41464"</f>
        <v>41464</v>
      </c>
      <c r="E11033">
        <v>61.54</v>
      </c>
    </row>
    <row r="11034" spans="1:5" x14ac:dyDescent="0.2">
      <c r="A11034">
        <v>41465</v>
      </c>
      <c r="B11034" t="s">
        <v>23</v>
      </c>
      <c r="C11034">
        <v>41465</v>
      </c>
      <c r="D11034" t="str">
        <f>"41465"</f>
        <v>41465</v>
      </c>
      <c r="E11034">
        <v>57.95</v>
      </c>
    </row>
    <row r="11035" spans="1:5" x14ac:dyDescent="0.2">
      <c r="A11035">
        <v>41472</v>
      </c>
      <c r="B11035" t="s">
        <v>23</v>
      </c>
      <c r="C11035">
        <v>41472</v>
      </c>
      <c r="D11035" t="str">
        <f>"41472"</f>
        <v>41472</v>
      </c>
      <c r="E11035">
        <v>63.23</v>
      </c>
    </row>
    <row r="11036" spans="1:5" x14ac:dyDescent="0.2">
      <c r="A11036">
        <v>41501</v>
      </c>
      <c r="B11036" t="s">
        <v>23</v>
      </c>
      <c r="C11036">
        <v>41501</v>
      </c>
      <c r="D11036" t="str">
        <f>"41501"</f>
        <v>41501</v>
      </c>
      <c r="E11036">
        <v>65.12</v>
      </c>
    </row>
    <row r="11037" spans="1:5" x14ac:dyDescent="0.2">
      <c r="A11037">
        <v>41503</v>
      </c>
      <c r="B11037" t="s">
        <v>23</v>
      </c>
      <c r="C11037">
        <v>41503</v>
      </c>
      <c r="D11037" t="str">
        <f>"41503"</f>
        <v>41503</v>
      </c>
      <c r="E11037">
        <v>69.569999999999993</v>
      </c>
    </row>
    <row r="11038" spans="1:5" x14ac:dyDescent="0.2">
      <c r="A11038">
        <v>41512</v>
      </c>
      <c r="B11038" t="s">
        <v>23</v>
      </c>
      <c r="C11038">
        <v>41512</v>
      </c>
      <c r="D11038" t="str">
        <f>"41512"</f>
        <v>41512</v>
      </c>
      <c r="E11038">
        <v>55</v>
      </c>
    </row>
    <row r="11039" spans="1:5" x14ac:dyDescent="0.2">
      <c r="A11039">
        <v>41513</v>
      </c>
      <c r="B11039" t="s">
        <v>23</v>
      </c>
      <c r="C11039">
        <v>41513</v>
      </c>
      <c r="D11039" t="str">
        <f>"41513"</f>
        <v>41513</v>
      </c>
      <c r="E11039">
        <v>57.14</v>
      </c>
    </row>
    <row r="11040" spans="1:5" x14ac:dyDescent="0.2">
      <c r="A11040">
        <v>41514</v>
      </c>
      <c r="B11040" t="s">
        <v>23</v>
      </c>
      <c r="C11040">
        <v>41514</v>
      </c>
      <c r="D11040" t="str">
        <f>"41514"</f>
        <v>41514</v>
      </c>
      <c r="E11040">
        <v>62.18</v>
      </c>
    </row>
    <row r="11041" spans="1:5" x14ac:dyDescent="0.2">
      <c r="A11041">
        <v>41519</v>
      </c>
      <c r="B11041" t="s">
        <v>23</v>
      </c>
      <c r="C11041">
        <v>41519</v>
      </c>
      <c r="D11041" t="str">
        <f>"41519"</f>
        <v>41519</v>
      </c>
      <c r="E11041">
        <v>64.709999999999994</v>
      </c>
    </row>
    <row r="11042" spans="1:5" x14ac:dyDescent="0.2">
      <c r="A11042">
        <v>41520</v>
      </c>
      <c r="B11042" t="s">
        <v>23</v>
      </c>
      <c r="C11042">
        <v>41520</v>
      </c>
      <c r="D11042" t="str">
        <f>"41520"</f>
        <v>41520</v>
      </c>
      <c r="E11042" t="s">
        <v>6</v>
      </c>
    </row>
    <row r="11043" spans="1:5" x14ac:dyDescent="0.2">
      <c r="A11043">
        <v>41522</v>
      </c>
      <c r="B11043" t="s">
        <v>23</v>
      </c>
      <c r="C11043">
        <v>41522</v>
      </c>
      <c r="D11043" t="str">
        <f>"41522"</f>
        <v>41522</v>
      </c>
      <c r="E11043">
        <v>58.33</v>
      </c>
    </row>
    <row r="11044" spans="1:5" x14ac:dyDescent="0.2">
      <c r="A11044">
        <v>41524</v>
      </c>
      <c r="B11044" t="s">
        <v>23</v>
      </c>
      <c r="C11044">
        <v>41524</v>
      </c>
      <c r="D11044" t="str">
        <f>"41524"</f>
        <v>41524</v>
      </c>
      <c r="E11044">
        <v>54.55</v>
      </c>
    </row>
    <row r="11045" spans="1:5" x14ac:dyDescent="0.2">
      <c r="A11045">
        <v>41526</v>
      </c>
      <c r="B11045" t="s">
        <v>23</v>
      </c>
      <c r="C11045">
        <v>41526</v>
      </c>
      <c r="D11045" t="str">
        <f>"41526"</f>
        <v>41526</v>
      </c>
      <c r="E11045" t="s">
        <v>6</v>
      </c>
    </row>
    <row r="11046" spans="1:5" x14ac:dyDescent="0.2">
      <c r="A11046">
        <v>41527</v>
      </c>
      <c r="B11046" t="s">
        <v>23</v>
      </c>
      <c r="C11046">
        <v>41527</v>
      </c>
      <c r="D11046" t="str">
        <f>"41527"</f>
        <v>41527</v>
      </c>
      <c r="E11046">
        <v>72.73</v>
      </c>
    </row>
    <row r="11047" spans="1:5" x14ac:dyDescent="0.2">
      <c r="A11047">
        <v>41528</v>
      </c>
      <c r="B11047" t="s">
        <v>23</v>
      </c>
      <c r="C11047">
        <v>41528</v>
      </c>
      <c r="D11047" t="str">
        <f>"41528"</f>
        <v>41528</v>
      </c>
      <c r="E11047">
        <v>53.33</v>
      </c>
    </row>
    <row r="11048" spans="1:5" x14ac:dyDescent="0.2">
      <c r="A11048">
        <v>41531</v>
      </c>
      <c r="B11048" t="s">
        <v>23</v>
      </c>
      <c r="C11048">
        <v>41531</v>
      </c>
      <c r="D11048" t="str">
        <f>"41531"</f>
        <v>41531</v>
      </c>
      <c r="E11048">
        <v>64.709999999999994</v>
      </c>
    </row>
    <row r="11049" spans="1:5" x14ac:dyDescent="0.2">
      <c r="A11049">
        <v>41534</v>
      </c>
      <c r="B11049" t="s">
        <v>23</v>
      </c>
      <c r="C11049">
        <v>41534</v>
      </c>
      <c r="D11049" t="str">
        <f>"41534"</f>
        <v>41534</v>
      </c>
      <c r="E11049" t="s">
        <v>6</v>
      </c>
    </row>
    <row r="11050" spans="1:5" x14ac:dyDescent="0.2">
      <c r="A11050">
        <v>41535</v>
      </c>
      <c r="B11050" t="s">
        <v>23</v>
      </c>
      <c r="C11050">
        <v>41535</v>
      </c>
      <c r="D11050" t="str">
        <f>"41535"</f>
        <v>41535</v>
      </c>
      <c r="E11050">
        <v>66.67</v>
      </c>
    </row>
    <row r="11051" spans="1:5" x14ac:dyDescent="0.2">
      <c r="A11051">
        <v>41537</v>
      </c>
      <c r="B11051" t="s">
        <v>23</v>
      </c>
      <c r="C11051">
        <v>41537</v>
      </c>
      <c r="D11051" t="str">
        <f>"41537"</f>
        <v>41537</v>
      </c>
      <c r="E11051">
        <v>56.72</v>
      </c>
    </row>
    <row r="11052" spans="1:5" x14ac:dyDescent="0.2">
      <c r="A11052">
        <v>41538</v>
      </c>
      <c r="B11052" t="s">
        <v>23</v>
      </c>
      <c r="C11052">
        <v>41538</v>
      </c>
      <c r="D11052" t="str">
        <f>"41538"</f>
        <v>41538</v>
      </c>
      <c r="E11052" t="s">
        <v>6</v>
      </c>
    </row>
    <row r="11053" spans="1:5" x14ac:dyDescent="0.2">
      <c r="A11053">
        <v>41539</v>
      </c>
      <c r="B11053" t="s">
        <v>23</v>
      </c>
      <c r="C11053">
        <v>41539</v>
      </c>
      <c r="D11053" t="str">
        <f>"41539"</f>
        <v>41539</v>
      </c>
      <c r="E11053">
        <v>64.150000000000006</v>
      </c>
    </row>
    <row r="11054" spans="1:5" x14ac:dyDescent="0.2">
      <c r="A11054">
        <v>41540</v>
      </c>
      <c r="B11054" t="s">
        <v>23</v>
      </c>
      <c r="C11054">
        <v>41540</v>
      </c>
      <c r="D11054" t="str">
        <f>"41540"</f>
        <v>41540</v>
      </c>
      <c r="E11054">
        <v>58.33</v>
      </c>
    </row>
    <row r="11055" spans="1:5" x14ac:dyDescent="0.2">
      <c r="A11055">
        <v>41543</v>
      </c>
      <c r="B11055" t="s">
        <v>23</v>
      </c>
      <c r="C11055">
        <v>41543</v>
      </c>
      <c r="D11055" t="str">
        <f>"41543"</f>
        <v>41543</v>
      </c>
      <c r="E11055">
        <v>60</v>
      </c>
    </row>
    <row r="11056" spans="1:5" x14ac:dyDescent="0.2">
      <c r="A11056">
        <v>41544</v>
      </c>
      <c r="B11056" t="s">
        <v>23</v>
      </c>
      <c r="C11056">
        <v>41544</v>
      </c>
      <c r="D11056" t="str">
        <f>"41544"</f>
        <v>41544</v>
      </c>
      <c r="E11056">
        <v>54.55</v>
      </c>
    </row>
    <row r="11057" spans="1:5" x14ac:dyDescent="0.2">
      <c r="A11057">
        <v>41547</v>
      </c>
      <c r="B11057" t="s">
        <v>23</v>
      </c>
      <c r="C11057">
        <v>41547</v>
      </c>
      <c r="D11057" t="str">
        <f>"41547"</f>
        <v>41547</v>
      </c>
      <c r="E11057" t="s">
        <v>6</v>
      </c>
    </row>
    <row r="11058" spans="1:5" x14ac:dyDescent="0.2">
      <c r="A11058">
        <v>41548</v>
      </c>
      <c r="B11058" t="s">
        <v>23</v>
      </c>
      <c r="C11058">
        <v>41548</v>
      </c>
      <c r="D11058" t="str">
        <f>"41548"</f>
        <v>41548</v>
      </c>
      <c r="E11058">
        <v>58.33</v>
      </c>
    </row>
    <row r="11059" spans="1:5" x14ac:dyDescent="0.2">
      <c r="A11059">
        <v>41549</v>
      </c>
      <c r="B11059" t="s">
        <v>23</v>
      </c>
      <c r="C11059">
        <v>41549</v>
      </c>
      <c r="D11059" t="str">
        <f>"41549"</f>
        <v>41549</v>
      </c>
      <c r="E11059" t="s">
        <v>6</v>
      </c>
    </row>
    <row r="11060" spans="1:5" x14ac:dyDescent="0.2">
      <c r="A11060">
        <v>41553</v>
      </c>
      <c r="B11060" t="s">
        <v>23</v>
      </c>
      <c r="C11060">
        <v>41553</v>
      </c>
      <c r="D11060" t="str">
        <f>"41553"</f>
        <v>41553</v>
      </c>
      <c r="E11060">
        <v>57.63</v>
      </c>
    </row>
    <row r="11061" spans="1:5" x14ac:dyDescent="0.2">
      <c r="A11061">
        <v>41554</v>
      </c>
      <c r="B11061" t="s">
        <v>23</v>
      </c>
      <c r="C11061">
        <v>41554</v>
      </c>
      <c r="D11061" t="str">
        <f>"41554"</f>
        <v>41554</v>
      </c>
      <c r="E11061">
        <v>60</v>
      </c>
    </row>
    <row r="11062" spans="1:5" x14ac:dyDescent="0.2">
      <c r="A11062">
        <v>41555</v>
      </c>
      <c r="B11062" t="s">
        <v>23</v>
      </c>
      <c r="C11062">
        <v>41555</v>
      </c>
      <c r="D11062" t="str">
        <f>"41555"</f>
        <v>41555</v>
      </c>
      <c r="E11062">
        <v>68.180000000000007</v>
      </c>
    </row>
    <row r="11063" spans="1:5" x14ac:dyDescent="0.2">
      <c r="A11063">
        <v>41557</v>
      </c>
      <c r="B11063" t="s">
        <v>23</v>
      </c>
      <c r="C11063">
        <v>41557</v>
      </c>
      <c r="D11063" t="str">
        <f>"41557"</f>
        <v>41557</v>
      </c>
      <c r="E11063">
        <v>64.290000000000006</v>
      </c>
    </row>
    <row r="11064" spans="1:5" x14ac:dyDescent="0.2">
      <c r="A11064">
        <v>41558</v>
      </c>
      <c r="B11064" t="s">
        <v>23</v>
      </c>
      <c r="C11064">
        <v>41558</v>
      </c>
      <c r="D11064" t="str">
        <f>"41558"</f>
        <v>41558</v>
      </c>
      <c r="E11064">
        <v>63.16</v>
      </c>
    </row>
    <row r="11065" spans="1:5" x14ac:dyDescent="0.2">
      <c r="A11065">
        <v>41559</v>
      </c>
      <c r="B11065" t="s">
        <v>23</v>
      </c>
      <c r="C11065">
        <v>41559</v>
      </c>
      <c r="D11065" t="str">
        <f>"41559"</f>
        <v>41559</v>
      </c>
      <c r="E11065">
        <v>58.82</v>
      </c>
    </row>
    <row r="11066" spans="1:5" x14ac:dyDescent="0.2">
      <c r="A11066">
        <v>41560</v>
      </c>
      <c r="B11066" t="s">
        <v>23</v>
      </c>
      <c r="C11066">
        <v>41560</v>
      </c>
      <c r="D11066" t="str">
        <f>"41560"</f>
        <v>41560</v>
      </c>
      <c r="E11066">
        <v>55</v>
      </c>
    </row>
    <row r="11067" spans="1:5" x14ac:dyDescent="0.2">
      <c r="A11067">
        <v>41562</v>
      </c>
      <c r="B11067" t="s">
        <v>23</v>
      </c>
      <c r="C11067">
        <v>41562</v>
      </c>
      <c r="D11067" t="str">
        <f>"41562"</f>
        <v>41562</v>
      </c>
      <c r="E11067">
        <v>59.21</v>
      </c>
    </row>
    <row r="11068" spans="1:5" x14ac:dyDescent="0.2">
      <c r="A11068">
        <v>41563</v>
      </c>
      <c r="B11068" t="s">
        <v>23</v>
      </c>
      <c r="C11068">
        <v>41563</v>
      </c>
      <c r="D11068" t="str">
        <f>"41563"</f>
        <v>41563</v>
      </c>
      <c r="E11068">
        <v>36.36</v>
      </c>
    </row>
    <row r="11069" spans="1:5" x14ac:dyDescent="0.2">
      <c r="A11069">
        <v>41564</v>
      </c>
      <c r="B11069" t="s">
        <v>23</v>
      </c>
      <c r="C11069">
        <v>41564</v>
      </c>
      <c r="D11069" t="str">
        <f>"41564"</f>
        <v>41564</v>
      </c>
      <c r="E11069">
        <v>61.29</v>
      </c>
    </row>
    <row r="11070" spans="1:5" x14ac:dyDescent="0.2">
      <c r="A11070">
        <v>41566</v>
      </c>
      <c r="B11070" t="s">
        <v>23</v>
      </c>
      <c r="C11070">
        <v>41566</v>
      </c>
      <c r="D11070" t="str">
        <f>"41566"</f>
        <v>41566</v>
      </c>
      <c r="E11070">
        <v>54.55</v>
      </c>
    </row>
    <row r="11071" spans="1:5" x14ac:dyDescent="0.2">
      <c r="A11071">
        <v>41567</v>
      </c>
      <c r="B11071" t="s">
        <v>23</v>
      </c>
      <c r="C11071">
        <v>41567</v>
      </c>
      <c r="D11071" t="str">
        <f>"41567"</f>
        <v>41567</v>
      </c>
      <c r="E11071" t="s">
        <v>6</v>
      </c>
    </row>
    <row r="11072" spans="1:5" x14ac:dyDescent="0.2">
      <c r="A11072">
        <v>41568</v>
      </c>
      <c r="B11072" t="s">
        <v>23</v>
      </c>
      <c r="C11072">
        <v>41568</v>
      </c>
      <c r="D11072" t="str">
        <f>"41568"</f>
        <v>41568</v>
      </c>
      <c r="E11072">
        <v>45</v>
      </c>
    </row>
    <row r="11073" spans="1:5" x14ac:dyDescent="0.2">
      <c r="A11073">
        <v>41571</v>
      </c>
      <c r="B11073" t="s">
        <v>23</v>
      </c>
      <c r="C11073">
        <v>41571</v>
      </c>
      <c r="D11073" t="str">
        <f>"41571"</f>
        <v>41571</v>
      </c>
      <c r="E11073">
        <v>62.5</v>
      </c>
    </row>
    <row r="11074" spans="1:5" x14ac:dyDescent="0.2">
      <c r="A11074">
        <v>41572</v>
      </c>
      <c r="B11074" t="s">
        <v>23</v>
      </c>
      <c r="C11074">
        <v>41572</v>
      </c>
      <c r="D11074" t="str">
        <f>"41572"</f>
        <v>41572</v>
      </c>
      <c r="E11074">
        <v>61.26</v>
      </c>
    </row>
    <row r="11075" spans="1:5" x14ac:dyDescent="0.2">
      <c r="A11075">
        <v>41601</v>
      </c>
      <c r="B11075" t="s">
        <v>23</v>
      </c>
      <c r="C11075">
        <v>41601</v>
      </c>
      <c r="D11075" t="str">
        <f>"41601"</f>
        <v>41601</v>
      </c>
      <c r="E11075">
        <v>70.45</v>
      </c>
    </row>
    <row r="11076" spans="1:5" x14ac:dyDescent="0.2">
      <c r="A11076">
        <v>41602</v>
      </c>
      <c r="B11076" t="s">
        <v>23</v>
      </c>
      <c r="C11076">
        <v>41602</v>
      </c>
      <c r="D11076" t="str">
        <f>"41602"</f>
        <v>41602</v>
      </c>
      <c r="E11076">
        <v>65.38</v>
      </c>
    </row>
    <row r="11077" spans="1:5" x14ac:dyDescent="0.2">
      <c r="A11077">
        <v>41603</v>
      </c>
      <c r="B11077" t="s">
        <v>23</v>
      </c>
      <c r="C11077">
        <v>41603</v>
      </c>
      <c r="D11077" t="str">
        <f>"41603"</f>
        <v>41603</v>
      </c>
      <c r="E11077">
        <v>61.22</v>
      </c>
    </row>
    <row r="11078" spans="1:5" x14ac:dyDescent="0.2">
      <c r="A11078">
        <v>41604</v>
      </c>
      <c r="B11078" t="s">
        <v>23</v>
      </c>
      <c r="C11078">
        <v>41604</v>
      </c>
      <c r="D11078" t="str">
        <f>"41604"</f>
        <v>41604</v>
      </c>
      <c r="E11078">
        <v>45.45</v>
      </c>
    </row>
    <row r="11079" spans="1:5" x14ac:dyDescent="0.2">
      <c r="A11079">
        <v>41605</v>
      </c>
      <c r="B11079" t="s">
        <v>23</v>
      </c>
      <c r="C11079">
        <v>41605</v>
      </c>
      <c r="D11079" t="str">
        <f>"41605"</f>
        <v>41605</v>
      </c>
      <c r="E11079">
        <v>64.709999999999994</v>
      </c>
    </row>
    <row r="11080" spans="1:5" x14ac:dyDescent="0.2">
      <c r="A11080">
        <v>41606</v>
      </c>
      <c r="B11080" t="s">
        <v>23</v>
      </c>
      <c r="C11080">
        <v>41606</v>
      </c>
      <c r="D11080" t="str">
        <f>"41606"</f>
        <v>41606</v>
      </c>
      <c r="E11080">
        <v>57.14</v>
      </c>
    </row>
    <row r="11081" spans="1:5" x14ac:dyDescent="0.2">
      <c r="A11081">
        <v>41607</v>
      </c>
      <c r="B11081" t="s">
        <v>23</v>
      </c>
      <c r="C11081">
        <v>41607</v>
      </c>
      <c r="D11081" t="str">
        <f>"41607"</f>
        <v>41607</v>
      </c>
      <c r="E11081">
        <v>50</v>
      </c>
    </row>
    <row r="11082" spans="1:5" x14ac:dyDescent="0.2">
      <c r="A11082">
        <v>41612</v>
      </c>
      <c r="B11082" t="s">
        <v>23</v>
      </c>
      <c r="C11082">
        <v>41612</v>
      </c>
      <c r="D11082" t="str">
        <f>"41612"</f>
        <v>41612</v>
      </c>
      <c r="E11082" t="s">
        <v>6</v>
      </c>
    </row>
    <row r="11083" spans="1:5" x14ac:dyDescent="0.2">
      <c r="A11083">
        <v>41615</v>
      </c>
      <c r="B11083" t="s">
        <v>23</v>
      </c>
      <c r="C11083">
        <v>41615</v>
      </c>
      <c r="D11083" t="str">
        <f>"41615"</f>
        <v>41615</v>
      </c>
      <c r="E11083">
        <v>60</v>
      </c>
    </row>
    <row r="11084" spans="1:5" x14ac:dyDescent="0.2">
      <c r="A11084">
        <v>41616</v>
      </c>
      <c r="B11084" t="s">
        <v>23</v>
      </c>
      <c r="C11084">
        <v>41616</v>
      </c>
      <c r="D11084" t="str">
        <f>"41616"</f>
        <v>41616</v>
      </c>
      <c r="E11084">
        <v>52.94</v>
      </c>
    </row>
    <row r="11085" spans="1:5" x14ac:dyDescent="0.2">
      <c r="A11085">
        <v>41619</v>
      </c>
      <c r="B11085" t="s">
        <v>23</v>
      </c>
      <c r="C11085">
        <v>41619</v>
      </c>
      <c r="D11085" t="str">
        <f>"41619"</f>
        <v>41619</v>
      </c>
      <c r="E11085" t="s">
        <v>6</v>
      </c>
    </row>
    <row r="11086" spans="1:5" x14ac:dyDescent="0.2">
      <c r="A11086">
        <v>41621</v>
      </c>
      <c r="B11086" t="s">
        <v>23</v>
      </c>
      <c r="C11086">
        <v>41621</v>
      </c>
      <c r="D11086" t="str">
        <f>"41621"</f>
        <v>41621</v>
      </c>
      <c r="E11086" t="s">
        <v>6</v>
      </c>
    </row>
    <row r="11087" spans="1:5" x14ac:dyDescent="0.2">
      <c r="A11087">
        <v>41622</v>
      </c>
      <c r="B11087" t="s">
        <v>23</v>
      </c>
      <c r="C11087">
        <v>41622</v>
      </c>
      <c r="D11087" t="str">
        <f>"41622"</f>
        <v>41622</v>
      </c>
      <c r="E11087">
        <v>62.5</v>
      </c>
    </row>
    <row r="11088" spans="1:5" x14ac:dyDescent="0.2">
      <c r="A11088">
        <v>41630</v>
      </c>
      <c r="B11088" t="s">
        <v>23</v>
      </c>
      <c r="C11088">
        <v>41630</v>
      </c>
      <c r="D11088" t="str">
        <f>"41630"</f>
        <v>41630</v>
      </c>
      <c r="E11088">
        <v>62.86</v>
      </c>
    </row>
    <row r="11089" spans="1:5" x14ac:dyDescent="0.2">
      <c r="A11089">
        <v>41631</v>
      </c>
      <c r="B11089" t="s">
        <v>23</v>
      </c>
      <c r="C11089">
        <v>41631</v>
      </c>
      <c r="D11089" t="str">
        <f>"41631"</f>
        <v>41631</v>
      </c>
      <c r="E11089">
        <v>54.55</v>
      </c>
    </row>
    <row r="11090" spans="1:5" x14ac:dyDescent="0.2">
      <c r="A11090">
        <v>41635</v>
      </c>
      <c r="B11090" t="s">
        <v>23</v>
      </c>
      <c r="C11090">
        <v>41635</v>
      </c>
      <c r="D11090" t="str">
        <f>"41635"</f>
        <v>41635</v>
      </c>
      <c r="E11090">
        <v>60.82</v>
      </c>
    </row>
    <row r="11091" spans="1:5" x14ac:dyDescent="0.2">
      <c r="A11091">
        <v>41636</v>
      </c>
      <c r="B11091" t="s">
        <v>23</v>
      </c>
      <c r="C11091">
        <v>41636</v>
      </c>
      <c r="D11091" t="str">
        <f>"41636"</f>
        <v>41636</v>
      </c>
      <c r="E11091">
        <v>47.37</v>
      </c>
    </row>
    <row r="11092" spans="1:5" x14ac:dyDescent="0.2">
      <c r="A11092">
        <v>41640</v>
      </c>
      <c r="B11092" t="s">
        <v>23</v>
      </c>
      <c r="C11092">
        <v>41640</v>
      </c>
      <c r="D11092" t="str">
        <f>"41640"</f>
        <v>41640</v>
      </c>
      <c r="E11092">
        <v>59.46</v>
      </c>
    </row>
    <row r="11093" spans="1:5" x14ac:dyDescent="0.2">
      <c r="A11093">
        <v>41642</v>
      </c>
      <c r="B11093" t="s">
        <v>23</v>
      </c>
      <c r="C11093">
        <v>41642</v>
      </c>
      <c r="D11093" t="str">
        <f>"41642"</f>
        <v>41642</v>
      </c>
      <c r="E11093">
        <v>63.64</v>
      </c>
    </row>
    <row r="11094" spans="1:5" x14ac:dyDescent="0.2">
      <c r="A11094">
        <v>41643</v>
      </c>
      <c r="B11094" t="s">
        <v>23</v>
      </c>
      <c r="C11094">
        <v>41643</v>
      </c>
      <c r="D11094" t="str">
        <f>"41643"</f>
        <v>41643</v>
      </c>
      <c r="E11094" t="s">
        <v>6</v>
      </c>
    </row>
    <row r="11095" spans="1:5" x14ac:dyDescent="0.2">
      <c r="A11095">
        <v>41645</v>
      </c>
      <c r="B11095" t="s">
        <v>23</v>
      </c>
      <c r="C11095">
        <v>41645</v>
      </c>
      <c r="D11095" t="str">
        <f>"41645"</f>
        <v>41645</v>
      </c>
      <c r="E11095">
        <v>64.709999999999994</v>
      </c>
    </row>
    <row r="11096" spans="1:5" x14ac:dyDescent="0.2">
      <c r="A11096">
        <v>41647</v>
      </c>
      <c r="B11096" t="s">
        <v>23</v>
      </c>
      <c r="C11096">
        <v>41647</v>
      </c>
      <c r="D11096" t="str">
        <f>"41647"</f>
        <v>41647</v>
      </c>
      <c r="E11096">
        <v>58</v>
      </c>
    </row>
    <row r="11097" spans="1:5" x14ac:dyDescent="0.2">
      <c r="A11097">
        <v>41649</v>
      </c>
      <c r="B11097" t="s">
        <v>23</v>
      </c>
      <c r="C11097">
        <v>41649</v>
      </c>
      <c r="D11097" t="str">
        <f>"41649"</f>
        <v>41649</v>
      </c>
      <c r="E11097">
        <v>59.04</v>
      </c>
    </row>
    <row r="11098" spans="1:5" x14ac:dyDescent="0.2">
      <c r="A11098">
        <v>41650</v>
      </c>
      <c r="B11098" t="s">
        <v>23</v>
      </c>
      <c r="C11098">
        <v>41650</v>
      </c>
      <c r="D11098" t="str">
        <f>"41650"</f>
        <v>41650</v>
      </c>
      <c r="E11098">
        <v>50</v>
      </c>
    </row>
    <row r="11099" spans="1:5" x14ac:dyDescent="0.2">
      <c r="A11099">
        <v>41651</v>
      </c>
      <c r="B11099" t="s">
        <v>23</v>
      </c>
      <c r="C11099">
        <v>41651</v>
      </c>
      <c r="D11099" t="str">
        <f>"41651"</f>
        <v>41651</v>
      </c>
      <c r="E11099" t="s">
        <v>6</v>
      </c>
    </row>
    <row r="11100" spans="1:5" x14ac:dyDescent="0.2">
      <c r="A11100">
        <v>41653</v>
      </c>
      <c r="B11100" t="s">
        <v>23</v>
      </c>
      <c r="C11100">
        <v>41653</v>
      </c>
      <c r="D11100" t="str">
        <f>"41653"</f>
        <v>41653</v>
      </c>
      <c r="E11100">
        <v>64.430000000000007</v>
      </c>
    </row>
    <row r="11101" spans="1:5" x14ac:dyDescent="0.2">
      <c r="A11101">
        <v>41655</v>
      </c>
      <c r="B11101" t="s">
        <v>23</v>
      </c>
      <c r="C11101">
        <v>41655</v>
      </c>
      <c r="D11101" t="str">
        <f>"41655"</f>
        <v>41655</v>
      </c>
      <c r="E11101">
        <v>44</v>
      </c>
    </row>
    <row r="11102" spans="1:5" x14ac:dyDescent="0.2">
      <c r="A11102">
        <v>41659</v>
      </c>
      <c r="B11102" t="s">
        <v>23</v>
      </c>
      <c r="C11102">
        <v>41659</v>
      </c>
      <c r="D11102" t="str">
        <f>"41659"</f>
        <v>41659</v>
      </c>
      <c r="E11102">
        <v>66.67</v>
      </c>
    </row>
    <row r="11103" spans="1:5" x14ac:dyDescent="0.2">
      <c r="A11103">
        <v>41660</v>
      </c>
      <c r="B11103" t="s">
        <v>23</v>
      </c>
      <c r="C11103">
        <v>41660</v>
      </c>
      <c r="D11103" t="str">
        <f>"41660"</f>
        <v>41660</v>
      </c>
      <c r="E11103">
        <v>47.83</v>
      </c>
    </row>
    <row r="11104" spans="1:5" x14ac:dyDescent="0.2">
      <c r="A11104">
        <v>41663</v>
      </c>
      <c r="B11104" t="s">
        <v>23</v>
      </c>
      <c r="C11104">
        <v>41663</v>
      </c>
      <c r="D11104" t="str">
        <f>"41663"</f>
        <v>41663</v>
      </c>
      <c r="E11104" t="s">
        <v>6</v>
      </c>
    </row>
    <row r="11105" spans="1:5" x14ac:dyDescent="0.2">
      <c r="A11105">
        <v>41666</v>
      </c>
      <c r="B11105" t="s">
        <v>23</v>
      </c>
      <c r="C11105">
        <v>41666</v>
      </c>
      <c r="D11105" t="str">
        <f>"41666"</f>
        <v>41666</v>
      </c>
      <c r="E11105">
        <v>56.52</v>
      </c>
    </row>
    <row r="11106" spans="1:5" x14ac:dyDescent="0.2">
      <c r="A11106">
        <v>41667</v>
      </c>
      <c r="B11106" t="s">
        <v>23</v>
      </c>
      <c r="C11106">
        <v>41667</v>
      </c>
      <c r="D11106" t="str">
        <f>"41667"</f>
        <v>41667</v>
      </c>
      <c r="E11106">
        <v>38.46</v>
      </c>
    </row>
    <row r="11107" spans="1:5" x14ac:dyDescent="0.2">
      <c r="A11107">
        <v>41669</v>
      </c>
      <c r="B11107" t="s">
        <v>23</v>
      </c>
      <c r="C11107">
        <v>41669</v>
      </c>
      <c r="D11107" t="str">
        <f>"41669"</f>
        <v>41669</v>
      </c>
      <c r="E11107">
        <v>52.94</v>
      </c>
    </row>
    <row r="11108" spans="1:5" x14ac:dyDescent="0.2">
      <c r="A11108">
        <v>41701</v>
      </c>
      <c r="B11108" t="s">
        <v>23</v>
      </c>
      <c r="C11108">
        <v>41701</v>
      </c>
      <c r="D11108" t="str">
        <f>"41701"</f>
        <v>41701</v>
      </c>
      <c r="E11108">
        <v>60.82</v>
      </c>
    </row>
    <row r="11109" spans="1:5" x14ac:dyDescent="0.2">
      <c r="A11109">
        <v>41712</v>
      </c>
      <c r="B11109" t="s">
        <v>23</v>
      </c>
      <c r="C11109">
        <v>41712</v>
      </c>
      <c r="D11109" t="str">
        <f>"41712"</f>
        <v>41712</v>
      </c>
      <c r="E11109">
        <v>63.64</v>
      </c>
    </row>
    <row r="11110" spans="1:5" x14ac:dyDescent="0.2">
      <c r="A11110">
        <v>41714</v>
      </c>
      <c r="B11110" t="s">
        <v>23</v>
      </c>
      <c r="C11110">
        <v>41714</v>
      </c>
      <c r="D11110" t="str">
        <f>"41714"</f>
        <v>41714</v>
      </c>
      <c r="E11110">
        <v>40</v>
      </c>
    </row>
    <row r="11111" spans="1:5" x14ac:dyDescent="0.2">
      <c r="A11111">
        <v>41719</v>
      </c>
      <c r="B11111" t="s">
        <v>23</v>
      </c>
      <c r="C11111">
        <v>41719</v>
      </c>
      <c r="D11111" t="str">
        <f>"41719"</f>
        <v>41719</v>
      </c>
      <c r="E11111">
        <v>56.52</v>
      </c>
    </row>
    <row r="11112" spans="1:5" x14ac:dyDescent="0.2">
      <c r="A11112">
        <v>41721</v>
      </c>
      <c r="B11112" t="s">
        <v>23</v>
      </c>
      <c r="C11112">
        <v>41721</v>
      </c>
      <c r="D11112" t="str">
        <f>"41721"</f>
        <v>41721</v>
      </c>
      <c r="E11112">
        <v>63.64</v>
      </c>
    </row>
    <row r="11113" spans="1:5" x14ac:dyDescent="0.2">
      <c r="A11113">
        <v>41722</v>
      </c>
      <c r="B11113" t="s">
        <v>23</v>
      </c>
      <c r="C11113">
        <v>41722</v>
      </c>
      <c r="D11113" t="str">
        <f>"41722"</f>
        <v>41722</v>
      </c>
      <c r="E11113">
        <v>55.74</v>
      </c>
    </row>
    <row r="11114" spans="1:5" x14ac:dyDescent="0.2">
      <c r="A11114">
        <v>41723</v>
      </c>
      <c r="B11114" t="s">
        <v>23</v>
      </c>
      <c r="C11114">
        <v>41723</v>
      </c>
      <c r="D11114" t="str">
        <f>"41723"</f>
        <v>41723</v>
      </c>
      <c r="E11114">
        <v>47.22</v>
      </c>
    </row>
    <row r="11115" spans="1:5" x14ac:dyDescent="0.2">
      <c r="A11115">
        <v>41725</v>
      </c>
      <c r="B11115" t="s">
        <v>23</v>
      </c>
      <c r="C11115">
        <v>41725</v>
      </c>
      <c r="D11115" t="str">
        <f>"41725"</f>
        <v>41725</v>
      </c>
      <c r="E11115">
        <v>50</v>
      </c>
    </row>
    <row r="11116" spans="1:5" x14ac:dyDescent="0.2">
      <c r="A11116">
        <v>41727</v>
      </c>
      <c r="B11116" t="s">
        <v>23</v>
      </c>
      <c r="C11116">
        <v>41727</v>
      </c>
      <c r="D11116" t="str">
        <f>"41727"</f>
        <v>41727</v>
      </c>
      <c r="E11116">
        <v>53.85</v>
      </c>
    </row>
    <row r="11117" spans="1:5" x14ac:dyDescent="0.2">
      <c r="A11117">
        <v>41729</v>
      </c>
      <c r="B11117" t="s">
        <v>23</v>
      </c>
      <c r="C11117">
        <v>41729</v>
      </c>
      <c r="D11117" t="str">
        <f>"41729"</f>
        <v>41729</v>
      </c>
      <c r="E11117" t="s">
        <v>6</v>
      </c>
    </row>
    <row r="11118" spans="1:5" x14ac:dyDescent="0.2">
      <c r="A11118">
        <v>41731</v>
      </c>
      <c r="B11118" t="s">
        <v>23</v>
      </c>
      <c r="C11118">
        <v>41731</v>
      </c>
      <c r="D11118" t="str">
        <f>"41731"</f>
        <v>41731</v>
      </c>
      <c r="E11118">
        <v>65.63</v>
      </c>
    </row>
    <row r="11119" spans="1:5" x14ac:dyDescent="0.2">
      <c r="A11119">
        <v>41735</v>
      </c>
      <c r="B11119" t="s">
        <v>23</v>
      </c>
      <c r="C11119">
        <v>41735</v>
      </c>
      <c r="D11119" t="str">
        <f>"41735"</f>
        <v>41735</v>
      </c>
      <c r="E11119" t="s">
        <v>6</v>
      </c>
    </row>
    <row r="11120" spans="1:5" x14ac:dyDescent="0.2">
      <c r="A11120">
        <v>41739</v>
      </c>
      <c r="B11120" t="s">
        <v>23</v>
      </c>
      <c r="C11120">
        <v>41739</v>
      </c>
      <c r="D11120" t="str">
        <f>"41739"</f>
        <v>41739</v>
      </c>
      <c r="E11120" t="s">
        <v>6</v>
      </c>
    </row>
    <row r="11121" spans="1:5" x14ac:dyDescent="0.2">
      <c r="A11121">
        <v>41740</v>
      </c>
      <c r="B11121" t="s">
        <v>23</v>
      </c>
      <c r="C11121">
        <v>41740</v>
      </c>
      <c r="D11121" t="str">
        <f>"41740"</f>
        <v>41740</v>
      </c>
      <c r="E11121">
        <v>60</v>
      </c>
    </row>
    <row r="11122" spans="1:5" x14ac:dyDescent="0.2">
      <c r="A11122">
        <v>41745</v>
      </c>
      <c r="B11122" t="s">
        <v>23</v>
      </c>
      <c r="C11122">
        <v>41745</v>
      </c>
      <c r="D11122" t="str">
        <f>"41745"</f>
        <v>41745</v>
      </c>
      <c r="E11122" t="s">
        <v>6</v>
      </c>
    </row>
    <row r="11123" spans="1:5" x14ac:dyDescent="0.2">
      <c r="A11123">
        <v>41746</v>
      </c>
      <c r="B11123" t="s">
        <v>23</v>
      </c>
      <c r="C11123">
        <v>41746</v>
      </c>
      <c r="D11123" t="str">
        <f>"41746"</f>
        <v>41746</v>
      </c>
      <c r="E11123">
        <v>57.14</v>
      </c>
    </row>
    <row r="11124" spans="1:5" x14ac:dyDescent="0.2">
      <c r="A11124">
        <v>41749</v>
      </c>
      <c r="B11124" t="s">
        <v>23</v>
      </c>
      <c r="C11124">
        <v>41749</v>
      </c>
      <c r="D11124" t="str">
        <f>"41749"</f>
        <v>41749</v>
      </c>
      <c r="E11124">
        <v>62.3</v>
      </c>
    </row>
    <row r="11125" spans="1:5" x14ac:dyDescent="0.2">
      <c r="A11125">
        <v>41751</v>
      </c>
      <c r="B11125" t="s">
        <v>23</v>
      </c>
      <c r="C11125">
        <v>41751</v>
      </c>
      <c r="D11125" t="str">
        <f>"41751"</f>
        <v>41751</v>
      </c>
      <c r="E11125">
        <v>68.75</v>
      </c>
    </row>
    <row r="11126" spans="1:5" x14ac:dyDescent="0.2">
      <c r="A11126">
        <v>41754</v>
      </c>
      <c r="B11126" t="s">
        <v>23</v>
      </c>
      <c r="C11126">
        <v>41754</v>
      </c>
      <c r="D11126" t="str">
        <f>"41754"</f>
        <v>41754</v>
      </c>
      <c r="E11126">
        <v>57.14</v>
      </c>
    </row>
    <row r="11127" spans="1:5" x14ac:dyDescent="0.2">
      <c r="A11127">
        <v>41759</v>
      </c>
      <c r="B11127" t="s">
        <v>23</v>
      </c>
      <c r="C11127">
        <v>41759</v>
      </c>
      <c r="D11127" t="str">
        <f>"41759"</f>
        <v>41759</v>
      </c>
      <c r="E11127">
        <v>60</v>
      </c>
    </row>
    <row r="11128" spans="1:5" x14ac:dyDescent="0.2">
      <c r="A11128">
        <v>41760</v>
      </c>
      <c r="B11128" t="s">
        <v>23</v>
      </c>
      <c r="C11128">
        <v>41760</v>
      </c>
      <c r="D11128" t="str">
        <f>"41760"</f>
        <v>41760</v>
      </c>
      <c r="E11128" t="s">
        <v>6</v>
      </c>
    </row>
    <row r="11129" spans="1:5" x14ac:dyDescent="0.2">
      <c r="A11129">
        <v>41762</v>
      </c>
      <c r="B11129" t="s">
        <v>23</v>
      </c>
      <c r="C11129">
        <v>41762</v>
      </c>
      <c r="D11129" t="str">
        <f>"41762"</f>
        <v>41762</v>
      </c>
      <c r="E11129" t="s">
        <v>6</v>
      </c>
    </row>
    <row r="11130" spans="1:5" x14ac:dyDescent="0.2">
      <c r="A11130">
        <v>41763</v>
      </c>
      <c r="B11130" t="s">
        <v>23</v>
      </c>
      <c r="C11130">
        <v>41763</v>
      </c>
      <c r="D11130" t="str">
        <f>"41763"</f>
        <v>41763</v>
      </c>
      <c r="E11130">
        <v>60</v>
      </c>
    </row>
    <row r="11131" spans="1:5" x14ac:dyDescent="0.2">
      <c r="A11131">
        <v>41764</v>
      </c>
      <c r="B11131" t="s">
        <v>23</v>
      </c>
      <c r="C11131">
        <v>41764</v>
      </c>
      <c r="D11131" t="str">
        <f>"41764"</f>
        <v>41764</v>
      </c>
      <c r="E11131">
        <v>57.14</v>
      </c>
    </row>
    <row r="11132" spans="1:5" x14ac:dyDescent="0.2">
      <c r="A11132">
        <v>41766</v>
      </c>
      <c r="B11132" t="s">
        <v>23</v>
      </c>
      <c r="C11132">
        <v>41766</v>
      </c>
      <c r="D11132" t="str">
        <f>"41766"</f>
        <v>41766</v>
      </c>
      <c r="E11132" t="s">
        <v>6</v>
      </c>
    </row>
    <row r="11133" spans="1:5" x14ac:dyDescent="0.2">
      <c r="A11133">
        <v>41772</v>
      </c>
      <c r="B11133" t="s">
        <v>23</v>
      </c>
      <c r="C11133">
        <v>41772</v>
      </c>
      <c r="D11133" t="str">
        <f>"41772"</f>
        <v>41772</v>
      </c>
      <c r="E11133" t="s">
        <v>6</v>
      </c>
    </row>
    <row r="11134" spans="1:5" x14ac:dyDescent="0.2">
      <c r="A11134">
        <v>41773</v>
      </c>
      <c r="B11134" t="s">
        <v>23</v>
      </c>
      <c r="C11134">
        <v>41773</v>
      </c>
      <c r="D11134" t="str">
        <f>"41773"</f>
        <v>41773</v>
      </c>
      <c r="E11134">
        <v>57.78</v>
      </c>
    </row>
    <row r="11135" spans="1:5" x14ac:dyDescent="0.2">
      <c r="A11135">
        <v>41774</v>
      </c>
      <c r="B11135" t="s">
        <v>23</v>
      </c>
      <c r="C11135">
        <v>41774</v>
      </c>
      <c r="D11135" t="str">
        <f>"41774"</f>
        <v>41774</v>
      </c>
      <c r="E11135">
        <v>60</v>
      </c>
    </row>
    <row r="11136" spans="1:5" x14ac:dyDescent="0.2">
      <c r="A11136">
        <v>41775</v>
      </c>
      <c r="B11136" t="s">
        <v>23</v>
      </c>
      <c r="C11136">
        <v>41775</v>
      </c>
      <c r="D11136" t="str">
        <f>"41775"</f>
        <v>41775</v>
      </c>
      <c r="E11136" t="s">
        <v>6</v>
      </c>
    </row>
    <row r="11137" spans="1:5" x14ac:dyDescent="0.2">
      <c r="A11137">
        <v>41776</v>
      </c>
      <c r="B11137" t="s">
        <v>23</v>
      </c>
      <c r="C11137">
        <v>41776</v>
      </c>
      <c r="D11137" t="str">
        <f>"41776"</f>
        <v>41776</v>
      </c>
      <c r="E11137">
        <v>61.82</v>
      </c>
    </row>
    <row r="11138" spans="1:5" x14ac:dyDescent="0.2">
      <c r="A11138">
        <v>41777</v>
      </c>
      <c r="B11138" t="s">
        <v>23</v>
      </c>
      <c r="C11138">
        <v>41777</v>
      </c>
      <c r="D11138" t="str">
        <f>"41777"</f>
        <v>41777</v>
      </c>
      <c r="E11138">
        <v>55</v>
      </c>
    </row>
    <row r="11139" spans="1:5" x14ac:dyDescent="0.2">
      <c r="A11139">
        <v>41778</v>
      </c>
      <c r="B11139" t="s">
        <v>23</v>
      </c>
      <c r="C11139">
        <v>41778</v>
      </c>
      <c r="D11139" t="str">
        <f>"41778"</f>
        <v>41778</v>
      </c>
      <c r="E11139" t="s">
        <v>6</v>
      </c>
    </row>
    <row r="11140" spans="1:5" x14ac:dyDescent="0.2">
      <c r="A11140">
        <v>41804</v>
      </c>
      <c r="B11140" t="s">
        <v>23</v>
      </c>
      <c r="C11140">
        <v>41804</v>
      </c>
      <c r="D11140" t="str">
        <f>"41804"</f>
        <v>41804</v>
      </c>
      <c r="E11140">
        <v>64</v>
      </c>
    </row>
    <row r="11141" spans="1:5" x14ac:dyDescent="0.2">
      <c r="A11141">
        <v>41812</v>
      </c>
      <c r="B11141" t="s">
        <v>23</v>
      </c>
      <c r="C11141">
        <v>41812</v>
      </c>
      <c r="D11141" t="str">
        <f>"41812"</f>
        <v>41812</v>
      </c>
      <c r="E11141" t="s">
        <v>6</v>
      </c>
    </row>
    <row r="11142" spans="1:5" x14ac:dyDescent="0.2">
      <c r="A11142">
        <v>41815</v>
      </c>
      <c r="B11142" t="s">
        <v>23</v>
      </c>
      <c r="C11142">
        <v>41815</v>
      </c>
      <c r="D11142" t="str">
        <f>"41815"</f>
        <v>41815</v>
      </c>
      <c r="E11142">
        <v>54.17</v>
      </c>
    </row>
    <row r="11143" spans="1:5" x14ac:dyDescent="0.2">
      <c r="A11143">
        <v>41817</v>
      </c>
      <c r="B11143" t="s">
        <v>23</v>
      </c>
      <c r="C11143">
        <v>41817</v>
      </c>
      <c r="D11143" t="str">
        <f>"41817"</f>
        <v>41817</v>
      </c>
      <c r="E11143">
        <v>47.06</v>
      </c>
    </row>
    <row r="11144" spans="1:5" x14ac:dyDescent="0.2">
      <c r="A11144">
        <v>41819</v>
      </c>
      <c r="B11144" t="s">
        <v>23</v>
      </c>
      <c r="C11144">
        <v>41819</v>
      </c>
      <c r="D11144" t="str">
        <f>"41819"</f>
        <v>41819</v>
      </c>
      <c r="E11144" t="s">
        <v>6</v>
      </c>
    </row>
    <row r="11145" spans="1:5" x14ac:dyDescent="0.2">
      <c r="A11145">
        <v>41821</v>
      </c>
      <c r="B11145" t="s">
        <v>23</v>
      </c>
      <c r="C11145">
        <v>41821</v>
      </c>
      <c r="D11145" t="str">
        <f>"41821"</f>
        <v>41821</v>
      </c>
      <c r="E11145">
        <v>53.85</v>
      </c>
    </row>
    <row r="11146" spans="1:5" x14ac:dyDescent="0.2">
      <c r="A11146">
        <v>41822</v>
      </c>
      <c r="B11146" t="s">
        <v>23</v>
      </c>
      <c r="C11146">
        <v>41822</v>
      </c>
      <c r="D11146" t="str">
        <f>"41822"</f>
        <v>41822</v>
      </c>
      <c r="E11146">
        <v>66.02</v>
      </c>
    </row>
    <row r="11147" spans="1:5" x14ac:dyDescent="0.2">
      <c r="A11147">
        <v>41824</v>
      </c>
      <c r="B11147" t="s">
        <v>23</v>
      </c>
      <c r="C11147">
        <v>41824</v>
      </c>
      <c r="D11147" t="str">
        <f>"41824"</f>
        <v>41824</v>
      </c>
      <c r="E11147">
        <v>60</v>
      </c>
    </row>
    <row r="11148" spans="1:5" x14ac:dyDescent="0.2">
      <c r="A11148">
        <v>41825</v>
      </c>
      <c r="B11148" t="s">
        <v>23</v>
      </c>
      <c r="C11148">
        <v>41825</v>
      </c>
      <c r="D11148" t="str">
        <f>"41825"</f>
        <v>41825</v>
      </c>
      <c r="E11148">
        <v>57.14</v>
      </c>
    </row>
    <row r="11149" spans="1:5" x14ac:dyDescent="0.2">
      <c r="A11149">
        <v>41826</v>
      </c>
      <c r="B11149" t="s">
        <v>23</v>
      </c>
      <c r="C11149">
        <v>41826</v>
      </c>
      <c r="D11149" t="str">
        <f>"41826"</f>
        <v>41826</v>
      </c>
      <c r="E11149">
        <v>56.67</v>
      </c>
    </row>
    <row r="11150" spans="1:5" x14ac:dyDescent="0.2">
      <c r="A11150">
        <v>41828</v>
      </c>
      <c r="B11150" t="s">
        <v>23</v>
      </c>
      <c r="C11150">
        <v>41828</v>
      </c>
      <c r="D11150" t="str">
        <f>"41828"</f>
        <v>41828</v>
      </c>
      <c r="E11150">
        <v>57.14</v>
      </c>
    </row>
    <row r="11151" spans="1:5" x14ac:dyDescent="0.2">
      <c r="A11151">
        <v>41831</v>
      </c>
      <c r="B11151" t="s">
        <v>23</v>
      </c>
      <c r="C11151">
        <v>41831</v>
      </c>
      <c r="D11151" t="str">
        <f>"41831"</f>
        <v>41831</v>
      </c>
      <c r="E11151">
        <v>60</v>
      </c>
    </row>
    <row r="11152" spans="1:5" x14ac:dyDescent="0.2">
      <c r="A11152">
        <v>41832</v>
      </c>
      <c r="B11152" t="s">
        <v>23</v>
      </c>
      <c r="C11152">
        <v>41832</v>
      </c>
      <c r="D11152" t="str">
        <f>"41832"</f>
        <v>41832</v>
      </c>
      <c r="E11152">
        <v>66.67</v>
      </c>
    </row>
    <row r="11153" spans="1:5" x14ac:dyDescent="0.2">
      <c r="A11153">
        <v>41833</v>
      </c>
      <c r="B11153" t="s">
        <v>23</v>
      </c>
      <c r="C11153">
        <v>41833</v>
      </c>
      <c r="D11153" t="str">
        <f>"41833"</f>
        <v>41833</v>
      </c>
      <c r="E11153" t="s">
        <v>6</v>
      </c>
    </row>
    <row r="11154" spans="1:5" x14ac:dyDescent="0.2">
      <c r="A11154">
        <v>41834</v>
      </c>
      <c r="B11154" t="s">
        <v>23</v>
      </c>
      <c r="C11154">
        <v>41834</v>
      </c>
      <c r="D11154" t="str">
        <f>"41834"</f>
        <v>41834</v>
      </c>
      <c r="E11154">
        <v>56.25</v>
      </c>
    </row>
    <row r="11155" spans="1:5" x14ac:dyDescent="0.2">
      <c r="A11155">
        <v>41835</v>
      </c>
      <c r="B11155" t="s">
        <v>23</v>
      </c>
      <c r="C11155">
        <v>41835</v>
      </c>
      <c r="D11155" t="str">
        <f>"41835"</f>
        <v>41835</v>
      </c>
      <c r="E11155">
        <v>59.09</v>
      </c>
    </row>
    <row r="11156" spans="1:5" x14ac:dyDescent="0.2">
      <c r="A11156">
        <v>41836</v>
      </c>
      <c r="B11156" t="s">
        <v>23</v>
      </c>
      <c r="C11156">
        <v>41836</v>
      </c>
      <c r="D11156" t="str">
        <f>"41836"</f>
        <v>41836</v>
      </c>
      <c r="E11156">
        <v>57.14</v>
      </c>
    </row>
    <row r="11157" spans="1:5" x14ac:dyDescent="0.2">
      <c r="A11157">
        <v>41837</v>
      </c>
      <c r="B11157" t="s">
        <v>23</v>
      </c>
      <c r="C11157">
        <v>41837</v>
      </c>
      <c r="D11157" t="str">
        <f>"41837"</f>
        <v>41837</v>
      </c>
      <c r="E11157">
        <v>61.76</v>
      </c>
    </row>
    <row r="11158" spans="1:5" x14ac:dyDescent="0.2">
      <c r="A11158">
        <v>41838</v>
      </c>
      <c r="B11158" t="s">
        <v>23</v>
      </c>
      <c r="C11158">
        <v>41838</v>
      </c>
      <c r="D11158" t="str">
        <f>"41838"</f>
        <v>41838</v>
      </c>
      <c r="E11158">
        <v>60</v>
      </c>
    </row>
    <row r="11159" spans="1:5" x14ac:dyDescent="0.2">
      <c r="A11159">
        <v>41839</v>
      </c>
      <c r="B11159" t="s">
        <v>23</v>
      </c>
      <c r="C11159">
        <v>41839</v>
      </c>
      <c r="D11159" t="str">
        <f>"41839"</f>
        <v>41839</v>
      </c>
      <c r="E11159">
        <v>59.09</v>
      </c>
    </row>
    <row r="11160" spans="1:5" x14ac:dyDescent="0.2">
      <c r="A11160">
        <v>41840</v>
      </c>
      <c r="B11160" t="s">
        <v>23</v>
      </c>
      <c r="C11160">
        <v>41840</v>
      </c>
      <c r="D11160" t="str">
        <f>"41840"</f>
        <v>41840</v>
      </c>
      <c r="E11160">
        <v>62.16</v>
      </c>
    </row>
    <row r="11161" spans="1:5" x14ac:dyDescent="0.2">
      <c r="A11161">
        <v>41843</v>
      </c>
      <c r="B11161" t="s">
        <v>23</v>
      </c>
      <c r="C11161">
        <v>41843</v>
      </c>
      <c r="D11161" t="str">
        <f>"41843"</f>
        <v>41843</v>
      </c>
      <c r="E11161">
        <v>56.52</v>
      </c>
    </row>
    <row r="11162" spans="1:5" x14ac:dyDescent="0.2">
      <c r="A11162">
        <v>41844</v>
      </c>
      <c r="B11162" t="s">
        <v>23</v>
      </c>
      <c r="C11162">
        <v>41844</v>
      </c>
      <c r="D11162" t="str">
        <f>"41844"</f>
        <v>41844</v>
      </c>
      <c r="E11162">
        <v>53.33</v>
      </c>
    </row>
    <row r="11163" spans="1:5" x14ac:dyDescent="0.2">
      <c r="A11163">
        <v>41845</v>
      </c>
      <c r="B11163" t="s">
        <v>23</v>
      </c>
      <c r="C11163">
        <v>41845</v>
      </c>
      <c r="D11163" t="str">
        <f>"41845"</f>
        <v>41845</v>
      </c>
      <c r="E11163" t="s">
        <v>6</v>
      </c>
    </row>
    <row r="11164" spans="1:5" x14ac:dyDescent="0.2">
      <c r="A11164">
        <v>41847</v>
      </c>
      <c r="B11164" t="s">
        <v>23</v>
      </c>
      <c r="C11164">
        <v>41847</v>
      </c>
      <c r="D11164" t="str">
        <f>"41847"</f>
        <v>41847</v>
      </c>
      <c r="E11164">
        <v>57.14</v>
      </c>
    </row>
    <row r="11165" spans="1:5" x14ac:dyDescent="0.2">
      <c r="A11165">
        <v>41848</v>
      </c>
      <c r="B11165" t="s">
        <v>23</v>
      </c>
      <c r="C11165">
        <v>41848</v>
      </c>
      <c r="D11165" t="str">
        <f>"41848"</f>
        <v>41848</v>
      </c>
      <c r="E11165" t="s">
        <v>6</v>
      </c>
    </row>
    <row r="11166" spans="1:5" x14ac:dyDescent="0.2">
      <c r="A11166">
        <v>41849</v>
      </c>
      <c r="B11166" t="s">
        <v>23</v>
      </c>
      <c r="C11166">
        <v>41849</v>
      </c>
      <c r="D11166" t="str">
        <f>"41849"</f>
        <v>41849</v>
      </c>
      <c r="E11166" t="s">
        <v>6</v>
      </c>
    </row>
    <row r="11167" spans="1:5" x14ac:dyDescent="0.2">
      <c r="A11167">
        <v>41855</v>
      </c>
      <c r="B11167" t="s">
        <v>23</v>
      </c>
      <c r="C11167">
        <v>41855</v>
      </c>
      <c r="D11167" t="str">
        <f>"41855"</f>
        <v>41855</v>
      </c>
      <c r="E11167">
        <v>44.44</v>
      </c>
    </row>
    <row r="11168" spans="1:5" x14ac:dyDescent="0.2">
      <c r="A11168">
        <v>41858</v>
      </c>
      <c r="B11168" t="s">
        <v>23</v>
      </c>
      <c r="C11168">
        <v>41858</v>
      </c>
      <c r="D11168" t="str">
        <f>"41858"</f>
        <v>41858</v>
      </c>
      <c r="E11168">
        <v>60.68</v>
      </c>
    </row>
    <row r="11169" spans="1:5" x14ac:dyDescent="0.2">
      <c r="A11169">
        <v>41859</v>
      </c>
      <c r="B11169" t="s">
        <v>23</v>
      </c>
      <c r="C11169">
        <v>41859</v>
      </c>
      <c r="D11169" t="str">
        <f>"41859"</f>
        <v>41859</v>
      </c>
      <c r="E11169" t="s">
        <v>6</v>
      </c>
    </row>
    <row r="11170" spans="1:5" x14ac:dyDescent="0.2">
      <c r="A11170">
        <v>41861</v>
      </c>
      <c r="B11170" t="s">
        <v>23</v>
      </c>
      <c r="C11170">
        <v>41861</v>
      </c>
      <c r="D11170" t="str">
        <f>"41861"</f>
        <v>41861</v>
      </c>
      <c r="E11170" t="s">
        <v>6</v>
      </c>
    </row>
    <row r="11171" spans="1:5" x14ac:dyDescent="0.2">
      <c r="A11171">
        <v>41862</v>
      </c>
      <c r="B11171" t="s">
        <v>23</v>
      </c>
      <c r="C11171">
        <v>41862</v>
      </c>
      <c r="D11171" t="str">
        <f>"41862"</f>
        <v>41862</v>
      </c>
      <c r="E11171">
        <v>62.5</v>
      </c>
    </row>
    <row r="11172" spans="1:5" x14ac:dyDescent="0.2">
      <c r="A11172">
        <v>42001</v>
      </c>
      <c r="B11172" t="s">
        <v>23</v>
      </c>
      <c r="C11172">
        <v>42001</v>
      </c>
      <c r="D11172" t="str">
        <f>"42001"</f>
        <v>42001</v>
      </c>
      <c r="E11172">
        <v>71.5</v>
      </c>
    </row>
    <row r="11173" spans="1:5" x14ac:dyDescent="0.2">
      <c r="A11173">
        <v>42003</v>
      </c>
      <c r="B11173" t="s">
        <v>23</v>
      </c>
      <c r="C11173">
        <v>42003</v>
      </c>
      <c r="D11173" t="str">
        <f>"42003"</f>
        <v>42003</v>
      </c>
      <c r="E11173">
        <v>66.040000000000006</v>
      </c>
    </row>
    <row r="11174" spans="1:5" x14ac:dyDescent="0.2">
      <c r="A11174">
        <v>42020</v>
      </c>
      <c r="B11174" t="s">
        <v>23</v>
      </c>
      <c r="C11174">
        <v>42020</v>
      </c>
      <c r="D11174" t="str">
        <f>"42020"</f>
        <v>42020</v>
      </c>
      <c r="E11174">
        <v>72.45</v>
      </c>
    </row>
    <row r="11175" spans="1:5" x14ac:dyDescent="0.2">
      <c r="A11175">
        <v>42021</v>
      </c>
      <c r="B11175" t="s">
        <v>23</v>
      </c>
      <c r="C11175">
        <v>42021</v>
      </c>
      <c r="D11175" t="str">
        <f>"42021"</f>
        <v>42021</v>
      </c>
      <c r="E11175">
        <v>62.3</v>
      </c>
    </row>
    <row r="11176" spans="1:5" x14ac:dyDescent="0.2">
      <c r="A11176">
        <v>42023</v>
      </c>
      <c r="B11176" t="s">
        <v>23</v>
      </c>
      <c r="C11176">
        <v>42023</v>
      </c>
      <c r="D11176" t="str">
        <f>"42023"</f>
        <v>42023</v>
      </c>
      <c r="E11176">
        <v>64.95</v>
      </c>
    </row>
    <row r="11177" spans="1:5" x14ac:dyDescent="0.2">
      <c r="A11177">
        <v>42024</v>
      </c>
      <c r="B11177" t="s">
        <v>23</v>
      </c>
      <c r="C11177">
        <v>42024</v>
      </c>
      <c r="D11177" t="str">
        <f>"42024"</f>
        <v>42024</v>
      </c>
      <c r="E11177">
        <v>70.37</v>
      </c>
    </row>
    <row r="11178" spans="1:5" x14ac:dyDescent="0.2">
      <c r="A11178">
        <v>42025</v>
      </c>
      <c r="B11178" t="s">
        <v>23</v>
      </c>
      <c r="C11178">
        <v>42025</v>
      </c>
      <c r="D11178" t="str">
        <f>"42025"</f>
        <v>42025</v>
      </c>
      <c r="E11178">
        <v>72.39</v>
      </c>
    </row>
    <row r="11179" spans="1:5" x14ac:dyDescent="0.2">
      <c r="A11179">
        <v>42027</v>
      </c>
      <c r="B11179" t="s">
        <v>23</v>
      </c>
      <c r="C11179">
        <v>42027</v>
      </c>
      <c r="D11179" t="str">
        <f>"42027"</f>
        <v>42027</v>
      </c>
      <c r="E11179">
        <v>70.41</v>
      </c>
    </row>
    <row r="11180" spans="1:5" x14ac:dyDescent="0.2">
      <c r="A11180">
        <v>42028</v>
      </c>
      <c r="B11180" t="s">
        <v>23</v>
      </c>
      <c r="C11180">
        <v>42028</v>
      </c>
      <c r="D11180" t="str">
        <f>"42028"</f>
        <v>42028</v>
      </c>
      <c r="E11180">
        <v>65.38</v>
      </c>
    </row>
    <row r="11181" spans="1:5" x14ac:dyDescent="0.2">
      <c r="A11181">
        <v>42029</v>
      </c>
      <c r="B11181" t="s">
        <v>23</v>
      </c>
      <c r="C11181">
        <v>42029</v>
      </c>
      <c r="D11181" t="str">
        <f>"42029"</f>
        <v>42029</v>
      </c>
      <c r="E11181">
        <v>71.680000000000007</v>
      </c>
    </row>
    <row r="11182" spans="1:5" x14ac:dyDescent="0.2">
      <c r="A11182">
        <v>42031</v>
      </c>
      <c r="B11182" t="s">
        <v>23</v>
      </c>
      <c r="C11182">
        <v>42031</v>
      </c>
      <c r="D11182" t="str">
        <f>"42031"</f>
        <v>42031</v>
      </c>
      <c r="E11182">
        <v>63.64</v>
      </c>
    </row>
    <row r="11183" spans="1:5" x14ac:dyDescent="0.2">
      <c r="A11183">
        <v>42032</v>
      </c>
      <c r="B11183" t="s">
        <v>23</v>
      </c>
      <c r="C11183">
        <v>42032</v>
      </c>
      <c r="D11183" t="str">
        <f>"42032"</f>
        <v>42032</v>
      </c>
      <c r="E11183" t="s">
        <v>6</v>
      </c>
    </row>
    <row r="11184" spans="1:5" x14ac:dyDescent="0.2">
      <c r="A11184">
        <v>42035</v>
      </c>
      <c r="B11184" t="s">
        <v>23</v>
      </c>
      <c r="C11184">
        <v>42035</v>
      </c>
      <c r="D11184" t="str">
        <f>"42035"</f>
        <v>42035</v>
      </c>
      <c r="E11184">
        <v>72.09</v>
      </c>
    </row>
    <row r="11185" spans="1:5" x14ac:dyDescent="0.2">
      <c r="A11185">
        <v>42036</v>
      </c>
      <c r="B11185" t="s">
        <v>23</v>
      </c>
      <c r="C11185">
        <v>42036</v>
      </c>
      <c r="D11185" t="str">
        <f>"42036"</f>
        <v>42036</v>
      </c>
      <c r="E11185">
        <v>65.38</v>
      </c>
    </row>
    <row r="11186" spans="1:5" x14ac:dyDescent="0.2">
      <c r="A11186">
        <v>42038</v>
      </c>
      <c r="B11186" t="s">
        <v>23</v>
      </c>
      <c r="C11186">
        <v>42038</v>
      </c>
      <c r="D11186" t="str">
        <f>"42038"</f>
        <v>42038</v>
      </c>
      <c r="E11186">
        <v>71.92</v>
      </c>
    </row>
    <row r="11187" spans="1:5" x14ac:dyDescent="0.2">
      <c r="A11187">
        <v>42039</v>
      </c>
      <c r="B11187" t="s">
        <v>23</v>
      </c>
      <c r="C11187">
        <v>42039</v>
      </c>
      <c r="D11187" t="str">
        <f>"42039"</f>
        <v>42039</v>
      </c>
      <c r="E11187">
        <v>72.459999999999994</v>
      </c>
    </row>
    <row r="11188" spans="1:5" x14ac:dyDescent="0.2">
      <c r="A11188">
        <v>42040</v>
      </c>
      <c r="B11188" t="s">
        <v>23</v>
      </c>
      <c r="C11188">
        <v>42040</v>
      </c>
      <c r="D11188" t="str">
        <f>"42040"</f>
        <v>42040</v>
      </c>
      <c r="E11188">
        <v>68.75</v>
      </c>
    </row>
    <row r="11189" spans="1:5" x14ac:dyDescent="0.2">
      <c r="A11189">
        <v>42041</v>
      </c>
      <c r="B11189" t="s">
        <v>23</v>
      </c>
      <c r="C11189">
        <v>42041</v>
      </c>
      <c r="D11189" t="str">
        <f>"42041"</f>
        <v>42041</v>
      </c>
      <c r="E11189">
        <v>59.51</v>
      </c>
    </row>
    <row r="11190" spans="1:5" x14ac:dyDescent="0.2">
      <c r="A11190">
        <v>42044</v>
      </c>
      <c r="B11190" t="s">
        <v>23</v>
      </c>
      <c r="C11190">
        <v>42044</v>
      </c>
      <c r="D11190" t="str">
        <f>"42044"</f>
        <v>42044</v>
      </c>
      <c r="E11190">
        <v>73.38</v>
      </c>
    </row>
    <row r="11191" spans="1:5" x14ac:dyDescent="0.2">
      <c r="A11191">
        <v>42045</v>
      </c>
      <c r="B11191" t="s">
        <v>23</v>
      </c>
      <c r="C11191">
        <v>42045</v>
      </c>
      <c r="D11191" t="str">
        <f>"42045"</f>
        <v>42045</v>
      </c>
      <c r="E11191">
        <v>71.13</v>
      </c>
    </row>
    <row r="11192" spans="1:5" x14ac:dyDescent="0.2">
      <c r="A11192">
        <v>42047</v>
      </c>
      <c r="B11192" t="s">
        <v>23</v>
      </c>
      <c r="C11192">
        <v>42047</v>
      </c>
      <c r="D11192" t="str">
        <f>"42047"</f>
        <v>42047</v>
      </c>
      <c r="E11192" t="s">
        <v>6</v>
      </c>
    </row>
    <row r="11193" spans="1:5" x14ac:dyDescent="0.2">
      <c r="A11193">
        <v>42048</v>
      </c>
      <c r="B11193" t="s">
        <v>23</v>
      </c>
      <c r="C11193">
        <v>42048</v>
      </c>
      <c r="D11193" t="str">
        <f>"42048"</f>
        <v>42048</v>
      </c>
      <c r="E11193">
        <v>63.33</v>
      </c>
    </row>
    <row r="11194" spans="1:5" x14ac:dyDescent="0.2">
      <c r="A11194">
        <v>42049</v>
      </c>
      <c r="B11194" t="s">
        <v>23</v>
      </c>
      <c r="C11194">
        <v>42049</v>
      </c>
      <c r="D11194" t="str">
        <f>"42049"</f>
        <v>42049</v>
      </c>
      <c r="E11194">
        <v>63.77</v>
      </c>
    </row>
    <row r="11195" spans="1:5" x14ac:dyDescent="0.2">
      <c r="A11195">
        <v>42050</v>
      </c>
      <c r="B11195" t="s">
        <v>23</v>
      </c>
      <c r="C11195">
        <v>42050</v>
      </c>
      <c r="D11195" t="str">
        <f>"42050"</f>
        <v>42050</v>
      </c>
      <c r="E11195">
        <v>55.56</v>
      </c>
    </row>
    <row r="11196" spans="1:5" x14ac:dyDescent="0.2">
      <c r="A11196">
        <v>42051</v>
      </c>
      <c r="B11196" t="s">
        <v>23</v>
      </c>
      <c r="C11196">
        <v>42051</v>
      </c>
      <c r="D11196" t="str">
        <f>"42051"</f>
        <v>42051</v>
      </c>
      <c r="E11196">
        <v>69.47</v>
      </c>
    </row>
    <row r="11197" spans="1:5" x14ac:dyDescent="0.2">
      <c r="A11197">
        <v>42053</v>
      </c>
      <c r="B11197" t="s">
        <v>23</v>
      </c>
      <c r="C11197">
        <v>42053</v>
      </c>
      <c r="D11197" t="str">
        <f>"42053"</f>
        <v>42053</v>
      </c>
      <c r="E11197">
        <v>73.709999999999994</v>
      </c>
    </row>
    <row r="11198" spans="1:5" x14ac:dyDescent="0.2">
      <c r="A11198">
        <v>42054</v>
      </c>
      <c r="B11198" t="s">
        <v>23</v>
      </c>
      <c r="C11198">
        <v>42054</v>
      </c>
      <c r="D11198" t="str">
        <f>"42054"</f>
        <v>42054</v>
      </c>
      <c r="E11198">
        <v>69.05</v>
      </c>
    </row>
    <row r="11199" spans="1:5" x14ac:dyDescent="0.2">
      <c r="A11199">
        <v>42055</v>
      </c>
      <c r="B11199" t="s">
        <v>23</v>
      </c>
      <c r="C11199">
        <v>42055</v>
      </c>
      <c r="D11199" t="str">
        <f>"42055"</f>
        <v>42055</v>
      </c>
      <c r="E11199">
        <v>71.7</v>
      </c>
    </row>
    <row r="11200" spans="1:5" x14ac:dyDescent="0.2">
      <c r="A11200">
        <v>42056</v>
      </c>
      <c r="B11200" t="s">
        <v>23</v>
      </c>
      <c r="C11200">
        <v>42056</v>
      </c>
      <c r="D11200" t="str">
        <f>"42056"</f>
        <v>42056</v>
      </c>
      <c r="E11200">
        <v>69.05</v>
      </c>
    </row>
    <row r="11201" spans="1:5" x14ac:dyDescent="0.2">
      <c r="A11201">
        <v>42058</v>
      </c>
      <c r="B11201" t="s">
        <v>23</v>
      </c>
      <c r="C11201">
        <v>42058</v>
      </c>
      <c r="D11201" t="str">
        <f>"42058"</f>
        <v>42058</v>
      </c>
      <c r="E11201">
        <v>68.69</v>
      </c>
    </row>
    <row r="11202" spans="1:5" x14ac:dyDescent="0.2">
      <c r="A11202">
        <v>42064</v>
      </c>
      <c r="B11202" t="s">
        <v>23</v>
      </c>
      <c r="C11202">
        <v>42064</v>
      </c>
      <c r="D11202" t="str">
        <f>"42064"</f>
        <v>42064</v>
      </c>
      <c r="E11202">
        <v>65.59</v>
      </c>
    </row>
    <row r="11203" spans="1:5" x14ac:dyDescent="0.2">
      <c r="A11203">
        <v>42066</v>
      </c>
      <c r="B11203" t="s">
        <v>23</v>
      </c>
      <c r="C11203">
        <v>42066</v>
      </c>
      <c r="D11203" t="str">
        <f>"42066"</f>
        <v>42066</v>
      </c>
      <c r="E11203">
        <v>63.68</v>
      </c>
    </row>
    <row r="11204" spans="1:5" x14ac:dyDescent="0.2">
      <c r="A11204">
        <v>42069</v>
      </c>
      <c r="B11204" t="s">
        <v>23</v>
      </c>
      <c r="C11204">
        <v>42069</v>
      </c>
      <c r="D11204" t="str">
        <f>"42069"</f>
        <v>42069</v>
      </c>
      <c r="E11204">
        <v>72.5</v>
      </c>
    </row>
    <row r="11205" spans="1:5" x14ac:dyDescent="0.2">
      <c r="A11205">
        <v>42071</v>
      </c>
      <c r="B11205" t="s">
        <v>23</v>
      </c>
      <c r="C11205">
        <v>42071</v>
      </c>
      <c r="D11205" t="str">
        <f>"42071"</f>
        <v>42071</v>
      </c>
      <c r="E11205">
        <v>68.77</v>
      </c>
    </row>
    <row r="11206" spans="1:5" x14ac:dyDescent="0.2">
      <c r="A11206">
        <v>42076</v>
      </c>
      <c r="B11206" t="s">
        <v>23</v>
      </c>
      <c r="C11206">
        <v>42076</v>
      </c>
      <c r="D11206" t="str">
        <f>"42076"</f>
        <v>42076</v>
      </c>
      <c r="E11206">
        <v>66.67</v>
      </c>
    </row>
    <row r="11207" spans="1:5" x14ac:dyDescent="0.2">
      <c r="A11207">
        <v>42078</v>
      </c>
      <c r="B11207" t="s">
        <v>23</v>
      </c>
      <c r="C11207">
        <v>42078</v>
      </c>
      <c r="D11207" t="str">
        <f>"42078"</f>
        <v>42078</v>
      </c>
      <c r="E11207">
        <v>67.650000000000006</v>
      </c>
    </row>
    <row r="11208" spans="1:5" x14ac:dyDescent="0.2">
      <c r="A11208">
        <v>42079</v>
      </c>
      <c r="B11208" t="s">
        <v>23</v>
      </c>
      <c r="C11208">
        <v>42079</v>
      </c>
      <c r="D11208" t="str">
        <f>"42079"</f>
        <v>42079</v>
      </c>
      <c r="E11208">
        <v>63.64</v>
      </c>
    </row>
    <row r="11209" spans="1:5" x14ac:dyDescent="0.2">
      <c r="A11209">
        <v>42081</v>
      </c>
      <c r="B11209" t="s">
        <v>23</v>
      </c>
      <c r="C11209">
        <v>42081</v>
      </c>
      <c r="D11209" t="str">
        <f>"42081"</f>
        <v>42081</v>
      </c>
      <c r="E11209">
        <v>72.94</v>
      </c>
    </row>
    <row r="11210" spans="1:5" x14ac:dyDescent="0.2">
      <c r="A11210">
        <v>42082</v>
      </c>
      <c r="B11210" t="s">
        <v>23</v>
      </c>
      <c r="C11210">
        <v>42082</v>
      </c>
      <c r="D11210" t="str">
        <f>"42082"</f>
        <v>42082</v>
      </c>
      <c r="E11210">
        <v>71.95</v>
      </c>
    </row>
    <row r="11211" spans="1:5" x14ac:dyDescent="0.2">
      <c r="A11211">
        <v>42083</v>
      </c>
      <c r="B11211" t="s">
        <v>23</v>
      </c>
      <c r="C11211">
        <v>42083</v>
      </c>
      <c r="D11211" t="str">
        <f>"42083"</f>
        <v>42083</v>
      </c>
      <c r="E11211">
        <v>64.290000000000006</v>
      </c>
    </row>
    <row r="11212" spans="1:5" x14ac:dyDescent="0.2">
      <c r="A11212">
        <v>42085</v>
      </c>
      <c r="B11212" t="s">
        <v>23</v>
      </c>
      <c r="C11212">
        <v>42085</v>
      </c>
      <c r="D11212" t="str">
        <f>"42085"</f>
        <v>42085</v>
      </c>
      <c r="E11212">
        <v>64.709999999999994</v>
      </c>
    </row>
    <row r="11213" spans="1:5" x14ac:dyDescent="0.2">
      <c r="A11213">
        <v>42086</v>
      </c>
      <c r="B11213" t="s">
        <v>23</v>
      </c>
      <c r="C11213">
        <v>42086</v>
      </c>
      <c r="D11213" t="str">
        <f>"42086"</f>
        <v>42086</v>
      </c>
      <c r="E11213">
        <v>70.47</v>
      </c>
    </row>
    <row r="11214" spans="1:5" x14ac:dyDescent="0.2">
      <c r="A11214">
        <v>42087</v>
      </c>
      <c r="B11214" t="s">
        <v>23</v>
      </c>
      <c r="C11214">
        <v>42087</v>
      </c>
      <c r="D11214" t="str">
        <f>"42087"</f>
        <v>42087</v>
      </c>
      <c r="E11214">
        <v>68.540000000000006</v>
      </c>
    </row>
    <row r="11215" spans="1:5" x14ac:dyDescent="0.2">
      <c r="A11215">
        <v>42088</v>
      </c>
      <c r="B11215" t="s">
        <v>23</v>
      </c>
      <c r="C11215">
        <v>42088</v>
      </c>
      <c r="D11215" t="str">
        <f>"42088"</f>
        <v>42088</v>
      </c>
      <c r="E11215">
        <v>67.290000000000006</v>
      </c>
    </row>
    <row r="11216" spans="1:5" x14ac:dyDescent="0.2">
      <c r="A11216">
        <v>42101</v>
      </c>
      <c r="B11216" t="s">
        <v>23</v>
      </c>
      <c r="C11216">
        <v>42101</v>
      </c>
      <c r="D11216" t="str">
        <f>"42101"</f>
        <v>42101</v>
      </c>
      <c r="E11216">
        <v>61.54</v>
      </c>
    </row>
    <row r="11217" spans="1:5" x14ac:dyDescent="0.2">
      <c r="A11217">
        <v>42103</v>
      </c>
      <c r="B11217" t="s">
        <v>23</v>
      </c>
      <c r="C11217">
        <v>42103</v>
      </c>
      <c r="D11217" t="str">
        <f>"42103"</f>
        <v>42103</v>
      </c>
      <c r="E11217">
        <v>74.38</v>
      </c>
    </row>
    <row r="11218" spans="1:5" x14ac:dyDescent="0.2">
      <c r="A11218">
        <v>42104</v>
      </c>
      <c r="B11218" t="s">
        <v>23</v>
      </c>
      <c r="C11218">
        <v>42104</v>
      </c>
      <c r="D11218" t="str">
        <f>"42104"</f>
        <v>42104</v>
      </c>
      <c r="E11218">
        <v>72.84</v>
      </c>
    </row>
    <row r="11219" spans="1:5" x14ac:dyDescent="0.2">
      <c r="A11219">
        <v>42120</v>
      </c>
      <c r="B11219" t="s">
        <v>23</v>
      </c>
      <c r="C11219">
        <v>42120</v>
      </c>
      <c r="D11219" t="str">
        <f>"42120"</f>
        <v>42120</v>
      </c>
      <c r="E11219">
        <v>60.92</v>
      </c>
    </row>
    <row r="11220" spans="1:5" x14ac:dyDescent="0.2">
      <c r="A11220">
        <v>42122</v>
      </c>
      <c r="B11220" t="s">
        <v>23</v>
      </c>
      <c r="C11220">
        <v>42122</v>
      </c>
      <c r="D11220" t="str">
        <f>"42122"</f>
        <v>42122</v>
      </c>
      <c r="E11220">
        <v>76.3</v>
      </c>
    </row>
    <row r="11221" spans="1:5" x14ac:dyDescent="0.2">
      <c r="A11221">
        <v>42123</v>
      </c>
      <c r="B11221" t="s">
        <v>23</v>
      </c>
      <c r="C11221">
        <v>42123</v>
      </c>
      <c r="D11221" t="str">
        <f>"42123"</f>
        <v>42123</v>
      </c>
      <c r="E11221">
        <v>63.64</v>
      </c>
    </row>
    <row r="11222" spans="1:5" x14ac:dyDescent="0.2">
      <c r="A11222">
        <v>42124</v>
      </c>
      <c r="B11222" t="s">
        <v>23</v>
      </c>
      <c r="C11222">
        <v>42124</v>
      </c>
      <c r="D11222" t="str">
        <f>"42124"</f>
        <v>42124</v>
      </c>
      <c r="E11222" t="s">
        <v>6</v>
      </c>
    </row>
    <row r="11223" spans="1:5" x14ac:dyDescent="0.2">
      <c r="A11223">
        <v>42127</v>
      </c>
      <c r="B11223" t="s">
        <v>23</v>
      </c>
      <c r="C11223">
        <v>42127</v>
      </c>
      <c r="D11223" t="str">
        <f>"42127"</f>
        <v>42127</v>
      </c>
      <c r="E11223">
        <v>60.98</v>
      </c>
    </row>
    <row r="11224" spans="1:5" x14ac:dyDescent="0.2">
      <c r="A11224">
        <v>42129</v>
      </c>
      <c r="B11224" t="s">
        <v>23</v>
      </c>
      <c r="C11224">
        <v>42129</v>
      </c>
      <c r="D11224" t="str">
        <f>"42129"</f>
        <v>42129</v>
      </c>
      <c r="E11224">
        <v>59.25</v>
      </c>
    </row>
    <row r="11225" spans="1:5" x14ac:dyDescent="0.2">
      <c r="A11225">
        <v>42130</v>
      </c>
      <c r="B11225" t="s">
        <v>23</v>
      </c>
      <c r="C11225">
        <v>42130</v>
      </c>
      <c r="D11225" t="str">
        <f>"42130"</f>
        <v>42130</v>
      </c>
      <c r="E11225" t="s">
        <v>6</v>
      </c>
    </row>
    <row r="11226" spans="1:5" x14ac:dyDescent="0.2">
      <c r="A11226">
        <v>42131</v>
      </c>
      <c r="B11226" t="s">
        <v>23</v>
      </c>
      <c r="C11226">
        <v>42131</v>
      </c>
      <c r="D11226" t="str">
        <f>"42131"</f>
        <v>42131</v>
      </c>
      <c r="E11226" t="s">
        <v>6</v>
      </c>
    </row>
    <row r="11227" spans="1:5" x14ac:dyDescent="0.2">
      <c r="A11227">
        <v>42133</v>
      </c>
      <c r="B11227" t="s">
        <v>23</v>
      </c>
      <c r="C11227">
        <v>42133</v>
      </c>
      <c r="D11227" t="str">
        <f>"42133"</f>
        <v>42133</v>
      </c>
      <c r="E11227">
        <v>59.26</v>
      </c>
    </row>
    <row r="11228" spans="1:5" x14ac:dyDescent="0.2">
      <c r="A11228">
        <v>42134</v>
      </c>
      <c r="B11228" t="s">
        <v>23</v>
      </c>
      <c r="C11228">
        <v>42134</v>
      </c>
      <c r="D11228" t="str">
        <f>"42134"</f>
        <v>42134</v>
      </c>
      <c r="E11228">
        <v>67.62</v>
      </c>
    </row>
    <row r="11229" spans="1:5" x14ac:dyDescent="0.2">
      <c r="A11229">
        <v>42140</v>
      </c>
      <c r="B11229" t="s">
        <v>23</v>
      </c>
      <c r="C11229">
        <v>42140</v>
      </c>
      <c r="D11229" t="str">
        <f>"42140"</f>
        <v>42140</v>
      </c>
      <c r="E11229">
        <v>56.25</v>
      </c>
    </row>
    <row r="11230" spans="1:5" x14ac:dyDescent="0.2">
      <c r="A11230">
        <v>42141</v>
      </c>
      <c r="B11230" t="s">
        <v>23</v>
      </c>
      <c r="C11230">
        <v>42141</v>
      </c>
      <c r="D11230" t="str">
        <f>"42141"</f>
        <v>42141</v>
      </c>
      <c r="E11230">
        <v>65.28</v>
      </c>
    </row>
    <row r="11231" spans="1:5" x14ac:dyDescent="0.2">
      <c r="A11231">
        <v>42151</v>
      </c>
      <c r="B11231" t="s">
        <v>23</v>
      </c>
      <c r="C11231">
        <v>42151</v>
      </c>
      <c r="D11231" t="str">
        <f>"42151"</f>
        <v>42151</v>
      </c>
      <c r="E11231" t="s">
        <v>6</v>
      </c>
    </row>
    <row r="11232" spans="1:5" x14ac:dyDescent="0.2">
      <c r="A11232">
        <v>42153</v>
      </c>
      <c r="B11232" t="s">
        <v>23</v>
      </c>
      <c r="C11232">
        <v>42153</v>
      </c>
      <c r="D11232" t="str">
        <f>"42153"</f>
        <v>42153</v>
      </c>
      <c r="E11232" t="s">
        <v>6</v>
      </c>
    </row>
    <row r="11233" spans="1:5" x14ac:dyDescent="0.2">
      <c r="A11233">
        <v>42154</v>
      </c>
      <c r="B11233" t="s">
        <v>23</v>
      </c>
      <c r="C11233">
        <v>42154</v>
      </c>
      <c r="D11233" t="str">
        <f>"42154"</f>
        <v>42154</v>
      </c>
      <c r="E11233">
        <v>53.57</v>
      </c>
    </row>
    <row r="11234" spans="1:5" x14ac:dyDescent="0.2">
      <c r="A11234">
        <v>42156</v>
      </c>
      <c r="B11234" t="s">
        <v>23</v>
      </c>
      <c r="C11234">
        <v>42156</v>
      </c>
      <c r="D11234" t="str">
        <f>"42156"</f>
        <v>42156</v>
      </c>
      <c r="E11234">
        <v>62.5</v>
      </c>
    </row>
    <row r="11235" spans="1:5" x14ac:dyDescent="0.2">
      <c r="A11235">
        <v>42157</v>
      </c>
      <c r="B11235" t="s">
        <v>23</v>
      </c>
      <c r="C11235">
        <v>42157</v>
      </c>
      <c r="D11235" t="str">
        <f>"42157"</f>
        <v>42157</v>
      </c>
      <c r="E11235">
        <v>47.06</v>
      </c>
    </row>
    <row r="11236" spans="1:5" x14ac:dyDescent="0.2">
      <c r="A11236">
        <v>42159</v>
      </c>
      <c r="B11236" t="s">
        <v>23</v>
      </c>
      <c r="C11236">
        <v>42159</v>
      </c>
      <c r="D11236" t="str">
        <f>"42159"</f>
        <v>42159</v>
      </c>
      <c r="E11236">
        <v>71.430000000000007</v>
      </c>
    </row>
    <row r="11237" spans="1:5" x14ac:dyDescent="0.2">
      <c r="A11237">
        <v>42160</v>
      </c>
      <c r="B11237" t="s">
        <v>23</v>
      </c>
      <c r="C11237">
        <v>42160</v>
      </c>
      <c r="D11237" t="str">
        <f>"42160"</f>
        <v>42160</v>
      </c>
      <c r="E11237">
        <v>61.18</v>
      </c>
    </row>
    <row r="11238" spans="1:5" x14ac:dyDescent="0.2">
      <c r="A11238">
        <v>42163</v>
      </c>
      <c r="B11238" t="s">
        <v>23</v>
      </c>
      <c r="C11238">
        <v>42163</v>
      </c>
      <c r="D11238" t="str">
        <f>"42163"</f>
        <v>42163</v>
      </c>
      <c r="E11238" t="s">
        <v>6</v>
      </c>
    </row>
    <row r="11239" spans="1:5" x14ac:dyDescent="0.2">
      <c r="A11239">
        <v>42164</v>
      </c>
      <c r="B11239" t="s">
        <v>23</v>
      </c>
      <c r="C11239">
        <v>42164</v>
      </c>
      <c r="D11239" t="str">
        <f>"42164"</f>
        <v>42164</v>
      </c>
      <c r="E11239">
        <v>65.959999999999994</v>
      </c>
    </row>
    <row r="11240" spans="1:5" x14ac:dyDescent="0.2">
      <c r="A11240">
        <v>42166</v>
      </c>
      <c r="B11240" t="s">
        <v>23</v>
      </c>
      <c r="C11240">
        <v>42166</v>
      </c>
      <c r="D11240" t="str">
        <f>"42166"</f>
        <v>42166</v>
      </c>
      <c r="E11240">
        <v>62.5</v>
      </c>
    </row>
    <row r="11241" spans="1:5" x14ac:dyDescent="0.2">
      <c r="A11241">
        <v>42167</v>
      </c>
      <c r="B11241" t="s">
        <v>23</v>
      </c>
      <c r="C11241">
        <v>42167</v>
      </c>
      <c r="D11241" t="str">
        <f>"42167"</f>
        <v>42167</v>
      </c>
      <c r="E11241">
        <v>60.32</v>
      </c>
    </row>
    <row r="11242" spans="1:5" x14ac:dyDescent="0.2">
      <c r="A11242">
        <v>42170</v>
      </c>
      <c r="B11242" t="s">
        <v>23</v>
      </c>
      <c r="C11242">
        <v>42170</v>
      </c>
      <c r="D11242" t="str">
        <f>"42170"</f>
        <v>42170</v>
      </c>
      <c r="E11242">
        <v>76.12</v>
      </c>
    </row>
    <row r="11243" spans="1:5" x14ac:dyDescent="0.2">
      <c r="A11243">
        <v>42171</v>
      </c>
      <c r="B11243" t="s">
        <v>23</v>
      </c>
      <c r="C11243">
        <v>42171</v>
      </c>
      <c r="D11243" t="str">
        <f>"42171"</f>
        <v>42171</v>
      </c>
      <c r="E11243">
        <v>69.650000000000006</v>
      </c>
    </row>
    <row r="11244" spans="1:5" x14ac:dyDescent="0.2">
      <c r="A11244">
        <v>42202</v>
      </c>
      <c r="B11244" t="s">
        <v>23</v>
      </c>
      <c r="C11244">
        <v>42202</v>
      </c>
      <c r="D11244" t="str">
        <f>"42202"</f>
        <v>42202</v>
      </c>
      <c r="E11244">
        <v>61.62</v>
      </c>
    </row>
    <row r="11245" spans="1:5" x14ac:dyDescent="0.2">
      <c r="A11245">
        <v>42204</v>
      </c>
      <c r="B11245" t="s">
        <v>23</v>
      </c>
      <c r="C11245">
        <v>42204</v>
      </c>
      <c r="D11245" t="str">
        <f>"42204"</f>
        <v>42204</v>
      </c>
      <c r="E11245">
        <v>64.290000000000006</v>
      </c>
    </row>
    <row r="11246" spans="1:5" x14ac:dyDescent="0.2">
      <c r="A11246">
        <v>42206</v>
      </c>
      <c r="B11246" t="s">
        <v>23</v>
      </c>
      <c r="C11246">
        <v>42206</v>
      </c>
      <c r="D11246" t="str">
        <f>"42206"</f>
        <v>42206</v>
      </c>
      <c r="E11246">
        <v>67.92</v>
      </c>
    </row>
    <row r="11247" spans="1:5" x14ac:dyDescent="0.2">
      <c r="A11247">
        <v>42207</v>
      </c>
      <c r="B11247" t="s">
        <v>23</v>
      </c>
      <c r="C11247">
        <v>42207</v>
      </c>
      <c r="D11247" t="str">
        <f>"42207"</f>
        <v>42207</v>
      </c>
      <c r="E11247">
        <v>63.83</v>
      </c>
    </row>
    <row r="11248" spans="1:5" x14ac:dyDescent="0.2">
      <c r="A11248">
        <v>42210</v>
      </c>
      <c r="B11248" t="s">
        <v>23</v>
      </c>
      <c r="C11248">
        <v>42210</v>
      </c>
      <c r="D11248" t="str">
        <f>"42210"</f>
        <v>42210</v>
      </c>
      <c r="E11248">
        <v>64.81</v>
      </c>
    </row>
    <row r="11249" spans="1:5" x14ac:dyDescent="0.2">
      <c r="A11249">
        <v>42211</v>
      </c>
      <c r="B11249" t="s">
        <v>23</v>
      </c>
      <c r="C11249">
        <v>42211</v>
      </c>
      <c r="D11249" t="str">
        <f>"42211"</f>
        <v>42211</v>
      </c>
      <c r="E11249">
        <v>66.13</v>
      </c>
    </row>
    <row r="11250" spans="1:5" x14ac:dyDescent="0.2">
      <c r="A11250">
        <v>42214</v>
      </c>
      <c r="B11250" t="s">
        <v>23</v>
      </c>
      <c r="C11250">
        <v>42214</v>
      </c>
      <c r="D11250" t="str">
        <f>"42214"</f>
        <v>42214</v>
      </c>
      <c r="E11250">
        <v>51.85</v>
      </c>
    </row>
    <row r="11251" spans="1:5" x14ac:dyDescent="0.2">
      <c r="A11251">
        <v>42215</v>
      </c>
      <c r="B11251" t="s">
        <v>23</v>
      </c>
      <c r="C11251">
        <v>42215</v>
      </c>
      <c r="D11251" t="str">
        <f>"42215"</f>
        <v>42215</v>
      </c>
      <c r="E11251">
        <v>64.709999999999994</v>
      </c>
    </row>
    <row r="11252" spans="1:5" x14ac:dyDescent="0.2">
      <c r="A11252">
        <v>42217</v>
      </c>
      <c r="B11252" t="s">
        <v>23</v>
      </c>
      <c r="C11252">
        <v>42217</v>
      </c>
      <c r="D11252" t="str">
        <f>"42217"</f>
        <v>42217</v>
      </c>
      <c r="E11252">
        <v>69.33</v>
      </c>
    </row>
    <row r="11253" spans="1:5" x14ac:dyDescent="0.2">
      <c r="A11253">
        <v>42220</v>
      </c>
      <c r="B11253" t="s">
        <v>23</v>
      </c>
      <c r="C11253">
        <v>42220</v>
      </c>
      <c r="D11253" t="str">
        <f>"42220"</f>
        <v>42220</v>
      </c>
      <c r="E11253">
        <v>62.93</v>
      </c>
    </row>
    <row r="11254" spans="1:5" x14ac:dyDescent="0.2">
      <c r="A11254">
        <v>42232</v>
      </c>
      <c r="B11254" t="s">
        <v>23</v>
      </c>
      <c r="C11254">
        <v>42232</v>
      </c>
      <c r="D11254" t="str">
        <f>"42232"</f>
        <v>42232</v>
      </c>
      <c r="E11254">
        <v>72.22</v>
      </c>
    </row>
    <row r="11255" spans="1:5" x14ac:dyDescent="0.2">
      <c r="A11255">
        <v>42234</v>
      </c>
      <c r="B11255" t="s">
        <v>23</v>
      </c>
      <c r="C11255">
        <v>42234</v>
      </c>
      <c r="D11255" t="str">
        <f>"42234"</f>
        <v>42234</v>
      </c>
      <c r="E11255">
        <v>59.52</v>
      </c>
    </row>
    <row r="11256" spans="1:5" x14ac:dyDescent="0.2">
      <c r="A11256">
        <v>42236</v>
      </c>
      <c r="B11256" t="s">
        <v>23</v>
      </c>
      <c r="C11256">
        <v>42236</v>
      </c>
      <c r="D11256" t="str">
        <f>"42236"</f>
        <v>42236</v>
      </c>
      <c r="E11256">
        <v>65.790000000000006</v>
      </c>
    </row>
    <row r="11257" spans="1:5" x14ac:dyDescent="0.2">
      <c r="A11257">
        <v>42240</v>
      </c>
      <c r="B11257" t="s">
        <v>23</v>
      </c>
      <c r="C11257">
        <v>42240</v>
      </c>
      <c r="D11257" t="str">
        <f>"42240"</f>
        <v>42240</v>
      </c>
      <c r="E11257">
        <v>63.59</v>
      </c>
    </row>
    <row r="11258" spans="1:5" x14ac:dyDescent="0.2">
      <c r="A11258">
        <v>42252</v>
      </c>
      <c r="B11258" t="s">
        <v>23</v>
      </c>
      <c r="C11258">
        <v>42252</v>
      </c>
      <c r="D11258" t="str">
        <f>"42252"</f>
        <v>42252</v>
      </c>
      <c r="E11258" t="s">
        <v>6</v>
      </c>
    </row>
    <row r="11259" spans="1:5" x14ac:dyDescent="0.2">
      <c r="A11259">
        <v>42254</v>
      </c>
      <c r="B11259" t="s">
        <v>23</v>
      </c>
      <c r="C11259">
        <v>42254</v>
      </c>
      <c r="D11259" t="str">
        <f>"42254"</f>
        <v>42254</v>
      </c>
      <c r="E11259">
        <v>63.64</v>
      </c>
    </row>
    <row r="11260" spans="1:5" x14ac:dyDescent="0.2">
      <c r="A11260">
        <v>42256</v>
      </c>
      <c r="B11260" t="s">
        <v>23</v>
      </c>
      <c r="C11260">
        <v>42256</v>
      </c>
      <c r="D11260" t="str">
        <f>"42256"</f>
        <v>42256</v>
      </c>
      <c r="E11260">
        <v>69.069999999999993</v>
      </c>
    </row>
    <row r="11261" spans="1:5" x14ac:dyDescent="0.2">
      <c r="A11261">
        <v>42259</v>
      </c>
      <c r="B11261" t="s">
        <v>23</v>
      </c>
      <c r="C11261">
        <v>42259</v>
      </c>
      <c r="D11261" t="str">
        <f>"42259"</f>
        <v>42259</v>
      </c>
      <c r="E11261">
        <v>64.099999999999994</v>
      </c>
    </row>
    <row r="11262" spans="1:5" x14ac:dyDescent="0.2">
      <c r="A11262">
        <v>42261</v>
      </c>
      <c r="B11262" t="s">
        <v>23</v>
      </c>
      <c r="C11262">
        <v>42261</v>
      </c>
      <c r="D11262" t="str">
        <f>"42261"</f>
        <v>42261</v>
      </c>
      <c r="E11262">
        <v>64.39</v>
      </c>
    </row>
    <row r="11263" spans="1:5" x14ac:dyDescent="0.2">
      <c r="A11263">
        <v>42262</v>
      </c>
      <c r="B11263" t="s">
        <v>23</v>
      </c>
      <c r="C11263">
        <v>42262</v>
      </c>
      <c r="D11263" t="str">
        <f>"42262"</f>
        <v>42262</v>
      </c>
      <c r="E11263">
        <v>53.94</v>
      </c>
    </row>
    <row r="11264" spans="1:5" x14ac:dyDescent="0.2">
      <c r="A11264">
        <v>42265</v>
      </c>
      <c r="B11264" t="s">
        <v>23</v>
      </c>
      <c r="C11264">
        <v>42265</v>
      </c>
      <c r="D11264" t="str">
        <f>"42265"</f>
        <v>42265</v>
      </c>
      <c r="E11264">
        <v>70</v>
      </c>
    </row>
    <row r="11265" spans="1:5" x14ac:dyDescent="0.2">
      <c r="A11265">
        <v>42266</v>
      </c>
      <c r="B11265" t="s">
        <v>23</v>
      </c>
      <c r="C11265">
        <v>42266</v>
      </c>
      <c r="D11265" t="str">
        <f>"42266"</f>
        <v>42266</v>
      </c>
      <c r="E11265">
        <v>59.57</v>
      </c>
    </row>
    <row r="11266" spans="1:5" x14ac:dyDescent="0.2">
      <c r="A11266">
        <v>42273</v>
      </c>
      <c r="B11266" t="s">
        <v>23</v>
      </c>
      <c r="C11266">
        <v>42273</v>
      </c>
      <c r="D11266" t="str">
        <f>"42273"</f>
        <v>42273</v>
      </c>
      <c r="E11266">
        <v>66.67</v>
      </c>
    </row>
    <row r="11267" spans="1:5" x14ac:dyDescent="0.2">
      <c r="A11267">
        <v>42274</v>
      </c>
      <c r="B11267" t="s">
        <v>23</v>
      </c>
      <c r="C11267">
        <v>42274</v>
      </c>
      <c r="D11267" t="str">
        <f>"42274"</f>
        <v>42274</v>
      </c>
      <c r="E11267">
        <v>73.83</v>
      </c>
    </row>
    <row r="11268" spans="1:5" x14ac:dyDescent="0.2">
      <c r="A11268">
        <v>42275</v>
      </c>
      <c r="B11268" t="s">
        <v>23</v>
      </c>
      <c r="C11268">
        <v>42275</v>
      </c>
      <c r="D11268" t="str">
        <f>"42275"</f>
        <v>42275</v>
      </c>
      <c r="E11268">
        <v>65.63</v>
      </c>
    </row>
    <row r="11269" spans="1:5" x14ac:dyDescent="0.2">
      <c r="A11269">
        <v>42276</v>
      </c>
      <c r="B11269" t="s">
        <v>23</v>
      </c>
      <c r="C11269">
        <v>42276</v>
      </c>
      <c r="D11269" t="str">
        <f>"42276"</f>
        <v>42276</v>
      </c>
      <c r="E11269">
        <v>66.989999999999995</v>
      </c>
    </row>
    <row r="11270" spans="1:5" x14ac:dyDescent="0.2">
      <c r="A11270">
        <v>42280</v>
      </c>
      <c r="B11270" t="s">
        <v>23</v>
      </c>
      <c r="C11270">
        <v>42280</v>
      </c>
      <c r="D11270" t="str">
        <f>"42280"</f>
        <v>42280</v>
      </c>
      <c r="E11270">
        <v>60</v>
      </c>
    </row>
    <row r="11271" spans="1:5" x14ac:dyDescent="0.2">
      <c r="A11271">
        <v>42285</v>
      </c>
      <c r="B11271" t="s">
        <v>23</v>
      </c>
      <c r="C11271">
        <v>42285</v>
      </c>
      <c r="D11271" t="str">
        <f>"42285"</f>
        <v>42285</v>
      </c>
      <c r="E11271">
        <v>64.709999999999994</v>
      </c>
    </row>
    <row r="11272" spans="1:5" x14ac:dyDescent="0.2">
      <c r="A11272">
        <v>42286</v>
      </c>
      <c r="B11272" t="s">
        <v>23</v>
      </c>
      <c r="C11272">
        <v>42286</v>
      </c>
      <c r="D11272" t="str">
        <f>"42286"</f>
        <v>42286</v>
      </c>
      <c r="E11272">
        <v>65.52</v>
      </c>
    </row>
    <row r="11273" spans="1:5" x14ac:dyDescent="0.2">
      <c r="A11273">
        <v>42301</v>
      </c>
      <c r="B11273" t="s">
        <v>23</v>
      </c>
      <c r="C11273">
        <v>42301</v>
      </c>
      <c r="D11273" t="str">
        <f>"42301"</f>
        <v>42301</v>
      </c>
      <c r="E11273">
        <v>69.37</v>
      </c>
    </row>
    <row r="11274" spans="1:5" x14ac:dyDescent="0.2">
      <c r="A11274">
        <v>42303</v>
      </c>
      <c r="B11274" t="s">
        <v>23</v>
      </c>
      <c r="C11274">
        <v>42303</v>
      </c>
      <c r="D11274" t="str">
        <f>"42303"</f>
        <v>42303</v>
      </c>
      <c r="E11274">
        <v>70.849999999999994</v>
      </c>
    </row>
    <row r="11275" spans="1:5" x14ac:dyDescent="0.2">
      <c r="A11275">
        <v>42320</v>
      </c>
      <c r="B11275" t="s">
        <v>23</v>
      </c>
      <c r="C11275">
        <v>42320</v>
      </c>
      <c r="D11275" t="str">
        <f>"42320"</f>
        <v>42320</v>
      </c>
      <c r="E11275">
        <v>63.19</v>
      </c>
    </row>
    <row r="11276" spans="1:5" x14ac:dyDescent="0.2">
      <c r="A11276">
        <v>42321</v>
      </c>
      <c r="B11276" t="s">
        <v>23</v>
      </c>
      <c r="C11276">
        <v>42321</v>
      </c>
      <c r="D11276" t="str">
        <f>"42321"</f>
        <v>42321</v>
      </c>
      <c r="E11276">
        <v>65</v>
      </c>
    </row>
    <row r="11277" spans="1:5" x14ac:dyDescent="0.2">
      <c r="A11277">
        <v>42323</v>
      </c>
      <c r="B11277" t="s">
        <v>23</v>
      </c>
      <c r="C11277">
        <v>42323</v>
      </c>
      <c r="D11277" t="str">
        <f>"42323"</f>
        <v>42323</v>
      </c>
      <c r="E11277">
        <v>70.27</v>
      </c>
    </row>
    <row r="11278" spans="1:5" x14ac:dyDescent="0.2">
      <c r="A11278">
        <v>42324</v>
      </c>
      <c r="B11278" t="s">
        <v>23</v>
      </c>
      <c r="C11278">
        <v>42324</v>
      </c>
      <c r="D11278" t="str">
        <f>"42324"</f>
        <v>42324</v>
      </c>
      <c r="E11278">
        <v>68.89</v>
      </c>
    </row>
    <row r="11279" spans="1:5" x14ac:dyDescent="0.2">
      <c r="A11279">
        <v>42325</v>
      </c>
      <c r="B11279" t="s">
        <v>23</v>
      </c>
      <c r="C11279">
        <v>42325</v>
      </c>
      <c r="D11279" t="str">
        <f>"42325"</f>
        <v>42325</v>
      </c>
      <c r="E11279">
        <v>67.47</v>
      </c>
    </row>
    <row r="11280" spans="1:5" x14ac:dyDescent="0.2">
      <c r="A11280">
        <v>42326</v>
      </c>
      <c r="B11280" t="s">
        <v>23</v>
      </c>
      <c r="C11280">
        <v>42326</v>
      </c>
      <c r="D11280" t="str">
        <f>"42326"</f>
        <v>42326</v>
      </c>
      <c r="E11280">
        <v>69.23</v>
      </c>
    </row>
    <row r="11281" spans="1:5" x14ac:dyDescent="0.2">
      <c r="A11281">
        <v>42327</v>
      </c>
      <c r="B11281" t="s">
        <v>23</v>
      </c>
      <c r="C11281">
        <v>42327</v>
      </c>
      <c r="D11281" t="str">
        <f>"42327"</f>
        <v>42327</v>
      </c>
      <c r="E11281">
        <v>69.41</v>
      </c>
    </row>
    <row r="11282" spans="1:5" x14ac:dyDescent="0.2">
      <c r="A11282">
        <v>42328</v>
      </c>
      <c r="B11282" t="s">
        <v>23</v>
      </c>
      <c r="C11282">
        <v>42328</v>
      </c>
      <c r="D11282" t="str">
        <f>"42328"</f>
        <v>42328</v>
      </c>
      <c r="E11282">
        <v>67.27</v>
      </c>
    </row>
    <row r="11283" spans="1:5" x14ac:dyDescent="0.2">
      <c r="A11283">
        <v>42330</v>
      </c>
      <c r="B11283" t="s">
        <v>23</v>
      </c>
      <c r="C11283">
        <v>42330</v>
      </c>
      <c r="D11283" t="str">
        <f>"42330"</f>
        <v>42330</v>
      </c>
      <c r="E11283">
        <v>65.959999999999994</v>
      </c>
    </row>
    <row r="11284" spans="1:5" x14ac:dyDescent="0.2">
      <c r="A11284">
        <v>42333</v>
      </c>
      <c r="B11284" t="s">
        <v>23</v>
      </c>
      <c r="C11284">
        <v>42333</v>
      </c>
      <c r="D11284" t="str">
        <f>"42333"</f>
        <v>42333</v>
      </c>
      <c r="E11284">
        <v>64.290000000000006</v>
      </c>
    </row>
    <row r="11285" spans="1:5" x14ac:dyDescent="0.2">
      <c r="A11285">
        <v>42337</v>
      </c>
      <c r="B11285" t="s">
        <v>23</v>
      </c>
      <c r="C11285">
        <v>42337</v>
      </c>
      <c r="D11285" t="str">
        <f>"42337"</f>
        <v>42337</v>
      </c>
      <c r="E11285">
        <v>56.94</v>
      </c>
    </row>
    <row r="11286" spans="1:5" x14ac:dyDescent="0.2">
      <c r="A11286">
        <v>42338</v>
      </c>
      <c r="B11286" t="s">
        <v>23</v>
      </c>
      <c r="C11286">
        <v>42338</v>
      </c>
      <c r="D11286" t="str">
        <f>"42338"</f>
        <v>42338</v>
      </c>
      <c r="E11286" t="s">
        <v>6</v>
      </c>
    </row>
    <row r="11287" spans="1:5" x14ac:dyDescent="0.2">
      <c r="A11287">
        <v>42339</v>
      </c>
      <c r="B11287" t="s">
        <v>23</v>
      </c>
      <c r="C11287">
        <v>42339</v>
      </c>
      <c r="D11287" t="str">
        <f>"42339"</f>
        <v>42339</v>
      </c>
      <c r="E11287">
        <v>61.76</v>
      </c>
    </row>
    <row r="11288" spans="1:5" x14ac:dyDescent="0.2">
      <c r="A11288">
        <v>42343</v>
      </c>
      <c r="B11288" t="s">
        <v>23</v>
      </c>
      <c r="C11288">
        <v>42343</v>
      </c>
      <c r="D11288" t="str">
        <f>"42343"</f>
        <v>42343</v>
      </c>
      <c r="E11288">
        <v>63.89</v>
      </c>
    </row>
    <row r="11289" spans="1:5" x14ac:dyDescent="0.2">
      <c r="A11289">
        <v>42344</v>
      </c>
      <c r="B11289" t="s">
        <v>23</v>
      </c>
      <c r="C11289">
        <v>42344</v>
      </c>
      <c r="D11289" t="str">
        <f>"42344"</f>
        <v>42344</v>
      </c>
      <c r="E11289">
        <v>60.61</v>
      </c>
    </row>
    <row r="11290" spans="1:5" x14ac:dyDescent="0.2">
      <c r="A11290">
        <v>42345</v>
      </c>
      <c r="B11290" t="s">
        <v>23</v>
      </c>
      <c r="C11290">
        <v>42345</v>
      </c>
      <c r="D11290" t="str">
        <f>"42345"</f>
        <v>42345</v>
      </c>
      <c r="E11290">
        <v>70.37</v>
      </c>
    </row>
    <row r="11291" spans="1:5" x14ac:dyDescent="0.2">
      <c r="A11291">
        <v>42347</v>
      </c>
      <c r="B11291" t="s">
        <v>23</v>
      </c>
      <c r="C11291">
        <v>42347</v>
      </c>
      <c r="D11291" t="str">
        <f>"42347"</f>
        <v>42347</v>
      </c>
      <c r="E11291">
        <v>67.069999999999993</v>
      </c>
    </row>
    <row r="11292" spans="1:5" x14ac:dyDescent="0.2">
      <c r="A11292">
        <v>42348</v>
      </c>
      <c r="B11292" t="s">
        <v>23</v>
      </c>
      <c r="C11292">
        <v>42348</v>
      </c>
      <c r="D11292" t="str">
        <f>"42348"</f>
        <v>42348</v>
      </c>
      <c r="E11292">
        <v>72.459999999999994</v>
      </c>
    </row>
    <row r="11293" spans="1:5" x14ac:dyDescent="0.2">
      <c r="A11293">
        <v>42349</v>
      </c>
      <c r="B11293" t="s">
        <v>23</v>
      </c>
      <c r="C11293">
        <v>42349</v>
      </c>
      <c r="D11293" t="str">
        <f>"42349"</f>
        <v>42349</v>
      </c>
      <c r="E11293">
        <v>60</v>
      </c>
    </row>
    <row r="11294" spans="1:5" x14ac:dyDescent="0.2">
      <c r="A11294">
        <v>42350</v>
      </c>
      <c r="B11294" t="s">
        <v>23</v>
      </c>
      <c r="C11294">
        <v>42350</v>
      </c>
      <c r="D11294" t="str">
        <f>"42350"</f>
        <v>42350</v>
      </c>
      <c r="E11294">
        <v>67.86</v>
      </c>
    </row>
    <row r="11295" spans="1:5" x14ac:dyDescent="0.2">
      <c r="A11295">
        <v>42351</v>
      </c>
      <c r="B11295" t="s">
        <v>23</v>
      </c>
      <c r="C11295">
        <v>42351</v>
      </c>
      <c r="D11295" t="str">
        <f>"42351"</f>
        <v>42351</v>
      </c>
      <c r="E11295">
        <v>69.44</v>
      </c>
    </row>
    <row r="11296" spans="1:5" x14ac:dyDescent="0.2">
      <c r="A11296">
        <v>42352</v>
      </c>
      <c r="B11296" t="s">
        <v>23</v>
      </c>
      <c r="C11296">
        <v>42352</v>
      </c>
      <c r="D11296" t="str">
        <f>"42352"</f>
        <v>42352</v>
      </c>
      <c r="E11296">
        <v>67.5</v>
      </c>
    </row>
    <row r="11297" spans="1:5" x14ac:dyDescent="0.2">
      <c r="A11297">
        <v>42354</v>
      </c>
      <c r="B11297" t="s">
        <v>23</v>
      </c>
      <c r="C11297">
        <v>42354</v>
      </c>
      <c r="D11297" t="str">
        <f>"42354"</f>
        <v>42354</v>
      </c>
      <c r="E11297">
        <v>57.14</v>
      </c>
    </row>
    <row r="11298" spans="1:5" x14ac:dyDescent="0.2">
      <c r="A11298">
        <v>42355</v>
      </c>
      <c r="B11298" t="s">
        <v>23</v>
      </c>
      <c r="C11298">
        <v>42355</v>
      </c>
      <c r="D11298" t="str">
        <f>"42355"</f>
        <v>42355</v>
      </c>
      <c r="E11298">
        <v>71.599999999999994</v>
      </c>
    </row>
    <row r="11299" spans="1:5" x14ac:dyDescent="0.2">
      <c r="A11299">
        <v>42356</v>
      </c>
      <c r="B11299" t="s">
        <v>23</v>
      </c>
      <c r="C11299">
        <v>42356</v>
      </c>
      <c r="D11299" t="str">
        <f>"42356"</f>
        <v>42356</v>
      </c>
      <c r="E11299" t="s">
        <v>6</v>
      </c>
    </row>
    <row r="11300" spans="1:5" x14ac:dyDescent="0.2">
      <c r="A11300">
        <v>42361</v>
      </c>
      <c r="B11300" t="s">
        <v>23</v>
      </c>
      <c r="C11300">
        <v>42361</v>
      </c>
      <c r="D11300" t="str">
        <f>"42361"</f>
        <v>42361</v>
      </c>
      <c r="E11300">
        <v>66.67</v>
      </c>
    </row>
    <row r="11301" spans="1:5" x14ac:dyDescent="0.2">
      <c r="A11301">
        <v>42366</v>
      </c>
      <c r="B11301" t="s">
        <v>23</v>
      </c>
      <c r="C11301">
        <v>42366</v>
      </c>
      <c r="D11301" t="str">
        <f>"42366"</f>
        <v>42366</v>
      </c>
      <c r="E11301">
        <v>77.260000000000005</v>
      </c>
    </row>
    <row r="11302" spans="1:5" x14ac:dyDescent="0.2">
      <c r="A11302">
        <v>42367</v>
      </c>
      <c r="B11302" t="s">
        <v>23</v>
      </c>
      <c r="C11302">
        <v>42367</v>
      </c>
      <c r="D11302" t="str">
        <f>"42367"</f>
        <v>42367</v>
      </c>
      <c r="E11302">
        <v>60.98</v>
      </c>
    </row>
    <row r="11303" spans="1:5" x14ac:dyDescent="0.2">
      <c r="A11303">
        <v>42368</v>
      </c>
      <c r="B11303" t="s">
        <v>23</v>
      </c>
      <c r="C11303">
        <v>42368</v>
      </c>
      <c r="D11303" t="str">
        <f>"42368"</f>
        <v>42368</v>
      </c>
      <c r="E11303">
        <v>66.67</v>
      </c>
    </row>
    <row r="11304" spans="1:5" x14ac:dyDescent="0.2">
      <c r="A11304">
        <v>42369</v>
      </c>
      <c r="B11304" t="s">
        <v>23</v>
      </c>
      <c r="C11304">
        <v>42369</v>
      </c>
      <c r="D11304" t="str">
        <f>"42369"</f>
        <v>42369</v>
      </c>
      <c r="E11304">
        <v>58.33</v>
      </c>
    </row>
    <row r="11305" spans="1:5" x14ac:dyDescent="0.2">
      <c r="A11305">
        <v>42370</v>
      </c>
      <c r="B11305" t="s">
        <v>23</v>
      </c>
      <c r="C11305">
        <v>42370</v>
      </c>
      <c r="D11305" t="str">
        <f>"42370"</f>
        <v>42370</v>
      </c>
      <c r="E11305" t="s">
        <v>6</v>
      </c>
    </row>
    <row r="11306" spans="1:5" x14ac:dyDescent="0.2">
      <c r="A11306">
        <v>42371</v>
      </c>
      <c r="B11306" t="s">
        <v>23</v>
      </c>
      <c r="C11306">
        <v>42371</v>
      </c>
      <c r="D11306" t="str">
        <f>"42371"</f>
        <v>42371</v>
      </c>
      <c r="E11306">
        <v>66.67</v>
      </c>
    </row>
    <row r="11307" spans="1:5" x14ac:dyDescent="0.2">
      <c r="A11307">
        <v>42372</v>
      </c>
      <c r="B11307" t="s">
        <v>23</v>
      </c>
      <c r="C11307">
        <v>42372</v>
      </c>
      <c r="D11307" t="str">
        <f>"42372"</f>
        <v>42372</v>
      </c>
      <c r="E11307">
        <v>68.489999999999995</v>
      </c>
    </row>
    <row r="11308" spans="1:5" x14ac:dyDescent="0.2">
      <c r="A11308">
        <v>42376</v>
      </c>
      <c r="B11308" t="s">
        <v>23</v>
      </c>
      <c r="C11308">
        <v>42376</v>
      </c>
      <c r="D11308" t="str">
        <f>"42376"</f>
        <v>42376</v>
      </c>
      <c r="E11308">
        <v>73.239999999999995</v>
      </c>
    </row>
    <row r="11309" spans="1:5" x14ac:dyDescent="0.2">
      <c r="A11309">
        <v>42378</v>
      </c>
      <c r="B11309" t="s">
        <v>23</v>
      </c>
      <c r="C11309">
        <v>42378</v>
      </c>
      <c r="D11309" t="str">
        <f>"42378"</f>
        <v>42378</v>
      </c>
      <c r="E11309">
        <v>73.290000000000006</v>
      </c>
    </row>
    <row r="11310" spans="1:5" x14ac:dyDescent="0.2">
      <c r="A11310">
        <v>42404</v>
      </c>
      <c r="B11310" t="s">
        <v>23</v>
      </c>
      <c r="C11310">
        <v>42404</v>
      </c>
      <c r="D11310" t="str">
        <f>"42404"</f>
        <v>42404</v>
      </c>
      <c r="E11310">
        <v>70.83</v>
      </c>
    </row>
    <row r="11311" spans="1:5" x14ac:dyDescent="0.2">
      <c r="A11311">
        <v>42406</v>
      </c>
      <c r="B11311" t="s">
        <v>23</v>
      </c>
      <c r="C11311">
        <v>42406</v>
      </c>
      <c r="D11311" t="str">
        <f>"42406"</f>
        <v>42406</v>
      </c>
      <c r="E11311">
        <v>73.040000000000006</v>
      </c>
    </row>
    <row r="11312" spans="1:5" x14ac:dyDescent="0.2">
      <c r="A11312">
        <v>42408</v>
      </c>
      <c r="B11312" t="s">
        <v>23</v>
      </c>
      <c r="C11312">
        <v>42408</v>
      </c>
      <c r="D11312" t="str">
        <f>"42408"</f>
        <v>42408</v>
      </c>
      <c r="E11312">
        <v>66.52</v>
      </c>
    </row>
    <row r="11313" spans="1:5" x14ac:dyDescent="0.2">
      <c r="A11313">
        <v>42409</v>
      </c>
      <c r="B11313" t="s">
        <v>23</v>
      </c>
      <c r="C11313">
        <v>42409</v>
      </c>
      <c r="D11313" t="str">
        <f>"42409"</f>
        <v>42409</v>
      </c>
      <c r="E11313">
        <v>73.86</v>
      </c>
    </row>
    <row r="11314" spans="1:5" x14ac:dyDescent="0.2">
      <c r="A11314">
        <v>42410</v>
      </c>
      <c r="B11314" t="s">
        <v>23</v>
      </c>
      <c r="C11314">
        <v>42410</v>
      </c>
      <c r="D11314" t="str">
        <f>"42410"</f>
        <v>42410</v>
      </c>
      <c r="E11314">
        <v>57.14</v>
      </c>
    </row>
    <row r="11315" spans="1:5" x14ac:dyDescent="0.2">
      <c r="A11315">
        <v>42411</v>
      </c>
      <c r="B11315" t="s">
        <v>23</v>
      </c>
      <c r="C11315">
        <v>42411</v>
      </c>
      <c r="D11315" t="str">
        <f>"42411"</f>
        <v>42411</v>
      </c>
      <c r="E11315">
        <v>70.59</v>
      </c>
    </row>
    <row r="11316" spans="1:5" x14ac:dyDescent="0.2">
      <c r="A11316">
        <v>42413</v>
      </c>
      <c r="B11316" t="s">
        <v>23</v>
      </c>
      <c r="C11316">
        <v>42413</v>
      </c>
      <c r="D11316" t="str">
        <f>"42413"</f>
        <v>42413</v>
      </c>
      <c r="E11316">
        <v>77.34</v>
      </c>
    </row>
    <row r="11317" spans="1:5" x14ac:dyDescent="0.2">
      <c r="A11317">
        <v>42420</v>
      </c>
      <c r="B11317" t="s">
        <v>23</v>
      </c>
      <c r="C11317">
        <v>42420</v>
      </c>
      <c r="D11317" t="str">
        <f>"42420"</f>
        <v>42420</v>
      </c>
      <c r="E11317">
        <v>69.180000000000007</v>
      </c>
    </row>
    <row r="11318" spans="1:5" x14ac:dyDescent="0.2">
      <c r="A11318">
        <v>42431</v>
      </c>
      <c r="B11318" t="s">
        <v>23</v>
      </c>
      <c r="C11318">
        <v>42431</v>
      </c>
      <c r="D11318" t="str">
        <f>"42431"</f>
        <v>42431</v>
      </c>
      <c r="E11318">
        <v>68.14</v>
      </c>
    </row>
    <row r="11319" spans="1:5" x14ac:dyDescent="0.2">
      <c r="A11319">
        <v>42436</v>
      </c>
      <c r="B11319" t="s">
        <v>23</v>
      </c>
      <c r="C11319">
        <v>42436</v>
      </c>
      <c r="D11319" t="str">
        <f>"42436"</f>
        <v>42436</v>
      </c>
      <c r="E11319">
        <v>79.31</v>
      </c>
    </row>
    <row r="11320" spans="1:5" x14ac:dyDescent="0.2">
      <c r="A11320">
        <v>42437</v>
      </c>
      <c r="B11320" t="s">
        <v>23</v>
      </c>
      <c r="C11320">
        <v>42437</v>
      </c>
      <c r="D11320" t="str">
        <f>"42437"</f>
        <v>42437</v>
      </c>
      <c r="E11320">
        <v>68.87</v>
      </c>
    </row>
    <row r="11321" spans="1:5" x14ac:dyDescent="0.2">
      <c r="A11321">
        <v>42440</v>
      </c>
      <c r="B11321" t="s">
        <v>23</v>
      </c>
      <c r="C11321">
        <v>42440</v>
      </c>
      <c r="D11321" t="str">
        <f>"42440"</f>
        <v>42440</v>
      </c>
      <c r="E11321" t="s">
        <v>6</v>
      </c>
    </row>
    <row r="11322" spans="1:5" x14ac:dyDescent="0.2">
      <c r="A11322">
        <v>42441</v>
      </c>
      <c r="B11322" t="s">
        <v>23</v>
      </c>
      <c r="C11322">
        <v>42441</v>
      </c>
      <c r="D11322" t="str">
        <f>"42441"</f>
        <v>42441</v>
      </c>
      <c r="E11322">
        <v>69.489999999999995</v>
      </c>
    </row>
    <row r="11323" spans="1:5" x14ac:dyDescent="0.2">
      <c r="A11323">
        <v>42442</v>
      </c>
      <c r="B11323" t="s">
        <v>23</v>
      </c>
      <c r="C11323">
        <v>42442</v>
      </c>
      <c r="D11323" t="str">
        <f>"42442"</f>
        <v>42442</v>
      </c>
      <c r="E11323">
        <v>65.83</v>
      </c>
    </row>
    <row r="11324" spans="1:5" x14ac:dyDescent="0.2">
      <c r="A11324">
        <v>42445</v>
      </c>
      <c r="B11324" t="s">
        <v>23</v>
      </c>
      <c r="C11324">
        <v>42445</v>
      </c>
      <c r="D11324" t="str">
        <f>"42445"</f>
        <v>42445</v>
      </c>
      <c r="E11324">
        <v>66.09</v>
      </c>
    </row>
    <row r="11325" spans="1:5" x14ac:dyDescent="0.2">
      <c r="A11325">
        <v>42450</v>
      </c>
      <c r="B11325" t="s">
        <v>23</v>
      </c>
      <c r="C11325">
        <v>42450</v>
      </c>
      <c r="D11325" t="str">
        <f>"42450"</f>
        <v>42450</v>
      </c>
      <c r="E11325">
        <v>67.319999999999993</v>
      </c>
    </row>
    <row r="11326" spans="1:5" x14ac:dyDescent="0.2">
      <c r="A11326">
        <v>42451</v>
      </c>
      <c r="B11326" t="s">
        <v>23</v>
      </c>
      <c r="C11326">
        <v>42451</v>
      </c>
      <c r="D11326" t="str">
        <f>"42451"</f>
        <v>42451</v>
      </c>
      <c r="E11326">
        <v>68.97</v>
      </c>
    </row>
    <row r="11327" spans="1:5" x14ac:dyDescent="0.2">
      <c r="A11327">
        <v>42452</v>
      </c>
      <c r="B11327" t="s">
        <v>23</v>
      </c>
      <c r="C11327">
        <v>42452</v>
      </c>
      <c r="D11327" t="str">
        <f>"42452"</f>
        <v>42452</v>
      </c>
      <c r="E11327">
        <v>74.53</v>
      </c>
    </row>
    <row r="11328" spans="1:5" x14ac:dyDescent="0.2">
      <c r="A11328">
        <v>42453</v>
      </c>
      <c r="B11328" t="s">
        <v>23</v>
      </c>
      <c r="C11328">
        <v>42453</v>
      </c>
      <c r="D11328" t="str">
        <f>"42453"</f>
        <v>42453</v>
      </c>
      <c r="E11328">
        <v>63.64</v>
      </c>
    </row>
    <row r="11329" spans="1:5" x14ac:dyDescent="0.2">
      <c r="A11329">
        <v>42455</v>
      </c>
      <c r="B11329" t="s">
        <v>23</v>
      </c>
      <c r="C11329">
        <v>42455</v>
      </c>
      <c r="D11329" t="str">
        <f>"42455"</f>
        <v>42455</v>
      </c>
      <c r="E11329">
        <v>69.400000000000006</v>
      </c>
    </row>
    <row r="11330" spans="1:5" x14ac:dyDescent="0.2">
      <c r="A11330">
        <v>42456</v>
      </c>
      <c r="B11330" t="s">
        <v>23</v>
      </c>
      <c r="C11330">
        <v>42456</v>
      </c>
      <c r="D11330" t="str">
        <f>"42456"</f>
        <v>42456</v>
      </c>
      <c r="E11330">
        <v>72.86</v>
      </c>
    </row>
    <row r="11331" spans="1:5" x14ac:dyDescent="0.2">
      <c r="A11331">
        <v>42458</v>
      </c>
      <c r="B11331" t="s">
        <v>23</v>
      </c>
      <c r="C11331">
        <v>42458</v>
      </c>
      <c r="D11331" t="str">
        <f>"42458"</f>
        <v>42458</v>
      </c>
      <c r="E11331">
        <v>78.569999999999993</v>
      </c>
    </row>
    <row r="11332" spans="1:5" x14ac:dyDescent="0.2">
      <c r="A11332">
        <v>42459</v>
      </c>
      <c r="B11332" t="s">
        <v>23</v>
      </c>
      <c r="C11332">
        <v>42459</v>
      </c>
      <c r="D11332" t="str">
        <f>"42459"</f>
        <v>42459</v>
      </c>
      <c r="E11332">
        <v>65.430000000000007</v>
      </c>
    </row>
    <row r="11333" spans="1:5" x14ac:dyDescent="0.2">
      <c r="A11333">
        <v>42461</v>
      </c>
      <c r="B11333" t="s">
        <v>23</v>
      </c>
      <c r="C11333">
        <v>42461</v>
      </c>
      <c r="D11333" t="str">
        <f>"42461"</f>
        <v>42461</v>
      </c>
      <c r="E11333">
        <v>69.349999999999994</v>
      </c>
    </row>
    <row r="11334" spans="1:5" x14ac:dyDescent="0.2">
      <c r="A11334">
        <v>42462</v>
      </c>
      <c r="B11334" t="s">
        <v>23</v>
      </c>
      <c r="C11334">
        <v>42462</v>
      </c>
      <c r="D11334" t="str">
        <f>"42462"</f>
        <v>42462</v>
      </c>
      <c r="E11334">
        <v>73.209999999999994</v>
      </c>
    </row>
    <row r="11335" spans="1:5" x14ac:dyDescent="0.2">
      <c r="A11335">
        <v>42464</v>
      </c>
      <c r="B11335" t="s">
        <v>23</v>
      </c>
      <c r="C11335">
        <v>42464</v>
      </c>
      <c r="D11335" t="str">
        <f>"42464"</f>
        <v>42464</v>
      </c>
      <c r="E11335">
        <v>66.22</v>
      </c>
    </row>
    <row r="11336" spans="1:5" x14ac:dyDescent="0.2">
      <c r="A11336">
        <v>42501</v>
      </c>
      <c r="B11336" t="s">
        <v>23</v>
      </c>
      <c r="C11336">
        <v>42501</v>
      </c>
      <c r="D11336" t="str">
        <f>"42501"</f>
        <v>42501</v>
      </c>
      <c r="E11336">
        <v>60.96</v>
      </c>
    </row>
    <row r="11337" spans="1:5" x14ac:dyDescent="0.2">
      <c r="A11337">
        <v>42503</v>
      </c>
      <c r="B11337" t="s">
        <v>23</v>
      </c>
      <c r="C11337">
        <v>42503</v>
      </c>
      <c r="D11337" t="str">
        <f>"42503"</f>
        <v>42503</v>
      </c>
      <c r="E11337">
        <v>67.650000000000006</v>
      </c>
    </row>
    <row r="11338" spans="1:5" x14ac:dyDescent="0.2">
      <c r="A11338">
        <v>42516</v>
      </c>
      <c r="B11338" t="s">
        <v>23</v>
      </c>
      <c r="C11338">
        <v>42516</v>
      </c>
      <c r="D11338" t="str">
        <f>"42516"</f>
        <v>42516</v>
      </c>
      <c r="E11338">
        <v>58.82</v>
      </c>
    </row>
    <row r="11339" spans="1:5" x14ac:dyDescent="0.2">
      <c r="A11339">
        <v>42518</v>
      </c>
      <c r="B11339" t="s">
        <v>23</v>
      </c>
      <c r="C11339">
        <v>42518</v>
      </c>
      <c r="D11339" t="str">
        <f>"42518"</f>
        <v>42518</v>
      </c>
      <c r="E11339">
        <v>65.83</v>
      </c>
    </row>
    <row r="11340" spans="1:5" x14ac:dyDescent="0.2">
      <c r="A11340">
        <v>42519</v>
      </c>
      <c r="B11340" t="s">
        <v>23</v>
      </c>
      <c r="C11340">
        <v>42519</v>
      </c>
      <c r="D11340" t="str">
        <f>"42519"</f>
        <v>42519</v>
      </c>
      <c r="E11340">
        <v>56.3</v>
      </c>
    </row>
    <row r="11341" spans="1:5" x14ac:dyDescent="0.2">
      <c r="A11341">
        <v>42528</v>
      </c>
      <c r="B11341" t="s">
        <v>23</v>
      </c>
      <c r="C11341">
        <v>42528</v>
      </c>
      <c r="D11341" t="str">
        <f>"42528"</f>
        <v>42528</v>
      </c>
      <c r="E11341">
        <v>55.36</v>
      </c>
    </row>
    <row r="11342" spans="1:5" x14ac:dyDescent="0.2">
      <c r="A11342">
        <v>42533</v>
      </c>
      <c r="B11342" t="s">
        <v>23</v>
      </c>
      <c r="C11342">
        <v>42533</v>
      </c>
      <c r="D11342" t="str">
        <f>"42533"</f>
        <v>42533</v>
      </c>
      <c r="E11342">
        <v>60.53</v>
      </c>
    </row>
    <row r="11343" spans="1:5" x14ac:dyDescent="0.2">
      <c r="A11343">
        <v>42539</v>
      </c>
      <c r="B11343" t="s">
        <v>23</v>
      </c>
      <c r="C11343">
        <v>42539</v>
      </c>
      <c r="D11343" t="str">
        <f>"42539"</f>
        <v>42539</v>
      </c>
      <c r="E11343">
        <v>55.11</v>
      </c>
    </row>
    <row r="11344" spans="1:5" x14ac:dyDescent="0.2">
      <c r="A11344">
        <v>42541</v>
      </c>
      <c r="B11344" t="s">
        <v>23</v>
      </c>
      <c r="C11344">
        <v>42541</v>
      </c>
      <c r="D11344" t="str">
        <f>"42541"</f>
        <v>42541</v>
      </c>
      <c r="E11344">
        <v>65</v>
      </c>
    </row>
    <row r="11345" spans="1:5" x14ac:dyDescent="0.2">
      <c r="A11345">
        <v>42544</v>
      </c>
      <c r="B11345" t="s">
        <v>23</v>
      </c>
      <c r="C11345">
        <v>42544</v>
      </c>
      <c r="D11345" t="str">
        <f>"42544"</f>
        <v>42544</v>
      </c>
      <c r="E11345">
        <v>62.28</v>
      </c>
    </row>
    <row r="11346" spans="1:5" x14ac:dyDescent="0.2">
      <c r="A11346">
        <v>42553</v>
      </c>
      <c r="B11346" t="s">
        <v>23</v>
      </c>
      <c r="C11346">
        <v>42553</v>
      </c>
      <c r="D11346" t="str">
        <f>"42553"</f>
        <v>42553</v>
      </c>
      <c r="E11346">
        <v>63.16</v>
      </c>
    </row>
    <row r="11347" spans="1:5" x14ac:dyDescent="0.2">
      <c r="A11347">
        <v>42565</v>
      </c>
      <c r="B11347" t="s">
        <v>23</v>
      </c>
      <c r="C11347">
        <v>42565</v>
      </c>
      <c r="D11347" t="str">
        <f>"42565"</f>
        <v>42565</v>
      </c>
      <c r="E11347">
        <v>58.33</v>
      </c>
    </row>
    <row r="11348" spans="1:5" x14ac:dyDescent="0.2">
      <c r="A11348">
        <v>42566</v>
      </c>
      <c r="B11348" t="s">
        <v>23</v>
      </c>
      <c r="C11348">
        <v>42566</v>
      </c>
      <c r="D11348" t="str">
        <f>"42566"</f>
        <v>42566</v>
      </c>
      <c r="E11348">
        <v>56.52</v>
      </c>
    </row>
    <row r="11349" spans="1:5" x14ac:dyDescent="0.2">
      <c r="A11349">
        <v>42567</v>
      </c>
      <c r="B11349" t="s">
        <v>23</v>
      </c>
      <c r="C11349">
        <v>42567</v>
      </c>
      <c r="D11349" t="str">
        <f>"42567"</f>
        <v>42567</v>
      </c>
      <c r="E11349">
        <v>61.97</v>
      </c>
    </row>
    <row r="11350" spans="1:5" x14ac:dyDescent="0.2">
      <c r="A11350">
        <v>42602</v>
      </c>
      <c r="B11350" t="s">
        <v>23</v>
      </c>
      <c r="C11350">
        <v>42602</v>
      </c>
      <c r="D11350" t="str">
        <f>"42602"</f>
        <v>42602</v>
      </c>
      <c r="E11350">
        <v>55.49</v>
      </c>
    </row>
    <row r="11351" spans="1:5" x14ac:dyDescent="0.2">
      <c r="A11351">
        <v>42603</v>
      </c>
      <c r="B11351" t="s">
        <v>23</v>
      </c>
      <c r="C11351">
        <v>42603</v>
      </c>
      <c r="D11351" t="str">
        <f>"42603"</f>
        <v>42603</v>
      </c>
      <c r="E11351">
        <v>58.82</v>
      </c>
    </row>
    <row r="11352" spans="1:5" x14ac:dyDescent="0.2">
      <c r="A11352">
        <v>42629</v>
      </c>
      <c r="B11352" t="s">
        <v>23</v>
      </c>
      <c r="C11352">
        <v>42629</v>
      </c>
      <c r="D11352" t="str">
        <f>"42629"</f>
        <v>42629</v>
      </c>
      <c r="E11352">
        <v>60.11</v>
      </c>
    </row>
    <row r="11353" spans="1:5" x14ac:dyDescent="0.2">
      <c r="A11353">
        <v>42633</v>
      </c>
      <c r="B11353" t="s">
        <v>23</v>
      </c>
      <c r="C11353">
        <v>42633</v>
      </c>
      <c r="D11353" t="str">
        <f>"42633"</f>
        <v>42633</v>
      </c>
      <c r="E11353">
        <v>59.2</v>
      </c>
    </row>
    <row r="11354" spans="1:5" x14ac:dyDescent="0.2">
      <c r="A11354">
        <v>42634</v>
      </c>
      <c r="B11354" t="s">
        <v>23</v>
      </c>
      <c r="C11354">
        <v>42634</v>
      </c>
      <c r="D11354" t="str">
        <f>"42634"</f>
        <v>42634</v>
      </c>
      <c r="E11354">
        <v>47.62</v>
      </c>
    </row>
    <row r="11355" spans="1:5" x14ac:dyDescent="0.2">
      <c r="A11355">
        <v>42635</v>
      </c>
      <c r="B11355" t="s">
        <v>23</v>
      </c>
      <c r="C11355">
        <v>42635</v>
      </c>
      <c r="D11355" t="str">
        <f>"42635"</f>
        <v>42635</v>
      </c>
      <c r="E11355">
        <v>54.46</v>
      </c>
    </row>
    <row r="11356" spans="1:5" x14ac:dyDescent="0.2">
      <c r="A11356">
        <v>42638</v>
      </c>
      <c r="B11356" t="s">
        <v>23</v>
      </c>
      <c r="C11356">
        <v>42638</v>
      </c>
      <c r="D11356" t="str">
        <f>"42638"</f>
        <v>42638</v>
      </c>
      <c r="E11356" t="s">
        <v>6</v>
      </c>
    </row>
    <row r="11357" spans="1:5" x14ac:dyDescent="0.2">
      <c r="A11357">
        <v>42642</v>
      </c>
      <c r="B11357" t="s">
        <v>23</v>
      </c>
      <c r="C11357">
        <v>42642</v>
      </c>
      <c r="D11357" t="str">
        <f>"42642"</f>
        <v>42642</v>
      </c>
      <c r="E11357">
        <v>59.36</v>
      </c>
    </row>
    <row r="11358" spans="1:5" x14ac:dyDescent="0.2">
      <c r="A11358">
        <v>42647</v>
      </c>
      <c r="B11358" t="s">
        <v>23</v>
      </c>
      <c r="C11358">
        <v>42647</v>
      </c>
      <c r="D11358" t="str">
        <f>"42647"</f>
        <v>42647</v>
      </c>
      <c r="E11358">
        <v>52.59</v>
      </c>
    </row>
    <row r="11359" spans="1:5" x14ac:dyDescent="0.2">
      <c r="A11359">
        <v>42649</v>
      </c>
      <c r="B11359" t="s">
        <v>23</v>
      </c>
      <c r="C11359">
        <v>42649</v>
      </c>
      <c r="D11359" t="str">
        <f>"42649"</f>
        <v>42649</v>
      </c>
      <c r="E11359">
        <v>51.11</v>
      </c>
    </row>
    <row r="11360" spans="1:5" x14ac:dyDescent="0.2">
      <c r="A11360">
        <v>42653</v>
      </c>
      <c r="B11360" t="s">
        <v>23</v>
      </c>
      <c r="C11360">
        <v>42653</v>
      </c>
      <c r="D11360" t="str">
        <f>"42653"</f>
        <v>42653</v>
      </c>
      <c r="E11360">
        <v>54.23</v>
      </c>
    </row>
    <row r="11361" spans="1:5" x14ac:dyDescent="0.2">
      <c r="A11361">
        <v>42701</v>
      </c>
      <c r="B11361" t="s">
        <v>23</v>
      </c>
      <c r="C11361">
        <v>42701</v>
      </c>
      <c r="D11361" t="str">
        <f>"42701"</f>
        <v>42701</v>
      </c>
      <c r="E11361">
        <v>72.89</v>
      </c>
    </row>
    <row r="11362" spans="1:5" x14ac:dyDescent="0.2">
      <c r="A11362">
        <v>42712</v>
      </c>
      <c r="B11362" t="s">
        <v>23</v>
      </c>
      <c r="C11362">
        <v>42712</v>
      </c>
      <c r="D11362" t="str">
        <f>"42712"</f>
        <v>42712</v>
      </c>
      <c r="E11362">
        <v>66.67</v>
      </c>
    </row>
    <row r="11363" spans="1:5" x14ac:dyDescent="0.2">
      <c r="A11363">
        <v>42713</v>
      </c>
      <c r="B11363" t="s">
        <v>23</v>
      </c>
      <c r="C11363">
        <v>42713</v>
      </c>
      <c r="D11363" t="str">
        <f>"42713"</f>
        <v>42713</v>
      </c>
      <c r="E11363">
        <v>58.9</v>
      </c>
    </row>
    <row r="11364" spans="1:5" x14ac:dyDescent="0.2">
      <c r="A11364">
        <v>42715</v>
      </c>
      <c r="B11364" t="s">
        <v>23</v>
      </c>
      <c r="C11364">
        <v>42715</v>
      </c>
      <c r="D11364" t="str">
        <f>"42715"</f>
        <v>42715</v>
      </c>
      <c r="E11364">
        <v>50</v>
      </c>
    </row>
    <row r="11365" spans="1:5" x14ac:dyDescent="0.2">
      <c r="A11365">
        <v>42716</v>
      </c>
      <c r="B11365" t="s">
        <v>23</v>
      </c>
      <c r="C11365">
        <v>42716</v>
      </c>
      <c r="D11365" t="str">
        <f>"42716"</f>
        <v>42716</v>
      </c>
      <c r="E11365">
        <v>64.06</v>
      </c>
    </row>
    <row r="11366" spans="1:5" x14ac:dyDescent="0.2">
      <c r="A11366">
        <v>42717</v>
      </c>
      <c r="B11366" t="s">
        <v>23</v>
      </c>
      <c r="C11366">
        <v>42717</v>
      </c>
      <c r="D11366" t="str">
        <f>"42717"</f>
        <v>42717</v>
      </c>
      <c r="E11366">
        <v>58.2</v>
      </c>
    </row>
    <row r="11367" spans="1:5" x14ac:dyDescent="0.2">
      <c r="A11367">
        <v>42718</v>
      </c>
      <c r="B11367" t="s">
        <v>23</v>
      </c>
      <c r="C11367">
        <v>42718</v>
      </c>
      <c r="D11367" t="str">
        <f>"42718"</f>
        <v>42718</v>
      </c>
      <c r="E11367">
        <v>64.33</v>
      </c>
    </row>
    <row r="11368" spans="1:5" x14ac:dyDescent="0.2">
      <c r="A11368">
        <v>42721</v>
      </c>
      <c r="B11368" t="s">
        <v>23</v>
      </c>
      <c r="C11368">
        <v>42721</v>
      </c>
      <c r="D11368" t="str">
        <f>"42721"</f>
        <v>42721</v>
      </c>
      <c r="E11368">
        <v>62.41</v>
      </c>
    </row>
    <row r="11369" spans="1:5" x14ac:dyDescent="0.2">
      <c r="A11369">
        <v>42722</v>
      </c>
      <c r="B11369" t="s">
        <v>23</v>
      </c>
      <c r="C11369">
        <v>42722</v>
      </c>
      <c r="D11369" t="str">
        <f>"42722"</f>
        <v>42722</v>
      </c>
      <c r="E11369">
        <v>53.13</v>
      </c>
    </row>
    <row r="11370" spans="1:5" x14ac:dyDescent="0.2">
      <c r="A11370">
        <v>42724</v>
      </c>
      <c r="B11370" t="s">
        <v>23</v>
      </c>
      <c r="C11370">
        <v>42724</v>
      </c>
      <c r="D11370" t="str">
        <f>"42724"</f>
        <v>42724</v>
      </c>
      <c r="E11370">
        <v>74.89</v>
      </c>
    </row>
    <row r="11371" spans="1:5" x14ac:dyDescent="0.2">
      <c r="A11371">
        <v>42726</v>
      </c>
      <c r="B11371" t="s">
        <v>23</v>
      </c>
      <c r="C11371">
        <v>42726</v>
      </c>
      <c r="D11371" t="str">
        <f>"42726"</f>
        <v>42726</v>
      </c>
      <c r="E11371">
        <v>65.760000000000005</v>
      </c>
    </row>
    <row r="11372" spans="1:5" x14ac:dyDescent="0.2">
      <c r="A11372">
        <v>42728</v>
      </c>
      <c r="B11372" t="s">
        <v>23</v>
      </c>
      <c r="C11372">
        <v>42728</v>
      </c>
      <c r="D11372" t="str">
        <f>"42728"</f>
        <v>42728</v>
      </c>
      <c r="E11372">
        <v>59.73</v>
      </c>
    </row>
    <row r="11373" spans="1:5" x14ac:dyDescent="0.2">
      <c r="A11373">
        <v>42729</v>
      </c>
      <c r="B11373" t="s">
        <v>23</v>
      </c>
      <c r="C11373">
        <v>42729</v>
      </c>
      <c r="D11373" t="str">
        <f>"42729"</f>
        <v>42729</v>
      </c>
      <c r="E11373">
        <v>66.040000000000006</v>
      </c>
    </row>
    <row r="11374" spans="1:5" x14ac:dyDescent="0.2">
      <c r="A11374">
        <v>42732</v>
      </c>
      <c r="B11374" t="s">
        <v>23</v>
      </c>
      <c r="C11374">
        <v>42732</v>
      </c>
      <c r="D11374" t="str">
        <f>"42732"</f>
        <v>42732</v>
      </c>
      <c r="E11374">
        <v>66.22</v>
      </c>
    </row>
    <row r="11375" spans="1:5" x14ac:dyDescent="0.2">
      <c r="A11375">
        <v>42733</v>
      </c>
      <c r="B11375" t="s">
        <v>23</v>
      </c>
      <c r="C11375">
        <v>42733</v>
      </c>
      <c r="D11375" t="str">
        <f>"42733"</f>
        <v>42733</v>
      </c>
      <c r="E11375">
        <v>57.69</v>
      </c>
    </row>
    <row r="11376" spans="1:5" x14ac:dyDescent="0.2">
      <c r="A11376">
        <v>42740</v>
      </c>
      <c r="B11376" t="s">
        <v>23</v>
      </c>
      <c r="C11376">
        <v>42740</v>
      </c>
      <c r="D11376" t="str">
        <f>"42740"</f>
        <v>42740</v>
      </c>
      <c r="E11376">
        <v>71.760000000000005</v>
      </c>
    </row>
    <row r="11377" spans="1:5" x14ac:dyDescent="0.2">
      <c r="A11377">
        <v>42741</v>
      </c>
      <c r="B11377" t="s">
        <v>23</v>
      </c>
      <c r="C11377">
        <v>42741</v>
      </c>
      <c r="D11377" t="str">
        <f>"42741"</f>
        <v>42741</v>
      </c>
      <c r="E11377">
        <v>50</v>
      </c>
    </row>
    <row r="11378" spans="1:5" x14ac:dyDescent="0.2">
      <c r="A11378">
        <v>42742</v>
      </c>
      <c r="B11378" t="s">
        <v>23</v>
      </c>
      <c r="C11378">
        <v>42742</v>
      </c>
      <c r="D11378" t="str">
        <f>"42742"</f>
        <v>42742</v>
      </c>
      <c r="E11378" t="s">
        <v>6</v>
      </c>
    </row>
    <row r="11379" spans="1:5" x14ac:dyDescent="0.2">
      <c r="A11379">
        <v>42743</v>
      </c>
      <c r="B11379" t="s">
        <v>23</v>
      </c>
      <c r="C11379">
        <v>42743</v>
      </c>
      <c r="D11379" t="str">
        <f>"42743"</f>
        <v>42743</v>
      </c>
      <c r="E11379">
        <v>61.61</v>
      </c>
    </row>
    <row r="11380" spans="1:5" x14ac:dyDescent="0.2">
      <c r="A11380">
        <v>42746</v>
      </c>
      <c r="B11380" t="s">
        <v>23</v>
      </c>
      <c r="C11380">
        <v>42746</v>
      </c>
      <c r="D11380" t="str">
        <f>"42746"</f>
        <v>42746</v>
      </c>
      <c r="E11380">
        <v>58.11</v>
      </c>
    </row>
    <row r="11381" spans="1:5" x14ac:dyDescent="0.2">
      <c r="A11381">
        <v>42748</v>
      </c>
      <c r="B11381" t="s">
        <v>23</v>
      </c>
      <c r="C11381">
        <v>42748</v>
      </c>
      <c r="D11381" t="str">
        <f>"42748"</f>
        <v>42748</v>
      </c>
      <c r="E11381">
        <v>66.930000000000007</v>
      </c>
    </row>
    <row r="11382" spans="1:5" x14ac:dyDescent="0.2">
      <c r="A11382">
        <v>42749</v>
      </c>
      <c r="B11382" t="s">
        <v>23</v>
      </c>
      <c r="C11382">
        <v>42749</v>
      </c>
      <c r="D11382" t="str">
        <f>"42749"</f>
        <v>42749</v>
      </c>
      <c r="E11382">
        <v>61.35</v>
      </c>
    </row>
    <row r="11383" spans="1:5" x14ac:dyDescent="0.2">
      <c r="A11383">
        <v>42753</v>
      </c>
      <c r="B11383" t="s">
        <v>23</v>
      </c>
      <c r="C11383">
        <v>42753</v>
      </c>
      <c r="D11383" t="str">
        <f>"42753"</f>
        <v>42753</v>
      </c>
      <c r="E11383">
        <v>50</v>
      </c>
    </row>
    <row r="11384" spans="1:5" x14ac:dyDescent="0.2">
      <c r="A11384">
        <v>42754</v>
      </c>
      <c r="B11384" t="s">
        <v>23</v>
      </c>
      <c r="C11384">
        <v>42754</v>
      </c>
      <c r="D11384" t="str">
        <f>"42754"</f>
        <v>42754</v>
      </c>
      <c r="E11384">
        <v>63.17</v>
      </c>
    </row>
    <row r="11385" spans="1:5" x14ac:dyDescent="0.2">
      <c r="A11385">
        <v>42757</v>
      </c>
      <c r="B11385" t="s">
        <v>23</v>
      </c>
      <c r="C11385">
        <v>42757</v>
      </c>
      <c r="D11385" t="str">
        <f>"42757"</f>
        <v>42757</v>
      </c>
      <c r="E11385">
        <v>59.35</v>
      </c>
    </row>
    <row r="11386" spans="1:5" x14ac:dyDescent="0.2">
      <c r="A11386">
        <v>42758</v>
      </c>
      <c r="B11386" t="s">
        <v>23</v>
      </c>
      <c r="C11386">
        <v>42758</v>
      </c>
      <c r="D11386" t="str">
        <f>"42758"</f>
        <v>42758</v>
      </c>
      <c r="E11386" t="s">
        <v>6</v>
      </c>
    </row>
    <row r="11387" spans="1:5" x14ac:dyDescent="0.2">
      <c r="A11387">
        <v>42759</v>
      </c>
      <c r="B11387" t="s">
        <v>23</v>
      </c>
      <c r="C11387">
        <v>42759</v>
      </c>
      <c r="D11387" t="str">
        <f>"42759"</f>
        <v>42759</v>
      </c>
      <c r="E11387" t="s">
        <v>6</v>
      </c>
    </row>
    <row r="11388" spans="1:5" x14ac:dyDescent="0.2">
      <c r="A11388">
        <v>42762</v>
      </c>
      <c r="B11388" t="s">
        <v>23</v>
      </c>
      <c r="C11388">
        <v>42762</v>
      </c>
      <c r="D11388" t="str">
        <f>"42762"</f>
        <v>42762</v>
      </c>
      <c r="E11388">
        <v>58.82</v>
      </c>
    </row>
    <row r="11389" spans="1:5" x14ac:dyDescent="0.2">
      <c r="A11389">
        <v>42764</v>
      </c>
      <c r="B11389" t="s">
        <v>23</v>
      </c>
      <c r="C11389">
        <v>42764</v>
      </c>
      <c r="D11389" t="str">
        <f>"42764"</f>
        <v>42764</v>
      </c>
      <c r="E11389">
        <v>66.67</v>
      </c>
    </row>
    <row r="11390" spans="1:5" x14ac:dyDescent="0.2">
      <c r="A11390">
        <v>42765</v>
      </c>
      <c r="B11390" t="s">
        <v>23</v>
      </c>
      <c r="C11390">
        <v>42765</v>
      </c>
      <c r="D11390" t="str">
        <f>"42765"</f>
        <v>42765</v>
      </c>
      <c r="E11390">
        <v>61.7</v>
      </c>
    </row>
    <row r="11391" spans="1:5" x14ac:dyDescent="0.2">
      <c r="A11391">
        <v>42776</v>
      </c>
      <c r="B11391" t="s">
        <v>23</v>
      </c>
      <c r="C11391">
        <v>42776</v>
      </c>
      <c r="D11391" t="str">
        <f>"42776"</f>
        <v>42776</v>
      </c>
      <c r="E11391">
        <v>69.64</v>
      </c>
    </row>
    <row r="11392" spans="1:5" x14ac:dyDescent="0.2">
      <c r="A11392">
        <v>42782</v>
      </c>
      <c r="B11392" t="s">
        <v>23</v>
      </c>
      <c r="C11392">
        <v>42782</v>
      </c>
      <c r="D11392" t="str">
        <f>"42782"</f>
        <v>42782</v>
      </c>
      <c r="E11392">
        <v>62.16</v>
      </c>
    </row>
    <row r="11393" spans="1:5" x14ac:dyDescent="0.2">
      <c r="A11393">
        <v>42784</v>
      </c>
      <c r="B11393" t="s">
        <v>23</v>
      </c>
      <c r="C11393">
        <v>42784</v>
      </c>
      <c r="D11393" t="str">
        <f>"42784"</f>
        <v>42784</v>
      </c>
      <c r="E11393">
        <v>65.180000000000007</v>
      </c>
    </row>
    <row r="11394" spans="1:5" x14ac:dyDescent="0.2">
      <c r="A11394">
        <v>42788</v>
      </c>
      <c r="B11394" t="s">
        <v>23</v>
      </c>
      <c r="C11394">
        <v>42788</v>
      </c>
      <c r="D11394" t="str">
        <f>"42788"</f>
        <v>42788</v>
      </c>
      <c r="E11394">
        <v>69.23</v>
      </c>
    </row>
    <row r="11395" spans="1:5" x14ac:dyDescent="0.2">
      <c r="A11395">
        <v>70001</v>
      </c>
      <c r="B11395" t="s">
        <v>24</v>
      </c>
      <c r="C11395">
        <v>70001</v>
      </c>
      <c r="D11395" t="str">
        <f>"70001"</f>
        <v>70001</v>
      </c>
      <c r="E11395">
        <v>71.97</v>
      </c>
    </row>
    <row r="11396" spans="1:5" x14ac:dyDescent="0.2">
      <c r="A11396">
        <v>70002</v>
      </c>
      <c r="B11396" t="s">
        <v>24</v>
      </c>
      <c r="C11396">
        <v>70002</v>
      </c>
      <c r="D11396" t="str">
        <f>"70002"</f>
        <v>70002</v>
      </c>
      <c r="E11396">
        <v>70.930000000000007</v>
      </c>
    </row>
    <row r="11397" spans="1:5" x14ac:dyDescent="0.2">
      <c r="A11397">
        <v>70003</v>
      </c>
      <c r="B11397" t="s">
        <v>24</v>
      </c>
      <c r="C11397">
        <v>70003</v>
      </c>
      <c r="D11397" t="str">
        <f>"70003"</f>
        <v>70003</v>
      </c>
      <c r="E11397">
        <v>70.88</v>
      </c>
    </row>
    <row r="11398" spans="1:5" x14ac:dyDescent="0.2">
      <c r="A11398">
        <v>70005</v>
      </c>
      <c r="B11398" t="s">
        <v>24</v>
      </c>
      <c r="C11398">
        <v>70005</v>
      </c>
      <c r="D11398" t="str">
        <f>"70005"</f>
        <v>70005</v>
      </c>
      <c r="E11398">
        <v>78.23</v>
      </c>
    </row>
    <row r="11399" spans="1:5" x14ac:dyDescent="0.2">
      <c r="A11399">
        <v>70006</v>
      </c>
      <c r="B11399" t="s">
        <v>24</v>
      </c>
      <c r="C11399">
        <v>70006</v>
      </c>
      <c r="D11399" t="str">
        <f>"70006"</f>
        <v>70006</v>
      </c>
      <c r="E11399">
        <v>69.34</v>
      </c>
    </row>
    <row r="11400" spans="1:5" x14ac:dyDescent="0.2">
      <c r="A11400">
        <v>70030</v>
      </c>
      <c r="B11400" t="s">
        <v>24</v>
      </c>
      <c r="C11400">
        <v>70030</v>
      </c>
      <c r="D11400" t="str">
        <f>"70030"</f>
        <v>70030</v>
      </c>
      <c r="E11400">
        <v>72.88</v>
      </c>
    </row>
    <row r="11401" spans="1:5" x14ac:dyDescent="0.2">
      <c r="A11401">
        <v>70031</v>
      </c>
      <c r="B11401" t="s">
        <v>24</v>
      </c>
      <c r="C11401">
        <v>70031</v>
      </c>
      <c r="D11401" t="str">
        <f>"70031"</f>
        <v>70031</v>
      </c>
      <c r="E11401">
        <v>68.180000000000007</v>
      </c>
    </row>
    <row r="11402" spans="1:5" x14ac:dyDescent="0.2">
      <c r="A11402">
        <v>70032</v>
      </c>
      <c r="B11402" t="s">
        <v>24</v>
      </c>
      <c r="C11402">
        <v>70032</v>
      </c>
      <c r="D11402" t="str">
        <f>"70032"</f>
        <v>70032</v>
      </c>
      <c r="E11402">
        <v>65.05</v>
      </c>
    </row>
    <row r="11403" spans="1:5" x14ac:dyDescent="0.2">
      <c r="A11403">
        <v>70036</v>
      </c>
      <c r="B11403" t="s">
        <v>24</v>
      </c>
      <c r="C11403">
        <v>70036</v>
      </c>
      <c r="D11403" t="str">
        <f>"70036"</f>
        <v>70036</v>
      </c>
      <c r="E11403">
        <v>63.04</v>
      </c>
    </row>
    <row r="11404" spans="1:5" x14ac:dyDescent="0.2">
      <c r="A11404">
        <v>70037</v>
      </c>
      <c r="B11404" t="s">
        <v>24</v>
      </c>
      <c r="C11404">
        <v>70037</v>
      </c>
      <c r="D11404" t="str">
        <f>"70037"</f>
        <v>70037</v>
      </c>
      <c r="E11404">
        <v>72.55</v>
      </c>
    </row>
    <row r="11405" spans="1:5" x14ac:dyDescent="0.2">
      <c r="A11405">
        <v>70039</v>
      </c>
      <c r="B11405" t="s">
        <v>24</v>
      </c>
      <c r="C11405">
        <v>70039</v>
      </c>
      <c r="D11405" t="str">
        <f>"70039"</f>
        <v>70039</v>
      </c>
      <c r="E11405">
        <v>56.35</v>
      </c>
    </row>
    <row r="11406" spans="1:5" x14ac:dyDescent="0.2">
      <c r="A11406">
        <v>70040</v>
      </c>
      <c r="B11406" t="s">
        <v>24</v>
      </c>
      <c r="C11406">
        <v>70040</v>
      </c>
      <c r="D11406" t="str">
        <f>"70040"</f>
        <v>70040</v>
      </c>
      <c r="E11406">
        <v>58</v>
      </c>
    </row>
    <row r="11407" spans="1:5" x14ac:dyDescent="0.2">
      <c r="A11407">
        <v>70041</v>
      </c>
      <c r="B11407" t="s">
        <v>24</v>
      </c>
      <c r="C11407">
        <v>70041</v>
      </c>
      <c r="D11407" t="str">
        <f>"70041"</f>
        <v>70041</v>
      </c>
      <c r="E11407">
        <v>54.9</v>
      </c>
    </row>
    <row r="11408" spans="1:5" x14ac:dyDescent="0.2">
      <c r="A11408">
        <v>70043</v>
      </c>
      <c r="B11408" t="s">
        <v>24</v>
      </c>
      <c r="C11408">
        <v>70043</v>
      </c>
      <c r="D11408" t="str">
        <f>"70043"</f>
        <v>70043</v>
      </c>
      <c r="E11408">
        <v>58.04</v>
      </c>
    </row>
    <row r="11409" spans="1:5" x14ac:dyDescent="0.2">
      <c r="A11409">
        <v>70047</v>
      </c>
      <c r="B11409" t="s">
        <v>24</v>
      </c>
      <c r="C11409">
        <v>70047</v>
      </c>
      <c r="D11409" t="str">
        <f>"70047"</f>
        <v>70047</v>
      </c>
      <c r="E11409">
        <v>74.52</v>
      </c>
    </row>
    <row r="11410" spans="1:5" x14ac:dyDescent="0.2">
      <c r="A11410">
        <v>70049</v>
      </c>
      <c r="B11410" t="s">
        <v>24</v>
      </c>
      <c r="C11410">
        <v>70049</v>
      </c>
      <c r="D11410" t="str">
        <f>"70049"</f>
        <v>70049</v>
      </c>
      <c r="E11410">
        <v>54.08</v>
      </c>
    </row>
    <row r="11411" spans="1:5" x14ac:dyDescent="0.2">
      <c r="A11411">
        <v>70051</v>
      </c>
      <c r="B11411" t="s">
        <v>24</v>
      </c>
      <c r="C11411">
        <v>70051</v>
      </c>
      <c r="D11411" t="str">
        <f>"70051"</f>
        <v>70051</v>
      </c>
      <c r="E11411">
        <v>60</v>
      </c>
    </row>
    <row r="11412" spans="1:5" x14ac:dyDescent="0.2">
      <c r="A11412">
        <v>70052</v>
      </c>
      <c r="B11412" t="s">
        <v>24</v>
      </c>
      <c r="C11412">
        <v>70052</v>
      </c>
      <c r="D11412" t="str">
        <f>"70052"</f>
        <v>70052</v>
      </c>
      <c r="E11412">
        <v>68.790000000000006</v>
      </c>
    </row>
    <row r="11413" spans="1:5" x14ac:dyDescent="0.2">
      <c r="A11413">
        <v>70053</v>
      </c>
      <c r="B11413" t="s">
        <v>24</v>
      </c>
      <c r="C11413">
        <v>70053</v>
      </c>
      <c r="D11413" t="str">
        <f>"70053"</f>
        <v>70053</v>
      </c>
      <c r="E11413">
        <v>62.46</v>
      </c>
    </row>
    <row r="11414" spans="1:5" x14ac:dyDescent="0.2">
      <c r="A11414">
        <v>70056</v>
      </c>
      <c r="B11414" t="s">
        <v>24</v>
      </c>
      <c r="C11414">
        <v>70056</v>
      </c>
      <c r="D11414" t="str">
        <f>"70056"</f>
        <v>70056</v>
      </c>
      <c r="E11414">
        <v>60.11</v>
      </c>
    </row>
    <row r="11415" spans="1:5" x14ac:dyDescent="0.2">
      <c r="A11415">
        <v>70057</v>
      </c>
      <c r="B11415" t="s">
        <v>24</v>
      </c>
      <c r="C11415">
        <v>70057</v>
      </c>
      <c r="D11415" t="str">
        <f>"70057"</f>
        <v>70057</v>
      </c>
      <c r="E11415">
        <v>63.93</v>
      </c>
    </row>
    <row r="11416" spans="1:5" x14ac:dyDescent="0.2">
      <c r="A11416">
        <v>70058</v>
      </c>
      <c r="B11416" t="s">
        <v>24</v>
      </c>
      <c r="C11416">
        <v>70058</v>
      </c>
      <c r="D11416" t="str">
        <f>"70058"</f>
        <v>70058</v>
      </c>
      <c r="E11416">
        <v>58.14</v>
      </c>
    </row>
    <row r="11417" spans="1:5" x14ac:dyDescent="0.2">
      <c r="A11417">
        <v>70062</v>
      </c>
      <c r="B11417" t="s">
        <v>24</v>
      </c>
      <c r="C11417">
        <v>70062</v>
      </c>
      <c r="D11417" t="str">
        <f>"70062"</f>
        <v>70062</v>
      </c>
      <c r="E11417">
        <v>55.34</v>
      </c>
    </row>
    <row r="11418" spans="1:5" x14ac:dyDescent="0.2">
      <c r="A11418">
        <v>70064</v>
      </c>
      <c r="B11418" t="s">
        <v>24</v>
      </c>
      <c r="C11418">
        <v>70064</v>
      </c>
      <c r="D11418" t="str">
        <f>"70064"</f>
        <v>70064</v>
      </c>
      <c r="E11418" t="s">
        <v>6</v>
      </c>
    </row>
    <row r="11419" spans="1:5" x14ac:dyDescent="0.2">
      <c r="A11419">
        <v>70065</v>
      </c>
      <c r="B11419" t="s">
        <v>24</v>
      </c>
      <c r="C11419">
        <v>70065</v>
      </c>
      <c r="D11419" t="str">
        <f>"70065"</f>
        <v>70065</v>
      </c>
      <c r="E11419">
        <v>66.849999999999994</v>
      </c>
    </row>
    <row r="11420" spans="1:5" x14ac:dyDescent="0.2">
      <c r="A11420">
        <v>70067</v>
      </c>
      <c r="B11420" t="s">
        <v>24</v>
      </c>
      <c r="C11420">
        <v>70067</v>
      </c>
      <c r="D11420" t="str">
        <f>"70067"</f>
        <v>70067</v>
      </c>
      <c r="E11420">
        <v>68</v>
      </c>
    </row>
    <row r="11421" spans="1:5" x14ac:dyDescent="0.2">
      <c r="A11421">
        <v>70068</v>
      </c>
      <c r="B11421" t="s">
        <v>24</v>
      </c>
      <c r="C11421">
        <v>70068</v>
      </c>
      <c r="D11421" t="str">
        <f>"70068"</f>
        <v>70068</v>
      </c>
      <c r="E11421">
        <v>64.08</v>
      </c>
    </row>
    <row r="11422" spans="1:5" x14ac:dyDescent="0.2">
      <c r="A11422">
        <v>70070</v>
      </c>
      <c r="B11422" t="s">
        <v>24</v>
      </c>
      <c r="C11422">
        <v>70070</v>
      </c>
      <c r="D11422" t="str">
        <f>"70070"</f>
        <v>70070</v>
      </c>
      <c r="E11422">
        <v>74.55</v>
      </c>
    </row>
    <row r="11423" spans="1:5" x14ac:dyDescent="0.2">
      <c r="A11423">
        <v>70071</v>
      </c>
      <c r="B11423" t="s">
        <v>24</v>
      </c>
      <c r="C11423">
        <v>70071</v>
      </c>
      <c r="D11423" t="str">
        <f>"70071"</f>
        <v>70071</v>
      </c>
      <c r="E11423">
        <v>64</v>
      </c>
    </row>
    <row r="11424" spans="1:5" x14ac:dyDescent="0.2">
      <c r="A11424">
        <v>70072</v>
      </c>
      <c r="B11424" t="s">
        <v>24</v>
      </c>
      <c r="C11424">
        <v>70072</v>
      </c>
      <c r="D11424" t="str">
        <f>"70072"</f>
        <v>70072</v>
      </c>
      <c r="E11424">
        <v>62.75</v>
      </c>
    </row>
    <row r="11425" spans="1:5" x14ac:dyDescent="0.2">
      <c r="A11425">
        <v>70075</v>
      </c>
      <c r="B11425" t="s">
        <v>24</v>
      </c>
      <c r="C11425">
        <v>70075</v>
      </c>
      <c r="D11425" t="str">
        <f>"70075"</f>
        <v>70075</v>
      </c>
      <c r="E11425">
        <v>69.06</v>
      </c>
    </row>
    <row r="11426" spans="1:5" x14ac:dyDescent="0.2">
      <c r="A11426">
        <v>70076</v>
      </c>
      <c r="B11426" t="s">
        <v>24</v>
      </c>
      <c r="C11426">
        <v>70076</v>
      </c>
      <c r="D11426" t="str">
        <f>"70076"</f>
        <v>70076</v>
      </c>
      <c r="E11426">
        <v>50</v>
      </c>
    </row>
    <row r="11427" spans="1:5" x14ac:dyDescent="0.2">
      <c r="A11427">
        <v>70078</v>
      </c>
      <c r="B11427" t="s">
        <v>24</v>
      </c>
      <c r="C11427">
        <v>70078</v>
      </c>
      <c r="D11427" t="str">
        <f>"70078"</f>
        <v>70078</v>
      </c>
      <c r="E11427" t="s">
        <v>6</v>
      </c>
    </row>
    <row r="11428" spans="1:5" x14ac:dyDescent="0.2">
      <c r="A11428">
        <v>70079</v>
      </c>
      <c r="B11428" t="s">
        <v>24</v>
      </c>
      <c r="C11428">
        <v>70079</v>
      </c>
      <c r="D11428" t="str">
        <f>"70079"</f>
        <v>70079</v>
      </c>
      <c r="E11428">
        <v>74.47</v>
      </c>
    </row>
    <row r="11429" spans="1:5" x14ac:dyDescent="0.2">
      <c r="A11429">
        <v>70080</v>
      </c>
      <c r="B11429" t="s">
        <v>24</v>
      </c>
      <c r="C11429">
        <v>70080</v>
      </c>
      <c r="D11429" t="str">
        <f>"70080"</f>
        <v>70080</v>
      </c>
      <c r="E11429">
        <v>63.08</v>
      </c>
    </row>
    <row r="11430" spans="1:5" x14ac:dyDescent="0.2">
      <c r="A11430">
        <v>70082</v>
      </c>
      <c r="B11430" t="s">
        <v>24</v>
      </c>
      <c r="C11430">
        <v>70082</v>
      </c>
      <c r="D11430" t="str">
        <f>"70082"</f>
        <v>70082</v>
      </c>
      <c r="E11430" t="s">
        <v>6</v>
      </c>
    </row>
    <row r="11431" spans="1:5" x14ac:dyDescent="0.2">
      <c r="A11431">
        <v>70083</v>
      </c>
      <c r="B11431" t="s">
        <v>24</v>
      </c>
      <c r="C11431">
        <v>70083</v>
      </c>
      <c r="D11431" t="str">
        <f>"70083"</f>
        <v>70083</v>
      </c>
      <c r="E11431">
        <v>59.22</v>
      </c>
    </row>
    <row r="11432" spans="1:5" x14ac:dyDescent="0.2">
      <c r="A11432">
        <v>70084</v>
      </c>
      <c r="B11432" t="s">
        <v>24</v>
      </c>
      <c r="C11432">
        <v>70084</v>
      </c>
      <c r="D11432" t="str">
        <f>"70084"</f>
        <v>70084</v>
      </c>
      <c r="E11432">
        <v>58.67</v>
      </c>
    </row>
    <row r="11433" spans="1:5" x14ac:dyDescent="0.2">
      <c r="A11433">
        <v>70085</v>
      </c>
      <c r="B11433" t="s">
        <v>24</v>
      </c>
      <c r="C11433">
        <v>70085</v>
      </c>
      <c r="D11433" t="str">
        <f>"70085"</f>
        <v>70085</v>
      </c>
      <c r="E11433">
        <v>61.31</v>
      </c>
    </row>
    <row r="11434" spans="1:5" x14ac:dyDescent="0.2">
      <c r="A11434">
        <v>70086</v>
      </c>
      <c r="B11434" t="s">
        <v>24</v>
      </c>
      <c r="C11434">
        <v>70086</v>
      </c>
      <c r="D11434" t="str">
        <f>"70086"</f>
        <v>70086</v>
      </c>
      <c r="E11434">
        <v>51.81</v>
      </c>
    </row>
    <row r="11435" spans="1:5" x14ac:dyDescent="0.2">
      <c r="A11435">
        <v>70087</v>
      </c>
      <c r="B11435" t="s">
        <v>24</v>
      </c>
      <c r="C11435">
        <v>70087</v>
      </c>
      <c r="D11435" t="str">
        <f>"70087"</f>
        <v>70087</v>
      </c>
      <c r="E11435">
        <v>62.36</v>
      </c>
    </row>
    <row r="11436" spans="1:5" x14ac:dyDescent="0.2">
      <c r="A11436">
        <v>70090</v>
      </c>
      <c r="B11436" t="s">
        <v>24</v>
      </c>
      <c r="C11436">
        <v>70090</v>
      </c>
      <c r="D11436" t="str">
        <f>"70090"</f>
        <v>70090</v>
      </c>
      <c r="E11436">
        <v>61.89</v>
      </c>
    </row>
    <row r="11437" spans="1:5" x14ac:dyDescent="0.2">
      <c r="A11437">
        <v>70091</v>
      </c>
      <c r="B11437" t="s">
        <v>24</v>
      </c>
      <c r="C11437">
        <v>70091</v>
      </c>
      <c r="D11437" t="str">
        <f>"70091"</f>
        <v>70091</v>
      </c>
      <c r="E11437">
        <v>60</v>
      </c>
    </row>
    <row r="11438" spans="1:5" x14ac:dyDescent="0.2">
      <c r="A11438">
        <v>70092</v>
      </c>
      <c r="B11438" t="s">
        <v>24</v>
      </c>
      <c r="C11438">
        <v>70092</v>
      </c>
      <c r="D11438" t="str">
        <f>"70092"</f>
        <v>70092</v>
      </c>
      <c r="E11438">
        <v>53.31</v>
      </c>
    </row>
    <row r="11439" spans="1:5" x14ac:dyDescent="0.2">
      <c r="A11439">
        <v>70094</v>
      </c>
      <c r="B11439" t="s">
        <v>24</v>
      </c>
      <c r="C11439">
        <v>70094</v>
      </c>
      <c r="D11439" t="str">
        <f>"70094"</f>
        <v>70094</v>
      </c>
      <c r="E11439">
        <v>56.92</v>
      </c>
    </row>
    <row r="11440" spans="1:5" x14ac:dyDescent="0.2">
      <c r="A11440">
        <v>70112</v>
      </c>
      <c r="B11440" t="s">
        <v>24</v>
      </c>
      <c r="C11440">
        <v>70112</v>
      </c>
      <c r="D11440" t="str">
        <f>"70112"</f>
        <v>70112</v>
      </c>
      <c r="E11440">
        <v>69.569999999999993</v>
      </c>
    </row>
    <row r="11441" spans="1:5" x14ac:dyDescent="0.2">
      <c r="A11441">
        <v>70113</v>
      </c>
      <c r="B11441" t="s">
        <v>24</v>
      </c>
      <c r="C11441">
        <v>70113</v>
      </c>
      <c r="D11441" t="str">
        <f>"70113"</f>
        <v>70113</v>
      </c>
      <c r="E11441">
        <v>55.85</v>
      </c>
    </row>
    <row r="11442" spans="1:5" x14ac:dyDescent="0.2">
      <c r="A11442">
        <v>70114</v>
      </c>
      <c r="B11442" t="s">
        <v>24</v>
      </c>
      <c r="C11442">
        <v>70114</v>
      </c>
      <c r="D11442" t="str">
        <f>"70114"</f>
        <v>70114</v>
      </c>
      <c r="E11442">
        <v>51.03</v>
      </c>
    </row>
    <row r="11443" spans="1:5" x14ac:dyDescent="0.2">
      <c r="A11443">
        <v>70115</v>
      </c>
      <c r="B11443" t="s">
        <v>24</v>
      </c>
      <c r="C11443">
        <v>70115</v>
      </c>
      <c r="D11443" t="str">
        <f>"70115"</f>
        <v>70115</v>
      </c>
      <c r="E11443">
        <v>78.3</v>
      </c>
    </row>
    <row r="11444" spans="1:5" x14ac:dyDescent="0.2">
      <c r="A11444">
        <v>70116</v>
      </c>
      <c r="B11444" t="s">
        <v>24</v>
      </c>
      <c r="C11444">
        <v>70116</v>
      </c>
      <c r="D11444" t="str">
        <f>"70116"</f>
        <v>70116</v>
      </c>
      <c r="E11444">
        <v>66.959999999999994</v>
      </c>
    </row>
    <row r="11445" spans="1:5" x14ac:dyDescent="0.2">
      <c r="A11445">
        <v>70117</v>
      </c>
      <c r="B11445" t="s">
        <v>24</v>
      </c>
      <c r="C11445">
        <v>70117</v>
      </c>
      <c r="D11445" t="str">
        <f>"70117"</f>
        <v>70117</v>
      </c>
      <c r="E11445">
        <v>56.07</v>
      </c>
    </row>
    <row r="11446" spans="1:5" x14ac:dyDescent="0.2">
      <c r="A11446">
        <v>70118</v>
      </c>
      <c r="B11446" t="s">
        <v>24</v>
      </c>
      <c r="C11446">
        <v>70118</v>
      </c>
      <c r="D11446" t="str">
        <f>"70118"</f>
        <v>70118</v>
      </c>
      <c r="E11446">
        <v>69.900000000000006</v>
      </c>
    </row>
    <row r="11447" spans="1:5" x14ac:dyDescent="0.2">
      <c r="A11447">
        <v>70119</v>
      </c>
      <c r="B11447" t="s">
        <v>24</v>
      </c>
      <c r="C11447">
        <v>70119</v>
      </c>
      <c r="D11447" t="str">
        <f>"70119"</f>
        <v>70119</v>
      </c>
      <c r="E11447">
        <v>67.09</v>
      </c>
    </row>
    <row r="11448" spans="1:5" x14ac:dyDescent="0.2">
      <c r="A11448">
        <v>70121</v>
      </c>
      <c r="B11448" t="s">
        <v>24</v>
      </c>
      <c r="C11448">
        <v>70121</v>
      </c>
      <c r="D11448" t="str">
        <f>"70121"</f>
        <v>70121</v>
      </c>
      <c r="E11448">
        <v>71.25</v>
      </c>
    </row>
    <row r="11449" spans="1:5" x14ac:dyDescent="0.2">
      <c r="A11449">
        <v>70122</v>
      </c>
      <c r="B11449" t="s">
        <v>24</v>
      </c>
      <c r="C11449">
        <v>70122</v>
      </c>
      <c r="D11449" t="str">
        <f>"70122"</f>
        <v>70122</v>
      </c>
      <c r="E11449">
        <v>62.42</v>
      </c>
    </row>
    <row r="11450" spans="1:5" x14ac:dyDescent="0.2">
      <c r="A11450">
        <v>70123</v>
      </c>
      <c r="B11450" t="s">
        <v>24</v>
      </c>
      <c r="C11450">
        <v>70123</v>
      </c>
      <c r="D11450" t="str">
        <f>"70123"</f>
        <v>70123</v>
      </c>
      <c r="E11450">
        <v>79.02</v>
      </c>
    </row>
    <row r="11451" spans="1:5" x14ac:dyDescent="0.2">
      <c r="A11451">
        <v>70124</v>
      </c>
      <c r="B11451" t="s">
        <v>24</v>
      </c>
      <c r="C11451">
        <v>70124</v>
      </c>
      <c r="D11451" t="str">
        <f>"70124"</f>
        <v>70124</v>
      </c>
      <c r="E11451">
        <v>84.17</v>
      </c>
    </row>
    <row r="11452" spans="1:5" x14ac:dyDescent="0.2">
      <c r="A11452">
        <v>70125</v>
      </c>
      <c r="B11452" t="s">
        <v>24</v>
      </c>
      <c r="C11452">
        <v>70125</v>
      </c>
      <c r="D11452" t="str">
        <f>"70125"</f>
        <v>70125</v>
      </c>
      <c r="E11452">
        <v>65.010000000000005</v>
      </c>
    </row>
    <row r="11453" spans="1:5" x14ac:dyDescent="0.2">
      <c r="A11453">
        <v>70126</v>
      </c>
      <c r="B11453" t="s">
        <v>24</v>
      </c>
      <c r="C11453">
        <v>70126</v>
      </c>
      <c r="D11453" t="str">
        <f>"70126"</f>
        <v>70126</v>
      </c>
      <c r="E11453">
        <v>47.51</v>
      </c>
    </row>
    <row r="11454" spans="1:5" x14ac:dyDescent="0.2">
      <c r="A11454">
        <v>70127</v>
      </c>
      <c r="B11454" t="s">
        <v>24</v>
      </c>
      <c r="C11454">
        <v>70127</v>
      </c>
      <c r="D11454" t="str">
        <f>"70127"</f>
        <v>70127</v>
      </c>
      <c r="E11454">
        <v>49.58</v>
      </c>
    </row>
    <row r="11455" spans="1:5" x14ac:dyDescent="0.2">
      <c r="A11455">
        <v>70128</v>
      </c>
      <c r="B11455" t="s">
        <v>24</v>
      </c>
      <c r="C11455">
        <v>70128</v>
      </c>
      <c r="D11455" t="str">
        <f>"70128"</f>
        <v>70128</v>
      </c>
      <c r="E11455">
        <v>56.48</v>
      </c>
    </row>
    <row r="11456" spans="1:5" x14ac:dyDescent="0.2">
      <c r="A11456">
        <v>70129</v>
      </c>
      <c r="B11456" t="s">
        <v>24</v>
      </c>
      <c r="C11456">
        <v>70129</v>
      </c>
      <c r="D11456" t="str">
        <f>"70129"</f>
        <v>70129</v>
      </c>
      <c r="E11456">
        <v>51.82</v>
      </c>
    </row>
    <row r="11457" spans="1:5" x14ac:dyDescent="0.2">
      <c r="A11457">
        <v>70130</v>
      </c>
      <c r="B11457" t="s">
        <v>24</v>
      </c>
      <c r="C11457">
        <v>70130</v>
      </c>
      <c r="D11457" t="str">
        <f>"70130"</f>
        <v>70130</v>
      </c>
      <c r="E11457">
        <v>80.66</v>
      </c>
    </row>
    <row r="11458" spans="1:5" x14ac:dyDescent="0.2">
      <c r="A11458">
        <v>70131</v>
      </c>
      <c r="B11458" t="s">
        <v>24</v>
      </c>
      <c r="C11458">
        <v>70131</v>
      </c>
      <c r="D11458" t="str">
        <f>"70131"</f>
        <v>70131</v>
      </c>
      <c r="E11458">
        <v>65.48</v>
      </c>
    </row>
    <row r="11459" spans="1:5" x14ac:dyDescent="0.2">
      <c r="A11459">
        <v>70139</v>
      </c>
      <c r="B11459" t="s">
        <v>24</v>
      </c>
      <c r="C11459">
        <v>70139</v>
      </c>
      <c r="D11459" t="str">
        <f>"70139"</f>
        <v>70139</v>
      </c>
      <c r="E11459" t="s">
        <v>6</v>
      </c>
    </row>
    <row r="11460" spans="1:5" x14ac:dyDescent="0.2">
      <c r="A11460">
        <v>70141</v>
      </c>
      <c r="B11460" t="s">
        <v>24</v>
      </c>
      <c r="C11460">
        <v>70141</v>
      </c>
      <c r="D11460" t="str">
        <f>"70141"</f>
        <v>70141</v>
      </c>
      <c r="E11460" t="s">
        <v>6</v>
      </c>
    </row>
    <row r="11461" spans="1:5" x14ac:dyDescent="0.2">
      <c r="A11461">
        <v>70146</v>
      </c>
      <c r="B11461" t="s">
        <v>24</v>
      </c>
      <c r="C11461">
        <v>70146</v>
      </c>
      <c r="D11461" t="str">
        <f>"70146"</f>
        <v>70146</v>
      </c>
      <c r="E11461" t="s">
        <v>6</v>
      </c>
    </row>
    <row r="11462" spans="1:5" x14ac:dyDescent="0.2">
      <c r="A11462">
        <v>70148</v>
      </c>
      <c r="B11462" t="s">
        <v>24</v>
      </c>
      <c r="C11462">
        <v>70148</v>
      </c>
      <c r="D11462" t="str">
        <f>"70148"</f>
        <v>70148</v>
      </c>
      <c r="E11462" t="s">
        <v>6</v>
      </c>
    </row>
    <row r="11463" spans="1:5" x14ac:dyDescent="0.2">
      <c r="A11463">
        <v>70163</v>
      </c>
      <c r="B11463" t="s">
        <v>24</v>
      </c>
      <c r="C11463">
        <v>70163</v>
      </c>
      <c r="D11463" t="str">
        <f>"70163"</f>
        <v>70163</v>
      </c>
      <c r="E11463" t="s">
        <v>6</v>
      </c>
    </row>
    <row r="11464" spans="1:5" x14ac:dyDescent="0.2">
      <c r="A11464">
        <v>70170</v>
      </c>
      <c r="B11464" t="s">
        <v>24</v>
      </c>
      <c r="C11464">
        <v>70170</v>
      </c>
      <c r="D11464" t="str">
        <f>"70170"</f>
        <v>70170</v>
      </c>
      <c r="E11464" t="s">
        <v>6</v>
      </c>
    </row>
    <row r="11465" spans="1:5" x14ac:dyDescent="0.2">
      <c r="A11465">
        <v>70301</v>
      </c>
      <c r="B11465" t="s">
        <v>24</v>
      </c>
      <c r="C11465">
        <v>70301</v>
      </c>
      <c r="D11465" t="str">
        <f>"70301"</f>
        <v>70301</v>
      </c>
      <c r="E11465">
        <v>69.989999999999995</v>
      </c>
    </row>
    <row r="11466" spans="1:5" x14ac:dyDescent="0.2">
      <c r="A11466">
        <v>70302</v>
      </c>
      <c r="B11466" t="s">
        <v>24</v>
      </c>
      <c r="C11466">
        <v>70302</v>
      </c>
      <c r="D11466" t="str">
        <f>"70302"</f>
        <v>70302</v>
      </c>
      <c r="E11466" t="s">
        <v>6</v>
      </c>
    </row>
    <row r="11467" spans="1:5" x14ac:dyDescent="0.2">
      <c r="A11467">
        <v>70310</v>
      </c>
      <c r="B11467" t="s">
        <v>24</v>
      </c>
      <c r="C11467">
        <v>70310</v>
      </c>
      <c r="D11467" t="str">
        <f>"70310"</f>
        <v>70310</v>
      </c>
      <c r="E11467" t="s">
        <v>6</v>
      </c>
    </row>
    <row r="11468" spans="1:5" x14ac:dyDescent="0.2">
      <c r="A11468">
        <v>70339</v>
      </c>
      <c r="B11468" t="s">
        <v>24</v>
      </c>
      <c r="C11468">
        <v>70339</v>
      </c>
      <c r="D11468" t="str">
        <f>"70339"</f>
        <v>70339</v>
      </c>
      <c r="E11468">
        <v>75.56</v>
      </c>
    </row>
    <row r="11469" spans="1:5" x14ac:dyDescent="0.2">
      <c r="A11469">
        <v>70341</v>
      </c>
      <c r="B11469" t="s">
        <v>24</v>
      </c>
      <c r="C11469">
        <v>70341</v>
      </c>
      <c r="D11469" t="str">
        <f>"70341"</f>
        <v>70341</v>
      </c>
      <c r="E11469">
        <v>54.01</v>
      </c>
    </row>
    <row r="11470" spans="1:5" x14ac:dyDescent="0.2">
      <c r="A11470">
        <v>70342</v>
      </c>
      <c r="B11470" t="s">
        <v>24</v>
      </c>
      <c r="C11470">
        <v>70342</v>
      </c>
      <c r="D11470" t="str">
        <f>"70342"</f>
        <v>70342</v>
      </c>
      <c r="E11470">
        <v>66.150000000000006</v>
      </c>
    </row>
    <row r="11471" spans="1:5" x14ac:dyDescent="0.2">
      <c r="A11471">
        <v>70343</v>
      </c>
      <c r="B11471" t="s">
        <v>24</v>
      </c>
      <c r="C11471">
        <v>70343</v>
      </c>
      <c r="D11471" t="str">
        <f>"70343"</f>
        <v>70343</v>
      </c>
      <c r="E11471">
        <v>70.61</v>
      </c>
    </row>
    <row r="11472" spans="1:5" x14ac:dyDescent="0.2">
      <c r="A11472">
        <v>70344</v>
      </c>
      <c r="B11472" t="s">
        <v>24</v>
      </c>
      <c r="C11472">
        <v>70344</v>
      </c>
      <c r="D11472" t="str">
        <f>"70344"</f>
        <v>70344</v>
      </c>
      <c r="E11472">
        <v>62.31</v>
      </c>
    </row>
    <row r="11473" spans="1:5" x14ac:dyDescent="0.2">
      <c r="A11473">
        <v>70345</v>
      </c>
      <c r="B11473" t="s">
        <v>24</v>
      </c>
      <c r="C11473">
        <v>70345</v>
      </c>
      <c r="D11473" t="str">
        <f>"70345"</f>
        <v>70345</v>
      </c>
      <c r="E11473">
        <v>66.03</v>
      </c>
    </row>
    <row r="11474" spans="1:5" x14ac:dyDescent="0.2">
      <c r="A11474">
        <v>70346</v>
      </c>
      <c r="B11474" t="s">
        <v>24</v>
      </c>
      <c r="C11474">
        <v>70346</v>
      </c>
      <c r="D11474" t="str">
        <f>"70346"</f>
        <v>70346</v>
      </c>
      <c r="E11474">
        <v>55.13</v>
      </c>
    </row>
    <row r="11475" spans="1:5" x14ac:dyDescent="0.2">
      <c r="A11475">
        <v>70352</v>
      </c>
      <c r="B11475" t="s">
        <v>24</v>
      </c>
      <c r="C11475">
        <v>70352</v>
      </c>
      <c r="D11475" t="str">
        <f>"70352"</f>
        <v>70352</v>
      </c>
      <c r="E11475" t="s">
        <v>6</v>
      </c>
    </row>
    <row r="11476" spans="1:5" x14ac:dyDescent="0.2">
      <c r="A11476">
        <v>70353</v>
      </c>
      <c r="B11476" t="s">
        <v>24</v>
      </c>
      <c r="C11476">
        <v>70353</v>
      </c>
      <c r="D11476" t="str">
        <f>"70353"</f>
        <v>70353</v>
      </c>
      <c r="E11476">
        <v>50</v>
      </c>
    </row>
    <row r="11477" spans="1:5" x14ac:dyDescent="0.2">
      <c r="A11477">
        <v>70354</v>
      </c>
      <c r="B11477" t="s">
        <v>24</v>
      </c>
      <c r="C11477">
        <v>70354</v>
      </c>
      <c r="D11477" t="str">
        <f>"70354"</f>
        <v>70354</v>
      </c>
      <c r="E11477">
        <v>61.54</v>
      </c>
    </row>
    <row r="11478" spans="1:5" x14ac:dyDescent="0.2">
      <c r="A11478">
        <v>70355</v>
      </c>
      <c r="B11478" t="s">
        <v>24</v>
      </c>
      <c r="C11478">
        <v>70355</v>
      </c>
      <c r="D11478" t="str">
        <f>"70355"</f>
        <v>70355</v>
      </c>
      <c r="E11478">
        <v>75.680000000000007</v>
      </c>
    </row>
    <row r="11479" spans="1:5" x14ac:dyDescent="0.2">
      <c r="A11479">
        <v>70356</v>
      </c>
      <c r="B11479" t="s">
        <v>24</v>
      </c>
      <c r="C11479">
        <v>70356</v>
      </c>
      <c r="D11479" t="str">
        <f>"70356"</f>
        <v>70356</v>
      </c>
      <c r="E11479">
        <v>55.81</v>
      </c>
    </row>
    <row r="11480" spans="1:5" x14ac:dyDescent="0.2">
      <c r="A11480">
        <v>70357</v>
      </c>
      <c r="B11480" t="s">
        <v>24</v>
      </c>
      <c r="C11480">
        <v>70357</v>
      </c>
      <c r="D11480" t="str">
        <f>"70357"</f>
        <v>70357</v>
      </c>
      <c r="E11480">
        <v>60.58</v>
      </c>
    </row>
    <row r="11481" spans="1:5" x14ac:dyDescent="0.2">
      <c r="A11481">
        <v>70358</v>
      </c>
      <c r="B11481" t="s">
        <v>24</v>
      </c>
      <c r="C11481">
        <v>70358</v>
      </c>
      <c r="D11481" t="str">
        <f>"70358"</f>
        <v>70358</v>
      </c>
      <c r="E11481">
        <v>61.9</v>
      </c>
    </row>
    <row r="11482" spans="1:5" x14ac:dyDescent="0.2">
      <c r="A11482">
        <v>70359</v>
      </c>
      <c r="B11482" t="s">
        <v>24</v>
      </c>
      <c r="C11482">
        <v>70359</v>
      </c>
      <c r="D11482" t="str">
        <f>"70359"</f>
        <v>70359</v>
      </c>
      <c r="E11482">
        <v>64.17</v>
      </c>
    </row>
    <row r="11483" spans="1:5" x14ac:dyDescent="0.2">
      <c r="A11483">
        <v>70360</v>
      </c>
      <c r="B11483" t="s">
        <v>24</v>
      </c>
      <c r="C11483">
        <v>70360</v>
      </c>
      <c r="D11483" t="str">
        <f>"70360"</f>
        <v>70360</v>
      </c>
      <c r="E11483">
        <v>72.3</v>
      </c>
    </row>
    <row r="11484" spans="1:5" x14ac:dyDescent="0.2">
      <c r="A11484">
        <v>70363</v>
      </c>
      <c r="B11484" t="s">
        <v>24</v>
      </c>
      <c r="C11484">
        <v>70363</v>
      </c>
      <c r="D11484" t="str">
        <f>"70363"</f>
        <v>70363</v>
      </c>
      <c r="E11484">
        <v>55.37</v>
      </c>
    </row>
    <row r="11485" spans="1:5" x14ac:dyDescent="0.2">
      <c r="A11485">
        <v>70364</v>
      </c>
      <c r="B11485" t="s">
        <v>24</v>
      </c>
      <c r="C11485">
        <v>70364</v>
      </c>
      <c r="D11485" t="str">
        <f>"70364"</f>
        <v>70364</v>
      </c>
      <c r="E11485">
        <v>66.47</v>
      </c>
    </row>
    <row r="11486" spans="1:5" x14ac:dyDescent="0.2">
      <c r="A11486">
        <v>70372</v>
      </c>
      <c r="B11486" t="s">
        <v>24</v>
      </c>
      <c r="C11486">
        <v>70372</v>
      </c>
      <c r="D11486" t="str">
        <f>"70372"</f>
        <v>70372</v>
      </c>
      <c r="E11486">
        <v>66.06</v>
      </c>
    </row>
    <row r="11487" spans="1:5" x14ac:dyDescent="0.2">
      <c r="A11487">
        <v>70373</v>
      </c>
      <c r="B11487" t="s">
        <v>24</v>
      </c>
      <c r="C11487">
        <v>70373</v>
      </c>
      <c r="D11487" t="str">
        <f>"70373"</f>
        <v>70373</v>
      </c>
      <c r="E11487">
        <v>67.41</v>
      </c>
    </row>
    <row r="11488" spans="1:5" x14ac:dyDescent="0.2">
      <c r="A11488">
        <v>70374</v>
      </c>
      <c r="B11488" t="s">
        <v>24</v>
      </c>
      <c r="C11488">
        <v>70374</v>
      </c>
      <c r="D11488" t="str">
        <f>"70374"</f>
        <v>70374</v>
      </c>
      <c r="E11488">
        <v>70.22</v>
      </c>
    </row>
    <row r="11489" spans="1:5" x14ac:dyDescent="0.2">
      <c r="A11489">
        <v>70375</v>
      </c>
      <c r="B11489" t="s">
        <v>24</v>
      </c>
      <c r="C11489">
        <v>70375</v>
      </c>
      <c r="D11489" t="str">
        <f>"70375"</f>
        <v>70375</v>
      </c>
      <c r="E11489">
        <v>64.709999999999994</v>
      </c>
    </row>
    <row r="11490" spans="1:5" x14ac:dyDescent="0.2">
      <c r="A11490">
        <v>70377</v>
      </c>
      <c r="B11490" t="s">
        <v>24</v>
      </c>
      <c r="C11490">
        <v>70377</v>
      </c>
      <c r="D11490" t="str">
        <f>"70377"</f>
        <v>70377</v>
      </c>
      <c r="E11490">
        <v>62.68</v>
      </c>
    </row>
    <row r="11491" spans="1:5" x14ac:dyDescent="0.2">
      <c r="A11491">
        <v>70380</v>
      </c>
      <c r="B11491" t="s">
        <v>24</v>
      </c>
      <c r="C11491">
        <v>70380</v>
      </c>
      <c r="D11491" t="str">
        <f>"70380"</f>
        <v>70380</v>
      </c>
      <c r="E11491">
        <v>60.53</v>
      </c>
    </row>
    <row r="11492" spans="1:5" x14ac:dyDescent="0.2">
      <c r="A11492">
        <v>70390</v>
      </c>
      <c r="B11492" t="s">
        <v>24</v>
      </c>
      <c r="C11492">
        <v>70390</v>
      </c>
      <c r="D11492" t="str">
        <f>"70390"</f>
        <v>70390</v>
      </c>
      <c r="E11492">
        <v>61.62</v>
      </c>
    </row>
    <row r="11493" spans="1:5" x14ac:dyDescent="0.2">
      <c r="A11493">
        <v>70392</v>
      </c>
      <c r="B11493" t="s">
        <v>24</v>
      </c>
      <c r="C11493">
        <v>70392</v>
      </c>
      <c r="D11493" t="str">
        <f>"70392"</f>
        <v>70392</v>
      </c>
      <c r="E11493">
        <v>58.26</v>
      </c>
    </row>
    <row r="11494" spans="1:5" x14ac:dyDescent="0.2">
      <c r="A11494">
        <v>70393</v>
      </c>
      <c r="B11494" t="s">
        <v>24</v>
      </c>
      <c r="C11494">
        <v>70393</v>
      </c>
      <c r="D11494" t="str">
        <f>"70393"</f>
        <v>70393</v>
      </c>
      <c r="E11494">
        <v>60</v>
      </c>
    </row>
    <row r="11495" spans="1:5" x14ac:dyDescent="0.2">
      <c r="A11495">
        <v>70394</v>
      </c>
      <c r="B11495" t="s">
        <v>24</v>
      </c>
      <c r="C11495">
        <v>70394</v>
      </c>
      <c r="D11495" t="str">
        <f>"70394"</f>
        <v>70394</v>
      </c>
      <c r="E11495">
        <v>68.099999999999994</v>
      </c>
    </row>
    <row r="11496" spans="1:5" x14ac:dyDescent="0.2">
      <c r="A11496">
        <v>70395</v>
      </c>
      <c r="B11496" t="s">
        <v>24</v>
      </c>
      <c r="C11496">
        <v>70395</v>
      </c>
      <c r="D11496" t="str">
        <f>"70395"</f>
        <v>70395</v>
      </c>
      <c r="E11496">
        <v>69.12</v>
      </c>
    </row>
    <row r="11497" spans="1:5" x14ac:dyDescent="0.2">
      <c r="A11497">
        <v>70397</v>
      </c>
      <c r="B11497" t="s">
        <v>24</v>
      </c>
      <c r="C11497">
        <v>70397</v>
      </c>
      <c r="D11497" t="str">
        <f>"70397"</f>
        <v>70397</v>
      </c>
      <c r="E11497">
        <v>55.1</v>
      </c>
    </row>
    <row r="11498" spans="1:5" x14ac:dyDescent="0.2">
      <c r="A11498">
        <v>70401</v>
      </c>
      <c r="B11498" t="s">
        <v>24</v>
      </c>
      <c r="C11498">
        <v>70401</v>
      </c>
      <c r="D11498" t="str">
        <f>"70401"</f>
        <v>70401</v>
      </c>
      <c r="E11498">
        <v>58.12</v>
      </c>
    </row>
    <row r="11499" spans="1:5" x14ac:dyDescent="0.2">
      <c r="A11499">
        <v>70403</v>
      </c>
      <c r="B11499" t="s">
        <v>24</v>
      </c>
      <c r="C11499">
        <v>70403</v>
      </c>
      <c r="D11499" t="str">
        <f>"70403"</f>
        <v>70403</v>
      </c>
      <c r="E11499">
        <v>61.8</v>
      </c>
    </row>
    <row r="11500" spans="1:5" x14ac:dyDescent="0.2">
      <c r="A11500">
        <v>70420</v>
      </c>
      <c r="B11500" t="s">
        <v>24</v>
      </c>
      <c r="C11500">
        <v>70420</v>
      </c>
      <c r="D11500" t="str">
        <f>"70420"</f>
        <v>70420</v>
      </c>
      <c r="E11500">
        <v>72.180000000000007</v>
      </c>
    </row>
    <row r="11501" spans="1:5" x14ac:dyDescent="0.2">
      <c r="A11501">
        <v>70422</v>
      </c>
      <c r="B11501" t="s">
        <v>24</v>
      </c>
      <c r="C11501">
        <v>70422</v>
      </c>
      <c r="D11501" t="str">
        <f>"70422"</f>
        <v>70422</v>
      </c>
      <c r="E11501">
        <v>56.26</v>
      </c>
    </row>
    <row r="11502" spans="1:5" x14ac:dyDescent="0.2">
      <c r="A11502">
        <v>70426</v>
      </c>
      <c r="B11502" t="s">
        <v>24</v>
      </c>
      <c r="C11502">
        <v>70426</v>
      </c>
      <c r="D11502" t="str">
        <f>"70426"</f>
        <v>70426</v>
      </c>
      <c r="E11502">
        <v>55.49</v>
      </c>
    </row>
    <row r="11503" spans="1:5" x14ac:dyDescent="0.2">
      <c r="A11503">
        <v>70427</v>
      </c>
      <c r="B11503" t="s">
        <v>24</v>
      </c>
      <c r="C11503">
        <v>70427</v>
      </c>
      <c r="D11503" t="str">
        <f>"70427"</f>
        <v>70427</v>
      </c>
      <c r="E11503">
        <v>53.86</v>
      </c>
    </row>
    <row r="11504" spans="1:5" x14ac:dyDescent="0.2">
      <c r="A11504">
        <v>70431</v>
      </c>
      <c r="B11504" t="s">
        <v>24</v>
      </c>
      <c r="C11504">
        <v>70431</v>
      </c>
      <c r="D11504" t="str">
        <f>"70431"</f>
        <v>70431</v>
      </c>
      <c r="E11504">
        <v>72.22</v>
      </c>
    </row>
    <row r="11505" spans="1:5" x14ac:dyDescent="0.2">
      <c r="A11505">
        <v>70433</v>
      </c>
      <c r="B11505" t="s">
        <v>24</v>
      </c>
      <c r="C11505">
        <v>70433</v>
      </c>
      <c r="D11505" t="str">
        <f>"70433"</f>
        <v>70433</v>
      </c>
      <c r="E11505">
        <v>74.989999999999995</v>
      </c>
    </row>
    <row r="11506" spans="1:5" x14ac:dyDescent="0.2">
      <c r="A11506">
        <v>70434</v>
      </c>
      <c r="B11506" t="s">
        <v>24</v>
      </c>
      <c r="C11506">
        <v>70434</v>
      </c>
      <c r="D11506" t="str">
        <f>"70434"</f>
        <v>70434</v>
      </c>
      <c r="E11506" t="s">
        <v>6</v>
      </c>
    </row>
    <row r="11507" spans="1:5" x14ac:dyDescent="0.2">
      <c r="A11507">
        <v>70435</v>
      </c>
      <c r="B11507" t="s">
        <v>24</v>
      </c>
      <c r="C11507">
        <v>70435</v>
      </c>
      <c r="D11507" t="str">
        <f>"70435"</f>
        <v>70435</v>
      </c>
      <c r="E11507">
        <v>73.180000000000007</v>
      </c>
    </row>
    <row r="11508" spans="1:5" x14ac:dyDescent="0.2">
      <c r="A11508">
        <v>70436</v>
      </c>
      <c r="B11508" t="s">
        <v>24</v>
      </c>
      <c r="C11508">
        <v>70436</v>
      </c>
      <c r="D11508" t="str">
        <f>"70436"</f>
        <v>70436</v>
      </c>
      <c r="E11508">
        <v>42.11</v>
      </c>
    </row>
    <row r="11509" spans="1:5" x14ac:dyDescent="0.2">
      <c r="A11509">
        <v>70437</v>
      </c>
      <c r="B11509" t="s">
        <v>24</v>
      </c>
      <c r="C11509">
        <v>70437</v>
      </c>
      <c r="D11509" t="str">
        <f>"70437"</f>
        <v>70437</v>
      </c>
      <c r="E11509">
        <v>69.14</v>
      </c>
    </row>
    <row r="11510" spans="1:5" x14ac:dyDescent="0.2">
      <c r="A11510">
        <v>70438</v>
      </c>
      <c r="B11510" t="s">
        <v>24</v>
      </c>
      <c r="C11510">
        <v>70438</v>
      </c>
      <c r="D11510" t="str">
        <f>"70438"</f>
        <v>70438</v>
      </c>
      <c r="E11510">
        <v>59.4</v>
      </c>
    </row>
    <row r="11511" spans="1:5" x14ac:dyDescent="0.2">
      <c r="A11511">
        <v>70441</v>
      </c>
      <c r="B11511" t="s">
        <v>24</v>
      </c>
      <c r="C11511">
        <v>70441</v>
      </c>
      <c r="D11511" t="str">
        <f>"70441"</f>
        <v>70441</v>
      </c>
      <c r="E11511">
        <v>51.03</v>
      </c>
    </row>
    <row r="11512" spans="1:5" x14ac:dyDescent="0.2">
      <c r="A11512">
        <v>70442</v>
      </c>
      <c r="B11512" t="s">
        <v>24</v>
      </c>
      <c r="C11512">
        <v>70442</v>
      </c>
      <c r="D11512" t="str">
        <f>"70442"</f>
        <v>70442</v>
      </c>
      <c r="E11512">
        <v>68.42</v>
      </c>
    </row>
    <row r="11513" spans="1:5" x14ac:dyDescent="0.2">
      <c r="A11513">
        <v>70443</v>
      </c>
      <c r="B11513" t="s">
        <v>24</v>
      </c>
      <c r="C11513">
        <v>70443</v>
      </c>
      <c r="D11513" t="str">
        <f>"70443"</f>
        <v>70443</v>
      </c>
      <c r="E11513">
        <v>55.31</v>
      </c>
    </row>
    <row r="11514" spans="1:5" x14ac:dyDescent="0.2">
      <c r="A11514">
        <v>70444</v>
      </c>
      <c r="B11514" t="s">
        <v>24</v>
      </c>
      <c r="C11514">
        <v>70444</v>
      </c>
      <c r="D11514" t="str">
        <f>"70444"</f>
        <v>70444</v>
      </c>
      <c r="E11514">
        <v>56.76</v>
      </c>
    </row>
    <row r="11515" spans="1:5" x14ac:dyDescent="0.2">
      <c r="A11515">
        <v>70445</v>
      </c>
      <c r="B11515" t="s">
        <v>24</v>
      </c>
      <c r="C11515">
        <v>70445</v>
      </c>
      <c r="D11515" t="str">
        <f>"70445"</f>
        <v>70445</v>
      </c>
      <c r="E11515">
        <v>67.25</v>
      </c>
    </row>
    <row r="11516" spans="1:5" x14ac:dyDescent="0.2">
      <c r="A11516">
        <v>70446</v>
      </c>
      <c r="B11516" t="s">
        <v>24</v>
      </c>
      <c r="C11516">
        <v>70446</v>
      </c>
      <c r="D11516" t="str">
        <f>"70446"</f>
        <v>70446</v>
      </c>
      <c r="E11516">
        <v>67.94</v>
      </c>
    </row>
    <row r="11517" spans="1:5" x14ac:dyDescent="0.2">
      <c r="A11517">
        <v>70447</v>
      </c>
      <c r="B11517" t="s">
        <v>24</v>
      </c>
      <c r="C11517">
        <v>70447</v>
      </c>
      <c r="D11517" t="str">
        <f>"70447"</f>
        <v>70447</v>
      </c>
      <c r="E11517">
        <v>80.75</v>
      </c>
    </row>
    <row r="11518" spans="1:5" x14ac:dyDescent="0.2">
      <c r="A11518">
        <v>70448</v>
      </c>
      <c r="B11518" t="s">
        <v>24</v>
      </c>
      <c r="C11518">
        <v>70448</v>
      </c>
      <c r="D11518" t="str">
        <f>"70448"</f>
        <v>70448</v>
      </c>
      <c r="E11518">
        <v>76.16</v>
      </c>
    </row>
    <row r="11519" spans="1:5" x14ac:dyDescent="0.2">
      <c r="A11519">
        <v>70449</v>
      </c>
      <c r="B11519" t="s">
        <v>24</v>
      </c>
      <c r="C11519">
        <v>70449</v>
      </c>
      <c r="D11519" t="str">
        <f>"70449"</f>
        <v>70449</v>
      </c>
      <c r="E11519">
        <v>72.66</v>
      </c>
    </row>
    <row r="11520" spans="1:5" x14ac:dyDescent="0.2">
      <c r="A11520">
        <v>70450</v>
      </c>
      <c r="B11520" t="s">
        <v>24</v>
      </c>
      <c r="C11520">
        <v>70450</v>
      </c>
      <c r="D11520" t="str">
        <f>"70450"</f>
        <v>70450</v>
      </c>
      <c r="E11520">
        <v>58.33</v>
      </c>
    </row>
    <row r="11521" spans="1:5" x14ac:dyDescent="0.2">
      <c r="A11521">
        <v>70452</v>
      </c>
      <c r="B11521" t="s">
        <v>24</v>
      </c>
      <c r="C11521">
        <v>70452</v>
      </c>
      <c r="D11521" t="str">
        <f>"70452"</f>
        <v>70452</v>
      </c>
      <c r="E11521">
        <v>68.16</v>
      </c>
    </row>
    <row r="11522" spans="1:5" x14ac:dyDescent="0.2">
      <c r="A11522">
        <v>70453</v>
      </c>
      <c r="B11522" t="s">
        <v>24</v>
      </c>
      <c r="C11522">
        <v>70453</v>
      </c>
      <c r="D11522" t="str">
        <f>"70453"</f>
        <v>70453</v>
      </c>
      <c r="E11522">
        <v>66</v>
      </c>
    </row>
    <row r="11523" spans="1:5" x14ac:dyDescent="0.2">
      <c r="A11523">
        <v>70454</v>
      </c>
      <c r="B11523" t="s">
        <v>24</v>
      </c>
      <c r="C11523">
        <v>70454</v>
      </c>
      <c r="D11523" t="str">
        <f>"70454"</f>
        <v>70454</v>
      </c>
      <c r="E11523">
        <v>69.16</v>
      </c>
    </row>
    <row r="11524" spans="1:5" x14ac:dyDescent="0.2">
      <c r="A11524">
        <v>70455</v>
      </c>
      <c r="B11524" t="s">
        <v>24</v>
      </c>
      <c r="C11524">
        <v>70455</v>
      </c>
      <c r="D11524" t="str">
        <f>"70455"</f>
        <v>70455</v>
      </c>
      <c r="E11524">
        <v>68.290000000000006</v>
      </c>
    </row>
    <row r="11525" spans="1:5" x14ac:dyDescent="0.2">
      <c r="A11525">
        <v>70456</v>
      </c>
      <c r="B11525" t="s">
        <v>24</v>
      </c>
      <c r="C11525">
        <v>70456</v>
      </c>
      <c r="D11525" t="str">
        <f>"70456"</f>
        <v>70456</v>
      </c>
      <c r="E11525">
        <v>48.21</v>
      </c>
    </row>
    <row r="11526" spans="1:5" x14ac:dyDescent="0.2">
      <c r="A11526">
        <v>70458</v>
      </c>
      <c r="B11526" t="s">
        <v>24</v>
      </c>
      <c r="C11526">
        <v>70458</v>
      </c>
      <c r="D11526" t="str">
        <f>"70458"</f>
        <v>70458</v>
      </c>
      <c r="E11526">
        <v>70.290000000000006</v>
      </c>
    </row>
    <row r="11527" spans="1:5" x14ac:dyDescent="0.2">
      <c r="A11527">
        <v>70460</v>
      </c>
      <c r="B11527" t="s">
        <v>24</v>
      </c>
      <c r="C11527">
        <v>70460</v>
      </c>
      <c r="D11527" t="str">
        <f>"70460"</f>
        <v>70460</v>
      </c>
      <c r="E11527">
        <v>63.89</v>
      </c>
    </row>
    <row r="11528" spans="1:5" x14ac:dyDescent="0.2">
      <c r="A11528">
        <v>70461</v>
      </c>
      <c r="B11528" t="s">
        <v>24</v>
      </c>
      <c r="C11528">
        <v>70461</v>
      </c>
      <c r="D11528" t="str">
        <f>"70461"</f>
        <v>70461</v>
      </c>
      <c r="E11528">
        <v>69.53</v>
      </c>
    </row>
    <row r="11529" spans="1:5" x14ac:dyDescent="0.2">
      <c r="A11529">
        <v>70462</v>
      </c>
      <c r="B11529" t="s">
        <v>24</v>
      </c>
      <c r="C11529">
        <v>70462</v>
      </c>
      <c r="D11529" t="str">
        <f>"70462"</f>
        <v>70462</v>
      </c>
      <c r="E11529">
        <v>66.39</v>
      </c>
    </row>
    <row r="11530" spans="1:5" x14ac:dyDescent="0.2">
      <c r="A11530">
        <v>70463</v>
      </c>
      <c r="B11530" t="s">
        <v>24</v>
      </c>
      <c r="C11530">
        <v>70463</v>
      </c>
      <c r="D11530" t="str">
        <f>"70463"</f>
        <v>70463</v>
      </c>
      <c r="E11530" t="s">
        <v>6</v>
      </c>
    </row>
    <row r="11531" spans="1:5" x14ac:dyDescent="0.2">
      <c r="A11531">
        <v>70464</v>
      </c>
      <c r="B11531" t="s">
        <v>24</v>
      </c>
      <c r="C11531">
        <v>70464</v>
      </c>
      <c r="D11531" t="str">
        <f>"70464"</f>
        <v>70464</v>
      </c>
      <c r="E11531" t="s">
        <v>6</v>
      </c>
    </row>
    <row r="11532" spans="1:5" x14ac:dyDescent="0.2">
      <c r="A11532">
        <v>70465</v>
      </c>
      <c r="B11532" t="s">
        <v>24</v>
      </c>
      <c r="C11532">
        <v>70465</v>
      </c>
      <c r="D11532" t="str">
        <f>"70465"</f>
        <v>70465</v>
      </c>
      <c r="E11532" t="s">
        <v>6</v>
      </c>
    </row>
    <row r="11533" spans="1:5" x14ac:dyDescent="0.2">
      <c r="A11533">
        <v>70466</v>
      </c>
      <c r="B11533" t="s">
        <v>24</v>
      </c>
      <c r="C11533">
        <v>70466</v>
      </c>
      <c r="D11533" t="str">
        <f>"70466"</f>
        <v>70466</v>
      </c>
      <c r="E11533">
        <v>56.83</v>
      </c>
    </row>
    <row r="11534" spans="1:5" x14ac:dyDescent="0.2">
      <c r="A11534">
        <v>70471</v>
      </c>
      <c r="B11534" t="s">
        <v>24</v>
      </c>
      <c r="C11534">
        <v>70471</v>
      </c>
      <c r="D11534" t="str">
        <f>"70471"</f>
        <v>70471</v>
      </c>
      <c r="E11534">
        <v>77.64</v>
      </c>
    </row>
    <row r="11535" spans="1:5" x14ac:dyDescent="0.2">
      <c r="A11535">
        <v>70501</v>
      </c>
      <c r="B11535" t="s">
        <v>24</v>
      </c>
      <c r="C11535">
        <v>70501</v>
      </c>
      <c r="D11535" t="str">
        <f>"70501"</f>
        <v>70501</v>
      </c>
      <c r="E11535">
        <v>47.61</v>
      </c>
    </row>
    <row r="11536" spans="1:5" x14ac:dyDescent="0.2">
      <c r="A11536">
        <v>70503</v>
      </c>
      <c r="B11536" t="s">
        <v>24</v>
      </c>
      <c r="C11536">
        <v>70503</v>
      </c>
      <c r="D11536" t="str">
        <f>"70503"</f>
        <v>70503</v>
      </c>
      <c r="E11536">
        <v>75.36</v>
      </c>
    </row>
    <row r="11537" spans="1:5" x14ac:dyDescent="0.2">
      <c r="A11537">
        <v>70506</v>
      </c>
      <c r="B11537" t="s">
        <v>24</v>
      </c>
      <c r="C11537">
        <v>70506</v>
      </c>
      <c r="D11537" t="str">
        <f>"70506"</f>
        <v>70506</v>
      </c>
      <c r="E11537">
        <v>65.930000000000007</v>
      </c>
    </row>
    <row r="11538" spans="1:5" x14ac:dyDescent="0.2">
      <c r="A11538">
        <v>70507</v>
      </c>
      <c r="B11538" t="s">
        <v>24</v>
      </c>
      <c r="C11538">
        <v>70507</v>
      </c>
      <c r="D11538" t="str">
        <f>"70507"</f>
        <v>70507</v>
      </c>
      <c r="E11538">
        <v>63.25</v>
      </c>
    </row>
    <row r="11539" spans="1:5" x14ac:dyDescent="0.2">
      <c r="A11539">
        <v>70508</v>
      </c>
      <c r="B11539" t="s">
        <v>24</v>
      </c>
      <c r="C11539">
        <v>70508</v>
      </c>
      <c r="D11539" t="str">
        <f>"70508"</f>
        <v>70508</v>
      </c>
      <c r="E11539">
        <v>75.56</v>
      </c>
    </row>
    <row r="11540" spans="1:5" x14ac:dyDescent="0.2">
      <c r="A11540">
        <v>70510</v>
      </c>
      <c r="B11540" t="s">
        <v>24</v>
      </c>
      <c r="C11540">
        <v>70510</v>
      </c>
      <c r="D11540" t="str">
        <f>"70510"</f>
        <v>70510</v>
      </c>
      <c r="E11540">
        <v>60.13</v>
      </c>
    </row>
    <row r="11541" spans="1:5" x14ac:dyDescent="0.2">
      <c r="A11541">
        <v>70512</v>
      </c>
      <c r="B11541" t="s">
        <v>24</v>
      </c>
      <c r="C11541">
        <v>70512</v>
      </c>
      <c r="D11541" t="str">
        <f>"70512"</f>
        <v>70512</v>
      </c>
      <c r="E11541">
        <v>67.47</v>
      </c>
    </row>
    <row r="11542" spans="1:5" x14ac:dyDescent="0.2">
      <c r="A11542">
        <v>70514</v>
      </c>
      <c r="B11542" t="s">
        <v>24</v>
      </c>
      <c r="C11542">
        <v>70514</v>
      </c>
      <c r="D11542" t="str">
        <f>"70514"</f>
        <v>70514</v>
      </c>
      <c r="E11542">
        <v>51.85</v>
      </c>
    </row>
    <row r="11543" spans="1:5" x14ac:dyDescent="0.2">
      <c r="A11543">
        <v>70515</v>
      </c>
      <c r="B11543" t="s">
        <v>24</v>
      </c>
      <c r="C11543">
        <v>70515</v>
      </c>
      <c r="D11543" t="str">
        <f>"70515"</f>
        <v>70515</v>
      </c>
      <c r="E11543">
        <v>61.7</v>
      </c>
    </row>
    <row r="11544" spans="1:5" x14ac:dyDescent="0.2">
      <c r="A11544">
        <v>70516</v>
      </c>
      <c r="B11544" t="s">
        <v>24</v>
      </c>
      <c r="C11544">
        <v>70516</v>
      </c>
      <c r="D11544" t="str">
        <f>"70516"</f>
        <v>70516</v>
      </c>
      <c r="E11544">
        <v>63.49</v>
      </c>
    </row>
    <row r="11545" spans="1:5" x14ac:dyDescent="0.2">
      <c r="A11545">
        <v>70517</v>
      </c>
      <c r="B11545" t="s">
        <v>24</v>
      </c>
      <c r="C11545">
        <v>70517</v>
      </c>
      <c r="D11545" t="str">
        <f>"70517"</f>
        <v>70517</v>
      </c>
      <c r="E11545">
        <v>62.08</v>
      </c>
    </row>
    <row r="11546" spans="1:5" x14ac:dyDescent="0.2">
      <c r="A11546">
        <v>70518</v>
      </c>
      <c r="B11546" t="s">
        <v>24</v>
      </c>
      <c r="C11546">
        <v>70518</v>
      </c>
      <c r="D11546" t="str">
        <f>"70518"</f>
        <v>70518</v>
      </c>
      <c r="E11546">
        <v>73.94</v>
      </c>
    </row>
    <row r="11547" spans="1:5" x14ac:dyDescent="0.2">
      <c r="A11547">
        <v>70520</v>
      </c>
      <c r="B11547" t="s">
        <v>24</v>
      </c>
      <c r="C11547">
        <v>70520</v>
      </c>
      <c r="D11547" t="str">
        <f>"70520"</f>
        <v>70520</v>
      </c>
      <c r="E11547">
        <v>65.48</v>
      </c>
    </row>
    <row r="11548" spans="1:5" x14ac:dyDescent="0.2">
      <c r="A11548">
        <v>70523</v>
      </c>
      <c r="B11548" t="s">
        <v>24</v>
      </c>
      <c r="C11548">
        <v>70523</v>
      </c>
      <c r="D11548" t="str">
        <f>"70523"</f>
        <v>70523</v>
      </c>
      <c r="E11548" t="s">
        <v>6</v>
      </c>
    </row>
    <row r="11549" spans="1:5" x14ac:dyDescent="0.2">
      <c r="A11549">
        <v>70524</v>
      </c>
      <c r="B11549" t="s">
        <v>24</v>
      </c>
      <c r="C11549">
        <v>70524</v>
      </c>
      <c r="D11549" t="str">
        <f>"70524"</f>
        <v>70524</v>
      </c>
      <c r="E11549" t="s">
        <v>6</v>
      </c>
    </row>
    <row r="11550" spans="1:5" x14ac:dyDescent="0.2">
      <c r="A11550">
        <v>70525</v>
      </c>
      <c r="B11550" t="s">
        <v>24</v>
      </c>
      <c r="C11550">
        <v>70525</v>
      </c>
      <c r="D11550" t="str">
        <f>"70525"</f>
        <v>70525</v>
      </c>
      <c r="E11550">
        <v>62.99</v>
      </c>
    </row>
    <row r="11551" spans="1:5" x14ac:dyDescent="0.2">
      <c r="A11551">
        <v>70526</v>
      </c>
      <c r="B11551" t="s">
        <v>24</v>
      </c>
      <c r="C11551">
        <v>70526</v>
      </c>
      <c r="D11551" t="str">
        <f>"70526"</f>
        <v>70526</v>
      </c>
      <c r="E11551">
        <v>57.47</v>
      </c>
    </row>
    <row r="11552" spans="1:5" x14ac:dyDescent="0.2">
      <c r="A11552">
        <v>70528</v>
      </c>
      <c r="B11552" t="s">
        <v>24</v>
      </c>
      <c r="C11552">
        <v>70528</v>
      </c>
      <c r="D11552" t="str">
        <f>"70528"</f>
        <v>70528</v>
      </c>
      <c r="E11552">
        <v>60.91</v>
      </c>
    </row>
    <row r="11553" spans="1:5" x14ac:dyDescent="0.2">
      <c r="A11553">
        <v>70529</v>
      </c>
      <c r="B11553" t="s">
        <v>24</v>
      </c>
      <c r="C11553">
        <v>70529</v>
      </c>
      <c r="D11553" t="str">
        <f>"70529"</f>
        <v>70529</v>
      </c>
      <c r="E11553">
        <v>63.86</v>
      </c>
    </row>
    <row r="11554" spans="1:5" x14ac:dyDescent="0.2">
      <c r="A11554">
        <v>70531</v>
      </c>
      <c r="B11554" t="s">
        <v>24</v>
      </c>
      <c r="C11554">
        <v>70531</v>
      </c>
      <c r="D11554" t="str">
        <f>"70531"</f>
        <v>70531</v>
      </c>
      <c r="E11554">
        <v>72.88</v>
      </c>
    </row>
    <row r="11555" spans="1:5" x14ac:dyDescent="0.2">
      <c r="A11555">
        <v>70532</v>
      </c>
      <c r="B11555" t="s">
        <v>24</v>
      </c>
      <c r="C11555">
        <v>70532</v>
      </c>
      <c r="D11555" t="str">
        <f>"70532"</f>
        <v>70532</v>
      </c>
      <c r="E11555">
        <v>62.41</v>
      </c>
    </row>
    <row r="11556" spans="1:5" x14ac:dyDescent="0.2">
      <c r="A11556">
        <v>70533</v>
      </c>
      <c r="B11556" t="s">
        <v>24</v>
      </c>
      <c r="C11556">
        <v>70533</v>
      </c>
      <c r="D11556" t="str">
        <f>"70533"</f>
        <v>70533</v>
      </c>
      <c r="E11556">
        <v>67.23</v>
      </c>
    </row>
    <row r="11557" spans="1:5" x14ac:dyDescent="0.2">
      <c r="A11557">
        <v>70534</v>
      </c>
      <c r="B11557" t="s">
        <v>24</v>
      </c>
      <c r="C11557">
        <v>70534</v>
      </c>
      <c r="D11557" t="str">
        <f>"70534"</f>
        <v>70534</v>
      </c>
      <c r="E11557" t="s">
        <v>6</v>
      </c>
    </row>
    <row r="11558" spans="1:5" x14ac:dyDescent="0.2">
      <c r="A11558">
        <v>70535</v>
      </c>
      <c r="B11558" t="s">
        <v>24</v>
      </c>
      <c r="C11558">
        <v>70535</v>
      </c>
      <c r="D11558" t="str">
        <f>"70535"</f>
        <v>70535</v>
      </c>
      <c r="E11558">
        <v>62.24</v>
      </c>
    </row>
    <row r="11559" spans="1:5" x14ac:dyDescent="0.2">
      <c r="A11559">
        <v>70537</v>
      </c>
      <c r="B11559" t="s">
        <v>24</v>
      </c>
      <c r="C11559">
        <v>70537</v>
      </c>
      <c r="D11559" t="str">
        <f>"70537"</f>
        <v>70537</v>
      </c>
      <c r="E11559">
        <v>63.64</v>
      </c>
    </row>
    <row r="11560" spans="1:5" x14ac:dyDescent="0.2">
      <c r="A11560">
        <v>70538</v>
      </c>
      <c r="B11560" t="s">
        <v>24</v>
      </c>
      <c r="C11560">
        <v>70538</v>
      </c>
      <c r="D11560" t="str">
        <f>"70538"</f>
        <v>70538</v>
      </c>
      <c r="E11560">
        <v>55.6</v>
      </c>
    </row>
    <row r="11561" spans="1:5" x14ac:dyDescent="0.2">
      <c r="A11561">
        <v>70540</v>
      </c>
      <c r="B11561" t="s">
        <v>24</v>
      </c>
      <c r="C11561">
        <v>70540</v>
      </c>
      <c r="D11561" t="str">
        <f>"70540"</f>
        <v>70540</v>
      </c>
      <c r="E11561" t="s">
        <v>6</v>
      </c>
    </row>
    <row r="11562" spans="1:5" x14ac:dyDescent="0.2">
      <c r="A11562">
        <v>70541</v>
      </c>
      <c r="B11562" t="s">
        <v>24</v>
      </c>
      <c r="C11562">
        <v>70541</v>
      </c>
      <c r="D11562" t="str">
        <f>"70541"</f>
        <v>70541</v>
      </c>
      <c r="E11562" t="s">
        <v>6</v>
      </c>
    </row>
    <row r="11563" spans="1:5" x14ac:dyDescent="0.2">
      <c r="A11563">
        <v>70542</v>
      </c>
      <c r="B11563" t="s">
        <v>24</v>
      </c>
      <c r="C11563">
        <v>70542</v>
      </c>
      <c r="D11563" t="str">
        <f>"70542"</f>
        <v>70542</v>
      </c>
      <c r="E11563">
        <v>68.03</v>
      </c>
    </row>
    <row r="11564" spans="1:5" x14ac:dyDescent="0.2">
      <c r="A11564">
        <v>70543</v>
      </c>
      <c r="B11564" t="s">
        <v>24</v>
      </c>
      <c r="C11564">
        <v>70543</v>
      </c>
      <c r="D11564" t="str">
        <f>"70543"</f>
        <v>70543</v>
      </c>
      <c r="E11564">
        <v>67.55</v>
      </c>
    </row>
    <row r="11565" spans="1:5" x14ac:dyDescent="0.2">
      <c r="A11565">
        <v>70544</v>
      </c>
      <c r="B11565" t="s">
        <v>24</v>
      </c>
      <c r="C11565">
        <v>70544</v>
      </c>
      <c r="D11565" t="str">
        <f>"70544"</f>
        <v>70544</v>
      </c>
      <c r="E11565">
        <v>51.84</v>
      </c>
    </row>
    <row r="11566" spans="1:5" x14ac:dyDescent="0.2">
      <c r="A11566">
        <v>70546</v>
      </c>
      <c r="B11566" t="s">
        <v>24</v>
      </c>
      <c r="C11566">
        <v>70546</v>
      </c>
      <c r="D11566" t="str">
        <f>"70546"</f>
        <v>70546</v>
      </c>
      <c r="E11566">
        <v>65.53</v>
      </c>
    </row>
    <row r="11567" spans="1:5" x14ac:dyDescent="0.2">
      <c r="A11567">
        <v>70548</v>
      </c>
      <c r="B11567" t="s">
        <v>24</v>
      </c>
      <c r="C11567">
        <v>70548</v>
      </c>
      <c r="D11567" t="str">
        <f>"70548"</f>
        <v>70548</v>
      </c>
      <c r="E11567">
        <v>67.25</v>
      </c>
    </row>
    <row r="11568" spans="1:5" x14ac:dyDescent="0.2">
      <c r="A11568">
        <v>70549</v>
      </c>
      <c r="B11568" t="s">
        <v>24</v>
      </c>
      <c r="C11568">
        <v>70549</v>
      </c>
      <c r="D11568" t="str">
        <f>"70549"</f>
        <v>70549</v>
      </c>
      <c r="E11568">
        <v>65.81</v>
      </c>
    </row>
    <row r="11569" spans="1:5" x14ac:dyDescent="0.2">
      <c r="A11569">
        <v>70552</v>
      </c>
      <c r="B11569" t="s">
        <v>24</v>
      </c>
      <c r="C11569">
        <v>70552</v>
      </c>
      <c r="D11569" t="str">
        <f>"70552"</f>
        <v>70552</v>
      </c>
      <c r="E11569">
        <v>68.92</v>
      </c>
    </row>
    <row r="11570" spans="1:5" x14ac:dyDescent="0.2">
      <c r="A11570">
        <v>70554</v>
      </c>
      <c r="B11570" t="s">
        <v>24</v>
      </c>
      <c r="C11570">
        <v>70554</v>
      </c>
      <c r="D11570" t="str">
        <f>"70554"</f>
        <v>70554</v>
      </c>
      <c r="E11570">
        <v>55.5</v>
      </c>
    </row>
    <row r="11571" spans="1:5" x14ac:dyDescent="0.2">
      <c r="A11571">
        <v>70555</v>
      </c>
      <c r="B11571" t="s">
        <v>24</v>
      </c>
      <c r="C11571">
        <v>70555</v>
      </c>
      <c r="D11571" t="str">
        <f>"70555"</f>
        <v>70555</v>
      </c>
      <c r="E11571">
        <v>72.09</v>
      </c>
    </row>
    <row r="11572" spans="1:5" x14ac:dyDescent="0.2">
      <c r="A11572">
        <v>70556</v>
      </c>
      <c r="B11572" t="s">
        <v>24</v>
      </c>
      <c r="C11572">
        <v>70556</v>
      </c>
      <c r="D11572" t="str">
        <f>"70556"</f>
        <v>70556</v>
      </c>
      <c r="E11572" t="s">
        <v>6</v>
      </c>
    </row>
    <row r="11573" spans="1:5" x14ac:dyDescent="0.2">
      <c r="A11573">
        <v>70558</v>
      </c>
      <c r="B11573" t="s">
        <v>24</v>
      </c>
      <c r="C11573">
        <v>70558</v>
      </c>
      <c r="D11573" t="str">
        <f>"70558"</f>
        <v>70558</v>
      </c>
      <c r="E11573" t="s">
        <v>6</v>
      </c>
    </row>
    <row r="11574" spans="1:5" x14ac:dyDescent="0.2">
      <c r="A11574">
        <v>70559</v>
      </c>
      <c r="B11574" t="s">
        <v>24</v>
      </c>
      <c r="C11574">
        <v>70559</v>
      </c>
      <c r="D11574" t="str">
        <f>"70559"</f>
        <v>70559</v>
      </c>
      <c r="E11574">
        <v>66.290000000000006</v>
      </c>
    </row>
    <row r="11575" spans="1:5" x14ac:dyDescent="0.2">
      <c r="A11575">
        <v>70560</v>
      </c>
      <c r="B11575" t="s">
        <v>24</v>
      </c>
      <c r="C11575">
        <v>70560</v>
      </c>
      <c r="D11575" t="str">
        <f>"70560"</f>
        <v>70560</v>
      </c>
      <c r="E11575">
        <v>53.7</v>
      </c>
    </row>
    <row r="11576" spans="1:5" x14ac:dyDescent="0.2">
      <c r="A11576">
        <v>70563</v>
      </c>
      <c r="B11576" t="s">
        <v>24</v>
      </c>
      <c r="C11576">
        <v>70563</v>
      </c>
      <c r="D11576" t="str">
        <f>"70563"</f>
        <v>70563</v>
      </c>
      <c r="E11576">
        <v>70.599999999999994</v>
      </c>
    </row>
    <row r="11577" spans="1:5" x14ac:dyDescent="0.2">
      <c r="A11577">
        <v>70569</v>
      </c>
      <c r="B11577" t="s">
        <v>24</v>
      </c>
      <c r="C11577">
        <v>70569</v>
      </c>
      <c r="D11577" t="str">
        <f>"70569"</f>
        <v>70569</v>
      </c>
      <c r="E11577" t="s">
        <v>6</v>
      </c>
    </row>
    <row r="11578" spans="1:5" x14ac:dyDescent="0.2">
      <c r="A11578">
        <v>70570</v>
      </c>
      <c r="B11578" t="s">
        <v>24</v>
      </c>
      <c r="C11578">
        <v>70570</v>
      </c>
      <c r="D11578" t="str">
        <f>"70570"</f>
        <v>70570</v>
      </c>
      <c r="E11578">
        <v>55.87</v>
      </c>
    </row>
    <row r="11579" spans="1:5" x14ac:dyDescent="0.2">
      <c r="A11579">
        <v>70575</v>
      </c>
      <c r="B11579" t="s">
        <v>24</v>
      </c>
      <c r="C11579">
        <v>70575</v>
      </c>
      <c r="D11579" t="str">
        <f>"70575"</f>
        <v>70575</v>
      </c>
      <c r="E11579" t="s">
        <v>6</v>
      </c>
    </row>
    <row r="11580" spans="1:5" x14ac:dyDescent="0.2">
      <c r="A11580">
        <v>70576</v>
      </c>
      <c r="B11580" t="s">
        <v>24</v>
      </c>
      <c r="C11580">
        <v>70576</v>
      </c>
      <c r="D11580" t="str">
        <f>"70576"</f>
        <v>70576</v>
      </c>
      <c r="E11580" t="s">
        <v>6</v>
      </c>
    </row>
    <row r="11581" spans="1:5" x14ac:dyDescent="0.2">
      <c r="A11581">
        <v>70577</v>
      </c>
      <c r="B11581" t="s">
        <v>24</v>
      </c>
      <c r="C11581">
        <v>70577</v>
      </c>
      <c r="D11581" t="str">
        <f>"70577"</f>
        <v>70577</v>
      </c>
      <c r="E11581">
        <v>65.33</v>
      </c>
    </row>
    <row r="11582" spans="1:5" x14ac:dyDescent="0.2">
      <c r="A11582">
        <v>70578</v>
      </c>
      <c r="B11582" t="s">
        <v>24</v>
      </c>
      <c r="C11582">
        <v>70578</v>
      </c>
      <c r="D11582" t="str">
        <f>"70578"</f>
        <v>70578</v>
      </c>
      <c r="E11582">
        <v>63.27</v>
      </c>
    </row>
    <row r="11583" spans="1:5" x14ac:dyDescent="0.2">
      <c r="A11583">
        <v>70580</v>
      </c>
      <c r="B11583" t="s">
        <v>24</v>
      </c>
      <c r="C11583">
        <v>70580</v>
      </c>
      <c r="D11583" t="str">
        <f>"70580"</f>
        <v>70580</v>
      </c>
      <c r="E11583" t="s">
        <v>6</v>
      </c>
    </row>
    <row r="11584" spans="1:5" x14ac:dyDescent="0.2">
      <c r="A11584">
        <v>70581</v>
      </c>
      <c r="B11584" t="s">
        <v>24</v>
      </c>
      <c r="C11584">
        <v>70581</v>
      </c>
      <c r="D11584" t="str">
        <f>"70581"</f>
        <v>70581</v>
      </c>
      <c r="E11584">
        <v>69.77</v>
      </c>
    </row>
    <row r="11585" spans="1:5" x14ac:dyDescent="0.2">
      <c r="A11585">
        <v>70582</v>
      </c>
      <c r="B11585" t="s">
        <v>24</v>
      </c>
      <c r="C11585">
        <v>70582</v>
      </c>
      <c r="D11585" t="str">
        <f>"70582"</f>
        <v>70582</v>
      </c>
      <c r="E11585">
        <v>61.67</v>
      </c>
    </row>
    <row r="11586" spans="1:5" x14ac:dyDescent="0.2">
      <c r="A11586">
        <v>70583</v>
      </c>
      <c r="B11586" t="s">
        <v>24</v>
      </c>
      <c r="C11586">
        <v>70583</v>
      </c>
      <c r="D11586" t="str">
        <f>"70583"</f>
        <v>70583</v>
      </c>
      <c r="E11586">
        <v>62.64</v>
      </c>
    </row>
    <row r="11587" spans="1:5" x14ac:dyDescent="0.2">
      <c r="A11587">
        <v>70584</v>
      </c>
      <c r="B11587" t="s">
        <v>24</v>
      </c>
      <c r="C11587">
        <v>70584</v>
      </c>
      <c r="D11587" t="str">
        <f>"70584"</f>
        <v>70584</v>
      </c>
      <c r="E11587">
        <v>66.45</v>
      </c>
    </row>
    <row r="11588" spans="1:5" x14ac:dyDescent="0.2">
      <c r="A11588">
        <v>70586</v>
      </c>
      <c r="B11588" t="s">
        <v>24</v>
      </c>
      <c r="C11588">
        <v>70586</v>
      </c>
      <c r="D11588" t="str">
        <f>"70586"</f>
        <v>70586</v>
      </c>
      <c r="E11588">
        <v>61.13</v>
      </c>
    </row>
    <row r="11589" spans="1:5" x14ac:dyDescent="0.2">
      <c r="A11589">
        <v>70589</v>
      </c>
      <c r="B11589" t="s">
        <v>24</v>
      </c>
      <c r="C11589">
        <v>70589</v>
      </c>
      <c r="D11589" t="str">
        <f>"70589"</f>
        <v>70589</v>
      </c>
      <c r="E11589">
        <v>67.55</v>
      </c>
    </row>
    <row r="11590" spans="1:5" x14ac:dyDescent="0.2">
      <c r="A11590">
        <v>70591</v>
      </c>
      <c r="B11590" t="s">
        <v>24</v>
      </c>
      <c r="C11590">
        <v>70591</v>
      </c>
      <c r="D11590" t="str">
        <f>"70591"</f>
        <v>70591</v>
      </c>
      <c r="E11590">
        <v>66.819999999999993</v>
      </c>
    </row>
    <row r="11591" spans="1:5" x14ac:dyDescent="0.2">
      <c r="A11591">
        <v>70592</v>
      </c>
      <c r="B11591" t="s">
        <v>24</v>
      </c>
      <c r="C11591">
        <v>70592</v>
      </c>
      <c r="D11591" t="str">
        <f>"70592"</f>
        <v>70592</v>
      </c>
      <c r="E11591">
        <v>76.03</v>
      </c>
    </row>
    <row r="11592" spans="1:5" x14ac:dyDescent="0.2">
      <c r="A11592">
        <v>70601</v>
      </c>
      <c r="B11592" t="s">
        <v>24</v>
      </c>
      <c r="C11592">
        <v>70601</v>
      </c>
      <c r="D11592" t="str">
        <f>"70601"</f>
        <v>70601</v>
      </c>
      <c r="E11592">
        <v>56.78</v>
      </c>
    </row>
    <row r="11593" spans="1:5" x14ac:dyDescent="0.2">
      <c r="A11593">
        <v>70605</v>
      </c>
      <c r="B11593" t="s">
        <v>24</v>
      </c>
      <c r="C11593">
        <v>70605</v>
      </c>
      <c r="D11593" t="str">
        <f>"70605"</f>
        <v>70605</v>
      </c>
      <c r="E11593">
        <v>77.5</v>
      </c>
    </row>
    <row r="11594" spans="1:5" x14ac:dyDescent="0.2">
      <c r="A11594">
        <v>70607</v>
      </c>
      <c r="B11594" t="s">
        <v>24</v>
      </c>
      <c r="C11594">
        <v>70607</v>
      </c>
      <c r="D11594" t="str">
        <f>"70607"</f>
        <v>70607</v>
      </c>
      <c r="E11594">
        <v>63.34</v>
      </c>
    </row>
    <row r="11595" spans="1:5" x14ac:dyDescent="0.2">
      <c r="A11595">
        <v>70611</v>
      </c>
      <c r="B11595" t="s">
        <v>24</v>
      </c>
      <c r="C11595">
        <v>70611</v>
      </c>
      <c r="D11595" t="str">
        <f>"70611"</f>
        <v>70611</v>
      </c>
      <c r="E11595">
        <v>76.91</v>
      </c>
    </row>
    <row r="11596" spans="1:5" x14ac:dyDescent="0.2">
      <c r="A11596">
        <v>70615</v>
      </c>
      <c r="B11596" t="s">
        <v>24</v>
      </c>
      <c r="C11596">
        <v>70615</v>
      </c>
      <c r="D11596" t="str">
        <f>"70615"</f>
        <v>70615</v>
      </c>
      <c r="E11596">
        <v>58.93</v>
      </c>
    </row>
    <row r="11597" spans="1:5" x14ac:dyDescent="0.2">
      <c r="A11597">
        <v>70629</v>
      </c>
      <c r="B11597" t="s">
        <v>24</v>
      </c>
      <c r="C11597">
        <v>70629</v>
      </c>
      <c r="D11597" t="str">
        <f>"70629"</f>
        <v>70629</v>
      </c>
      <c r="E11597" t="s">
        <v>6</v>
      </c>
    </row>
    <row r="11598" spans="1:5" x14ac:dyDescent="0.2">
      <c r="A11598">
        <v>70630</v>
      </c>
      <c r="B11598" t="s">
        <v>24</v>
      </c>
      <c r="C11598">
        <v>70630</v>
      </c>
      <c r="D11598" t="str">
        <f>"70630"</f>
        <v>70630</v>
      </c>
      <c r="E11598">
        <v>75</v>
      </c>
    </row>
    <row r="11599" spans="1:5" x14ac:dyDescent="0.2">
      <c r="A11599">
        <v>70631</v>
      </c>
      <c r="B11599" t="s">
        <v>24</v>
      </c>
      <c r="C11599">
        <v>70631</v>
      </c>
      <c r="D11599" t="str">
        <f>"70631"</f>
        <v>70631</v>
      </c>
      <c r="E11599">
        <v>71.11</v>
      </c>
    </row>
    <row r="11600" spans="1:5" x14ac:dyDescent="0.2">
      <c r="A11600">
        <v>70632</v>
      </c>
      <c r="B11600" t="s">
        <v>24</v>
      </c>
      <c r="C11600">
        <v>70632</v>
      </c>
      <c r="D11600" t="str">
        <f>"70632"</f>
        <v>70632</v>
      </c>
      <c r="E11600">
        <v>78.95</v>
      </c>
    </row>
    <row r="11601" spans="1:5" x14ac:dyDescent="0.2">
      <c r="A11601">
        <v>70633</v>
      </c>
      <c r="B11601" t="s">
        <v>24</v>
      </c>
      <c r="C11601">
        <v>70633</v>
      </c>
      <c r="D11601" t="str">
        <f>"70633"</f>
        <v>70633</v>
      </c>
      <c r="E11601">
        <v>72.41</v>
      </c>
    </row>
    <row r="11602" spans="1:5" x14ac:dyDescent="0.2">
      <c r="A11602">
        <v>70634</v>
      </c>
      <c r="B11602" t="s">
        <v>24</v>
      </c>
      <c r="C11602">
        <v>70634</v>
      </c>
      <c r="D11602" t="str">
        <f>"70634"</f>
        <v>70634</v>
      </c>
      <c r="E11602">
        <v>69.209999999999994</v>
      </c>
    </row>
    <row r="11603" spans="1:5" x14ac:dyDescent="0.2">
      <c r="A11603">
        <v>70637</v>
      </c>
      <c r="B11603" t="s">
        <v>24</v>
      </c>
      <c r="C11603">
        <v>70637</v>
      </c>
      <c r="D11603" t="str">
        <f>"70637"</f>
        <v>70637</v>
      </c>
      <c r="E11603">
        <v>72.73</v>
      </c>
    </row>
    <row r="11604" spans="1:5" x14ac:dyDescent="0.2">
      <c r="A11604">
        <v>70638</v>
      </c>
      <c r="B11604" t="s">
        <v>24</v>
      </c>
      <c r="C11604">
        <v>70638</v>
      </c>
      <c r="D11604" t="str">
        <f>"70638"</f>
        <v>70638</v>
      </c>
      <c r="E11604" t="s">
        <v>6</v>
      </c>
    </row>
    <row r="11605" spans="1:5" x14ac:dyDescent="0.2">
      <c r="A11605">
        <v>70639</v>
      </c>
      <c r="B11605" t="s">
        <v>24</v>
      </c>
      <c r="C11605">
        <v>70639</v>
      </c>
      <c r="D11605" t="str">
        <f>"70639"</f>
        <v>70639</v>
      </c>
      <c r="E11605">
        <v>61.9</v>
      </c>
    </row>
    <row r="11606" spans="1:5" x14ac:dyDescent="0.2">
      <c r="A11606">
        <v>70640</v>
      </c>
      <c r="B11606" t="s">
        <v>24</v>
      </c>
      <c r="C11606">
        <v>70640</v>
      </c>
      <c r="D11606" t="str">
        <f>"70640"</f>
        <v>70640</v>
      </c>
      <c r="E11606" t="s">
        <v>6</v>
      </c>
    </row>
    <row r="11607" spans="1:5" x14ac:dyDescent="0.2">
      <c r="A11607">
        <v>70643</v>
      </c>
      <c r="B11607" t="s">
        <v>24</v>
      </c>
      <c r="C11607">
        <v>70643</v>
      </c>
      <c r="D11607" t="str">
        <f>"70643"</f>
        <v>70643</v>
      </c>
      <c r="E11607">
        <v>78.569999999999993</v>
      </c>
    </row>
    <row r="11608" spans="1:5" x14ac:dyDescent="0.2">
      <c r="A11608">
        <v>70644</v>
      </c>
      <c r="B11608" t="s">
        <v>24</v>
      </c>
      <c r="C11608">
        <v>70644</v>
      </c>
      <c r="D11608" t="str">
        <f>"70644"</f>
        <v>70644</v>
      </c>
      <c r="E11608" t="s">
        <v>6</v>
      </c>
    </row>
    <row r="11609" spans="1:5" x14ac:dyDescent="0.2">
      <c r="A11609">
        <v>70645</v>
      </c>
      <c r="B11609" t="s">
        <v>24</v>
      </c>
      <c r="C11609">
        <v>70645</v>
      </c>
      <c r="D11609" t="str">
        <f>"70645"</f>
        <v>70645</v>
      </c>
      <c r="E11609">
        <v>69.64</v>
      </c>
    </row>
    <row r="11610" spans="1:5" x14ac:dyDescent="0.2">
      <c r="A11610">
        <v>70646</v>
      </c>
      <c r="B11610" t="s">
        <v>24</v>
      </c>
      <c r="C11610">
        <v>70646</v>
      </c>
      <c r="D11610" t="str">
        <f>"70646"</f>
        <v>70646</v>
      </c>
      <c r="E11610" t="s">
        <v>6</v>
      </c>
    </row>
    <row r="11611" spans="1:5" x14ac:dyDescent="0.2">
      <c r="A11611">
        <v>70647</v>
      </c>
      <c r="B11611" t="s">
        <v>24</v>
      </c>
      <c r="C11611">
        <v>70647</v>
      </c>
      <c r="D11611" t="str">
        <f>"70647"</f>
        <v>70647</v>
      </c>
      <c r="E11611">
        <v>72.489999999999995</v>
      </c>
    </row>
    <row r="11612" spans="1:5" x14ac:dyDescent="0.2">
      <c r="A11612">
        <v>70648</v>
      </c>
      <c r="B11612" t="s">
        <v>24</v>
      </c>
      <c r="C11612">
        <v>70648</v>
      </c>
      <c r="D11612" t="str">
        <f>"70648"</f>
        <v>70648</v>
      </c>
      <c r="E11612">
        <v>67.489999999999995</v>
      </c>
    </row>
    <row r="11613" spans="1:5" x14ac:dyDescent="0.2">
      <c r="A11613">
        <v>70650</v>
      </c>
      <c r="B11613" t="s">
        <v>24</v>
      </c>
      <c r="C11613">
        <v>70650</v>
      </c>
      <c r="D11613" t="str">
        <f>"70650"</f>
        <v>70650</v>
      </c>
      <c r="E11613" t="s">
        <v>6</v>
      </c>
    </row>
    <row r="11614" spans="1:5" x14ac:dyDescent="0.2">
      <c r="A11614">
        <v>70651</v>
      </c>
      <c r="B11614" t="s">
        <v>24</v>
      </c>
      <c r="C11614">
        <v>70651</v>
      </c>
      <c r="D11614" t="str">
        <f>"70651"</f>
        <v>70651</v>
      </c>
      <c r="E11614" t="s">
        <v>6</v>
      </c>
    </row>
    <row r="11615" spans="1:5" x14ac:dyDescent="0.2">
      <c r="A11615">
        <v>70652</v>
      </c>
      <c r="B11615" t="s">
        <v>24</v>
      </c>
      <c r="C11615">
        <v>70652</v>
      </c>
      <c r="D11615" t="str">
        <f>"70652"</f>
        <v>70652</v>
      </c>
      <c r="E11615">
        <v>71.739999999999995</v>
      </c>
    </row>
    <row r="11616" spans="1:5" x14ac:dyDescent="0.2">
      <c r="A11616">
        <v>70653</v>
      </c>
      <c r="B11616" t="s">
        <v>24</v>
      </c>
      <c r="C11616">
        <v>70653</v>
      </c>
      <c r="D11616" t="str">
        <f>"70653"</f>
        <v>70653</v>
      </c>
      <c r="E11616">
        <v>69.72</v>
      </c>
    </row>
    <row r="11617" spans="1:5" x14ac:dyDescent="0.2">
      <c r="A11617">
        <v>70654</v>
      </c>
      <c r="B11617" t="s">
        <v>24</v>
      </c>
      <c r="C11617">
        <v>70654</v>
      </c>
      <c r="D11617" t="str">
        <f>"70654"</f>
        <v>70654</v>
      </c>
      <c r="E11617">
        <v>64.290000000000006</v>
      </c>
    </row>
    <row r="11618" spans="1:5" x14ac:dyDescent="0.2">
      <c r="A11618">
        <v>70655</v>
      </c>
      <c r="B11618" t="s">
        <v>24</v>
      </c>
      <c r="C11618">
        <v>70655</v>
      </c>
      <c r="D11618" t="str">
        <f>"70655"</f>
        <v>70655</v>
      </c>
      <c r="E11618">
        <v>66.38</v>
      </c>
    </row>
    <row r="11619" spans="1:5" x14ac:dyDescent="0.2">
      <c r="A11619">
        <v>70656</v>
      </c>
      <c r="B11619" t="s">
        <v>24</v>
      </c>
      <c r="C11619">
        <v>70656</v>
      </c>
      <c r="D11619" t="str">
        <f>"70656"</f>
        <v>70656</v>
      </c>
      <c r="E11619">
        <v>68.150000000000006</v>
      </c>
    </row>
    <row r="11620" spans="1:5" x14ac:dyDescent="0.2">
      <c r="A11620">
        <v>70657</v>
      </c>
      <c r="B11620" t="s">
        <v>24</v>
      </c>
      <c r="C11620">
        <v>70657</v>
      </c>
      <c r="D11620" t="str">
        <f>"70657"</f>
        <v>70657</v>
      </c>
      <c r="E11620">
        <v>73.489999999999995</v>
      </c>
    </row>
    <row r="11621" spans="1:5" x14ac:dyDescent="0.2">
      <c r="A11621">
        <v>70658</v>
      </c>
      <c r="B11621" t="s">
        <v>24</v>
      </c>
      <c r="C11621">
        <v>70658</v>
      </c>
      <c r="D11621" t="str">
        <f>"70658"</f>
        <v>70658</v>
      </c>
      <c r="E11621">
        <v>72.97</v>
      </c>
    </row>
    <row r="11622" spans="1:5" x14ac:dyDescent="0.2">
      <c r="A11622">
        <v>70659</v>
      </c>
      <c r="B11622" t="s">
        <v>24</v>
      </c>
      <c r="C11622">
        <v>70659</v>
      </c>
      <c r="D11622" t="str">
        <f>"70659"</f>
        <v>70659</v>
      </c>
      <c r="E11622" t="s">
        <v>6</v>
      </c>
    </row>
    <row r="11623" spans="1:5" x14ac:dyDescent="0.2">
      <c r="A11623">
        <v>70660</v>
      </c>
      <c r="B11623" t="s">
        <v>24</v>
      </c>
      <c r="C11623">
        <v>70660</v>
      </c>
      <c r="D11623" t="str">
        <f>"70660"</f>
        <v>70660</v>
      </c>
      <c r="E11623">
        <v>72.41</v>
      </c>
    </row>
    <row r="11624" spans="1:5" x14ac:dyDescent="0.2">
      <c r="A11624">
        <v>70661</v>
      </c>
      <c r="B11624" t="s">
        <v>24</v>
      </c>
      <c r="C11624">
        <v>70661</v>
      </c>
      <c r="D11624" t="str">
        <f>"70661"</f>
        <v>70661</v>
      </c>
      <c r="E11624">
        <v>68</v>
      </c>
    </row>
    <row r="11625" spans="1:5" x14ac:dyDescent="0.2">
      <c r="A11625">
        <v>70662</v>
      </c>
      <c r="B11625" t="s">
        <v>24</v>
      </c>
      <c r="C11625">
        <v>70662</v>
      </c>
      <c r="D11625" t="str">
        <f>"70662"</f>
        <v>70662</v>
      </c>
      <c r="E11625">
        <v>73.33</v>
      </c>
    </row>
    <row r="11626" spans="1:5" x14ac:dyDescent="0.2">
      <c r="A11626">
        <v>70663</v>
      </c>
      <c r="B11626" t="s">
        <v>24</v>
      </c>
      <c r="C11626">
        <v>70663</v>
      </c>
      <c r="D11626" t="str">
        <f>"70663"</f>
        <v>70663</v>
      </c>
      <c r="E11626">
        <v>71.989999999999995</v>
      </c>
    </row>
    <row r="11627" spans="1:5" x14ac:dyDescent="0.2">
      <c r="A11627">
        <v>70665</v>
      </c>
      <c r="B11627" t="s">
        <v>24</v>
      </c>
      <c r="C11627">
        <v>70665</v>
      </c>
      <c r="D11627" t="str">
        <f>"70665"</f>
        <v>70665</v>
      </c>
      <c r="E11627">
        <v>75.25</v>
      </c>
    </row>
    <row r="11628" spans="1:5" x14ac:dyDescent="0.2">
      <c r="A11628">
        <v>70668</v>
      </c>
      <c r="B11628" t="s">
        <v>24</v>
      </c>
      <c r="C11628">
        <v>70668</v>
      </c>
      <c r="D11628" t="str">
        <f>"70668"</f>
        <v>70668</v>
      </c>
      <c r="E11628">
        <v>66.14</v>
      </c>
    </row>
    <row r="11629" spans="1:5" x14ac:dyDescent="0.2">
      <c r="A11629">
        <v>70669</v>
      </c>
      <c r="B11629" t="s">
        <v>24</v>
      </c>
      <c r="C11629">
        <v>70669</v>
      </c>
      <c r="D11629" t="str">
        <f>"70669"</f>
        <v>70669</v>
      </c>
      <c r="E11629">
        <v>73.37</v>
      </c>
    </row>
    <row r="11630" spans="1:5" x14ac:dyDescent="0.2">
      <c r="A11630">
        <v>70706</v>
      </c>
      <c r="B11630" t="s">
        <v>24</v>
      </c>
      <c r="C11630">
        <v>70706</v>
      </c>
      <c r="D11630" t="str">
        <f>"70706"</f>
        <v>70706</v>
      </c>
      <c r="E11630">
        <v>74.180000000000007</v>
      </c>
    </row>
    <row r="11631" spans="1:5" x14ac:dyDescent="0.2">
      <c r="A11631">
        <v>70710</v>
      </c>
      <c r="B11631" t="s">
        <v>24</v>
      </c>
      <c r="C11631">
        <v>70710</v>
      </c>
      <c r="D11631" t="str">
        <f>"70710"</f>
        <v>70710</v>
      </c>
      <c r="E11631">
        <v>73.28</v>
      </c>
    </row>
    <row r="11632" spans="1:5" x14ac:dyDescent="0.2">
      <c r="A11632">
        <v>70711</v>
      </c>
      <c r="B11632" t="s">
        <v>24</v>
      </c>
      <c r="C11632">
        <v>70711</v>
      </c>
      <c r="D11632" t="str">
        <f>"70711"</f>
        <v>70711</v>
      </c>
      <c r="E11632">
        <v>68.3</v>
      </c>
    </row>
    <row r="11633" spans="1:5" x14ac:dyDescent="0.2">
      <c r="A11633">
        <v>70712</v>
      </c>
      <c r="B11633" t="s">
        <v>24</v>
      </c>
      <c r="C11633">
        <v>70712</v>
      </c>
      <c r="D11633" t="str">
        <f>"70712"</f>
        <v>70712</v>
      </c>
      <c r="E11633" t="s">
        <v>6</v>
      </c>
    </row>
    <row r="11634" spans="1:5" x14ac:dyDescent="0.2">
      <c r="A11634">
        <v>70714</v>
      </c>
      <c r="B11634" t="s">
        <v>24</v>
      </c>
      <c r="C11634">
        <v>70714</v>
      </c>
      <c r="D11634" t="str">
        <f>"70714"</f>
        <v>70714</v>
      </c>
      <c r="E11634">
        <v>59.33</v>
      </c>
    </row>
    <row r="11635" spans="1:5" x14ac:dyDescent="0.2">
      <c r="A11635">
        <v>70715</v>
      </c>
      <c r="B11635" t="s">
        <v>24</v>
      </c>
      <c r="C11635">
        <v>70715</v>
      </c>
      <c r="D11635" t="str">
        <f>"70715"</f>
        <v>70715</v>
      </c>
      <c r="E11635">
        <v>60.42</v>
      </c>
    </row>
    <row r="11636" spans="1:5" x14ac:dyDescent="0.2">
      <c r="A11636">
        <v>70719</v>
      </c>
      <c r="B11636" t="s">
        <v>24</v>
      </c>
      <c r="C11636">
        <v>70719</v>
      </c>
      <c r="D11636" t="str">
        <f>"70719"</f>
        <v>70719</v>
      </c>
      <c r="E11636">
        <v>74.290000000000006</v>
      </c>
    </row>
    <row r="11637" spans="1:5" x14ac:dyDescent="0.2">
      <c r="A11637">
        <v>70721</v>
      </c>
      <c r="B11637" t="s">
        <v>24</v>
      </c>
      <c r="C11637">
        <v>70721</v>
      </c>
      <c r="D11637" t="str">
        <f>"70721"</f>
        <v>70721</v>
      </c>
      <c r="E11637">
        <v>54.84</v>
      </c>
    </row>
    <row r="11638" spans="1:5" x14ac:dyDescent="0.2">
      <c r="A11638">
        <v>70722</v>
      </c>
      <c r="B11638" t="s">
        <v>24</v>
      </c>
      <c r="C11638">
        <v>70722</v>
      </c>
      <c r="D11638" t="str">
        <f>"70722"</f>
        <v>70722</v>
      </c>
      <c r="E11638">
        <v>69.739999999999995</v>
      </c>
    </row>
    <row r="11639" spans="1:5" x14ac:dyDescent="0.2">
      <c r="A11639">
        <v>70723</v>
      </c>
      <c r="B11639" t="s">
        <v>24</v>
      </c>
      <c r="C11639">
        <v>70723</v>
      </c>
      <c r="D11639" t="str">
        <f>"70723"</f>
        <v>70723</v>
      </c>
      <c r="E11639">
        <v>58.62</v>
      </c>
    </row>
    <row r="11640" spans="1:5" x14ac:dyDescent="0.2">
      <c r="A11640">
        <v>70725</v>
      </c>
      <c r="B11640" t="s">
        <v>24</v>
      </c>
      <c r="C11640">
        <v>70725</v>
      </c>
      <c r="D11640" t="str">
        <f>"70725"</f>
        <v>70725</v>
      </c>
      <c r="E11640">
        <v>61.25</v>
      </c>
    </row>
    <row r="11641" spans="1:5" x14ac:dyDescent="0.2">
      <c r="A11641">
        <v>70726</v>
      </c>
      <c r="B11641" t="s">
        <v>24</v>
      </c>
      <c r="C11641">
        <v>70726</v>
      </c>
      <c r="D11641" t="str">
        <f>"70726"</f>
        <v>70726</v>
      </c>
      <c r="E11641">
        <v>69.38</v>
      </c>
    </row>
    <row r="11642" spans="1:5" x14ac:dyDescent="0.2">
      <c r="A11642">
        <v>70729</v>
      </c>
      <c r="B11642" t="s">
        <v>24</v>
      </c>
      <c r="C11642">
        <v>70729</v>
      </c>
      <c r="D11642" t="str">
        <f>"70729"</f>
        <v>70729</v>
      </c>
      <c r="E11642">
        <v>72.55</v>
      </c>
    </row>
    <row r="11643" spans="1:5" x14ac:dyDescent="0.2">
      <c r="A11643">
        <v>70730</v>
      </c>
      <c r="B11643" t="s">
        <v>24</v>
      </c>
      <c r="C11643">
        <v>70730</v>
      </c>
      <c r="D11643" t="str">
        <f>"70730"</f>
        <v>70730</v>
      </c>
      <c r="E11643">
        <v>67.3</v>
      </c>
    </row>
    <row r="11644" spans="1:5" x14ac:dyDescent="0.2">
      <c r="A11644">
        <v>70732</v>
      </c>
      <c r="B11644" t="s">
        <v>24</v>
      </c>
      <c r="C11644">
        <v>70732</v>
      </c>
      <c r="D11644" t="str">
        <f>"70732"</f>
        <v>70732</v>
      </c>
      <c r="E11644">
        <v>72.55</v>
      </c>
    </row>
    <row r="11645" spans="1:5" x14ac:dyDescent="0.2">
      <c r="A11645">
        <v>70733</v>
      </c>
      <c r="B11645" t="s">
        <v>24</v>
      </c>
      <c r="C11645">
        <v>70733</v>
      </c>
      <c r="D11645" t="str">
        <f>"70733"</f>
        <v>70733</v>
      </c>
      <c r="E11645">
        <v>72.97</v>
      </c>
    </row>
    <row r="11646" spans="1:5" x14ac:dyDescent="0.2">
      <c r="A11646">
        <v>70734</v>
      </c>
      <c r="B11646" t="s">
        <v>24</v>
      </c>
      <c r="C11646">
        <v>70734</v>
      </c>
      <c r="D11646" t="str">
        <f>"70734"</f>
        <v>70734</v>
      </c>
      <c r="E11646">
        <v>75.3</v>
      </c>
    </row>
    <row r="11647" spans="1:5" x14ac:dyDescent="0.2">
      <c r="A11647">
        <v>70736</v>
      </c>
      <c r="B11647" t="s">
        <v>24</v>
      </c>
      <c r="C11647">
        <v>70736</v>
      </c>
      <c r="D11647" t="str">
        <f>"70736"</f>
        <v>70736</v>
      </c>
      <c r="E11647">
        <v>65.22</v>
      </c>
    </row>
    <row r="11648" spans="1:5" x14ac:dyDescent="0.2">
      <c r="A11648">
        <v>70737</v>
      </c>
      <c r="B11648" t="s">
        <v>24</v>
      </c>
      <c r="C11648">
        <v>70737</v>
      </c>
      <c r="D11648" t="str">
        <f>"70737"</f>
        <v>70737</v>
      </c>
      <c r="E11648">
        <v>72.69</v>
      </c>
    </row>
    <row r="11649" spans="1:5" x14ac:dyDescent="0.2">
      <c r="A11649">
        <v>70739</v>
      </c>
      <c r="B11649" t="s">
        <v>24</v>
      </c>
      <c r="C11649">
        <v>70739</v>
      </c>
      <c r="D11649" t="str">
        <f>"70739"</f>
        <v>70739</v>
      </c>
      <c r="E11649">
        <v>77.33</v>
      </c>
    </row>
    <row r="11650" spans="1:5" x14ac:dyDescent="0.2">
      <c r="A11650">
        <v>70740</v>
      </c>
      <c r="B11650" t="s">
        <v>24</v>
      </c>
      <c r="C11650">
        <v>70740</v>
      </c>
      <c r="D11650" t="str">
        <f>"70740"</f>
        <v>70740</v>
      </c>
      <c r="E11650">
        <v>68.849999999999994</v>
      </c>
    </row>
    <row r="11651" spans="1:5" x14ac:dyDescent="0.2">
      <c r="A11651">
        <v>70743</v>
      </c>
      <c r="B11651" t="s">
        <v>24</v>
      </c>
      <c r="C11651">
        <v>70743</v>
      </c>
      <c r="D11651" t="str">
        <f>"70743"</f>
        <v>70743</v>
      </c>
      <c r="E11651" t="s">
        <v>6</v>
      </c>
    </row>
    <row r="11652" spans="1:5" x14ac:dyDescent="0.2">
      <c r="A11652">
        <v>70744</v>
      </c>
      <c r="B11652" t="s">
        <v>24</v>
      </c>
      <c r="C11652">
        <v>70744</v>
      </c>
      <c r="D11652" t="str">
        <f>"70744"</f>
        <v>70744</v>
      </c>
      <c r="E11652">
        <v>66.83</v>
      </c>
    </row>
    <row r="11653" spans="1:5" x14ac:dyDescent="0.2">
      <c r="A11653">
        <v>70748</v>
      </c>
      <c r="B11653" t="s">
        <v>24</v>
      </c>
      <c r="C11653">
        <v>70748</v>
      </c>
      <c r="D11653" t="str">
        <f>"70748"</f>
        <v>70748</v>
      </c>
      <c r="E11653">
        <v>67.69</v>
      </c>
    </row>
    <row r="11654" spans="1:5" x14ac:dyDescent="0.2">
      <c r="A11654">
        <v>70749</v>
      </c>
      <c r="B11654" t="s">
        <v>24</v>
      </c>
      <c r="C11654">
        <v>70749</v>
      </c>
      <c r="D11654" t="str">
        <f>"70749"</f>
        <v>70749</v>
      </c>
      <c r="E11654">
        <v>73.77</v>
      </c>
    </row>
    <row r="11655" spans="1:5" x14ac:dyDescent="0.2">
      <c r="A11655">
        <v>70750</v>
      </c>
      <c r="B11655" t="s">
        <v>24</v>
      </c>
      <c r="C11655">
        <v>70750</v>
      </c>
      <c r="D11655" t="str">
        <f>"70750"</f>
        <v>70750</v>
      </c>
      <c r="E11655">
        <v>67.14</v>
      </c>
    </row>
    <row r="11656" spans="1:5" x14ac:dyDescent="0.2">
      <c r="A11656">
        <v>70752</v>
      </c>
      <c r="B11656" t="s">
        <v>24</v>
      </c>
      <c r="C11656">
        <v>70752</v>
      </c>
      <c r="D11656" t="str">
        <f>"70752"</f>
        <v>70752</v>
      </c>
      <c r="E11656">
        <v>80</v>
      </c>
    </row>
    <row r="11657" spans="1:5" x14ac:dyDescent="0.2">
      <c r="A11657">
        <v>70753</v>
      </c>
      <c r="B11657" t="s">
        <v>24</v>
      </c>
      <c r="C11657">
        <v>70753</v>
      </c>
      <c r="D11657" t="str">
        <f>"70753"</f>
        <v>70753</v>
      </c>
      <c r="E11657">
        <v>55.88</v>
      </c>
    </row>
    <row r="11658" spans="1:5" x14ac:dyDescent="0.2">
      <c r="A11658">
        <v>70754</v>
      </c>
      <c r="B11658" t="s">
        <v>24</v>
      </c>
      <c r="C11658">
        <v>70754</v>
      </c>
      <c r="D11658" t="str">
        <f>"70754"</f>
        <v>70754</v>
      </c>
      <c r="E11658">
        <v>72.31</v>
      </c>
    </row>
    <row r="11659" spans="1:5" x14ac:dyDescent="0.2">
      <c r="A11659">
        <v>70755</v>
      </c>
      <c r="B11659" t="s">
        <v>24</v>
      </c>
      <c r="C11659">
        <v>70755</v>
      </c>
      <c r="D11659" t="str">
        <f>"70755"</f>
        <v>70755</v>
      </c>
      <c r="E11659">
        <v>74.47</v>
      </c>
    </row>
    <row r="11660" spans="1:5" x14ac:dyDescent="0.2">
      <c r="A11660">
        <v>70756</v>
      </c>
      <c r="B11660" t="s">
        <v>24</v>
      </c>
      <c r="C11660">
        <v>70756</v>
      </c>
      <c r="D11660" t="str">
        <f>"70756"</f>
        <v>70756</v>
      </c>
      <c r="E11660">
        <v>63.64</v>
      </c>
    </row>
    <row r="11661" spans="1:5" x14ac:dyDescent="0.2">
      <c r="A11661">
        <v>70757</v>
      </c>
      <c r="B11661" t="s">
        <v>24</v>
      </c>
      <c r="C11661">
        <v>70757</v>
      </c>
      <c r="D11661" t="str">
        <f>"70757"</f>
        <v>70757</v>
      </c>
      <c r="E11661">
        <v>58.78</v>
      </c>
    </row>
    <row r="11662" spans="1:5" x14ac:dyDescent="0.2">
      <c r="A11662">
        <v>70759</v>
      </c>
      <c r="B11662" t="s">
        <v>24</v>
      </c>
      <c r="C11662">
        <v>70759</v>
      </c>
      <c r="D11662" t="str">
        <f>"70759"</f>
        <v>70759</v>
      </c>
      <c r="E11662">
        <v>64.52</v>
      </c>
    </row>
    <row r="11663" spans="1:5" x14ac:dyDescent="0.2">
      <c r="A11663">
        <v>70760</v>
      </c>
      <c r="B11663" t="s">
        <v>24</v>
      </c>
      <c r="C11663">
        <v>70760</v>
      </c>
      <c r="D11663" t="str">
        <f>"70760"</f>
        <v>70760</v>
      </c>
      <c r="E11663">
        <v>57.53</v>
      </c>
    </row>
    <row r="11664" spans="1:5" x14ac:dyDescent="0.2">
      <c r="A11664">
        <v>70761</v>
      </c>
      <c r="B11664" t="s">
        <v>24</v>
      </c>
      <c r="C11664">
        <v>70761</v>
      </c>
      <c r="D11664" t="str">
        <f>"70761"</f>
        <v>70761</v>
      </c>
      <c r="E11664">
        <v>66.67</v>
      </c>
    </row>
    <row r="11665" spans="1:5" x14ac:dyDescent="0.2">
      <c r="A11665">
        <v>70762</v>
      </c>
      <c r="B11665" t="s">
        <v>24</v>
      </c>
      <c r="C11665">
        <v>70762</v>
      </c>
      <c r="D11665" t="str">
        <f>"70762"</f>
        <v>70762</v>
      </c>
      <c r="E11665">
        <v>76.47</v>
      </c>
    </row>
    <row r="11666" spans="1:5" x14ac:dyDescent="0.2">
      <c r="A11666">
        <v>70763</v>
      </c>
      <c r="B11666" t="s">
        <v>24</v>
      </c>
      <c r="C11666">
        <v>70763</v>
      </c>
      <c r="D11666" t="str">
        <f>"70763"</f>
        <v>70763</v>
      </c>
      <c r="E11666">
        <v>77.14</v>
      </c>
    </row>
    <row r="11667" spans="1:5" x14ac:dyDescent="0.2">
      <c r="A11667">
        <v>70764</v>
      </c>
      <c r="B11667" t="s">
        <v>24</v>
      </c>
      <c r="C11667">
        <v>70764</v>
      </c>
      <c r="D11667" t="str">
        <f>"70764"</f>
        <v>70764</v>
      </c>
      <c r="E11667">
        <v>62.91</v>
      </c>
    </row>
    <row r="11668" spans="1:5" x14ac:dyDescent="0.2">
      <c r="A11668">
        <v>70767</v>
      </c>
      <c r="B11668" t="s">
        <v>24</v>
      </c>
      <c r="C11668">
        <v>70767</v>
      </c>
      <c r="D11668" t="str">
        <f>"70767"</f>
        <v>70767</v>
      </c>
      <c r="E11668">
        <v>66.87</v>
      </c>
    </row>
    <row r="11669" spans="1:5" x14ac:dyDescent="0.2">
      <c r="A11669">
        <v>70769</v>
      </c>
      <c r="B11669" t="s">
        <v>24</v>
      </c>
      <c r="C11669">
        <v>70769</v>
      </c>
      <c r="D11669" t="str">
        <f>"70769"</f>
        <v>70769</v>
      </c>
      <c r="E11669">
        <v>78</v>
      </c>
    </row>
    <row r="11670" spans="1:5" x14ac:dyDescent="0.2">
      <c r="A11670">
        <v>70770</v>
      </c>
      <c r="B11670" t="s">
        <v>24</v>
      </c>
      <c r="C11670">
        <v>70770</v>
      </c>
      <c r="D11670" t="str">
        <f>"70770"</f>
        <v>70770</v>
      </c>
      <c r="E11670">
        <v>77.97</v>
      </c>
    </row>
    <row r="11671" spans="1:5" x14ac:dyDescent="0.2">
      <c r="A11671">
        <v>70772</v>
      </c>
      <c r="B11671" t="s">
        <v>24</v>
      </c>
      <c r="C11671">
        <v>70772</v>
      </c>
      <c r="D11671" t="str">
        <f>"70772"</f>
        <v>70772</v>
      </c>
      <c r="E11671">
        <v>70.27</v>
      </c>
    </row>
    <row r="11672" spans="1:5" x14ac:dyDescent="0.2">
      <c r="A11672">
        <v>70773</v>
      </c>
      <c r="B11672" t="s">
        <v>24</v>
      </c>
      <c r="C11672">
        <v>70773</v>
      </c>
      <c r="D11672" t="str">
        <f>"70773"</f>
        <v>70773</v>
      </c>
      <c r="E11672" t="s">
        <v>6</v>
      </c>
    </row>
    <row r="11673" spans="1:5" x14ac:dyDescent="0.2">
      <c r="A11673">
        <v>70774</v>
      </c>
      <c r="B11673" t="s">
        <v>24</v>
      </c>
      <c r="C11673">
        <v>70774</v>
      </c>
      <c r="D11673" t="str">
        <f>"70774"</f>
        <v>70774</v>
      </c>
      <c r="E11673">
        <v>75.510000000000005</v>
      </c>
    </row>
    <row r="11674" spans="1:5" x14ac:dyDescent="0.2">
      <c r="A11674">
        <v>70775</v>
      </c>
      <c r="B11674" t="s">
        <v>24</v>
      </c>
      <c r="C11674">
        <v>70775</v>
      </c>
      <c r="D11674" t="str">
        <f>"70775"</f>
        <v>70775</v>
      </c>
      <c r="E11674">
        <v>71.180000000000007</v>
      </c>
    </row>
    <row r="11675" spans="1:5" x14ac:dyDescent="0.2">
      <c r="A11675">
        <v>70776</v>
      </c>
      <c r="B11675" t="s">
        <v>24</v>
      </c>
      <c r="C11675">
        <v>70776</v>
      </c>
      <c r="D11675" t="str">
        <f>"70776"</f>
        <v>70776</v>
      </c>
      <c r="E11675">
        <v>70.13</v>
      </c>
    </row>
    <row r="11676" spans="1:5" x14ac:dyDescent="0.2">
      <c r="A11676">
        <v>70777</v>
      </c>
      <c r="B11676" t="s">
        <v>24</v>
      </c>
      <c r="C11676">
        <v>70777</v>
      </c>
      <c r="D11676" t="str">
        <f>"70777"</f>
        <v>70777</v>
      </c>
      <c r="E11676">
        <v>71.27</v>
      </c>
    </row>
    <row r="11677" spans="1:5" x14ac:dyDescent="0.2">
      <c r="A11677">
        <v>70778</v>
      </c>
      <c r="B11677" t="s">
        <v>24</v>
      </c>
      <c r="C11677">
        <v>70778</v>
      </c>
      <c r="D11677" t="str">
        <f>"70778"</f>
        <v>70778</v>
      </c>
      <c r="E11677">
        <v>70</v>
      </c>
    </row>
    <row r="11678" spans="1:5" x14ac:dyDescent="0.2">
      <c r="A11678">
        <v>70780</v>
      </c>
      <c r="B11678" t="s">
        <v>24</v>
      </c>
      <c r="C11678">
        <v>70780</v>
      </c>
      <c r="D11678" t="str">
        <f>"70780"</f>
        <v>70780</v>
      </c>
      <c r="E11678">
        <v>64.44</v>
      </c>
    </row>
    <row r="11679" spans="1:5" x14ac:dyDescent="0.2">
      <c r="A11679">
        <v>70783</v>
      </c>
      <c r="B11679" t="s">
        <v>24</v>
      </c>
      <c r="C11679">
        <v>70783</v>
      </c>
      <c r="D11679" t="str">
        <f>"70783"</f>
        <v>70783</v>
      </c>
      <c r="E11679">
        <v>74.31</v>
      </c>
    </row>
    <row r="11680" spans="1:5" x14ac:dyDescent="0.2">
      <c r="A11680">
        <v>70785</v>
      </c>
      <c r="B11680" t="s">
        <v>24</v>
      </c>
      <c r="C11680">
        <v>70785</v>
      </c>
      <c r="D11680" t="str">
        <f>"70785"</f>
        <v>70785</v>
      </c>
      <c r="E11680">
        <v>72.28</v>
      </c>
    </row>
    <row r="11681" spans="1:5" x14ac:dyDescent="0.2">
      <c r="A11681">
        <v>70786</v>
      </c>
      <c r="B11681" t="s">
        <v>24</v>
      </c>
      <c r="C11681">
        <v>70786</v>
      </c>
      <c r="D11681" t="str">
        <f>"70786"</f>
        <v>70786</v>
      </c>
      <c r="E11681" t="s">
        <v>6</v>
      </c>
    </row>
    <row r="11682" spans="1:5" x14ac:dyDescent="0.2">
      <c r="A11682">
        <v>70788</v>
      </c>
      <c r="B11682" t="s">
        <v>24</v>
      </c>
      <c r="C11682">
        <v>70788</v>
      </c>
      <c r="D11682" t="str">
        <f>"70788"</f>
        <v>70788</v>
      </c>
      <c r="E11682">
        <v>58.48</v>
      </c>
    </row>
    <row r="11683" spans="1:5" x14ac:dyDescent="0.2">
      <c r="A11683">
        <v>70789</v>
      </c>
      <c r="B11683" t="s">
        <v>24</v>
      </c>
      <c r="C11683">
        <v>70789</v>
      </c>
      <c r="D11683" t="str">
        <f>"70789"</f>
        <v>70789</v>
      </c>
      <c r="E11683">
        <v>59.26</v>
      </c>
    </row>
    <row r="11684" spans="1:5" x14ac:dyDescent="0.2">
      <c r="A11684">
        <v>70791</v>
      </c>
      <c r="B11684" t="s">
        <v>24</v>
      </c>
      <c r="C11684">
        <v>70791</v>
      </c>
      <c r="D11684" t="str">
        <f>"70791"</f>
        <v>70791</v>
      </c>
      <c r="E11684">
        <v>72.17</v>
      </c>
    </row>
    <row r="11685" spans="1:5" x14ac:dyDescent="0.2">
      <c r="A11685">
        <v>70801</v>
      </c>
      <c r="B11685" t="s">
        <v>24</v>
      </c>
      <c r="C11685">
        <v>70801</v>
      </c>
      <c r="D11685" t="str">
        <f>"70801"</f>
        <v>70801</v>
      </c>
      <c r="E11685">
        <v>81.25</v>
      </c>
    </row>
    <row r="11686" spans="1:5" x14ac:dyDescent="0.2">
      <c r="A11686">
        <v>70802</v>
      </c>
      <c r="B11686" t="s">
        <v>24</v>
      </c>
      <c r="C11686">
        <v>70802</v>
      </c>
      <c r="D11686" t="str">
        <f>"70802"</f>
        <v>70802</v>
      </c>
      <c r="E11686">
        <v>47.31</v>
      </c>
    </row>
    <row r="11687" spans="1:5" x14ac:dyDescent="0.2">
      <c r="A11687">
        <v>70805</v>
      </c>
      <c r="B11687" t="s">
        <v>24</v>
      </c>
      <c r="C11687">
        <v>70805</v>
      </c>
      <c r="D11687" t="str">
        <f>"70805"</f>
        <v>70805</v>
      </c>
      <c r="E11687">
        <v>38.75</v>
      </c>
    </row>
    <row r="11688" spans="1:5" x14ac:dyDescent="0.2">
      <c r="A11688">
        <v>70806</v>
      </c>
      <c r="B11688" t="s">
        <v>24</v>
      </c>
      <c r="C11688">
        <v>70806</v>
      </c>
      <c r="D11688" t="str">
        <f>"70806"</f>
        <v>70806</v>
      </c>
      <c r="E11688">
        <v>66.28</v>
      </c>
    </row>
    <row r="11689" spans="1:5" x14ac:dyDescent="0.2">
      <c r="A11689">
        <v>70807</v>
      </c>
      <c r="B11689" t="s">
        <v>24</v>
      </c>
      <c r="C11689">
        <v>70807</v>
      </c>
      <c r="D11689" t="str">
        <f>"70807"</f>
        <v>70807</v>
      </c>
      <c r="E11689">
        <v>43.71</v>
      </c>
    </row>
    <row r="11690" spans="1:5" x14ac:dyDescent="0.2">
      <c r="A11690">
        <v>70808</v>
      </c>
      <c r="B11690" t="s">
        <v>24</v>
      </c>
      <c r="C11690">
        <v>70808</v>
      </c>
      <c r="D11690" t="str">
        <f>"70808"</f>
        <v>70808</v>
      </c>
      <c r="E11690">
        <v>77.52</v>
      </c>
    </row>
    <row r="11691" spans="1:5" x14ac:dyDescent="0.2">
      <c r="A11691">
        <v>70809</v>
      </c>
      <c r="B11691" t="s">
        <v>24</v>
      </c>
      <c r="C11691">
        <v>70809</v>
      </c>
      <c r="D11691" t="str">
        <f>"70809"</f>
        <v>70809</v>
      </c>
      <c r="E11691">
        <v>79.22</v>
      </c>
    </row>
    <row r="11692" spans="1:5" x14ac:dyDescent="0.2">
      <c r="A11692">
        <v>70810</v>
      </c>
      <c r="B11692" t="s">
        <v>24</v>
      </c>
      <c r="C11692">
        <v>70810</v>
      </c>
      <c r="D11692" t="str">
        <f>"70810"</f>
        <v>70810</v>
      </c>
      <c r="E11692">
        <v>76.25</v>
      </c>
    </row>
    <row r="11693" spans="1:5" x14ac:dyDescent="0.2">
      <c r="A11693">
        <v>70811</v>
      </c>
      <c r="B11693" t="s">
        <v>24</v>
      </c>
      <c r="C11693">
        <v>70811</v>
      </c>
      <c r="D11693" t="str">
        <f>"70811"</f>
        <v>70811</v>
      </c>
      <c r="E11693">
        <v>53.62</v>
      </c>
    </row>
    <row r="11694" spans="1:5" x14ac:dyDescent="0.2">
      <c r="A11694">
        <v>70812</v>
      </c>
      <c r="B11694" t="s">
        <v>24</v>
      </c>
      <c r="C11694">
        <v>70812</v>
      </c>
      <c r="D11694" t="str">
        <f>"70812"</f>
        <v>70812</v>
      </c>
      <c r="E11694">
        <v>48.01</v>
      </c>
    </row>
    <row r="11695" spans="1:5" x14ac:dyDescent="0.2">
      <c r="A11695">
        <v>70814</v>
      </c>
      <c r="B11695" t="s">
        <v>24</v>
      </c>
      <c r="C11695">
        <v>70814</v>
      </c>
      <c r="D11695" t="str">
        <f>"70814"</f>
        <v>70814</v>
      </c>
      <c r="E11695">
        <v>56.06</v>
      </c>
    </row>
    <row r="11696" spans="1:5" x14ac:dyDescent="0.2">
      <c r="A11696">
        <v>70815</v>
      </c>
      <c r="B11696" t="s">
        <v>24</v>
      </c>
      <c r="C11696">
        <v>70815</v>
      </c>
      <c r="D11696" t="str">
        <f>"70815"</f>
        <v>70815</v>
      </c>
      <c r="E11696">
        <v>58.96</v>
      </c>
    </row>
    <row r="11697" spans="1:5" x14ac:dyDescent="0.2">
      <c r="A11697">
        <v>70816</v>
      </c>
      <c r="B11697" t="s">
        <v>24</v>
      </c>
      <c r="C11697">
        <v>70816</v>
      </c>
      <c r="D11697" t="str">
        <f>"70816"</f>
        <v>70816</v>
      </c>
      <c r="E11697">
        <v>66.349999999999994</v>
      </c>
    </row>
    <row r="11698" spans="1:5" x14ac:dyDescent="0.2">
      <c r="A11698">
        <v>70817</v>
      </c>
      <c r="B11698" t="s">
        <v>24</v>
      </c>
      <c r="C11698">
        <v>70817</v>
      </c>
      <c r="D11698" t="str">
        <f>"70817"</f>
        <v>70817</v>
      </c>
      <c r="E11698">
        <v>78.010000000000005</v>
      </c>
    </row>
    <row r="11699" spans="1:5" x14ac:dyDescent="0.2">
      <c r="A11699">
        <v>70818</v>
      </c>
      <c r="B11699" t="s">
        <v>24</v>
      </c>
      <c r="C11699">
        <v>70818</v>
      </c>
      <c r="D11699" t="str">
        <f>"70818"</f>
        <v>70818</v>
      </c>
      <c r="E11699">
        <v>72.69</v>
      </c>
    </row>
    <row r="11700" spans="1:5" x14ac:dyDescent="0.2">
      <c r="A11700">
        <v>70819</v>
      </c>
      <c r="B11700" t="s">
        <v>24</v>
      </c>
      <c r="C11700">
        <v>70819</v>
      </c>
      <c r="D11700" t="str">
        <f>"70819"</f>
        <v>70819</v>
      </c>
      <c r="E11700">
        <v>57.89</v>
      </c>
    </row>
    <row r="11701" spans="1:5" x14ac:dyDescent="0.2">
      <c r="A11701">
        <v>70820</v>
      </c>
      <c r="B11701" t="s">
        <v>24</v>
      </c>
      <c r="C11701">
        <v>70820</v>
      </c>
      <c r="D11701" t="str">
        <f>"70820"</f>
        <v>70820</v>
      </c>
      <c r="E11701">
        <v>60.37</v>
      </c>
    </row>
    <row r="11702" spans="1:5" x14ac:dyDescent="0.2">
      <c r="A11702">
        <v>70836</v>
      </c>
      <c r="B11702" t="s">
        <v>24</v>
      </c>
      <c r="C11702">
        <v>70836</v>
      </c>
      <c r="D11702" t="str">
        <f>"70836"</f>
        <v>70836</v>
      </c>
      <c r="E11702" t="s">
        <v>6</v>
      </c>
    </row>
    <row r="11703" spans="1:5" x14ac:dyDescent="0.2">
      <c r="A11703">
        <v>71001</v>
      </c>
      <c r="B11703" t="s">
        <v>24</v>
      </c>
      <c r="C11703">
        <v>71001</v>
      </c>
      <c r="D11703" t="str">
        <f>"71001"</f>
        <v>71001</v>
      </c>
      <c r="E11703">
        <v>56.98</v>
      </c>
    </row>
    <row r="11704" spans="1:5" x14ac:dyDescent="0.2">
      <c r="A11704">
        <v>71002</v>
      </c>
      <c r="B11704" t="s">
        <v>24</v>
      </c>
      <c r="C11704">
        <v>71002</v>
      </c>
      <c r="D11704" t="str">
        <f>"71002"</f>
        <v>71002</v>
      </c>
      <c r="E11704" t="s">
        <v>6</v>
      </c>
    </row>
    <row r="11705" spans="1:5" x14ac:dyDescent="0.2">
      <c r="A11705">
        <v>71003</v>
      </c>
      <c r="B11705" t="s">
        <v>24</v>
      </c>
      <c r="C11705">
        <v>71003</v>
      </c>
      <c r="D11705" t="str">
        <f>"71003"</f>
        <v>71003</v>
      </c>
      <c r="E11705">
        <v>63.41</v>
      </c>
    </row>
    <row r="11706" spans="1:5" x14ac:dyDescent="0.2">
      <c r="A11706">
        <v>71004</v>
      </c>
      <c r="B11706" t="s">
        <v>24</v>
      </c>
      <c r="C11706">
        <v>71004</v>
      </c>
      <c r="D11706" t="str">
        <f>"71004"</f>
        <v>71004</v>
      </c>
      <c r="E11706">
        <v>57.69</v>
      </c>
    </row>
    <row r="11707" spans="1:5" x14ac:dyDescent="0.2">
      <c r="A11707">
        <v>71006</v>
      </c>
      <c r="B11707" t="s">
        <v>24</v>
      </c>
      <c r="C11707">
        <v>71006</v>
      </c>
      <c r="D11707" t="str">
        <f>"71006"</f>
        <v>71006</v>
      </c>
      <c r="E11707">
        <v>76.42</v>
      </c>
    </row>
    <row r="11708" spans="1:5" x14ac:dyDescent="0.2">
      <c r="A11708">
        <v>71007</v>
      </c>
      <c r="B11708" t="s">
        <v>24</v>
      </c>
      <c r="C11708">
        <v>71007</v>
      </c>
      <c r="D11708" t="str">
        <f>"71007"</f>
        <v>71007</v>
      </c>
      <c r="E11708">
        <v>65.91</v>
      </c>
    </row>
    <row r="11709" spans="1:5" x14ac:dyDescent="0.2">
      <c r="A11709">
        <v>71008</v>
      </c>
      <c r="B11709" t="s">
        <v>24</v>
      </c>
      <c r="C11709">
        <v>71008</v>
      </c>
      <c r="D11709" t="str">
        <f>"71008"</f>
        <v>71008</v>
      </c>
      <c r="E11709">
        <v>69.23</v>
      </c>
    </row>
    <row r="11710" spans="1:5" x14ac:dyDescent="0.2">
      <c r="A11710">
        <v>71016</v>
      </c>
      <c r="B11710" t="s">
        <v>24</v>
      </c>
      <c r="C11710">
        <v>71016</v>
      </c>
      <c r="D11710" t="str">
        <f>"71016"</f>
        <v>71016</v>
      </c>
      <c r="E11710">
        <v>62.67</v>
      </c>
    </row>
    <row r="11711" spans="1:5" x14ac:dyDescent="0.2">
      <c r="A11711">
        <v>71018</v>
      </c>
      <c r="B11711" t="s">
        <v>24</v>
      </c>
      <c r="C11711">
        <v>71018</v>
      </c>
      <c r="D11711" t="str">
        <f>"71018"</f>
        <v>71018</v>
      </c>
      <c r="E11711">
        <v>58.62</v>
      </c>
    </row>
    <row r="11712" spans="1:5" x14ac:dyDescent="0.2">
      <c r="A11712">
        <v>71019</v>
      </c>
      <c r="B11712" t="s">
        <v>24</v>
      </c>
      <c r="C11712">
        <v>71019</v>
      </c>
      <c r="D11712" t="str">
        <f>"71019"</f>
        <v>71019</v>
      </c>
      <c r="E11712">
        <v>57.79</v>
      </c>
    </row>
    <row r="11713" spans="1:5" x14ac:dyDescent="0.2">
      <c r="A11713">
        <v>71021</v>
      </c>
      <c r="B11713" t="s">
        <v>24</v>
      </c>
      <c r="C11713">
        <v>71021</v>
      </c>
      <c r="D11713" t="str">
        <f>"71021"</f>
        <v>71021</v>
      </c>
      <c r="E11713" t="s">
        <v>6</v>
      </c>
    </row>
    <row r="11714" spans="1:5" x14ac:dyDescent="0.2">
      <c r="A11714">
        <v>71023</v>
      </c>
      <c r="B11714" t="s">
        <v>24</v>
      </c>
      <c r="C11714">
        <v>71023</v>
      </c>
      <c r="D11714" t="str">
        <f>"71023"</f>
        <v>71023</v>
      </c>
      <c r="E11714">
        <v>68.12</v>
      </c>
    </row>
    <row r="11715" spans="1:5" x14ac:dyDescent="0.2">
      <c r="A11715">
        <v>71024</v>
      </c>
      <c r="B11715" t="s">
        <v>24</v>
      </c>
      <c r="C11715">
        <v>71024</v>
      </c>
      <c r="D11715" t="str">
        <f>"71024"</f>
        <v>71024</v>
      </c>
      <c r="E11715">
        <v>63.46</v>
      </c>
    </row>
    <row r="11716" spans="1:5" x14ac:dyDescent="0.2">
      <c r="A11716">
        <v>71027</v>
      </c>
      <c r="B11716" t="s">
        <v>24</v>
      </c>
      <c r="C11716">
        <v>71027</v>
      </c>
      <c r="D11716" t="str">
        <f>"71027"</f>
        <v>71027</v>
      </c>
      <c r="E11716">
        <v>65.12</v>
      </c>
    </row>
    <row r="11717" spans="1:5" x14ac:dyDescent="0.2">
      <c r="A11717">
        <v>71028</v>
      </c>
      <c r="B11717" t="s">
        <v>24</v>
      </c>
      <c r="C11717">
        <v>71028</v>
      </c>
      <c r="D11717" t="str">
        <f>"71028"</f>
        <v>71028</v>
      </c>
      <c r="E11717">
        <v>60.94</v>
      </c>
    </row>
    <row r="11718" spans="1:5" x14ac:dyDescent="0.2">
      <c r="A11718">
        <v>71029</v>
      </c>
      <c r="B11718" t="s">
        <v>24</v>
      </c>
      <c r="C11718">
        <v>71029</v>
      </c>
      <c r="D11718" t="str">
        <f>"71029"</f>
        <v>71029</v>
      </c>
      <c r="E11718" t="s">
        <v>6</v>
      </c>
    </row>
    <row r="11719" spans="1:5" x14ac:dyDescent="0.2">
      <c r="A11719">
        <v>71030</v>
      </c>
      <c r="B11719" t="s">
        <v>24</v>
      </c>
      <c r="C11719">
        <v>71030</v>
      </c>
      <c r="D11719" t="str">
        <f>"71030"</f>
        <v>71030</v>
      </c>
      <c r="E11719">
        <v>62.5</v>
      </c>
    </row>
    <row r="11720" spans="1:5" x14ac:dyDescent="0.2">
      <c r="A11720">
        <v>71031</v>
      </c>
      <c r="B11720" t="s">
        <v>24</v>
      </c>
      <c r="C11720">
        <v>71031</v>
      </c>
      <c r="D11720" t="str">
        <f>"71031"</f>
        <v>71031</v>
      </c>
      <c r="E11720">
        <v>70.97</v>
      </c>
    </row>
    <row r="11721" spans="1:5" x14ac:dyDescent="0.2">
      <c r="A11721">
        <v>71032</v>
      </c>
      <c r="B11721" t="s">
        <v>24</v>
      </c>
      <c r="C11721">
        <v>71032</v>
      </c>
      <c r="D11721" t="str">
        <f>"71032"</f>
        <v>71032</v>
      </c>
      <c r="E11721">
        <v>69.47</v>
      </c>
    </row>
    <row r="11722" spans="1:5" x14ac:dyDescent="0.2">
      <c r="A11722">
        <v>71033</v>
      </c>
      <c r="B11722" t="s">
        <v>24</v>
      </c>
      <c r="C11722">
        <v>71033</v>
      </c>
      <c r="D11722" t="str">
        <f>"71033"</f>
        <v>71033</v>
      </c>
      <c r="E11722">
        <v>70.7</v>
      </c>
    </row>
    <row r="11723" spans="1:5" x14ac:dyDescent="0.2">
      <c r="A11723">
        <v>71034</v>
      </c>
      <c r="B11723" t="s">
        <v>24</v>
      </c>
      <c r="C11723">
        <v>71034</v>
      </c>
      <c r="D11723" t="str">
        <f>"71034"</f>
        <v>71034</v>
      </c>
      <c r="E11723">
        <v>72.73</v>
      </c>
    </row>
    <row r="11724" spans="1:5" x14ac:dyDescent="0.2">
      <c r="A11724">
        <v>71037</v>
      </c>
      <c r="B11724" t="s">
        <v>24</v>
      </c>
      <c r="C11724">
        <v>71037</v>
      </c>
      <c r="D11724" t="str">
        <f>"71037"</f>
        <v>71037</v>
      </c>
      <c r="E11724">
        <v>72.150000000000006</v>
      </c>
    </row>
    <row r="11725" spans="1:5" x14ac:dyDescent="0.2">
      <c r="A11725">
        <v>71038</v>
      </c>
      <c r="B11725" t="s">
        <v>24</v>
      </c>
      <c r="C11725">
        <v>71038</v>
      </c>
      <c r="D11725" t="str">
        <f>"71038"</f>
        <v>71038</v>
      </c>
      <c r="E11725">
        <v>60.61</v>
      </c>
    </row>
    <row r="11726" spans="1:5" x14ac:dyDescent="0.2">
      <c r="A11726">
        <v>71039</v>
      </c>
      <c r="B11726" t="s">
        <v>24</v>
      </c>
      <c r="C11726">
        <v>71039</v>
      </c>
      <c r="D11726" t="str">
        <f>"71039"</f>
        <v>71039</v>
      </c>
      <c r="E11726">
        <v>64.56</v>
      </c>
    </row>
    <row r="11727" spans="1:5" x14ac:dyDescent="0.2">
      <c r="A11727">
        <v>71040</v>
      </c>
      <c r="B11727" t="s">
        <v>24</v>
      </c>
      <c r="C11727">
        <v>71040</v>
      </c>
      <c r="D11727" t="str">
        <f>"71040"</f>
        <v>71040</v>
      </c>
      <c r="E11727">
        <v>57.4</v>
      </c>
    </row>
    <row r="11728" spans="1:5" x14ac:dyDescent="0.2">
      <c r="A11728">
        <v>71043</v>
      </c>
      <c r="B11728" t="s">
        <v>24</v>
      </c>
      <c r="C11728">
        <v>71043</v>
      </c>
      <c r="D11728" t="str">
        <f>"71043"</f>
        <v>71043</v>
      </c>
      <c r="E11728">
        <v>66.67</v>
      </c>
    </row>
    <row r="11729" spans="1:5" x14ac:dyDescent="0.2">
      <c r="A11729">
        <v>71044</v>
      </c>
      <c r="B11729" t="s">
        <v>24</v>
      </c>
      <c r="C11729">
        <v>71044</v>
      </c>
      <c r="D11729" t="str">
        <f>"71044"</f>
        <v>71044</v>
      </c>
      <c r="E11729">
        <v>76</v>
      </c>
    </row>
    <row r="11730" spans="1:5" x14ac:dyDescent="0.2">
      <c r="A11730">
        <v>71045</v>
      </c>
      <c r="B11730" t="s">
        <v>24</v>
      </c>
      <c r="C11730">
        <v>71045</v>
      </c>
      <c r="D11730" t="str">
        <f>"71045"</f>
        <v>71045</v>
      </c>
      <c r="E11730">
        <v>69.569999999999993</v>
      </c>
    </row>
    <row r="11731" spans="1:5" x14ac:dyDescent="0.2">
      <c r="A11731">
        <v>71046</v>
      </c>
      <c r="B11731" t="s">
        <v>24</v>
      </c>
      <c r="C11731">
        <v>71046</v>
      </c>
      <c r="D11731" t="str">
        <f>"71046"</f>
        <v>71046</v>
      </c>
      <c r="E11731">
        <v>70.37</v>
      </c>
    </row>
    <row r="11732" spans="1:5" x14ac:dyDescent="0.2">
      <c r="A11732">
        <v>71047</v>
      </c>
      <c r="B11732" t="s">
        <v>24</v>
      </c>
      <c r="C11732">
        <v>71047</v>
      </c>
      <c r="D11732" t="str">
        <f>"71047"</f>
        <v>71047</v>
      </c>
      <c r="E11732">
        <v>68.72</v>
      </c>
    </row>
    <row r="11733" spans="1:5" x14ac:dyDescent="0.2">
      <c r="A11733">
        <v>71048</v>
      </c>
      <c r="B11733" t="s">
        <v>24</v>
      </c>
      <c r="C11733">
        <v>71048</v>
      </c>
      <c r="D11733" t="str">
        <f>"71048"</f>
        <v>71048</v>
      </c>
      <c r="E11733" t="s">
        <v>6</v>
      </c>
    </row>
    <row r="11734" spans="1:5" x14ac:dyDescent="0.2">
      <c r="A11734">
        <v>71049</v>
      </c>
      <c r="B11734" t="s">
        <v>24</v>
      </c>
      <c r="C11734">
        <v>71049</v>
      </c>
      <c r="D11734" t="str">
        <f>"71049"</f>
        <v>71049</v>
      </c>
      <c r="E11734">
        <v>64.569999999999993</v>
      </c>
    </row>
    <row r="11735" spans="1:5" x14ac:dyDescent="0.2">
      <c r="A11735">
        <v>71051</v>
      </c>
      <c r="B11735" t="s">
        <v>24</v>
      </c>
      <c r="C11735">
        <v>71051</v>
      </c>
      <c r="D11735" t="str">
        <f>"71051"</f>
        <v>71051</v>
      </c>
      <c r="E11735">
        <v>66.67</v>
      </c>
    </row>
    <row r="11736" spans="1:5" x14ac:dyDescent="0.2">
      <c r="A11736">
        <v>71052</v>
      </c>
      <c r="B11736" t="s">
        <v>24</v>
      </c>
      <c r="C11736">
        <v>71052</v>
      </c>
      <c r="D11736" t="str">
        <f>"71052"</f>
        <v>71052</v>
      </c>
      <c r="E11736">
        <v>53.56</v>
      </c>
    </row>
    <row r="11737" spans="1:5" x14ac:dyDescent="0.2">
      <c r="A11737">
        <v>71055</v>
      </c>
      <c r="B11737" t="s">
        <v>24</v>
      </c>
      <c r="C11737">
        <v>71055</v>
      </c>
      <c r="D11737" t="str">
        <f>"71055"</f>
        <v>71055</v>
      </c>
      <c r="E11737">
        <v>60.53</v>
      </c>
    </row>
    <row r="11738" spans="1:5" x14ac:dyDescent="0.2">
      <c r="A11738">
        <v>71058</v>
      </c>
      <c r="B11738" t="s">
        <v>24</v>
      </c>
      <c r="C11738">
        <v>71058</v>
      </c>
      <c r="D11738" t="str">
        <f>"71058"</f>
        <v>71058</v>
      </c>
      <c r="E11738" t="s">
        <v>6</v>
      </c>
    </row>
    <row r="11739" spans="1:5" x14ac:dyDescent="0.2">
      <c r="A11739">
        <v>71060</v>
      </c>
      <c r="B11739" t="s">
        <v>24</v>
      </c>
      <c r="C11739">
        <v>71060</v>
      </c>
      <c r="D11739" t="str">
        <f>"71060"</f>
        <v>71060</v>
      </c>
      <c r="E11739">
        <v>67.83</v>
      </c>
    </row>
    <row r="11740" spans="1:5" x14ac:dyDescent="0.2">
      <c r="A11740">
        <v>71061</v>
      </c>
      <c r="B11740" t="s">
        <v>24</v>
      </c>
      <c r="C11740">
        <v>71061</v>
      </c>
      <c r="D11740" t="str">
        <f>"71061"</f>
        <v>71061</v>
      </c>
      <c r="E11740">
        <v>56.45</v>
      </c>
    </row>
    <row r="11741" spans="1:5" x14ac:dyDescent="0.2">
      <c r="A11741">
        <v>71063</v>
      </c>
      <c r="B11741" t="s">
        <v>24</v>
      </c>
      <c r="C11741">
        <v>71063</v>
      </c>
      <c r="D11741" t="str">
        <f>"71063"</f>
        <v>71063</v>
      </c>
      <c r="E11741">
        <v>57.14</v>
      </c>
    </row>
    <row r="11742" spans="1:5" x14ac:dyDescent="0.2">
      <c r="A11742">
        <v>71064</v>
      </c>
      <c r="B11742" t="s">
        <v>24</v>
      </c>
      <c r="C11742">
        <v>71064</v>
      </c>
      <c r="D11742" t="str">
        <f>"71064"</f>
        <v>71064</v>
      </c>
      <c r="E11742">
        <v>62.02</v>
      </c>
    </row>
    <row r="11743" spans="1:5" x14ac:dyDescent="0.2">
      <c r="A11743">
        <v>71065</v>
      </c>
      <c r="B11743" t="s">
        <v>24</v>
      </c>
      <c r="C11743">
        <v>71065</v>
      </c>
      <c r="D11743" t="str">
        <f>"71065"</f>
        <v>71065</v>
      </c>
      <c r="E11743">
        <v>59.52</v>
      </c>
    </row>
    <row r="11744" spans="1:5" x14ac:dyDescent="0.2">
      <c r="A11744">
        <v>71067</v>
      </c>
      <c r="B11744" t="s">
        <v>24</v>
      </c>
      <c r="C11744">
        <v>71067</v>
      </c>
      <c r="D11744" t="str">
        <f>"71067"</f>
        <v>71067</v>
      </c>
      <c r="E11744">
        <v>60.71</v>
      </c>
    </row>
    <row r="11745" spans="1:5" x14ac:dyDescent="0.2">
      <c r="A11745">
        <v>71068</v>
      </c>
      <c r="B11745" t="s">
        <v>24</v>
      </c>
      <c r="C11745">
        <v>71068</v>
      </c>
      <c r="D11745" t="str">
        <f>"71068"</f>
        <v>71068</v>
      </c>
      <c r="E11745">
        <v>57.94</v>
      </c>
    </row>
    <row r="11746" spans="1:5" x14ac:dyDescent="0.2">
      <c r="A11746">
        <v>71069</v>
      </c>
      <c r="B11746" t="s">
        <v>24</v>
      </c>
      <c r="C11746">
        <v>71069</v>
      </c>
      <c r="D11746" t="str">
        <f>"71069"</f>
        <v>71069</v>
      </c>
      <c r="E11746">
        <v>52.17</v>
      </c>
    </row>
    <row r="11747" spans="1:5" x14ac:dyDescent="0.2">
      <c r="A11747">
        <v>71070</v>
      </c>
      <c r="B11747" t="s">
        <v>24</v>
      </c>
      <c r="C11747">
        <v>71070</v>
      </c>
      <c r="D11747" t="str">
        <f>"71070"</f>
        <v>71070</v>
      </c>
      <c r="E11747">
        <v>64.290000000000006</v>
      </c>
    </row>
    <row r="11748" spans="1:5" x14ac:dyDescent="0.2">
      <c r="A11748">
        <v>71071</v>
      </c>
      <c r="B11748" t="s">
        <v>24</v>
      </c>
      <c r="C11748">
        <v>71071</v>
      </c>
      <c r="D11748" t="str">
        <f>"71071"</f>
        <v>71071</v>
      </c>
      <c r="E11748">
        <v>68.040000000000006</v>
      </c>
    </row>
    <row r="11749" spans="1:5" x14ac:dyDescent="0.2">
      <c r="A11749">
        <v>71072</v>
      </c>
      <c r="B11749" t="s">
        <v>24</v>
      </c>
      <c r="C11749">
        <v>71072</v>
      </c>
      <c r="D11749" t="str">
        <f>"71072"</f>
        <v>71072</v>
      </c>
      <c r="E11749">
        <v>68.42</v>
      </c>
    </row>
    <row r="11750" spans="1:5" x14ac:dyDescent="0.2">
      <c r="A11750">
        <v>71073</v>
      </c>
      <c r="B11750" t="s">
        <v>24</v>
      </c>
      <c r="C11750">
        <v>71073</v>
      </c>
      <c r="D11750" t="str">
        <f>"71073"</f>
        <v>71073</v>
      </c>
      <c r="E11750">
        <v>58.24</v>
      </c>
    </row>
    <row r="11751" spans="1:5" x14ac:dyDescent="0.2">
      <c r="A11751">
        <v>71075</v>
      </c>
      <c r="B11751" t="s">
        <v>24</v>
      </c>
      <c r="C11751">
        <v>71075</v>
      </c>
      <c r="D11751" t="str">
        <f>"71075"</f>
        <v>71075</v>
      </c>
      <c r="E11751">
        <v>58.33</v>
      </c>
    </row>
    <row r="11752" spans="1:5" x14ac:dyDescent="0.2">
      <c r="A11752">
        <v>71078</v>
      </c>
      <c r="B11752" t="s">
        <v>24</v>
      </c>
      <c r="C11752">
        <v>71078</v>
      </c>
      <c r="D11752" t="str">
        <f>"71078"</f>
        <v>71078</v>
      </c>
      <c r="E11752">
        <v>73.97</v>
      </c>
    </row>
    <row r="11753" spans="1:5" x14ac:dyDescent="0.2">
      <c r="A11753">
        <v>71079</v>
      </c>
      <c r="B11753" t="s">
        <v>24</v>
      </c>
      <c r="C11753">
        <v>71079</v>
      </c>
      <c r="D11753" t="str">
        <f>"71079"</f>
        <v>71079</v>
      </c>
      <c r="E11753" t="s">
        <v>6</v>
      </c>
    </row>
    <row r="11754" spans="1:5" x14ac:dyDescent="0.2">
      <c r="A11754">
        <v>71082</v>
      </c>
      <c r="B11754" t="s">
        <v>24</v>
      </c>
      <c r="C11754">
        <v>71082</v>
      </c>
      <c r="D11754" t="str">
        <f>"71082"</f>
        <v>71082</v>
      </c>
      <c r="E11754">
        <v>56.98</v>
      </c>
    </row>
    <row r="11755" spans="1:5" x14ac:dyDescent="0.2">
      <c r="A11755">
        <v>71101</v>
      </c>
      <c r="B11755" t="s">
        <v>24</v>
      </c>
      <c r="C11755">
        <v>71101</v>
      </c>
      <c r="D11755" t="str">
        <f>"71101"</f>
        <v>71101</v>
      </c>
      <c r="E11755">
        <v>45.08</v>
      </c>
    </row>
    <row r="11756" spans="1:5" x14ac:dyDescent="0.2">
      <c r="A11756">
        <v>71103</v>
      </c>
      <c r="B11756" t="s">
        <v>24</v>
      </c>
      <c r="C11756">
        <v>71103</v>
      </c>
      <c r="D11756" t="str">
        <f>"71103"</f>
        <v>71103</v>
      </c>
      <c r="E11756">
        <v>39.299999999999997</v>
      </c>
    </row>
    <row r="11757" spans="1:5" x14ac:dyDescent="0.2">
      <c r="A11757">
        <v>71104</v>
      </c>
      <c r="B11757" t="s">
        <v>24</v>
      </c>
      <c r="C11757">
        <v>71104</v>
      </c>
      <c r="D11757" t="str">
        <f>"71104"</f>
        <v>71104</v>
      </c>
      <c r="E11757">
        <v>64</v>
      </c>
    </row>
    <row r="11758" spans="1:5" x14ac:dyDescent="0.2">
      <c r="A11758">
        <v>71105</v>
      </c>
      <c r="B11758" t="s">
        <v>24</v>
      </c>
      <c r="C11758">
        <v>71105</v>
      </c>
      <c r="D11758" t="str">
        <f>"71105"</f>
        <v>71105</v>
      </c>
      <c r="E11758">
        <v>74.73</v>
      </c>
    </row>
    <row r="11759" spans="1:5" x14ac:dyDescent="0.2">
      <c r="A11759">
        <v>71106</v>
      </c>
      <c r="B11759" t="s">
        <v>24</v>
      </c>
      <c r="C11759">
        <v>71106</v>
      </c>
      <c r="D11759" t="str">
        <f>"71106"</f>
        <v>71106</v>
      </c>
      <c r="E11759">
        <v>64.5</v>
      </c>
    </row>
    <row r="11760" spans="1:5" x14ac:dyDescent="0.2">
      <c r="A11760">
        <v>71107</v>
      </c>
      <c r="B11760" t="s">
        <v>24</v>
      </c>
      <c r="C11760">
        <v>71107</v>
      </c>
      <c r="D11760" t="str">
        <f>"71107"</f>
        <v>71107</v>
      </c>
      <c r="E11760">
        <v>56.36</v>
      </c>
    </row>
    <row r="11761" spans="1:5" x14ac:dyDescent="0.2">
      <c r="A11761">
        <v>71108</v>
      </c>
      <c r="B11761" t="s">
        <v>24</v>
      </c>
      <c r="C11761">
        <v>71108</v>
      </c>
      <c r="D11761" t="str">
        <f>"71108"</f>
        <v>71108</v>
      </c>
      <c r="E11761">
        <v>42.71</v>
      </c>
    </row>
    <row r="11762" spans="1:5" x14ac:dyDescent="0.2">
      <c r="A11762">
        <v>71109</v>
      </c>
      <c r="B11762" t="s">
        <v>24</v>
      </c>
      <c r="C11762">
        <v>71109</v>
      </c>
      <c r="D11762" t="str">
        <f>"71109"</f>
        <v>71109</v>
      </c>
      <c r="E11762">
        <v>43.06</v>
      </c>
    </row>
    <row r="11763" spans="1:5" x14ac:dyDescent="0.2">
      <c r="A11763">
        <v>71110</v>
      </c>
      <c r="B11763" t="s">
        <v>24</v>
      </c>
      <c r="C11763">
        <v>71110</v>
      </c>
      <c r="D11763" t="str">
        <f>"71110"</f>
        <v>71110</v>
      </c>
      <c r="E11763">
        <v>75.680000000000007</v>
      </c>
    </row>
    <row r="11764" spans="1:5" x14ac:dyDescent="0.2">
      <c r="A11764">
        <v>71111</v>
      </c>
      <c r="B11764" t="s">
        <v>24</v>
      </c>
      <c r="C11764">
        <v>71111</v>
      </c>
      <c r="D11764" t="str">
        <f>"71111"</f>
        <v>71111</v>
      </c>
      <c r="E11764">
        <v>66.819999999999993</v>
      </c>
    </row>
    <row r="11765" spans="1:5" x14ac:dyDescent="0.2">
      <c r="A11765">
        <v>71112</v>
      </c>
      <c r="B11765" t="s">
        <v>24</v>
      </c>
      <c r="C11765">
        <v>71112</v>
      </c>
      <c r="D11765" t="str">
        <f>"71112"</f>
        <v>71112</v>
      </c>
      <c r="E11765">
        <v>66.98</v>
      </c>
    </row>
    <row r="11766" spans="1:5" x14ac:dyDescent="0.2">
      <c r="A11766">
        <v>71115</v>
      </c>
      <c r="B11766" t="s">
        <v>24</v>
      </c>
      <c r="C11766">
        <v>71115</v>
      </c>
      <c r="D11766" t="str">
        <f>"71115"</f>
        <v>71115</v>
      </c>
      <c r="E11766">
        <v>74.930000000000007</v>
      </c>
    </row>
    <row r="11767" spans="1:5" x14ac:dyDescent="0.2">
      <c r="A11767">
        <v>71118</v>
      </c>
      <c r="B11767" t="s">
        <v>24</v>
      </c>
      <c r="C11767">
        <v>71118</v>
      </c>
      <c r="D11767" t="str">
        <f>"71118"</f>
        <v>71118</v>
      </c>
      <c r="E11767">
        <v>62.4</v>
      </c>
    </row>
    <row r="11768" spans="1:5" x14ac:dyDescent="0.2">
      <c r="A11768">
        <v>71119</v>
      </c>
      <c r="B11768" t="s">
        <v>24</v>
      </c>
      <c r="C11768">
        <v>71119</v>
      </c>
      <c r="D11768" t="str">
        <f>"71119"</f>
        <v>71119</v>
      </c>
      <c r="E11768">
        <v>65.25</v>
      </c>
    </row>
    <row r="11769" spans="1:5" x14ac:dyDescent="0.2">
      <c r="A11769">
        <v>71129</v>
      </c>
      <c r="B11769" t="s">
        <v>24</v>
      </c>
      <c r="C11769">
        <v>71129</v>
      </c>
      <c r="D11769" t="str">
        <f>"71129"</f>
        <v>71129</v>
      </c>
      <c r="E11769">
        <v>60.98</v>
      </c>
    </row>
    <row r="11770" spans="1:5" x14ac:dyDescent="0.2">
      <c r="A11770">
        <v>71201</v>
      </c>
      <c r="B11770" t="s">
        <v>24</v>
      </c>
      <c r="C11770">
        <v>71201</v>
      </c>
      <c r="D11770" t="str">
        <f>"71201"</f>
        <v>71201</v>
      </c>
      <c r="E11770">
        <v>67.3</v>
      </c>
    </row>
    <row r="11771" spans="1:5" x14ac:dyDescent="0.2">
      <c r="A11771">
        <v>71202</v>
      </c>
      <c r="B11771" t="s">
        <v>24</v>
      </c>
      <c r="C11771">
        <v>71202</v>
      </c>
      <c r="D11771" t="str">
        <f>"71202"</f>
        <v>71202</v>
      </c>
      <c r="E11771">
        <v>37.06</v>
      </c>
    </row>
    <row r="11772" spans="1:5" x14ac:dyDescent="0.2">
      <c r="A11772">
        <v>71203</v>
      </c>
      <c r="B11772" t="s">
        <v>24</v>
      </c>
      <c r="C11772">
        <v>71203</v>
      </c>
      <c r="D11772" t="str">
        <f>"71203"</f>
        <v>71203</v>
      </c>
      <c r="E11772">
        <v>59.81</v>
      </c>
    </row>
    <row r="11773" spans="1:5" x14ac:dyDescent="0.2">
      <c r="A11773">
        <v>71207</v>
      </c>
      <c r="B11773" t="s">
        <v>24</v>
      </c>
      <c r="C11773">
        <v>71207</v>
      </c>
      <c r="D11773" t="str">
        <f>"71207"</f>
        <v>71207</v>
      </c>
      <c r="E11773" t="s">
        <v>6</v>
      </c>
    </row>
    <row r="11774" spans="1:5" x14ac:dyDescent="0.2">
      <c r="A11774">
        <v>71219</v>
      </c>
      <c r="B11774" t="s">
        <v>24</v>
      </c>
      <c r="C11774">
        <v>71219</v>
      </c>
      <c r="D11774" t="str">
        <f>"71219"</f>
        <v>71219</v>
      </c>
      <c r="E11774">
        <v>70.209999999999994</v>
      </c>
    </row>
    <row r="11775" spans="1:5" x14ac:dyDescent="0.2">
      <c r="A11775">
        <v>71220</v>
      </c>
      <c r="B11775" t="s">
        <v>24</v>
      </c>
      <c r="C11775">
        <v>71220</v>
      </c>
      <c r="D11775" t="str">
        <f>"71220"</f>
        <v>71220</v>
      </c>
      <c r="E11775">
        <v>52.91</v>
      </c>
    </row>
    <row r="11776" spans="1:5" x14ac:dyDescent="0.2">
      <c r="A11776">
        <v>71222</v>
      </c>
      <c r="B11776" t="s">
        <v>24</v>
      </c>
      <c r="C11776">
        <v>71222</v>
      </c>
      <c r="D11776" t="str">
        <f>"71222"</f>
        <v>71222</v>
      </c>
      <c r="E11776">
        <v>57.94</v>
      </c>
    </row>
    <row r="11777" spans="1:5" x14ac:dyDescent="0.2">
      <c r="A11777">
        <v>71223</v>
      </c>
      <c r="B11777" t="s">
        <v>24</v>
      </c>
      <c r="C11777">
        <v>71223</v>
      </c>
      <c r="D11777" t="str">
        <f>"71223"</f>
        <v>71223</v>
      </c>
      <c r="E11777">
        <v>57.14</v>
      </c>
    </row>
    <row r="11778" spans="1:5" x14ac:dyDescent="0.2">
      <c r="A11778">
        <v>71225</v>
      </c>
      <c r="B11778" t="s">
        <v>24</v>
      </c>
      <c r="C11778">
        <v>71225</v>
      </c>
      <c r="D11778" t="str">
        <f>"71225"</f>
        <v>71225</v>
      </c>
      <c r="E11778">
        <v>70.92</v>
      </c>
    </row>
    <row r="11779" spans="1:5" x14ac:dyDescent="0.2">
      <c r="A11779">
        <v>71226</v>
      </c>
      <c r="B11779" t="s">
        <v>24</v>
      </c>
      <c r="C11779">
        <v>71226</v>
      </c>
      <c r="D11779" t="str">
        <f>"71226"</f>
        <v>71226</v>
      </c>
      <c r="E11779">
        <v>66.180000000000007</v>
      </c>
    </row>
    <row r="11780" spans="1:5" x14ac:dyDescent="0.2">
      <c r="A11780">
        <v>71227</v>
      </c>
      <c r="B11780" t="s">
        <v>24</v>
      </c>
      <c r="C11780">
        <v>71227</v>
      </c>
      <c r="D11780" t="str">
        <f>"71227"</f>
        <v>71227</v>
      </c>
      <c r="E11780">
        <v>75.45</v>
      </c>
    </row>
    <row r="11781" spans="1:5" x14ac:dyDescent="0.2">
      <c r="A11781">
        <v>71229</v>
      </c>
      <c r="B11781" t="s">
        <v>24</v>
      </c>
      <c r="C11781">
        <v>71229</v>
      </c>
      <c r="D11781" t="str">
        <f>"71229"</f>
        <v>71229</v>
      </c>
      <c r="E11781">
        <v>64.52</v>
      </c>
    </row>
    <row r="11782" spans="1:5" x14ac:dyDescent="0.2">
      <c r="A11782">
        <v>71232</v>
      </c>
      <c r="B11782" t="s">
        <v>24</v>
      </c>
      <c r="C11782">
        <v>71232</v>
      </c>
      <c r="D11782" t="str">
        <f>"71232"</f>
        <v>71232</v>
      </c>
      <c r="E11782">
        <v>59.22</v>
      </c>
    </row>
    <row r="11783" spans="1:5" x14ac:dyDescent="0.2">
      <c r="A11783">
        <v>71233</v>
      </c>
      <c r="B11783" t="s">
        <v>24</v>
      </c>
      <c r="C11783">
        <v>71233</v>
      </c>
      <c r="D11783" t="str">
        <f>"71233"</f>
        <v>71233</v>
      </c>
      <c r="E11783" t="s">
        <v>6</v>
      </c>
    </row>
    <row r="11784" spans="1:5" x14ac:dyDescent="0.2">
      <c r="A11784">
        <v>71234</v>
      </c>
      <c r="B11784" t="s">
        <v>24</v>
      </c>
      <c r="C11784">
        <v>71234</v>
      </c>
      <c r="D11784" t="str">
        <f>"71234"</f>
        <v>71234</v>
      </c>
      <c r="E11784">
        <v>67.61</v>
      </c>
    </row>
    <row r="11785" spans="1:5" x14ac:dyDescent="0.2">
      <c r="A11785">
        <v>71235</v>
      </c>
      <c r="B11785" t="s">
        <v>24</v>
      </c>
      <c r="C11785">
        <v>71235</v>
      </c>
      <c r="D11785" t="str">
        <f>"71235"</f>
        <v>71235</v>
      </c>
      <c r="E11785">
        <v>68.849999999999994</v>
      </c>
    </row>
    <row r="11786" spans="1:5" x14ac:dyDescent="0.2">
      <c r="A11786">
        <v>71237</v>
      </c>
      <c r="B11786" t="s">
        <v>24</v>
      </c>
      <c r="C11786">
        <v>71237</v>
      </c>
      <c r="D11786" t="str">
        <f>"71237"</f>
        <v>71237</v>
      </c>
      <c r="E11786">
        <v>61.9</v>
      </c>
    </row>
    <row r="11787" spans="1:5" x14ac:dyDescent="0.2">
      <c r="A11787">
        <v>71238</v>
      </c>
      <c r="B11787" t="s">
        <v>24</v>
      </c>
      <c r="C11787">
        <v>71238</v>
      </c>
      <c r="D11787" t="str">
        <f>"71238"</f>
        <v>71238</v>
      </c>
      <c r="E11787">
        <v>67.459999999999994</v>
      </c>
    </row>
    <row r="11788" spans="1:5" x14ac:dyDescent="0.2">
      <c r="A11788">
        <v>71241</v>
      </c>
      <c r="B11788" t="s">
        <v>24</v>
      </c>
      <c r="C11788">
        <v>71241</v>
      </c>
      <c r="D11788" t="str">
        <f>"71241"</f>
        <v>71241</v>
      </c>
      <c r="E11788">
        <v>62.44</v>
      </c>
    </row>
    <row r="11789" spans="1:5" x14ac:dyDescent="0.2">
      <c r="A11789">
        <v>71243</v>
      </c>
      <c r="B11789" t="s">
        <v>24</v>
      </c>
      <c r="C11789">
        <v>71243</v>
      </c>
      <c r="D11789" t="str">
        <f>"71243"</f>
        <v>71243</v>
      </c>
      <c r="E11789">
        <v>60</v>
      </c>
    </row>
    <row r="11790" spans="1:5" x14ac:dyDescent="0.2">
      <c r="A11790">
        <v>71245</v>
      </c>
      <c r="B11790" t="s">
        <v>24</v>
      </c>
      <c r="C11790">
        <v>71245</v>
      </c>
      <c r="D11790" t="str">
        <f>"71245"</f>
        <v>71245</v>
      </c>
      <c r="E11790">
        <v>50.43</v>
      </c>
    </row>
    <row r="11791" spans="1:5" x14ac:dyDescent="0.2">
      <c r="A11791">
        <v>71247</v>
      </c>
      <c r="B11791" t="s">
        <v>24</v>
      </c>
      <c r="C11791">
        <v>71247</v>
      </c>
      <c r="D11791" t="str">
        <f>"71247"</f>
        <v>71247</v>
      </c>
      <c r="E11791" t="s">
        <v>6</v>
      </c>
    </row>
    <row r="11792" spans="1:5" x14ac:dyDescent="0.2">
      <c r="A11792">
        <v>71250</v>
      </c>
      <c r="B11792" t="s">
        <v>24</v>
      </c>
      <c r="C11792">
        <v>71250</v>
      </c>
      <c r="D11792" t="str">
        <f>"71250"</f>
        <v>71250</v>
      </c>
      <c r="E11792" t="s">
        <v>6</v>
      </c>
    </row>
    <row r="11793" spans="1:5" x14ac:dyDescent="0.2">
      <c r="A11793">
        <v>71251</v>
      </c>
      <c r="B11793" t="s">
        <v>24</v>
      </c>
      <c r="C11793">
        <v>71251</v>
      </c>
      <c r="D11793" t="str">
        <f>"71251"</f>
        <v>71251</v>
      </c>
      <c r="E11793">
        <v>63.04</v>
      </c>
    </row>
    <row r="11794" spans="1:5" x14ac:dyDescent="0.2">
      <c r="A11794">
        <v>71253</v>
      </c>
      <c r="B11794" t="s">
        <v>24</v>
      </c>
      <c r="C11794">
        <v>71253</v>
      </c>
      <c r="D11794" t="str">
        <f>"71253"</f>
        <v>71253</v>
      </c>
      <c r="E11794" t="s">
        <v>6</v>
      </c>
    </row>
    <row r="11795" spans="1:5" x14ac:dyDescent="0.2">
      <c r="A11795">
        <v>71254</v>
      </c>
      <c r="B11795" t="s">
        <v>24</v>
      </c>
      <c r="C11795">
        <v>71254</v>
      </c>
      <c r="D11795" t="str">
        <f>"71254"</f>
        <v>71254</v>
      </c>
      <c r="E11795">
        <v>40.950000000000003</v>
      </c>
    </row>
    <row r="11796" spans="1:5" x14ac:dyDescent="0.2">
      <c r="A11796">
        <v>71256</v>
      </c>
      <c r="B11796" t="s">
        <v>24</v>
      </c>
      <c r="C11796">
        <v>71256</v>
      </c>
      <c r="D11796" t="str">
        <f>"71256"</f>
        <v>71256</v>
      </c>
      <c r="E11796">
        <v>58.33</v>
      </c>
    </row>
    <row r="11797" spans="1:5" x14ac:dyDescent="0.2">
      <c r="A11797">
        <v>71259</v>
      </c>
      <c r="B11797" t="s">
        <v>24</v>
      </c>
      <c r="C11797">
        <v>71259</v>
      </c>
      <c r="D11797" t="str">
        <f>"71259"</f>
        <v>71259</v>
      </c>
      <c r="E11797">
        <v>66.22</v>
      </c>
    </row>
    <row r="11798" spans="1:5" x14ac:dyDescent="0.2">
      <c r="A11798">
        <v>71260</v>
      </c>
      <c r="B11798" t="s">
        <v>24</v>
      </c>
      <c r="C11798">
        <v>71260</v>
      </c>
      <c r="D11798" t="str">
        <f>"71260"</f>
        <v>71260</v>
      </c>
      <c r="E11798">
        <v>65.14</v>
      </c>
    </row>
    <row r="11799" spans="1:5" x14ac:dyDescent="0.2">
      <c r="A11799">
        <v>71261</v>
      </c>
      <c r="B11799" t="s">
        <v>24</v>
      </c>
      <c r="C11799">
        <v>71261</v>
      </c>
      <c r="D11799" t="str">
        <f>"71261"</f>
        <v>71261</v>
      </c>
      <c r="E11799">
        <v>57.89</v>
      </c>
    </row>
    <row r="11800" spans="1:5" x14ac:dyDescent="0.2">
      <c r="A11800">
        <v>71263</v>
      </c>
      <c r="B11800" t="s">
        <v>24</v>
      </c>
      <c r="C11800">
        <v>71263</v>
      </c>
      <c r="D11800" t="str">
        <f>"71263"</f>
        <v>71263</v>
      </c>
      <c r="E11800">
        <v>63.16</v>
      </c>
    </row>
    <row r="11801" spans="1:5" x14ac:dyDescent="0.2">
      <c r="A11801">
        <v>71264</v>
      </c>
      <c r="B11801" t="s">
        <v>24</v>
      </c>
      <c r="C11801">
        <v>71264</v>
      </c>
      <c r="D11801" t="str">
        <f>"71264"</f>
        <v>71264</v>
      </c>
      <c r="E11801">
        <v>68.180000000000007</v>
      </c>
    </row>
    <row r="11802" spans="1:5" x14ac:dyDescent="0.2">
      <c r="A11802">
        <v>71266</v>
      </c>
      <c r="B11802" t="s">
        <v>24</v>
      </c>
      <c r="C11802">
        <v>71266</v>
      </c>
      <c r="D11802" t="str">
        <f>"71266"</f>
        <v>71266</v>
      </c>
      <c r="E11802">
        <v>59.32</v>
      </c>
    </row>
    <row r="11803" spans="1:5" x14ac:dyDescent="0.2">
      <c r="A11803">
        <v>71268</v>
      </c>
      <c r="B11803" t="s">
        <v>24</v>
      </c>
      <c r="C11803">
        <v>71268</v>
      </c>
      <c r="D11803" t="str">
        <f>"71268"</f>
        <v>71268</v>
      </c>
      <c r="E11803">
        <v>74.78</v>
      </c>
    </row>
    <row r="11804" spans="1:5" x14ac:dyDescent="0.2">
      <c r="A11804">
        <v>71269</v>
      </c>
      <c r="B11804" t="s">
        <v>24</v>
      </c>
      <c r="C11804">
        <v>71269</v>
      </c>
      <c r="D11804" t="str">
        <f>"71269"</f>
        <v>71269</v>
      </c>
      <c r="E11804">
        <v>59.69</v>
      </c>
    </row>
    <row r="11805" spans="1:5" x14ac:dyDescent="0.2">
      <c r="A11805">
        <v>71270</v>
      </c>
      <c r="B11805" t="s">
        <v>24</v>
      </c>
      <c r="C11805">
        <v>71270</v>
      </c>
      <c r="D11805" t="str">
        <f>"71270"</f>
        <v>71270</v>
      </c>
      <c r="E11805">
        <v>61.5</v>
      </c>
    </row>
    <row r="11806" spans="1:5" x14ac:dyDescent="0.2">
      <c r="A11806">
        <v>71272</v>
      </c>
      <c r="B11806" t="s">
        <v>24</v>
      </c>
      <c r="C11806">
        <v>71272</v>
      </c>
      <c r="D11806" t="str">
        <f>"71272"</f>
        <v>71272</v>
      </c>
      <c r="E11806" t="s">
        <v>6</v>
      </c>
    </row>
    <row r="11807" spans="1:5" x14ac:dyDescent="0.2">
      <c r="A11807">
        <v>71275</v>
      </c>
      <c r="B11807" t="s">
        <v>24</v>
      </c>
      <c r="C11807">
        <v>71275</v>
      </c>
      <c r="D11807" t="str">
        <f>"71275"</f>
        <v>71275</v>
      </c>
      <c r="E11807">
        <v>64.150000000000006</v>
      </c>
    </row>
    <row r="11808" spans="1:5" x14ac:dyDescent="0.2">
      <c r="A11808">
        <v>71276</v>
      </c>
      <c r="B11808" t="s">
        <v>24</v>
      </c>
      <c r="C11808">
        <v>71276</v>
      </c>
      <c r="D11808" t="str">
        <f>"71276"</f>
        <v>71276</v>
      </c>
      <c r="E11808" t="s">
        <v>6</v>
      </c>
    </row>
    <row r="11809" spans="1:5" x14ac:dyDescent="0.2">
      <c r="A11809">
        <v>71277</v>
      </c>
      <c r="B11809" t="s">
        <v>24</v>
      </c>
      <c r="C11809">
        <v>71277</v>
      </c>
      <c r="D11809" t="str">
        <f>"71277"</f>
        <v>71277</v>
      </c>
      <c r="E11809">
        <v>63.79</v>
      </c>
    </row>
    <row r="11810" spans="1:5" x14ac:dyDescent="0.2">
      <c r="A11810">
        <v>71279</v>
      </c>
      <c r="B11810" t="s">
        <v>24</v>
      </c>
      <c r="C11810">
        <v>71279</v>
      </c>
      <c r="D11810" t="str">
        <f>"71279"</f>
        <v>71279</v>
      </c>
      <c r="E11810" t="s">
        <v>6</v>
      </c>
    </row>
    <row r="11811" spans="1:5" x14ac:dyDescent="0.2">
      <c r="A11811">
        <v>71280</v>
      </c>
      <c r="B11811" t="s">
        <v>24</v>
      </c>
      <c r="C11811">
        <v>71280</v>
      </c>
      <c r="D11811" t="str">
        <f>"71280"</f>
        <v>71280</v>
      </c>
      <c r="E11811">
        <v>70.62</v>
      </c>
    </row>
    <row r="11812" spans="1:5" x14ac:dyDescent="0.2">
      <c r="A11812">
        <v>71282</v>
      </c>
      <c r="B11812" t="s">
        <v>24</v>
      </c>
      <c r="C11812">
        <v>71282</v>
      </c>
      <c r="D11812" t="str">
        <f>"71282"</f>
        <v>71282</v>
      </c>
      <c r="E11812">
        <v>45.43</v>
      </c>
    </row>
    <row r="11813" spans="1:5" x14ac:dyDescent="0.2">
      <c r="A11813">
        <v>71286</v>
      </c>
      <c r="B11813" t="s">
        <v>24</v>
      </c>
      <c r="C11813">
        <v>71286</v>
      </c>
      <c r="D11813" t="str">
        <f>"71286"</f>
        <v>71286</v>
      </c>
      <c r="E11813">
        <v>68.42</v>
      </c>
    </row>
    <row r="11814" spans="1:5" x14ac:dyDescent="0.2">
      <c r="A11814">
        <v>71291</v>
      </c>
      <c r="B11814" t="s">
        <v>24</v>
      </c>
      <c r="C11814">
        <v>71291</v>
      </c>
      <c r="D11814" t="str">
        <f>"71291"</f>
        <v>71291</v>
      </c>
      <c r="E11814">
        <v>70.25</v>
      </c>
    </row>
    <row r="11815" spans="1:5" x14ac:dyDescent="0.2">
      <c r="A11815">
        <v>71292</v>
      </c>
      <c r="B11815" t="s">
        <v>24</v>
      </c>
      <c r="C11815">
        <v>71292</v>
      </c>
      <c r="D11815" t="str">
        <f>"71292"</f>
        <v>71292</v>
      </c>
      <c r="E11815">
        <v>59.98</v>
      </c>
    </row>
    <row r="11816" spans="1:5" x14ac:dyDescent="0.2">
      <c r="A11816">
        <v>71295</v>
      </c>
      <c r="B11816" t="s">
        <v>24</v>
      </c>
      <c r="C11816">
        <v>71295</v>
      </c>
      <c r="D11816" t="str">
        <f>"71295"</f>
        <v>71295</v>
      </c>
      <c r="E11816">
        <v>53.29</v>
      </c>
    </row>
    <row r="11817" spans="1:5" x14ac:dyDescent="0.2">
      <c r="A11817">
        <v>71301</v>
      </c>
      <c r="B11817" t="s">
        <v>24</v>
      </c>
      <c r="C11817">
        <v>71301</v>
      </c>
      <c r="D11817" t="str">
        <f>"71301"</f>
        <v>71301</v>
      </c>
      <c r="E11817">
        <v>55.07</v>
      </c>
    </row>
    <row r="11818" spans="1:5" x14ac:dyDescent="0.2">
      <c r="A11818">
        <v>71302</v>
      </c>
      <c r="B11818" t="s">
        <v>24</v>
      </c>
      <c r="C11818">
        <v>71302</v>
      </c>
      <c r="D11818" t="str">
        <f>"71302"</f>
        <v>71302</v>
      </c>
      <c r="E11818">
        <v>50.17</v>
      </c>
    </row>
    <row r="11819" spans="1:5" x14ac:dyDescent="0.2">
      <c r="A11819">
        <v>71303</v>
      </c>
      <c r="B11819" t="s">
        <v>24</v>
      </c>
      <c r="C11819">
        <v>71303</v>
      </c>
      <c r="D11819" t="str">
        <f>"71303"</f>
        <v>71303</v>
      </c>
      <c r="E11819">
        <v>68.86</v>
      </c>
    </row>
    <row r="11820" spans="1:5" x14ac:dyDescent="0.2">
      <c r="A11820">
        <v>71316</v>
      </c>
      <c r="B11820" t="s">
        <v>24</v>
      </c>
      <c r="C11820">
        <v>71316</v>
      </c>
      <c r="D11820" t="str">
        <f>"71316"</f>
        <v>71316</v>
      </c>
      <c r="E11820" t="s">
        <v>6</v>
      </c>
    </row>
    <row r="11821" spans="1:5" x14ac:dyDescent="0.2">
      <c r="A11821">
        <v>71322</v>
      </c>
      <c r="B11821" t="s">
        <v>24</v>
      </c>
      <c r="C11821">
        <v>71322</v>
      </c>
      <c r="D11821" t="str">
        <f>"71322"</f>
        <v>71322</v>
      </c>
      <c r="E11821">
        <v>57.26</v>
      </c>
    </row>
    <row r="11822" spans="1:5" x14ac:dyDescent="0.2">
      <c r="A11822">
        <v>71323</v>
      </c>
      <c r="B11822" t="s">
        <v>24</v>
      </c>
      <c r="C11822">
        <v>71323</v>
      </c>
      <c r="D11822" t="str">
        <f>"71323"</f>
        <v>71323</v>
      </c>
      <c r="E11822">
        <v>69.23</v>
      </c>
    </row>
    <row r="11823" spans="1:5" x14ac:dyDescent="0.2">
      <c r="A11823">
        <v>71324</v>
      </c>
      <c r="B11823" t="s">
        <v>24</v>
      </c>
      <c r="C11823">
        <v>71324</v>
      </c>
      <c r="D11823" t="str">
        <f>"71324"</f>
        <v>71324</v>
      </c>
      <c r="E11823" t="s">
        <v>6</v>
      </c>
    </row>
    <row r="11824" spans="1:5" x14ac:dyDescent="0.2">
      <c r="A11824">
        <v>71325</v>
      </c>
      <c r="B11824" t="s">
        <v>24</v>
      </c>
      <c r="C11824">
        <v>71325</v>
      </c>
      <c r="D11824" t="str">
        <f>"71325"</f>
        <v>71325</v>
      </c>
      <c r="E11824">
        <v>60.87</v>
      </c>
    </row>
    <row r="11825" spans="1:5" x14ac:dyDescent="0.2">
      <c r="A11825">
        <v>71326</v>
      </c>
      <c r="B11825" t="s">
        <v>24</v>
      </c>
      <c r="C11825">
        <v>71326</v>
      </c>
      <c r="D11825" t="str">
        <f>"71326"</f>
        <v>71326</v>
      </c>
      <c r="E11825">
        <v>48.89</v>
      </c>
    </row>
    <row r="11826" spans="1:5" x14ac:dyDescent="0.2">
      <c r="A11826">
        <v>71327</v>
      </c>
      <c r="B11826" t="s">
        <v>24</v>
      </c>
      <c r="C11826">
        <v>71327</v>
      </c>
      <c r="D11826" t="str">
        <f>"71327"</f>
        <v>71327</v>
      </c>
      <c r="E11826">
        <v>55.86</v>
      </c>
    </row>
    <row r="11827" spans="1:5" x14ac:dyDescent="0.2">
      <c r="A11827">
        <v>71328</v>
      </c>
      <c r="B11827" t="s">
        <v>24</v>
      </c>
      <c r="C11827">
        <v>71328</v>
      </c>
      <c r="D11827" t="str">
        <f>"71328"</f>
        <v>71328</v>
      </c>
      <c r="E11827">
        <v>72.2</v>
      </c>
    </row>
    <row r="11828" spans="1:5" x14ac:dyDescent="0.2">
      <c r="A11828">
        <v>71330</v>
      </c>
      <c r="B11828" t="s">
        <v>24</v>
      </c>
      <c r="C11828">
        <v>71330</v>
      </c>
      <c r="D11828" t="str">
        <f>"71330"</f>
        <v>71330</v>
      </c>
      <c r="E11828" t="s">
        <v>6</v>
      </c>
    </row>
    <row r="11829" spans="1:5" x14ac:dyDescent="0.2">
      <c r="A11829">
        <v>71331</v>
      </c>
      <c r="B11829" t="s">
        <v>24</v>
      </c>
      <c r="C11829">
        <v>71331</v>
      </c>
      <c r="D11829" t="str">
        <f>"71331"</f>
        <v>71331</v>
      </c>
      <c r="E11829">
        <v>70</v>
      </c>
    </row>
    <row r="11830" spans="1:5" x14ac:dyDescent="0.2">
      <c r="A11830">
        <v>71333</v>
      </c>
      <c r="B11830" t="s">
        <v>24</v>
      </c>
      <c r="C11830">
        <v>71333</v>
      </c>
      <c r="D11830" t="str">
        <f>"71333"</f>
        <v>71333</v>
      </c>
      <c r="E11830">
        <v>60</v>
      </c>
    </row>
    <row r="11831" spans="1:5" x14ac:dyDescent="0.2">
      <c r="A11831">
        <v>71334</v>
      </c>
      <c r="B11831" t="s">
        <v>24</v>
      </c>
      <c r="C11831">
        <v>71334</v>
      </c>
      <c r="D11831" t="str">
        <f>"71334"</f>
        <v>71334</v>
      </c>
      <c r="E11831">
        <v>48.11</v>
      </c>
    </row>
    <row r="11832" spans="1:5" x14ac:dyDescent="0.2">
      <c r="A11832">
        <v>71336</v>
      </c>
      <c r="B11832" t="s">
        <v>24</v>
      </c>
      <c r="C11832">
        <v>71336</v>
      </c>
      <c r="D11832" t="str">
        <f>"71336"</f>
        <v>71336</v>
      </c>
      <c r="E11832">
        <v>61.02</v>
      </c>
    </row>
    <row r="11833" spans="1:5" x14ac:dyDescent="0.2">
      <c r="A11833">
        <v>71339</v>
      </c>
      <c r="B11833" t="s">
        <v>24</v>
      </c>
      <c r="C11833">
        <v>71339</v>
      </c>
      <c r="D11833" t="str">
        <f>"71339"</f>
        <v>71339</v>
      </c>
      <c r="E11833" t="s">
        <v>6</v>
      </c>
    </row>
    <row r="11834" spans="1:5" x14ac:dyDescent="0.2">
      <c r="A11834">
        <v>71340</v>
      </c>
      <c r="B11834" t="s">
        <v>24</v>
      </c>
      <c r="C11834">
        <v>71340</v>
      </c>
      <c r="D11834" t="str">
        <f>"71340"</f>
        <v>71340</v>
      </c>
      <c r="E11834">
        <v>67.5</v>
      </c>
    </row>
    <row r="11835" spans="1:5" x14ac:dyDescent="0.2">
      <c r="A11835">
        <v>71341</v>
      </c>
      <c r="B11835" t="s">
        <v>24</v>
      </c>
      <c r="C11835">
        <v>71341</v>
      </c>
      <c r="D11835" t="str">
        <f>"71341"</f>
        <v>71341</v>
      </c>
      <c r="E11835">
        <v>62.31</v>
      </c>
    </row>
    <row r="11836" spans="1:5" x14ac:dyDescent="0.2">
      <c r="A11836">
        <v>71342</v>
      </c>
      <c r="B11836" t="s">
        <v>24</v>
      </c>
      <c r="C11836">
        <v>71342</v>
      </c>
      <c r="D11836" t="str">
        <f>"71342"</f>
        <v>71342</v>
      </c>
      <c r="E11836">
        <v>67.03</v>
      </c>
    </row>
    <row r="11837" spans="1:5" x14ac:dyDescent="0.2">
      <c r="A11837">
        <v>71343</v>
      </c>
      <c r="B11837" t="s">
        <v>24</v>
      </c>
      <c r="C11837">
        <v>71343</v>
      </c>
      <c r="D11837" t="str">
        <f>"71343"</f>
        <v>71343</v>
      </c>
      <c r="E11837">
        <v>59.7</v>
      </c>
    </row>
    <row r="11838" spans="1:5" x14ac:dyDescent="0.2">
      <c r="A11838">
        <v>71345</v>
      </c>
      <c r="B11838" t="s">
        <v>24</v>
      </c>
      <c r="C11838">
        <v>71345</v>
      </c>
      <c r="D11838" t="str">
        <f>"71345"</f>
        <v>71345</v>
      </c>
      <c r="E11838" t="s">
        <v>6</v>
      </c>
    </row>
    <row r="11839" spans="1:5" x14ac:dyDescent="0.2">
      <c r="A11839">
        <v>71346</v>
      </c>
      <c r="B11839" t="s">
        <v>24</v>
      </c>
      <c r="C11839">
        <v>71346</v>
      </c>
      <c r="D11839" t="str">
        <f>"71346"</f>
        <v>71346</v>
      </c>
      <c r="E11839">
        <v>63.16</v>
      </c>
    </row>
    <row r="11840" spans="1:5" x14ac:dyDescent="0.2">
      <c r="A11840">
        <v>71350</v>
      </c>
      <c r="B11840" t="s">
        <v>24</v>
      </c>
      <c r="C11840">
        <v>71350</v>
      </c>
      <c r="D11840" t="str">
        <f>"71350"</f>
        <v>71350</v>
      </c>
      <c r="E11840">
        <v>56.73</v>
      </c>
    </row>
    <row r="11841" spans="1:5" x14ac:dyDescent="0.2">
      <c r="A11841">
        <v>71351</v>
      </c>
      <c r="B11841" t="s">
        <v>24</v>
      </c>
      <c r="C11841">
        <v>71351</v>
      </c>
      <c r="D11841" t="str">
        <f>"71351"</f>
        <v>71351</v>
      </c>
      <c r="E11841">
        <v>57.85</v>
      </c>
    </row>
    <row r="11842" spans="1:5" x14ac:dyDescent="0.2">
      <c r="A11842">
        <v>71353</v>
      </c>
      <c r="B11842" t="s">
        <v>24</v>
      </c>
      <c r="C11842">
        <v>71353</v>
      </c>
      <c r="D11842" t="str">
        <f>"71353"</f>
        <v>71353</v>
      </c>
      <c r="E11842">
        <v>55</v>
      </c>
    </row>
    <row r="11843" spans="1:5" x14ac:dyDescent="0.2">
      <c r="A11843">
        <v>71354</v>
      </c>
      <c r="B11843" t="s">
        <v>24</v>
      </c>
      <c r="C11843">
        <v>71354</v>
      </c>
      <c r="D11843" t="str">
        <f>"71354"</f>
        <v>71354</v>
      </c>
      <c r="E11843">
        <v>72.58</v>
      </c>
    </row>
    <row r="11844" spans="1:5" x14ac:dyDescent="0.2">
      <c r="A11844">
        <v>71355</v>
      </c>
      <c r="B11844" t="s">
        <v>24</v>
      </c>
      <c r="C11844">
        <v>71355</v>
      </c>
      <c r="D11844" t="str">
        <f>"71355"</f>
        <v>71355</v>
      </c>
      <c r="E11844">
        <v>65.77</v>
      </c>
    </row>
    <row r="11845" spans="1:5" x14ac:dyDescent="0.2">
      <c r="A11845">
        <v>71356</v>
      </c>
      <c r="B11845" t="s">
        <v>24</v>
      </c>
      <c r="C11845">
        <v>71356</v>
      </c>
      <c r="D11845" t="str">
        <f>"71356"</f>
        <v>71356</v>
      </c>
      <c r="E11845">
        <v>59.09</v>
      </c>
    </row>
    <row r="11846" spans="1:5" x14ac:dyDescent="0.2">
      <c r="A11846">
        <v>71357</v>
      </c>
      <c r="B11846" t="s">
        <v>24</v>
      </c>
      <c r="C11846">
        <v>71357</v>
      </c>
      <c r="D11846" t="str">
        <f>"71357"</f>
        <v>71357</v>
      </c>
      <c r="E11846">
        <v>57.38</v>
      </c>
    </row>
    <row r="11847" spans="1:5" x14ac:dyDescent="0.2">
      <c r="A11847">
        <v>71358</v>
      </c>
      <c r="B11847" t="s">
        <v>24</v>
      </c>
      <c r="C11847">
        <v>71358</v>
      </c>
      <c r="D11847" t="str">
        <f>"71358"</f>
        <v>71358</v>
      </c>
      <c r="E11847">
        <v>60.47</v>
      </c>
    </row>
    <row r="11848" spans="1:5" x14ac:dyDescent="0.2">
      <c r="A11848">
        <v>71360</v>
      </c>
      <c r="B11848" t="s">
        <v>24</v>
      </c>
      <c r="C11848">
        <v>71360</v>
      </c>
      <c r="D11848" t="str">
        <f>"71360"</f>
        <v>71360</v>
      </c>
      <c r="E11848">
        <v>67.489999999999995</v>
      </c>
    </row>
    <row r="11849" spans="1:5" x14ac:dyDescent="0.2">
      <c r="A11849">
        <v>71362</v>
      </c>
      <c r="B11849" t="s">
        <v>24</v>
      </c>
      <c r="C11849">
        <v>71362</v>
      </c>
      <c r="D11849" t="str">
        <f>"71362"</f>
        <v>71362</v>
      </c>
      <c r="E11849">
        <v>67.86</v>
      </c>
    </row>
    <row r="11850" spans="1:5" x14ac:dyDescent="0.2">
      <c r="A11850">
        <v>71363</v>
      </c>
      <c r="B11850" t="s">
        <v>24</v>
      </c>
      <c r="C11850">
        <v>71363</v>
      </c>
      <c r="D11850" t="str">
        <f>"71363"</f>
        <v>71363</v>
      </c>
      <c r="E11850" t="s">
        <v>6</v>
      </c>
    </row>
    <row r="11851" spans="1:5" x14ac:dyDescent="0.2">
      <c r="A11851">
        <v>71366</v>
      </c>
      <c r="B11851" t="s">
        <v>24</v>
      </c>
      <c r="C11851">
        <v>71366</v>
      </c>
      <c r="D11851" t="str">
        <f>"71366"</f>
        <v>71366</v>
      </c>
      <c r="E11851">
        <v>59.7</v>
      </c>
    </row>
    <row r="11852" spans="1:5" x14ac:dyDescent="0.2">
      <c r="A11852">
        <v>71367</v>
      </c>
      <c r="B11852" t="s">
        <v>24</v>
      </c>
      <c r="C11852">
        <v>71367</v>
      </c>
      <c r="D11852" t="str">
        <f>"71367"</f>
        <v>71367</v>
      </c>
      <c r="E11852">
        <v>65.959999999999994</v>
      </c>
    </row>
    <row r="11853" spans="1:5" x14ac:dyDescent="0.2">
      <c r="A11853">
        <v>71368</v>
      </c>
      <c r="B11853" t="s">
        <v>24</v>
      </c>
      <c r="C11853">
        <v>71368</v>
      </c>
      <c r="D11853" t="str">
        <f>"71368"</f>
        <v>71368</v>
      </c>
      <c r="E11853">
        <v>57.14</v>
      </c>
    </row>
    <row r="11854" spans="1:5" x14ac:dyDescent="0.2">
      <c r="A11854">
        <v>71369</v>
      </c>
      <c r="B11854" t="s">
        <v>24</v>
      </c>
      <c r="C11854">
        <v>71369</v>
      </c>
      <c r="D11854" t="str">
        <f>"71369"</f>
        <v>71369</v>
      </c>
      <c r="E11854">
        <v>49.47</v>
      </c>
    </row>
    <row r="11855" spans="1:5" x14ac:dyDescent="0.2">
      <c r="A11855">
        <v>71371</v>
      </c>
      <c r="B11855" t="s">
        <v>24</v>
      </c>
      <c r="C11855">
        <v>71371</v>
      </c>
      <c r="D11855" t="str">
        <f>"71371"</f>
        <v>71371</v>
      </c>
      <c r="E11855">
        <v>72.86</v>
      </c>
    </row>
    <row r="11856" spans="1:5" x14ac:dyDescent="0.2">
      <c r="A11856">
        <v>71373</v>
      </c>
      <c r="B11856" t="s">
        <v>24</v>
      </c>
      <c r="C11856">
        <v>71373</v>
      </c>
      <c r="D11856" t="str">
        <f>"71373"</f>
        <v>71373</v>
      </c>
      <c r="E11856">
        <v>62.04</v>
      </c>
    </row>
    <row r="11857" spans="1:5" x14ac:dyDescent="0.2">
      <c r="A11857">
        <v>71375</v>
      </c>
      <c r="B11857" t="s">
        <v>24</v>
      </c>
      <c r="C11857">
        <v>71375</v>
      </c>
      <c r="D11857" t="str">
        <f>"71375"</f>
        <v>71375</v>
      </c>
      <c r="E11857">
        <v>47.22</v>
      </c>
    </row>
    <row r="11858" spans="1:5" x14ac:dyDescent="0.2">
      <c r="A11858">
        <v>71378</v>
      </c>
      <c r="B11858" t="s">
        <v>24</v>
      </c>
      <c r="C11858">
        <v>71378</v>
      </c>
      <c r="D11858" t="str">
        <f>"71378"</f>
        <v>71378</v>
      </c>
      <c r="E11858">
        <v>54.22</v>
      </c>
    </row>
    <row r="11859" spans="1:5" x14ac:dyDescent="0.2">
      <c r="A11859">
        <v>71401</v>
      </c>
      <c r="B11859" t="s">
        <v>24</v>
      </c>
      <c r="C11859">
        <v>71401</v>
      </c>
      <c r="D11859" t="str">
        <f>"71401"</f>
        <v>71401</v>
      </c>
      <c r="E11859" t="s">
        <v>6</v>
      </c>
    </row>
    <row r="11860" spans="1:5" x14ac:dyDescent="0.2">
      <c r="A11860">
        <v>71403</v>
      </c>
      <c r="B11860" t="s">
        <v>24</v>
      </c>
      <c r="C11860">
        <v>71403</v>
      </c>
      <c r="D11860" t="str">
        <f>"71403"</f>
        <v>71403</v>
      </c>
      <c r="E11860">
        <v>72.38</v>
      </c>
    </row>
    <row r="11861" spans="1:5" x14ac:dyDescent="0.2">
      <c r="A11861">
        <v>71404</v>
      </c>
      <c r="B11861" t="s">
        <v>24</v>
      </c>
      <c r="C11861">
        <v>71404</v>
      </c>
      <c r="D11861" t="str">
        <f>"71404"</f>
        <v>71404</v>
      </c>
      <c r="E11861">
        <v>70</v>
      </c>
    </row>
    <row r="11862" spans="1:5" x14ac:dyDescent="0.2">
      <c r="A11862">
        <v>71405</v>
      </c>
      <c r="B11862" t="s">
        <v>24</v>
      </c>
      <c r="C11862">
        <v>71405</v>
      </c>
      <c r="D11862" t="str">
        <f>"71405"</f>
        <v>71405</v>
      </c>
      <c r="E11862">
        <v>66.81</v>
      </c>
    </row>
    <row r="11863" spans="1:5" x14ac:dyDescent="0.2">
      <c r="A11863">
        <v>71406</v>
      </c>
      <c r="B11863" t="s">
        <v>24</v>
      </c>
      <c r="C11863">
        <v>71406</v>
      </c>
      <c r="D11863" t="str">
        <f>"71406"</f>
        <v>71406</v>
      </c>
      <c r="E11863" t="s">
        <v>6</v>
      </c>
    </row>
    <row r="11864" spans="1:5" x14ac:dyDescent="0.2">
      <c r="A11864">
        <v>71407</v>
      </c>
      <c r="B11864" t="s">
        <v>24</v>
      </c>
      <c r="C11864">
        <v>71407</v>
      </c>
      <c r="D11864" t="str">
        <f>"71407"</f>
        <v>71407</v>
      </c>
      <c r="E11864">
        <v>70</v>
      </c>
    </row>
    <row r="11865" spans="1:5" x14ac:dyDescent="0.2">
      <c r="A11865">
        <v>71409</v>
      </c>
      <c r="B11865" t="s">
        <v>24</v>
      </c>
      <c r="C11865">
        <v>71409</v>
      </c>
      <c r="D11865" t="str">
        <f>"71409"</f>
        <v>71409</v>
      </c>
      <c r="E11865">
        <v>68.3</v>
      </c>
    </row>
    <row r="11866" spans="1:5" x14ac:dyDescent="0.2">
      <c r="A11866">
        <v>71410</v>
      </c>
      <c r="B11866" t="s">
        <v>24</v>
      </c>
      <c r="C11866">
        <v>71410</v>
      </c>
      <c r="D11866" t="str">
        <f>"71410"</f>
        <v>71410</v>
      </c>
      <c r="E11866" t="s">
        <v>6</v>
      </c>
    </row>
    <row r="11867" spans="1:5" x14ac:dyDescent="0.2">
      <c r="A11867">
        <v>71411</v>
      </c>
      <c r="B11867" t="s">
        <v>24</v>
      </c>
      <c r="C11867">
        <v>71411</v>
      </c>
      <c r="D11867" t="str">
        <f>"71411"</f>
        <v>71411</v>
      </c>
      <c r="E11867">
        <v>59.81</v>
      </c>
    </row>
    <row r="11868" spans="1:5" x14ac:dyDescent="0.2">
      <c r="A11868">
        <v>71415</v>
      </c>
      <c r="B11868" t="s">
        <v>24</v>
      </c>
      <c r="C11868">
        <v>71415</v>
      </c>
      <c r="D11868" t="str">
        <f>"71415"</f>
        <v>71415</v>
      </c>
      <c r="E11868" t="s">
        <v>6</v>
      </c>
    </row>
    <row r="11869" spans="1:5" x14ac:dyDescent="0.2">
      <c r="A11869">
        <v>71416</v>
      </c>
      <c r="B11869" t="s">
        <v>24</v>
      </c>
      <c r="C11869">
        <v>71416</v>
      </c>
      <c r="D11869" t="str">
        <f>"71416"</f>
        <v>71416</v>
      </c>
      <c r="E11869">
        <v>60</v>
      </c>
    </row>
    <row r="11870" spans="1:5" x14ac:dyDescent="0.2">
      <c r="A11870">
        <v>71417</v>
      </c>
      <c r="B11870" t="s">
        <v>24</v>
      </c>
      <c r="C11870">
        <v>71417</v>
      </c>
      <c r="D11870" t="str">
        <f>"71417"</f>
        <v>71417</v>
      </c>
      <c r="E11870">
        <v>62.16</v>
      </c>
    </row>
    <row r="11871" spans="1:5" x14ac:dyDescent="0.2">
      <c r="A11871">
        <v>71418</v>
      </c>
      <c r="B11871" t="s">
        <v>24</v>
      </c>
      <c r="C11871">
        <v>71418</v>
      </c>
      <c r="D11871" t="str">
        <f>"71418"</f>
        <v>71418</v>
      </c>
      <c r="E11871">
        <v>63.68</v>
      </c>
    </row>
    <row r="11872" spans="1:5" x14ac:dyDescent="0.2">
      <c r="A11872">
        <v>71419</v>
      </c>
      <c r="B11872" t="s">
        <v>24</v>
      </c>
      <c r="C11872">
        <v>71419</v>
      </c>
      <c r="D11872" t="str">
        <f>"71419"</f>
        <v>71419</v>
      </c>
      <c r="E11872">
        <v>70.239999999999995</v>
      </c>
    </row>
    <row r="11873" spans="1:5" x14ac:dyDescent="0.2">
      <c r="A11873">
        <v>71422</v>
      </c>
      <c r="B11873" t="s">
        <v>24</v>
      </c>
      <c r="C11873">
        <v>71422</v>
      </c>
      <c r="D11873" t="str">
        <f>"71422"</f>
        <v>71422</v>
      </c>
      <c r="E11873">
        <v>69.23</v>
      </c>
    </row>
    <row r="11874" spans="1:5" x14ac:dyDescent="0.2">
      <c r="A11874">
        <v>71423</v>
      </c>
      <c r="B11874" t="s">
        <v>24</v>
      </c>
      <c r="C11874">
        <v>71423</v>
      </c>
      <c r="D11874" t="str">
        <f>"71423"</f>
        <v>71423</v>
      </c>
      <c r="E11874">
        <v>68.14</v>
      </c>
    </row>
    <row r="11875" spans="1:5" x14ac:dyDescent="0.2">
      <c r="A11875">
        <v>71424</v>
      </c>
      <c r="B11875" t="s">
        <v>24</v>
      </c>
      <c r="C11875">
        <v>71424</v>
      </c>
      <c r="D11875" t="str">
        <f>"71424"</f>
        <v>71424</v>
      </c>
      <c r="E11875">
        <v>71.7</v>
      </c>
    </row>
    <row r="11876" spans="1:5" x14ac:dyDescent="0.2">
      <c r="A11876">
        <v>71425</v>
      </c>
      <c r="B11876" t="s">
        <v>24</v>
      </c>
      <c r="C11876">
        <v>71425</v>
      </c>
      <c r="D11876" t="str">
        <f>"71425"</f>
        <v>71425</v>
      </c>
      <c r="E11876" t="s">
        <v>6</v>
      </c>
    </row>
    <row r="11877" spans="1:5" x14ac:dyDescent="0.2">
      <c r="A11877">
        <v>71426</v>
      </c>
      <c r="B11877" t="s">
        <v>24</v>
      </c>
      <c r="C11877">
        <v>71426</v>
      </c>
      <c r="D11877" t="str">
        <f>"71426"</f>
        <v>71426</v>
      </c>
      <c r="E11877" t="s">
        <v>6</v>
      </c>
    </row>
    <row r="11878" spans="1:5" x14ac:dyDescent="0.2">
      <c r="A11878">
        <v>71427</v>
      </c>
      <c r="B11878" t="s">
        <v>24</v>
      </c>
      <c r="C11878">
        <v>71427</v>
      </c>
      <c r="D11878" t="str">
        <f>"71427"</f>
        <v>71427</v>
      </c>
      <c r="E11878">
        <v>63.64</v>
      </c>
    </row>
    <row r="11879" spans="1:5" x14ac:dyDescent="0.2">
      <c r="A11879">
        <v>71429</v>
      </c>
      <c r="B11879" t="s">
        <v>24</v>
      </c>
      <c r="C11879">
        <v>71429</v>
      </c>
      <c r="D11879" t="str">
        <f>"71429"</f>
        <v>71429</v>
      </c>
      <c r="E11879">
        <v>65.52</v>
      </c>
    </row>
    <row r="11880" spans="1:5" x14ac:dyDescent="0.2">
      <c r="A11880">
        <v>71430</v>
      </c>
      <c r="B11880" t="s">
        <v>24</v>
      </c>
      <c r="C11880">
        <v>71430</v>
      </c>
      <c r="D11880" t="str">
        <f>"71430"</f>
        <v>71430</v>
      </c>
      <c r="E11880">
        <v>57.73</v>
      </c>
    </row>
    <row r="11881" spans="1:5" x14ac:dyDescent="0.2">
      <c r="A11881">
        <v>71432</v>
      </c>
      <c r="B11881" t="s">
        <v>24</v>
      </c>
      <c r="C11881">
        <v>71432</v>
      </c>
      <c r="D11881" t="str">
        <f>"71432"</f>
        <v>71432</v>
      </c>
      <c r="E11881">
        <v>69.05</v>
      </c>
    </row>
    <row r="11882" spans="1:5" x14ac:dyDescent="0.2">
      <c r="A11882">
        <v>71433</v>
      </c>
      <c r="B11882" t="s">
        <v>24</v>
      </c>
      <c r="C11882">
        <v>71433</v>
      </c>
      <c r="D11882" t="str">
        <f>"71433"</f>
        <v>71433</v>
      </c>
      <c r="E11882">
        <v>63.8</v>
      </c>
    </row>
    <row r="11883" spans="1:5" x14ac:dyDescent="0.2">
      <c r="A11883">
        <v>71434</v>
      </c>
      <c r="B11883" t="s">
        <v>24</v>
      </c>
      <c r="C11883">
        <v>71434</v>
      </c>
      <c r="D11883" t="str">
        <f>"71434"</f>
        <v>71434</v>
      </c>
      <c r="E11883" t="s">
        <v>6</v>
      </c>
    </row>
    <row r="11884" spans="1:5" x14ac:dyDescent="0.2">
      <c r="A11884">
        <v>71435</v>
      </c>
      <c r="B11884" t="s">
        <v>24</v>
      </c>
      <c r="C11884">
        <v>71435</v>
      </c>
      <c r="D11884" t="str">
        <f>"71435"</f>
        <v>71435</v>
      </c>
      <c r="E11884">
        <v>70.69</v>
      </c>
    </row>
    <row r="11885" spans="1:5" x14ac:dyDescent="0.2">
      <c r="A11885">
        <v>71438</v>
      </c>
      <c r="B11885" t="s">
        <v>24</v>
      </c>
      <c r="C11885">
        <v>71438</v>
      </c>
      <c r="D11885" t="str">
        <f>"71438"</f>
        <v>71438</v>
      </c>
      <c r="E11885">
        <v>71.430000000000007</v>
      </c>
    </row>
    <row r="11886" spans="1:5" x14ac:dyDescent="0.2">
      <c r="A11886">
        <v>71439</v>
      </c>
      <c r="B11886" t="s">
        <v>24</v>
      </c>
      <c r="C11886">
        <v>71439</v>
      </c>
      <c r="D11886" t="str">
        <f>"71439"</f>
        <v>71439</v>
      </c>
      <c r="E11886">
        <v>73.239999999999995</v>
      </c>
    </row>
    <row r="11887" spans="1:5" x14ac:dyDescent="0.2">
      <c r="A11887">
        <v>71440</v>
      </c>
      <c r="B11887" t="s">
        <v>24</v>
      </c>
      <c r="C11887">
        <v>71440</v>
      </c>
      <c r="D11887" t="str">
        <f>"71440"</f>
        <v>71440</v>
      </c>
      <c r="E11887" t="s">
        <v>6</v>
      </c>
    </row>
    <row r="11888" spans="1:5" x14ac:dyDescent="0.2">
      <c r="A11888">
        <v>71441</v>
      </c>
      <c r="B11888" t="s">
        <v>24</v>
      </c>
      <c r="C11888">
        <v>71441</v>
      </c>
      <c r="D11888" t="str">
        <f>"71441"</f>
        <v>71441</v>
      </c>
      <c r="E11888">
        <v>60</v>
      </c>
    </row>
    <row r="11889" spans="1:5" x14ac:dyDescent="0.2">
      <c r="A11889">
        <v>71446</v>
      </c>
      <c r="B11889" t="s">
        <v>24</v>
      </c>
      <c r="C11889">
        <v>71446</v>
      </c>
      <c r="D11889" t="str">
        <f>"71446"</f>
        <v>71446</v>
      </c>
      <c r="E11889">
        <v>67.900000000000006</v>
      </c>
    </row>
    <row r="11890" spans="1:5" x14ac:dyDescent="0.2">
      <c r="A11890">
        <v>71447</v>
      </c>
      <c r="B11890" t="s">
        <v>24</v>
      </c>
      <c r="C11890">
        <v>71447</v>
      </c>
      <c r="D11890" t="str">
        <f>"71447"</f>
        <v>71447</v>
      </c>
      <c r="E11890">
        <v>68.42</v>
      </c>
    </row>
    <row r="11891" spans="1:5" x14ac:dyDescent="0.2">
      <c r="A11891">
        <v>71448</v>
      </c>
      <c r="B11891" t="s">
        <v>24</v>
      </c>
      <c r="C11891">
        <v>71448</v>
      </c>
      <c r="D11891" t="str">
        <f>"71448"</f>
        <v>71448</v>
      </c>
      <c r="E11891" t="s">
        <v>6</v>
      </c>
    </row>
    <row r="11892" spans="1:5" x14ac:dyDescent="0.2">
      <c r="A11892">
        <v>71449</v>
      </c>
      <c r="B11892" t="s">
        <v>24</v>
      </c>
      <c r="C11892">
        <v>71449</v>
      </c>
      <c r="D11892" t="str">
        <f>"71449"</f>
        <v>71449</v>
      </c>
      <c r="E11892">
        <v>61.32</v>
      </c>
    </row>
    <row r="11893" spans="1:5" x14ac:dyDescent="0.2">
      <c r="A11893">
        <v>71450</v>
      </c>
      <c r="B11893" t="s">
        <v>24</v>
      </c>
      <c r="C11893">
        <v>71450</v>
      </c>
      <c r="D11893" t="str">
        <f>"71450"</f>
        <v>71450</v>
      </c>
      <c r="E11893">
        <v>61.11</v>
      </c>
    </row>
    <row r="11894" spans="1:5" x14ac:dyDescent="0.2">
      <c r="A11894">
        <v>71452</v>
      </c>
      <c r="B11894" t="s">
        <v>24</v>
      </c>
      <c r="C11894">
        <v>71452</v>
      </c>
      <c r="D11894" t="str">
        <f>"71452"</f>
        <v>71452</v>
      </c>
      <c r="E11894" t="s">
        <v>6</v>
      </c>
    </row>
    <row r="11895" spans="1:5" x14ac:dyDescent="0.2">
      <c r="A11895">
        <v>71454</v>
      </c>
      <c r="B11895" t="s">
        <v>24</v>
      </c>
      <c r="C11895">
        <v>71454</v>
      </c>
      <c r="D11895" t="str">
        <f>"71454"</f>
        <v>71454</v>
      </c>
      <c r="E11895">
        <v>67.05</v>
      </c>
    </row>
    <row r="11896" spans="1:5" x14ac:dyDescent="0.2">
      <c r="A11896">
        <v>71455</v>
      </c>
      <c r="B11896" t="s">
        <v>24</v>
      </c>
      <c r="C11896">
        <v>71455</v>
      </c>
      <c r="D11896" t="str">
        <f>"71455"</f>
        <v>71455</v>
      </c>
      <c r="E11896" t="s">
        <v>6</v>
      </c>
    </row>
    <row r="11897" spans="1:5" x14ac:dyDescent="0.2">
      <c r="A11897">
        <v>71456</v>
      </c>
      <c r="B11897" t="s">
        <v>24</v>
      </c>
      <c r="C11897">
        <v>71456</v>
      </c>
      <c r="D11897" t="str">
        <f>"71456"</f>
        <v>71456</v>
      </c>
      <c r="E11897">
        <v>64.150000000000006</v>
      </c>
    </row>
    <row r="11898" spans="1:5" x14ac:dyDescent="0.2">
      <c r="A11898">
        <v>71457</v>
      </c>
      <c r="B11898" t="s">
        <v>24</v>
      </c>
      <c r="C11898">
        <v>71457</v>
      </c>
      <c r="D11898" t="str">
        <f>"71457"</f>
        <v>71457</v>
      </c>
      <c r="E11898">
        <v>60.1</v>
      </c>
    </row>
    <row r="11899" spans="1:5" x14ac:dyDescent="0.2">
      <c r="A11899">
        <v>71459</v>
      </c>
      <c r="B11899" t="s">
        <v>24</v>
      </c>
      <c r="C11899">
        <v>71459</v>
      </c>
      <c r="D11899" t="str">
        <f>"71459"</f>
        <v>71459</v>
      </c>
      <c r="E11899">
        <v>65.75</v>
      </c>
    </row>
    <row r="11900" spans="1:5" x14ac:dyDescent="0.2">
      <c r="A11900">
        <v>71461</v>
      </c>
      <c r="B11900" t="s">
        <v>24</v>
      </c>
      <c r="C11900">
        <v>71461</v>
      </c>
      <c r="D11900" t="str">
        <f>"71461"</f>
        <v>71461</v>
      </c>
      <c r="E11900">
        <v>64.599999999999994</v>
      </c>
    </row>
    <row r="11901" spans="1:5" x14ac:dyDescent="0.2">
      <c r="A11901">
        <v>71462</v>
      </c>
      <c r="B11901" t="s">
        <v>24</v>
      </c>
      <c r="C11901">
        <v>71462</v>
      </c>
      <c r="D11901" t="str">
        <f>"71462"</f>
        <v>71462</v>
      </c>
      <c r="E11901">
        <v>66.069999999999993</v>
      </c>
    </row>
    <row r="11902" spans="1:5" x14ac:dyDescent="0.2">
      <c r="A11902">
        <v>71463</v>
      </c>
      <c r="B11902" t="s">
        <v>24</v>
      </c>
      <c r="C11902">
        <v>71463</v>
      </c>
      <c r="D11902" t="str">
        <f>"71463"</f>
        <v>71463</v>
      </c>
      <c r="E11902">
        <v>60.98</v>
      </c>
    </row>
    <row r="11903" spans="1:5" x14ac:dyDescent="0.2">
      <c r="A11903">
        <v>71465</v>
      </c>
      <c r="B11903" t="s">
        <v>24</v>
      </c>
      <c r="C11903">
        <v>71465</v>
      </c>
      <c r="D11903" t="str">
        <f>"71465"</f>
        <v>71465</v>
      </c>
      <c r="E11903">
        <v>67.27</v>
      </c>
    </row>
    <row r="11904" spans="1:5" x14ac:dyDescent="0.2">
      <c r="A11904">
        <v>71466</v>
      </c>
      <c r="B11904" t="s">
        <v>24</v>
      </c>
      <c r="C11904">
        <v>71466</v>
      </c>
      <c r="D11904" t="str">
        <f>"71466"</f>
        <v>71466</v>
      </c>
      <c r="E11904">
        <v>69.569999999999993</v>
      </c>
    </row>
    <row r="11905" spans="1:5" x14ac:dyDescent="0.2">
      <c r="A11905">
        <v>71467</v>
      </c>
      <c r="B11905" t="s">
        <v>24</v>
      </c>
      <c r="C11905">
        <v>71467</v>
      </c>
      <c r="D11905" t="str">
        <f>"71467"</f>
        <v>71467</v>
      </c>
      <c r="E11905">
        <v>69.63</v>
      </c>
    </row>
    <row r="11906" spans="1:5" x14ac:dyDescent="0.2">
      <c r="A11906">
        <v>71468</v>
      </c>
      <c r="B11906" t="s">
        <v>24</v>
      </c>
      <c r="C11906">
        <v>71468</v>
      </c>
      <c r="D11906" t="str">
        <f>"71468"</f>
        <v>71468</v>
      </c>
      <c r="E11906">
        <v>65.709999999999994</v>
      </c>
    </row>
    <row r="11907" spans="1:5" x14ac:dyDescent="0.2">
      <c r="A11907">
        <v>71469</v>
      </c>
      <c r="B11907" t="s">
        <v>24</v>
      </c>
      <c r="C11907">
        <v>71469</v>
      </c>
      <c r="D11907" t="str">
        <f>"71469"</f>
        <v>71469</v>
      </c>
      <c r="E11907">
        <v>64.489999999999995</v>
      </c>
    </row>
    <row r="11908" spans="1:5" x14ac:dyDescent="0.2">
      <c r="A11908">
        <v>71472</v>
      </c>
      <c r="B11908" t="s">
        <v>24</v>
      </c>
      <c r="C11908">
        <v>71472</v>
      </c>
      <c r="D11908" t="str">
        <f>"71472"</f>
        <v>71472</v>
      </c>
      <c r="E11908">
        <v>69.23</v>
      </c>
    </row>
    <row r="11909" spans="1:5" x14ac:dyDescent="0.2">
      <c r="A11909">
        <v>71473</v>
      </c>
      <c r="B11909" t="s">
        <v>24</v>
      </c>
      <c r="C11909">
        <v>71473</v>
      </c>
      <c r="D11909" t="str">
        <f>"71473"</f>
        <v>71473</v>
      </c>
      <c r="E11909">
        <v>68.75</v>
      </c>
    </row>
    <row r="11910" spans="1:5" x14ac:dyDescent="0.2">
      <c r="A11910">
        <v>71474</v>
      </c>
      <c r="B11910" t="s">
        <v>24</v>
      </c>
      <c r="C11910">
        <v>71474</v>
      </c>
      <c r="D11910" t="str">
        <f>"71474"</f>
        <v>71474</v>
      </c>
      <c r="E11910" t="s">
        <v>6</v>
      </c>
    </row>
    <row r="11911" spans="1:5" x14ac:dyDescent="0.2">
      <c r="A11911">
        <v>71479</v>
      </c>
      <c r="B11911" t="s">
        <v>24</v>
      </c>
      <c r="C11911">
        <v>71479</v>
      </c>
      <c r="D11911" t="str">
        <f>"71479"</f>
        <v>71479</v>
      </c>
      <c r="E11911">
        <v>70.83</v>
      </c>
    </row>
    <row r="11912" spans="1:5" x14ac:dyDescent="0.2">
      <c r="A11912">
        <v>71483</v>
      </c>
      <c r="B11912" t="s">
        <v>24</v>
      </c>
      <c r="C11912">
        <v>71483</v>
      </c>
      <c r="D11912" t="str">
        <f>"71483"</f>
        <v>71483</v>
      </c>
      <c r="E11912">
        <v>60.6</v>
      </c>
    </row>
    <row r="11913" spans="1:5" x14ac:dyDescent="0.2">
      <c r="A11913">
        <v>71485</v>
      </c>
      <c r="B11913" t="s">
        <v>24</v>
      </c>
      <c r="C11913">
        <v>71485</v>
      </c>
      <c r="D11913" t="str">
        <f>"71485"</f>
        <v>71485</v>
      </c>
      <c r="E11913">
        <v>76.42</v>
      </c>
    </row>
    <row r="11914" spans="1:5" x14ac:dyDescent="0.2">
      <c r="A11914">
        <v>71486</v>
      </c>
      <c r="B11914" t="s">
        <v>24</v>
      </c>
      <c r="C11914">
        <v>71486</v>
      </c>
      <c r="D11914" t="str">
        <f>"71486"</f>
        <v>71486</v>
      </c>
      <c r="E11914">
        <v>59.17</v>
      </c>
    </row>
    <row r="11915" spans="1:5" x14ac:dyDescent="0.2">
      <c r="A11915" t="str">
        <f>"01001"</f>
        <v>01001</v>
      </c>
      <c r="B11915" t="s">
        <v>25</v>
      </c>
      <c r="C11915">
        <v>1001</v>
      </c>
      <c r="D11915" t="str">
        <f>"01001"</f>
        <v>01001</v>
      </c>
      <c r="E11915">
        <v>78.7</v>
      </c>
    </row>
    <row r="11916" spans="1:5" x14ac:dyDescent="0.2">
      <c r="A11916" t="str">
        <f>"01002"</f>
        <v>01002</v>
      </c>
      <c r="B11916" t="s">
        <v>25</v>
      </c>
      <c r="C11916">
        <v>1002</v>
      </c>
      <c r="D11916" t="str">
        <f>"01002"</f>
        <v>01002</v>
      </c>
      <c r="E11916">
        <v>76.180000000000007</v>
      </c>
    </row>
    <row r="11917" spans="1:5" x14ac:dyDescent="0.2">
      <c r="A11917" t="str">
        <f>"01003"</f>
        <v>01003</v>
      </c>
      <c r="B11917" t="s">
        <v>25</v>
      </c>
      <c r="C11917">
        <v>1003</v>
      </c>
      <c r="D11917" t="str">
        <f>"01003"</f>
        <v>01003</v>
      </c>
      <c r="E11917" t="s">
        <v>6</v>
      </c>
    </row>
    <row r="11918" spans="1:5" x14ac:dyDescent="0.2">
      <c r="A11918" t="str">
        <f>"01005"</f>
        <v>01005</v>
      </c>
      <c r="B11918" t="s">
        <v>25</v>
      </c>
      <c r="C11918">
        <v>1005</v>
      </c>
      <c r="D11918" t="str">
        <f>"01005"</f>
        <v>01005</v>
      </c>
      <c r="E11918">
        <v>78.75</v>
      </c>
    </row>
    <row r="11919" spans="1:5" x14ac:dyDescent="0.2">
      <c r="A11919" t="str">
        <f>"01007"</f>
        <v>01007</v>
      </c>
      <c r="B11919" t="s">
        <v>25</v>
      </c>
      <c r="C11919">
        <v>1007</v>
      </c>
      <c r="D11919" t="str">
        <f>"01007"</f>
        <v>01007</v>
      </c>
      <c r="E11919">
        <v>81.13</v>
      </c>
    </row>
    <row r="11920" spans="1:5" x14ac:dyDescent="0.2">
      <c r="A11920" t="str">
        <f>"01008"</f>
        <v>01008</v>
      </c>
      <c r="B11920" t="s">
        <v>25</v>
      </c>
      <c r="C11920">
        <v>1008</v>
      </c>
      <c r="D11920" t="str">
        <f>"01008"</f>
        <v>01008</v>
      </c>
      <c r="E11920">
        <v>81.540000000000006</v>
      </c>
    </row>
    <row r="11921" spans="1:5" x14ac:dyDescent="0.2">
      <c r="A11921" t="str">
        <f>"01009"</f>
        <v>01009</v>
      </c>
      <c r="B11921" t="s">
        <v>25</v>
      </c>
      <c r="C11921">
        <v>1009</v>
      </c>
      <c r="D11921" t="str">
        <f>"01009"</f>
        <v>01009</v>
      </c>
      <c r="E11921" t="s">
        <v>6</v>
      </c>
    </row>
    <row r="11922" spans="1:5" x14ac:dyDescent="0.2">
      <c r="A11922" t="str">
        <f>"01010"</f>
        <v>01010</v>
      </c>
      <c r="B11922" t="s">
        <v>25</v>
      </c>
      <c r="C11922">
        <v>1010</v>
      </c>
      <c r="D11922" t="str">
        <f>"01010"</f>
        <v>01010</v>
      </c>
      <c r="E11922">
        <v>80.31</v>
      </c>
    </row>
    <row r="11923" spans="1:5" x14ac:dyDescent="0.2">
      <c r="A11923" t="str">
        <f>"01011"</f>
        <v>01011</v>
      </c>
      <c r="B11923" t="s">
        <v>25</v>
      </c>
      <c r="C11923">
        <v>1011</v>
      </c>
      <c r="D11923" t="str">
        <f>"01011"</f>
        <v>01011</v>
      </c>
      <c r="E11923">
        <v>77.42</v>
      </c>
    </row>
    <row r="11924" spans="1:5" x14ac:dyDescent="0.2">
      <c r="A11924" t="str">
        <f>"01012"</f>
        <v>01012</v>
      </c>
      <c r="B11924" t="s">
        <v>25</v>
      </c>
      <c r="C11924">
        <v>1012</v>
      </c>
      <c r="D11924" t="str">
        <f>"01012"</f>
        <v>01012</v>
      </c>
      <c r="E11924">
        <v>77.14</v>
      </c>
    </row>
    <row r="11925" spans="1:5" x14ac:dyDescent="0.2">
      <c r="A11925" t="str">
        <f>"01013"</f>
        <v>01013</v>
      </c>
      <c r="B11925" t="s">
        <v>25</v>
      </c>
      <c r="C11925">
        <v>1013</v>
      </c>
      <c r="D11925" t="str">
        <f>"01013"</f>
        <v>01013</v>
      </c>
      <c r="E11925">
        <v>68.25</v>
      </c>
    </row>
    <row r="11926" spans="1:5" x14ac:dyDescent="0.2">
      <c r="A11926" t="str">
        <f>"01020"</f>
        <v>01020</v>
      </c>
      <c r="B11926" t="s">
        <v>25</v>
      </c>
      <c r="C11926">
        <v>1020</v>
      </c>
      <c r="D11926" t="str">
        <f>"01020"</f>
        <v>01020</v>
      </c>
      <c r="E11926">
        <v>76.05</v>
      </c>
    </row>
    <row r="11927" spans="1:5" x14ac:dyDescent="0.2">
      <c r="A11927" t="str">
        <f>"01022"</f>
        <v>01022</v>
      </c>
      <c r="B11927" t="s">
        <v>25</v>
      </c>
      <c r="C11927">
        <v>1022</v>
      </c>
      <c r="D11927" t="str">
        <f>"01022"</f>
        <v>01022</v>
      </c>
      <c r="E11927">
        <v>79.13</v>
      </c>
    </row>
    <row r="11928" spans="1:5" x14ac:dyDescent="0.2">
      <c r="A11928" t="str">
        <f>"01026"</f>
        <v>01026</v>
      </c>
      <c r="B11928" t="s">
        <v>25</v>
      </c>
      <c r="C11928">
        <v>1026</v>
      </c>
      <c r="D11928" t="str">
        <f>"01026"</f>
        <v>01026</v>
      </c>
      <c r="E11928">
        <v>72.55</v>
      </c>
    </row>
    <row r="11929" spans="1:5" x14ac:dyDescent="0.2">
      <c r="A11929" t="str">
        <f>"01027"</f>
        <v>01027</v>
      </c>
      <c r="B11929" t="s">
        <v>25</v>
      </c>
      <c r="C11929">
        <v>1027</v>
      </c>
      <c r="D11929" t="str">
        <f>"01027"</f>
        <v>01027</v>
      </c>
      <c r="E11929">
        <v>80.239999999999995</v>
      </c>
    </row>
    <row r="11930" spans="1:5" x14ac:dyDescent="0.2">
      <c r="A11930" t="str">
        <f>"01028"</f>
        <v>01028</v>
      </c>
      <c r="B11930" t="s">
        <v>25</v>
      </c>
      <c r="C11930">
        <v>1028</v>
      </c>
      <c r="D11930" t="str">
        <f>"01028"</f>
        <v>01028</v>
      </c>
      <c r="E11930">
        <v>79.62</v>
      </c>
    </row>
    <row r="11931" spans="1:5" x14ac:dyDescent="0.2">
      <c r="A11931" t="str">
        <f>"01029"</f>
        <v>01029</v>
      </c>
      <c r="B11931" t="s">
        <v>25</v>
      </c>
      <c r="C11931">
        <v>1029</v>
      </c>
      <c r="D11931" t="str">
        <f>"01029"</f>
        <v>01029</v>
      </c>
      <c r="E11931" t="s">
        <v>6</v>
      </c>
    </row>
    <row r="11932" spans="1:5" x14ac:dyDescent="0.2">
      <c r="A11932" t="str">
        <f>"01030"</f>
        <v>01030</v>
      </c>
      <c r="B11932" t="s">
        <v>25</v>
      </c>
      <c r="C11932">
        <v>1030</v>
      </c>
      <c r="D11932" t="str">
        <f>"01030"</f>
        <v>01030</v>
      </c>
      <c r="E11932">
        <v>78.91</v>
      </c>
    </row>
    <row r="11933" spans="1:5" x14ac:dyDescent="0.2">
      <c r="A11933" t="str">
        <f>"01031"</f>
        <v>01031</v>
      </c>
      <c r="B11933" t="s">
        <v>25</v>
      </c>
      <c r="C11933">
        <v>1031</v>
      </c>
      <c r="D11933" t="str">
        <f>"01031"</f>
        <v>01031</v>
      </c>
      <c r="E11933">
        <v>70.37</v>
      </c>
    </row>
    <row r="11934" spans="1:5" x14ac:dyDescent="0.2">
      <c r="A11934" t="str">
        <f>"01032"</f>
        <v>01032</v>
      </c>
      <c r="B11934" t="s">
        <v>25</v>
      </c>
      <c r="C11934">
        <v>1032</v>
      </c>
      <c r="D11934" t="str">
        <f>"01032"</f>
        <v>01032</v>
      </c>
      <c r="E11934">
        <v>78.569999999999993</v>
      </c>
    </row>
    <row r="11935" spans="1:5" x14ac:dyDescent="0.2">
      <c r="A11935" t="str">
        <f>"01033"</f>
        <v>01033</v>
      </c>
      <c r="B11935" t="s">
        <v>25</v>
      </c>
      <c r="C11935">
        <v>1033</v>
      </c>
      <c r="D11935" t="str">
        <f>"01033"</f>
        <v>01033</v>
      </c>
      <c r="E11935">
        <v>82.01</v>
      </c>
    </row>
    <row r="11936" spans="1:5" x14ac:dyDescent="0.2">
      <c r="A11936" t="str">
        <f>"01034"</f>
        <v>01034</v>
      </c>
      <c r="B11936" t="s">
        <v>25</v>
      </c>
      <c r="C11936">
        <v>1034</v>
      </c>
      <c r="D11936" t="str">
        <f>"01034"</f>
        <v>01034</v>
      </c>
      <c r="E11936">
        <v>77.88</v>
      </c>
    </row>
    <row r="11937" spans="1:5" x14ac:dyDescent="0.2">
      <c r="A11937" t="str">
        <f>"01035"</f>
        <v>01035</v>
      </c>
      <c r="B11937" t="s">
        <v>25</v>
      </c>
      <c r="C11937">
        <v>1035</v>
      </c>
      <c r="D11937" t="str">
        <f>"01035"</f>
        <v>01035</v>
      </c>
      <c r="E11937">
        <v>79.64</v>
      </c>
    </row>
    <row r="11938" spans="1:5" x14ac:dyDescent="0.2">
      <c r="A11938" t="str">
        <f>"01036"</f>
        <v>01036</v>
      </c>
      <c r="B11938" t="s">
        <v>25</v>
      </c>
      <c r="C11938">
        <v>1036</v>
      </c>
      <c r="D11938" t="str">
        <f>"01036"</f>
        <v>01036</v>
      </c>
      <c r="E11938">
        <v>82.33</v>
      </c>
    </row>
    <row r="11939" spans="1:5" x14ac:dyDescent="0.2">
      <c r="A11939" t="str">
        <f>"01037"</f>
        <v>01037</v>
      </c>
      <c r="B11939" t="s">
        <v>25</v>
      </c>
      <c r="C11939">
        <v>1037</v>
      </c>
      <c r="D11939" t="str">
        <f>"01037"</f>
        <v>01037</v>
      </c>
      <c r="E11939" t="s">
        <v>6</v>
      </c>
    </row>
    <row r="11940" spans="1:5" x14ac:dyDescent="0.2">
      <c r="A11940" t="str">
        <f>"01038"</f>
        <v>01038</v>
      </c>
      <c r="B11940" t="s">
        <v>25</v>
      </c>
      <c r="C11940">
        <v>1038</v>
      </c>
      <c r="D11940" t="str">
        <f>"01038"</f>
        <v>01038</v>
      </c>
      <c r="E11940">
        <v>81.95</v>
      </c>
    </row>
    <row r="11941" spans="1:5" x14ac:dyDescent="0.2">
      <c r="A11941" t="str">
        <f>"01039"</f>
        <v>01039</v>
      </c>
      <c r="B11941" t="s">
        <v>25</v>
      </c>
      <c r="C11941">
        <v>1039</v>
      </c>
      <c r="D11941" t="str">
        <f>"01039"</f>
        <v>01039</v>
      </c>
      <c r="E11941">
        <v>79.22</v>
      </c>
    </row>
    <row r="11942" spans="1:5" x14ac:dyDescent="0.2">
      <c r="A11942" t="str">
        <f>"01040"</f>
        <v>01040</v>
      </c>
      <c r="B11942" t="s">
        <v>25</v>
      </c>
      <c r="C11942">
        <v>1040</v>
      </c>
      <c r="D11942" t="str">
        <f>"01040"</f>
        <v>01040</v>
      </c>
      <c r="E11942">
        <v>66.61</v>
      </c>
    </row>
    <row r="11943" spans="1:5" x14ac:dyDescent="0.2">
      <c r="A11943" t="str">
        <f>"01050"</f>
        <v>01050</v>
      </c>
      <c r="B11943" t="s">
        <v>25</v>
      </c>
      <c r="C11943">
        <v>1050</v>
      </c>
      <c r="D11943" t="str">
        <f>"01050"</f>
        <v>01050</v>
      </c>
      <c r="E11943">
        <v>76.38</v>
      </c>
    </row>
    <row r="11944" spans="1:5" x14ac:dyDescent="0.2">
      <c r="A11944" t="str">
        <f>"01053"</f>
        <v>01053</v>
      </c>
      <c r="B11944" t="s">
        <v>25</v>
      </c>
      <c r="C11944">
        <v>1053</v>
      </c>
      <c r="D11944" t="str">
        <f>"01053"</f>
        <v>01053</v>
      </c>
      <c r="E11944">
        <v>78.260000000000005</v>
      </c>
    </row>
    <row r="11945" spans="1:5" x14ac:dyDescent="0.2">
      <c r="A11945" t="str">
        <f>"01054"</f>
        <v>01054</v>
      </c>
      <c r="B11945" t="s">
        <v>25</v>
      </c>
      <c r="C11945">
        <v>1054</v>
      </c>
      <c r="D11945" t="str">
        <f>"01054"</f>
        <v>01054</v>
      </c>
      <c r="E11945">
        <v>80.209999999999994</v>
      </c>
    </row>
    <row r="11946" spans="1:5" x14ac:dyDescent="0.2">
      <c r="A11946" t="str">
        <f>"01056"</f>
        <v>01056</v>
      </c>
      <c r="B11946" t="s">
        <v>25</v>
      </c>
      <c r="C11946">
        <v>1056</v>
      </c>
      <c r="D11946" t="str">
        <f>"01056"</f>
        <v>01056</v>
      </c>
      <c r="E11946">
        <v>78.75</v>
      </c>
    </row>
    <row r="11947" spans="1:5" x14ac:dyDescent="0.2">
      <c r="A11947" t="str">
        <f>"01057"</f>
        <v>01057</v>
      </c>
      <c r="B11947" t="s">
        <v>25</v>
      </c>
      <c r="C11947">
        <v>1057</v>
      </c>
      <c r="D11947" t="str">
        <f>"01057"</f>
        <v>01057</v>
      </c>
      <c r="E11947">
        <v>80.84</v>
      </c>
    </row>
    <row r="11948" spans="1:5" x14ac:dyDescent="0.2">
      <c r="A11948" t="str">
        <f>"01060"</f>
        <v>01060</v>
      </c>
      <c r="B11948" t="s">
        <v>25</v>
      </c>
      <c r="C11948">
        <v>1060</v>
      </c>
      <c r="D11948" t="str">
        <f>"01060"</f>
        <v>01060</v>
      </c>
      <c r="E11948">
        <v>79.78</v>
      </c>
    </row>
    <row r="11949" spans="1:5" x14ac:dyDescent="0.2">
      <c r="A11949" t="str">
        <f>"01062"</f>
        <v>01062</v>
      </c>
      <c r="B11949" t="s">
        <v>25</v>
      </c>
      <c r="C11949">
        <v>1062</v>
      </c>
      <c r="D11949" t="str">
        <f>"01062"</f>
        <v>01062</v>
      </c>
      <c r="E11949">
        <v>78.489999999999995</v>
      </c>
    </row>
    <row r="11950" spans="1:5" x14ac:dyDescent="0.2">
      <c r="A11950" t="str">
        <f>"01063"</f>
        <v>01063</v>
      </c>
      <c r="B11950" t="s">
        <v>25</v>
      </c>
      <c r="C11950">
        <v>1063</v>
      </c>
      <c r="D11950" t="str">
        <f>"01063"</f>
        <v>01063</v>
      </c>
      <c r="E11950" t="s">
        <v>6</v>
      </c>
    </row>
    <row r="11951" spans="1:5" x14ac:dyDescent="0.2">
      <c r="A11951" t="str">
        <f>"01066"</f>
        <v>01066</v>
      </c>
      <c r="B11951" t="s">
        <v>25</v>
      </c>
      <c r="C11951">
        <v>1066</v>
      </c>
      <c r="D11951" t="str">
        <f>"01066"</f>
        <v>01066</v>
      </c>
      <c r="E11951" t="s">
        <v>6</v>
      </c>
    </row>
    <row r="11952" spans="1:5" x14ac:dyDescent="0.2">
      <c r="A11952" t="str">
        <f>"01068"</f>
        <v>01068</v>
      </c>
      <c r="B11952" t="s">
        <v>25</v>
      </c>
      <c r="C11952">
        <v>1068</v>
      </c>
      <c r="D11952" t="str">
        <f>"01068"</f>
        <v>01068</v>
      </c>
      <c r="E11952">
        <v>83.33</v>
      </c>
    </row>
    <row r="11953" spans="1:5" x14ac:dyDescent="0.2">
      <c r="A11953" t="str">
        <f>"01069"</f>
        <v>01069</v>
      </c>
      <c r="B11953" t="s">
        <v>25</v>
      </c>
      <c r="C11953">
        <v>1069</v>
      </c>
      <c r="D11953" t="str">
        <f>"01069"</f>
        <v>01069</v>
      </c>
      <c r="E11953">
        <v>78.349999999999994</v>
      </c>
    </row>
    <row r="11954" spans="1:5" x14ac:dyDescent="0.2">
      <c r="A11954" t="str">
        <f>"01070"</f>
        <v>01070</v>
      </c>
      <c r="B11954" t="s">
        <v>25</v>
      </c>
      <c r="C11954">
        <v>1070</v>
      </c>
      <c r="D11954" t="str">
        <f>"01070"</f>
        <v>01070</v>
      </c>
      <c r="E11954">
        <v>71.88</v>
      </c>
    </row>
    <row r="11955" spans="1:5" x14ac:dyDescent="0.2">
      <c r="A11955" t="str">
        <f>"01071"</f>
        <v>01071</v>
      </c>
      <c r="B11955" t="s">
        <v>25</v>
      </c>
      <c r="C11955">
        <v>1071</v>
      </c>
      <c r="D11955" t="str">
        <f>"01071"</f>
        <v>01071</v>
      </c>
      <c r="E11955">
        <v>79.52</v>
      </c>
    </row>
    <row r="11956" spans="1:5" x14ac:dyDescent="0.2">
      <c r="A11956" t="str">
        <f>"01072"</f>
        <v>01072</v>
      </c>
      <c r="B11956" t="s">
        <v>25</v>
      </c>
      <c r="C11956">
        <v>1072</v>
      </c>
      <c r="D11956" t="str">
        <f>"01072"</f>
        <v>01072</v>
      </c>
      <c r="E11956">
        <v>75</v>
      </c>
    </row>
    <row r="11957" spans="1:5" x14ac:dyDescent="0.2">
      <c r="A11957" t="str">
        <f>"01073"</f>
        <v>01073</v>
      </c>
      <c r="B11957" t="s">
        <v>25</v>
      </c>
      <c r="C11957">
        <v>1073</v>
      </c>
      <c r="D11957" t="str">
        <f>"01073"</f>
        <v>01073</v>
      </c>
      <c r="E11957">
        <v>80.72</v>
      </c>
    </row>
    <row r="11958" spans="1:5" x14ac:dyDescent="0.2">
      <c r="A11958" t="str">
        <f>"01074"</f>
        <v>01074</v>
      </c>
      <c r="B11958" t="s">
        <v>25</v>
      </c>
      <c r="C11958">
        <v>1074</v>
      </c>
      <c r="D11958" t="str">
        <f>"01074"</f>
        <v>01074</v>
      </c>
      <c r="E11958" t="s">
        <v>6</v>
      </c>
    </row>
    <row r="11959" spans="1:5" x14ac:dyDescent="0.2">
      <c r="A11959" t="str">
        <f>"01075"</f>
        <v>01075</v>
      </c>
      <c r="B11959" t="s">
        <v>25</v>
      </c>
      <c r="C11959">
        <v>1075</v>
      </c>
      <c r="D11959" t="str">
        <f>"01075"</f>
        <v>01075</v>
      </c>
      <c r="E11959">
        <v>79.84</v>
      </c>
    </row>
    <row r="11960" spans="1:5" x14ac:dyDescent="0.2">
      <c r="A11960" t="str">
        <f>"01077"</f>
        <v>01077</v>
      </c>
      <c r="B11960" t="s">
        <v>25</v>
      </c>
      <c r="C11960">
        <v>1077</v>
      </c>
      <c r="D11960" t="str">
        <f>"01077"</f>
        <v>01077</v>
      </c>
      <c r="E11960">
        <v>79.8</v>
      </c>
    </row>
    <row r="11961" spans="1:5" x14ac:dyDescent="0.2">
      <c r="A11961" t="str">
        <f>"01079"</f>
        <v>01079</v>
      </c>
      <c r="B11961" t="s">
        <v>25</v>
      </c>
      <c r="C11961">
        <v>1079</v>
      </c>
      <c r="D11961" t="str">
        <f>"01079"</f>
        <v>01079</v>
      </c>
      <c r="E11961" t="s">
        <v>6</v>
      </c>
    </row>
    <row r="11962" spans="1:5" x14ac:dyDescent="0.2">
      <c r="A11962" t="str">
        <f>"01080"</f>
        <v>01080</v>
      </c>
      <c r="B11962" t="s">
        <v>25</v>
      </c>
      <c r="C11962">
        <v>1080</v>
      </c>
      <c r="D11962" t="str">
        <f>"01080"</f>
        <v>01080</v>
      </c>
      <c r="E11962">
        <v>73.28</v>
      </c>
    </row>
    <row r="11963" spans="1:5" x14ac:dyDescent="0.2">
      <c r="A11963" t="str">
        <f>"01081"</f>
        <v>01081</v>
      </c>
      <c r="B11963" t="s">
        <v>25</v>
      </c>
      <c r="C11963">
        <v>1081</v>
      </c>
      <c r="D11963" t="str">
        <f>"01081"</f>
        <v>01081</v>
      </c>
      <c r="E11963">
        <v>80.72</v>
      </c>
    </row>
    <row r="11964" spans="1:5" x14ac:dyDescent="0.2">
      <c r="A11964" t="str">
        <f>"01082"</f>
        <v>01082</v>
      </c>
      <c r="B11964" t="s">
        <v>25</v>
      </c>
      <c r="C11964">
        <v>1082</v>
      </c>
      <c r="D11964" t="str">
        <f>"01082"</f>
        <v>01082</v>
      </c>
      <c r="E11964">
        <v>75.69</v>
      </c>
    </row>
    <row r="11965" spans="1:5" x14ac:dyDescent="0.2">
      <c r="A11965" t="str">
        <f>"01083"</f>
        <v>01083</v>
      </c>
      <c r="B11965" t="s">
        <v>25</v>
      </c>
      <c r="C11965">
        <v>1083</v>
      </c>
      <c r="D11965" t="str">
        <f>"01083"</f>
        <v>01083</v>
      </c>
      <c r="E11965" t="s">
        <v>6</v>
      </c>
    </row>
    <row r="11966" spans="1:5" x14ac:dyDescent="0.2">
      <c r="A11966" t="str">
        <f>"01084"</f>
        <v>01084</v>
      </c>
      <c r="B11966" t="s">
        <v>25</v>
      </c>
      <c r="C11966">
        <v>1084</v>
      </c>
      <c r="D11966" t="str">
        <f>"01084"</f>
        <v>01084</v>
      </c>
      <c r="E11966" t="s">
        <v>6</v>
      </c>
    </row>
    <row r="11967" spans="1:5" x14ac:dyDescent="0.2">
      <c r="A11967" t="str">
        <f>"01085"</f>
        <v>01085</v>
      </c>
      <c r="B11967" t="s">
        <v>25</v>
      </c>
      <c r="C11967">
        <v>1085</v>
      </c>
      <c r="D11967" t="str">
        <f>"01085"</f>
        <v>01085</v>
      </c>
      <c r="E11967">
        <v>77.64</v>
      </c>
    </row>
    <row r="11968" spans="1:5" x14ac:dyDescent="0.2">
      <c r="A11968" t="str">
        <f>"01088"</f>
        <v>01088</v>
      </c>
      <c r="B11968" t="s">
        <v>25</v>
      </c>
      <c r="C11968">
        <v>1088</v>
      </c>
      <c r="D11968" t="str">
        <f>"01088"</f>
        <v>01088</v>
      </c>
      <c r="E11968">
        <v>84.85</v>
      </c>
    </row>
    <row r="11969" spans="1:5" x14ac:dyDescent="0.2">
      <c r="A11969" t="str">
        <f>"01089"</f>
        <v>01089</v>
      </c>
      <c r="B11969" t="s">
        <v>25</v>
      </c>
      <c r="C11969">
        <v>1089</v>
      </c>
      <c r="D11969" t="str">
        <f>"01089"</f>
        <v>01089</v>
      </c>
      <c r="E11969">
        <v>74.680000000000007</v>
      </c>
    </row>
    <row r="11970" spans="1:5" x14ac:dyDescent="0.2">
      <c r="A11970" t="str">
        <f>"01092"</f>
        <v>01092</v>
      </c>
      <c r="B11970" t="s">
        <v>25</v>
      </c>
      <c r="C11970">
        <v>1092</v>
      </c>
      <c r="D11970" t="str">
        <f>"01092"</f>
        <v>01092</v>
      </c>
      <c r="E11970" t="s">
        <v>6</v>
      </c>
    </row>
    <row r="11971" spans="1:5" x14ac:dyDescent="0.2">
      <c r="A11971" t="str">
        <f>"01093"</f>
        <v>01093</v>
      </c>
      <c r="B11971" t="s">
        <v>25</v>
      </c>
      <c r="C11971">
        <v>1093</v>
      </c>
      <c r="D11971" t="str">
        <f>"01093"</f>
        <v>01093</v>
      </c>
      <c r="E11971" t="s">
        <v>6</v>
      </c>
    </row>
    <row r="11972" spans="1:5" x14ac:dyDescent="0.2">
      <c r="A11972" t="str">
        <f>"01095"</f>
        <v>01095</v>
      </c>
      <c r="B11972" t="s">
        <v>25</v>
      </c>
      <c r="C11972">
        <v>1095</v>
      </c>
      <c r="D11972" t="str">
        <f>"01095"</f>
        <v>01095</v>
      </c>
      <c r="E11972">
        <v>80.95</v>
      </c>
    </row>
    <row r="11973" spans="1:5" x14ac:dyDescent="0.2">
      <c r="A11973" t="str">
        <f>"01096"</f>
        <v>01096</v>
      </c>
      <c r="B11973" t="s">
        <v>25</v>
      </c>
      <c r="C11973">
        <v>1096</v>
      </c>
      <c r="D11973" t="str">
        <f>"01096"</f>
        <v>01096</v>
      </c>
      <c r="E11973">
        <v>78.290000000000006</v>
      </c>
    </row>
    <row r="11974" spans="1:5" x14ac:dyDescent="0.2">
      <c r="A11974" t="str">
        <f>"01097"</f>
        <v>01097</v>
      </c>
      <c r="B11974" t="s">
        <v>25</v>
      </c>
      <c r="C11974">
        <v>1097</v>
      </c>
      <c r="D11974" t="str">
        <f>"01097"</f>
        <v>01097</v>
      </c>
      <c r="E11974" t="s">
        <v>6</v>
      </c>
    </row>
    <row r="11975" spans="1:5" x14ac:dyDescent="0.2">
      <c r="A11975" t="str">
        <f>"01098"</f>
        <v>01098</v>
      </c>
      <c r="B11975" t="s">
        <v>25</v>
      </c>
      <c r="C11975">
        <v>1098</v>
      </c>
      <c r="D11975" t="str">
        <f>"01098"</f>
        <v>01098</v>
      </c>
      <c r="E11975">
        <v>76.19</v>
      </c>
    </row>
    <row r="11976" spans="1:5" x14ac:dyDescent="0.2">
      <c r="A11976" t="str">
        <f>"01103"</f>
        <v>01103</v>
      </c>
      <c r="B11976" t="s">
        <v>25</v>
      </c>
      <c r="C11976">
        <v>1103</v>
      </c>
      <c r="D11976" t="str">
        <f>"01103"</f>
        <v>01103</v>
      </c>
      <c r="E11976">
        <v>66.98</v>
      </c>
    </row>
    <row r="11977" spans="1:5" x14ac:dyDescent="0.2">
      <c r="A11977" t="str">
        <f>"01104"</f>
        <v>01104</v>
      </c>
      <c r="B11977" t="s">
        <v>25</v>
      </c>
      <c r="C11977">
        <v>1104</v>
      </c>
      <c r="D11977" t="str">
        <f>"01104"</f>
        <v>01104</v>
      </c>
      <c r="E11977">
        <v>60.48</v>
      </c>
    </row>
    <row r="11978" spans="1:5" x14ac:dyDescent="0.2">
      <c r="A11978" t="str">
        <f>"01105"</f>
        <v>01105</v>
      </c>
      <c r="B11978" t="s">
        <v>25</v>
      </c>
      <c r="C11978">
        <v>1105</v>
      </c>
      <c r="D11978" t="str">
        <f>"01105"</f>
        <v>01105</v>
      </c>
      <c r="E11978">
        <v>43.42</v>
      </c>
    </row>
    <row r="11979" spans="1:5" x14ac:dyDescent="0.2">
      <c r="A11979" t="str">
        <f>"01106"</f>
        <v>01106</v>
      </c>
      <c r="B11979" t="s">
        <v>25</v>
      </c>
      <c r="C11979">
        <v>1106</v>
      </c>
      <c r="D11979" t="str">
        <f>"01106"</f>
        <v>01106</v>
      </c>
      <c r="E11979">
        <v>81.64</v>
      </c>
    </row>
    <row r="11980" spans="1:5" x14ac:dyDescent="0.2">
      <c r="A11980" t="str">
        <f>"01107"</f>
        <v>01107</v>
      </c>
      <c r="B11980" t="s">
        <v>25</v>
      </c>
      <c r="C11980">
        <v>1107</v>
      </c>
      <c r="D11980" t="str">
        <f>"01107"</f>
        <v>01107</v>
      </c>
      <c r="E11980">
        <v>50.37</v>
      </c>
    </row>
    <row r="11981" spans="1:5" x14ac:dyDescent="0.2">
      <c r="A11981" t="str">
        <f>"01108"</f>
        <v>01108</v>
      </c>
      <c r="B11981" t="s">
        <v>25</v>
      </c>
      <c r="C11981">
        <v>1108</v>
      </c>
      <c r="D11981" t="str">
        <f>"01108"</f>
        <v>01108</v>
      </c>
      <c r="E11981">
        <v>56.83</v>
      </c>
    </row>
    <row r="11982" spans="1:5" x14ac:dyDescent="0.2">
      <c r="A11982" t="str">
        <f>"01109"</f>
        <v>01109</v>
      </c>
      <c r="B11982" t="s">
        <v>25</v>
      </c>
      <c r="C11982">
        <v>1109</v>
      </c>
      <c r="D11982" t="str">
        <f>"01109"</f>
        <v>01109</v>
      </c>
      <c r="E11982">
        <v>56.48</v>
      </c>
    </row>
    <row r="11983" spans="1:5" x14ac:dyDescent="0.2">
      <c r="A11983" t="str">
        <f>"01115"</f>
        <v>01115</v>
      </c>
      <c r="B11983" t="s">
        <v>25</v>
      </c>
      <c r="C11983">
        <v>1115</v>
      </c>
      <c r="D11983" t="str">
        <f>"01115"</f>
        <v>01115</v>
      </c>
      <c r="E11983" t="s">
        <v>6</v>
      </c>
    </row>
    <row r="11984" spans="1:5" x14ac:dyDescent="0.2">
      <c r="A11984" t="str">
        <f>"01118"</f>
        <v>01118</v>
      </c>
      <c r="B11984" t="s">
        <v>25</v>
      </c>
      <c r="C11984">
        <v>1118</v>
      </c>
      <c r="D11984" t="str">
        <f>"01118"</f>
        <v>01118</v>
      </c>
      <c r="E11984">
        <v>74.02</v>
      </c>
    </row>
    <row r="11985" spans="1:5" x14ac:dyDescent="0.2">
      <c r="A11985" t="str">
        <f>"01119"</f>
        <v>01119</v>
      </c>
      <c r="B11985" t="s">
        <v>25</v>
      </c>
      <c r="C11985">
        <v>1119</v>
      </c>
      <c r="D11985" t="str">
        <f>"01119"</f>
        <v>01119</v>
      </c>
      <c r="E11985">
        <v>69.08</v>
      </c>
    </row>
    <row r="11986" spans="1:5" x14ac:dyDescent="0.2">
      <c r="A11986" t="str">
        <f>"01128"</f>
        <v>01128</v>
      </c>
      <c r="B11986" t="s">
        <v>25</v>
      </c>
      <c r="C11986">
        <v>1128</v>
      </c>
      <c r="D11986" t="str">
        <f>"01128"</f>
        <v>01128</v>
      </c>
      <c r="E11986">
        <v>82.19</v>
      </c>
    </row>
    <row r="11987" spans="1:5" x14ac:dyDescent="0.2">
      <c r="A11987" t="str">
        <f>"01129"</f>
        <v>01129</v>
      </c>
      <c r="B11987" t="s">
        <v>25</v>
      </c>
      <c r="C11987">
        <v>1129</v>
      </c>
      <c r="D11987" t="str">
        <f>"01129"</f>
        <v>01129</v>
      </c>
      <c r="E11987">
        <v>75.27</v>
      </c>
    </row>
    <row r="11988" spans="1:5" x14ac:dyDescent="0.2">
      <c r="A11988" t="str">
        <f>"01144"</f>
        <v>01144</v>
      </c>
      <c r="B11988" t="s">
        <v>25</v>
      </c>
      <c r="C11988">
        <v>1144</v>
      </c>
      <c r="D11988" t="str">
        <f>"01144"</f>
        <v>01144</v>
      </c>
      <c r="E11988" t="s">
        <v>6</v>
      </c>
    </row>
    <row r="11989" spans="1:5" x14ac:dyDescent="0.2">
      <c r="A11989" t="str">
        <f>"01151"</f>
        <v>01151</v>
      </c>
      <c r="B11989" t="s">
        <v>25</v>
      </c>
      <c r="C11989">
        <v>1151</v>
      </c>
      <c r="D11989" t="str">
        <f>"01151"</f>
        <v>01151</v>
      </c>
      <c r="E11989">
        <v>58.97</v>
      </c>
    </row>
    <row r="11990" spans="1:5" x14ac:dyDescent="0.2">
      <c r="A11990" t="str">
        <f>"01199"</f>
        <v>01199</v>
      </c>
      <c r="B11990" t="s">
        <v>25</v>
      </c>
      <c r="C11990">
        <v>1199</v>
      </c>
      <c r="D11990" t="str">
        <f>"01199"</f>
        <v>01199</v>
      </c>
      <c r="E11990" t="s">
        <v>6</v>
      </c>
    </row>
    <row r="11991" spans="1:5" x14ac:dyDescent="0.2">
      <c r="A11991" t="str">
        <f>"01201"</f>
        <v>01201</v>
      </c>
      <c r="B11991" t="s">
        <v>25</v>
      </c>
      <c r="C11991">
        <v>1201</v>
      </c>
      <c r="D11991" t="str">
        <f>"01201"</f>
        <v>01201</v>
      </c>
      <c r="E11991">
        <v>73.5</v>
      </c>
    </row>
    <row r="11992" spans="1:5" x14ac:dyDescent="0.2">
      <c r="A11992" t="str">
        <f>"01220"</f>
        <v>01220</v>
      </c>
      <c r="B11992" t="s">
        <v>25</v>
      </c>
      <c r="C11992">
        <v>1220</v>
      </c>
      <c r="D11992" t="str">
        <f>"01220"</f>
        <v>01220</v>
      </c>
      <c r="E11992">
        <v>73.900000000000006</v>
      </c>
    </row>
    <row r="11993" spans="1:5" x14ac:dyDescent="0.2">
      <c r="A11993" t="str">
        <f>"01222"</f>
        <v>01222</v>
      </c>
      <c r="B11993" t="s">
        <v>25</v>
      </c>
      <c r="C11993">
        <v>1222</v>
      </c>
      <c r="D11993" t="str">
        <f>"01222"</f>
        <v>01222</v>
      </c>
      <c r="E11993">
        <v>68.290000000000006</v>
      </c>
    </row>
    <row r="11994" spans="1:5" x14ac:dyDescent="0.2">
      <c r="A11994" t="str">
        <f>"01223"</f>
        <v>01223</v>
      </c>
      <c r="B11994" t="s">
        <v>25</v>
      </c>
      <c r="C11994">
        <v>1223</v>
      </c>
      <c r="D11994" t="str">
        <f>"01223"</f>
        <v>01223</v>
      </c>
      <c r="E11994">
        <v>76.11</v>
      </c>
    </row>
    <row r="11995" spans="1:5" x14ac:dyDescent="0.2">
      <c r="A11995" t="str">
        <f>"01224"</f>
        <v>01224</v>
      </c>
      <c r="B11995" t="s">
        <v>25</v>
      </c>
      <c r="C11995">
        <v>1224</v>
      </c>
      <c r="D11995" t="str">
        <f>"01224"</f>
        <v>01224</v>
      </c>
      <c r="E11995" t="s">
        <v>6</v>
      </c>
    </row>
    <row r="11996" spans="1:5" x14ac:dyDescent="0.2">
      <c r="A11996" t="str">
        <f>"01225"</f>
        <v>01225</v>
      </c>
      <c r="B11996" t="s">
        <v>25</v>
      </c>
      <c r="C11996">
        <v>1225</v>
      </c>
      <c r="D11996" t="str">
        <f>"01225"</f>
        <v>01225</v>
      </c>
      <c r="E11996">
        <v>79.41</v>
      </c>
    </row>
    <row r="11997" spans="1:5" x14ac:dyDescent="0.2">
      <c r="A11997" t="str">
        <f>"01226"</f>
        <v>01226</v>
      </c>
      <c r="B11997" t="s">
        <v>25</v>
      </c>
      <c r="C11997">
        <v>1226</v>
      </c>
      <c r="D11997" t="str">
        <f>"01226"</f>
        <v>01226</v>
      </c>
      <c r="E11997">
        <v>77.13</v>
      </c>
    </row>
    <row r="11998" spans="1:5" x14ac:dyDescent="0.2">
      <c r="A11998" t="str">
        <f>"01230"</f>
        <v>01230</v>
      </c>
      <c r="B11998" t="s">
        <v>25</v>
      </c>
      <c r="C11998">
        <v>1230</v>
      </c>
      <c r="D11998" t="str">
        <f>"01230"</f>
        <v>01230</v>
      </c>
      <c r="E11998">
        <v>74.47</v>
      </c>
    </row>
    <row r="11999" spans="1:5" x14ac:dyDescent="0.2">
      <c r="A11999" t="str">
        <f>"01235"</f>
        <v>01235</v>
      </c>
      <c r="B11999" t="s">
        <v>25</v>
      </c>
      <c r="C11999">
        <v>1235</v>
      </c>
      <c r="D11999" t="str">
        <f>"01235"</f>
        <v>01235</v>
      </c>
      <c r="E11999">
        <v>77.48</v>
      </c>
    </row>
    <row r="12000" spans="1:5" x14ac:dyDescent="0.2">
      <c r="A12000" t="str">
        <f>"01236"</f>
        <v>01236</v>
      </c>
      <c r="B12000" t="s">
        <v>25</v>
      </c>
      <c r="C12000">
        <v>1236</v>
      </c>
      <c r="D12000" t="str">
        <f>"01236"</f>
        <v>01236</v>
      </c>
      <c r="E12000">
        <v>69.77</v>
      </c>
    </row>
    <row r="12001" spans="1:5" x14ac:dyDescent="0.2">
      <c r="A12001" t="str">
        <f>"01237"</f>
        <v>01237</v>
      </c>
      <c r="B12001" t="s">
        <v>25</v>
      </c>
      <c r="C12001">
        <v>1237</v>
      </c>
      <c r="D12001" t="str">
        <f>"01237"</f>
        <v>01237</v>
      </c>
      <c r="E12001">
        <v>77.989999999999995</v>
      </c>
    </row>
    <row r="12002" spans="1:5" x14ac:dyDescent="0.2">
      <c r="A12002" t="str">
        <f>"01238"</f>
        <v>01238</v>
      </c>
      <c r="B12002" t="s">
        <v>25</v>
      </c>
      <c r="C12002">
        <v>1238</v>
      </c>
      <c r="D12002" t="str">
        <f>"01238"</f>
        <v>01238</v>
      </c>
      <c r="E12002">
        <v>75.400000000000006</v>
      </c>
    </row>
    <row r="12003" spans="1:5" x14ac:dyDescent="0.2">
      <c r="A12003" t="str">
        <f>"01240"</f>
        <v>01240</v>
      </c>
      <c r="B12003" t="s">
        <v>25</v>
      </c>
      <c r="C12003">
        <v>1240</v>
      </c>
      <c r="D12003" t="str">
        <f>"01240"</f>
        <v>01240</v>
      </c>
      <c r="E12003">
        <v>77.91</v>
      </c>
    </row>
    <row r="12004" spans="1:5" x14ac:dyDescent="0.2">
      <c r="A12004" t="str">
        <f>"01242"</f>
        <v>01242</v>
      </c>
      <c r="B12004" t="s">
        <v>25</v>
      </c>
      <c r="C12004">
        <v>1242</v>
      </c>
      <c r="D12004" t="str">
        <f>"01242"</f>
        <v>01242</v>
      </c>
      <c r="E12004" t="s">
        <v>6</v>
      </c>
    </row>
    <row r="12005" spans="1:5" x14ac:dyDescent="0.2">
      <c r="A12005" t="str">
        <f>"01243"</f>
        <v>01243</v>
      </c>
      <c r="B12005" t="s">
        <v>25</v>
      </c>
      <c r="C12005">
        <v>1243</v>
      </c>
      <c r="D12005" t="str">
        <f>"01243"</f>
        <v>01243</v>
      </c>
      <c r="E12005" t="s">
        <v>6</v>
      </c>
    </row>
    <row r="12006" spans="1:5" x14ac:dyDescent="0.2">
      <c r="A12006" t="str">
        <f>"01244"</f>
        <v>01244</v>
      </c>
      <c r="B12006" t="s">
        <v>25</v>
      </c>
      <c r="C12006">
        <v>1244</v>
      </c>
      <c r="D12006" t="str">
        <f>"01244"</f>
        <v>01244</v>
      </c>
      <c r="E12006" t="s">
        <v>6</v>
      </c>
    </row>
    <row r="12007" spans="1:5" x14ac:dyDescent="0.2">
      <c r="A12007" t="str">
        <f>"01245"</f>
        <v>01245</v>
      </c>
      <c r="B12007" t="s">
        <v>25</v>
      </c>
      <c r="C12007">
        <v>1245</v>
      </c>
      <c r="D12007" t="str">
        <f>"01245"</f>
        <v>01245</v>
      </c>
      <c r="E12007">
        <v>78.05</v>
      </c>
    </row>
    <row r="12008" spans="1:5" x14ac:dyDescent="0.2">
      <c r="A12008" t="str">
        <f>"01247"</f>
        <v>01247</v>
      </c>
      <c r="B12008" t="s">
        <v>25</v>
      </c>
      <c r="C12008">
        <v>1247</v>
      </c>
      <c r="D12008" t="str">
        <f>"01247"</f>
        <v>01247</v>
      </c>
      <c r="E12008">
        <v>70.739999999999995</v>
      </c>
    </row>
    <row r="12009" spans="1:5" x14ac:dyDescent="0.2">
      <c r="A12009" t="str">
        <f>"01253"</f>
        <v>01253</v>
      </c>
      <c r="B12009" t="s">
        <v>25</v>
      </c>
      <c r="C12009">
        <v>1253</v>
      </c>
      <c r="D12009" t="str">
        <f>"01253"</f>
        <v>01253</v>
      </c>
      <c r="E12009">
        <v>80</v>
      </c>
    </row>
    <row r="12010" spans="1:5" x14ac:dyDescent="0.2">
      <c r="A12010" t="str">
        <f>"01254"</f>
        <v>01254</v>
      </c>
      <c r="B12010" t="s">
        <v>25</v>
      </c>
      <c r="C12010">
        <v>1254</v>
      </c>
      <c r="D12010" t="str">
        <f>"01254"</f>
        <v>01254</v>
      </c>
      <c r="E12010">
        <v>78.33</v>
      </c>
    </row>
    <row r="12011" spans="1:5" x14ac:dyDescent="0.2">
      <c r="A12011" t="str">
        <f>"01255"</f>
        <v>01255</v>
      </c>
      <c r="B12011" t="s">
        <v>25</v>
      </c>
      <c r="C12011">
        <v>1255</v>
      </c>
      <c r="D12011" t="str">
        <f>"01255"</f>
        <v>01255</v>
      </c>
      <c r="E12011">
        <v>71.430000000000007</v>
      </c>
    </row>
    <row r="12012" spans="1:5" x14ac:dyDescent="0.2">
      <c r="A12012" t="str">
        <f>"01256"</f>
        <v>01256</v>
      </c>
      <c r="B12012" t="s">
        <v>25</v>
      </c>
      <c r="C12012">
        <v>1256</v>
      </c>
      <c r="D12012" t="str">
        <f>"01256"</f>
        <v>01256</v>
      </c>
      <c r="E12012">
        <v>80.56</v>
      </c>
    </row>
    <row r="12013" spans="1:5" x14ac:dyDescent="0.2">
      <c r="A12013" t="str">
        <f>"01257"</f>
        <v>01257</v>
      </c>
      <c r="B12013" t="s">
        <v>25</v>
      </c>
      <c r="C12013">
        <v>1257</v>
      </c>
      <c r="D12013" t="str">
        <f>"01257"</f>
        <v>01257</v>
      </c>
      <c r="E12013">
        <v>72.87</v>
      </c>
    </row>
    <row r="12014" spans="1:5" x14ac:dyDescent="0.2">
      <c r="A12014" t="str">
        <f>"01258"</f>
        <v>01258</v>
      </c>
      <c r="B12014" t="s">
        <v>25</v>
      </c>
      <c r="C12014">
        <v>1258</v>
      </c>
      <c r="D12014" t="str">
        <f>"01258"</f>
        <v>01258</v>
      </c>
      <c r="E12014">
        <v>76.92</v>
      </c>
    </row>
    <row r="12015" spans="1:5" x14ac:dyDescent="0.2">
      <c r="A12015" t="str">
        <f>"01259"</f>
        <v>01259</v>
      </c>
      <c r="B12015" t="s">
        <v>25</v>
      </c>
      <c r="C12015">
        <v>1259</v>
      </c>
      <c r="D12015" t="str">
        <f>"01259"</f>
        <v>01259</v>
      </c>
      <c r="E12015">
        <v>72.73</v>
      </c>
    </row>
    <row r="12016" spans="1:5" x14ac:dyDescent="0.2">
      <c r="A12016" t="str">
        <f>"01260"</f>
        <v>01260</v>
      </c>
      <c r="B12016" t="s">
        <v>25</v>
      </c>
      <c r="C12016">
        <v>1260</v>
      </c>
      <c r="D12016" t="str">
        <f>"01260"</f>
        <v>01260</v>
      </c>
      <c r="E12016" t="s">
        <v>6</v>
      </c>
    </row>
    <row r="12017" spans="1:5" x14ac:dyDescent="0.2">
      <c r="A12017" t="str">
        <f>"01262"</f>
        <v>01262</v>
      </c>
      <c r="B12017" t="s">
        <v>25</v>
      </c>
      <c r="C12017">
        <v>1262</v>
      </c>
      <c r="D12017" t="str">
        <f>"01262"</f>
        <v>01262</v>
      </c>
      <c r="E12017" t="s">
        <v>6</v>
      </c>
    </row>
    <row r="12018" spans="1:5" x14ac:dyDescent="0.2">
      <c r="A12018" t="str">
        <f>"01264"</f>
        <v>01264</v>
      </c>
      <c r="B12018" t="s">
        <v>25</v>
      </c>
      <c r="C12018">
        <v>1264</v>
      </c>
      <c r="D12018" t="str">
        <f>"01264"</f>
        <v>01264</v>
      </c>
      <c r="E12018" t="s">
        <v>6</v>
      </c>
    </row>
    <row r="12019" spans="1:5" x14ac:dyDescent="0.2">
      <c r="A12019" t="str">
        <f>"01266"</f>
        <v>01266</v>
      </c>
      <c r="B12019" t="s">
        <v>25</v>
      </c>
      <c r="C12019">
        <v>1266</v>
      </c>
      <c r="D12019" t="str">
        <f>"01266"</f>
        <v>01266</v>
      </c>
      <c r="E12019">
        <v>77.78</v>
      </c>
    </row>
    <row r="12020" spans="1:5" x14ac:dyDescent="0.2">
      <c r="A12020" t="str">
        <f>"01267"</f>
        <v>01267</v>
      </c>
      <c r="B12020" t="s">
        <v>25</v>
      </c>
      <c r="C12020">
        <v>1267</v>
      </c>
      <c r="D12020" t="str">
        <f>"01267"</f>
        <v>01267</v>
      </c>
      <c r="E12020">
        <v>78.84</v>
      </c>
    </row>
    <row r="12021" spans="1:5" x14ac:dyDescent="0.2">
      <c r="A12021" t="str">
        <f>"01270"</f>
        <v>01270</v>
      </c>
      <c r="B12021" t="s">
        <v>25</v>
      </c>
      <c r="C12021">
        <v>1270</v>
      </c>
      <c r="D12021" t="str">
        <f>"01270"</f>
        <v>01270</v>
      </c>
      <c r="E12021">
        <v>77.5</v>
      </c>
    </row>
    <row r="12022" spans="1:5" x14ac:dyDescent="0.2">
      <c r="A12022" t="str">
        <f>"01301"</f>
        <v>01301</v>
      </c>
      <c r="B12022" t="s">
        <v>25</v>
      </c>
      <c r="C12022">
        <v>1301</v>
      </c>
      <c r="D12022" t="str">
        <f>"01301"</f>
        <v>01301</v>
      </c>
      <c r="E12022">
        <v>73.569999999999993</v>
      </c>
    </row>
    <row r="12023" spans="1:5" x14ac:dyDescent="0.2">
      <c r="A12023" t="str">
        <f>"01330"</f>
        <v>01330</v>
      </c>
      <c r="B12023" t="s">
        <v>25</v>
      </c>
      <c r="C12023">
        <v>1330</v>
      </c>
      <c r="D12023" t="str">
        <f>"01330"</f>
        <v>01330</v>
      </c>
      <c r="E12023">
        <v>76.62</v>
      </c>
    </row>
    <row r="12024" spans="1:5" x14ac:dyDescent="0.2">
      <c r="A12024" t="str">
        <f>"01331"</f>
        <v>01331</v>
      </c>
      <c r="B12024" t="s">
        <v>25</v>
      </c>
      <c r="C12024">
        <v>1331</v>
      </c>
      <c r="D12024" t="str">
        <f>"01331"</f>
        <v>01331</v>
      </c>
      <c r="E12024">
        <v>73.349999999999994</v>
      </c>
    </row>
    <row r="12025" spans="1:5" x14ac:dyDescent="0.2">
      <c r="A12025" t="str">
        <f>"01337"</f>
        <v>01337</v>
      </c>
      <c r="B12025" t="s">
        <v>25</v>
      </c>
      <c r="C12025">
        <v>1337</v>
      </c>
      <c r="D12025" t="str">
        <f>"01337"</f>
        <v>01337</v>
      </c>
      <c r="E12025">
        <v>80.739999999999995</v>
      </c>
    </row>
    <row r="12026" spans="1:5" x14ac:dyDescent="0.2">
      <c r="A12026" t="str">
        <f>"01338"</f>
        <v>01338</v>
      </c>
      <c r="B12026" t="s">
        <v>25</v>
      </c>
      <c r="C12026">
        <v>1338</v>
      </c>
      <c r="D12026" t="str">
        <f>"01338"</f>
        <v>01338</v>
      </c>
      <c r="E12026">
        <v>76.92</v>
      </c>
    </row>
    <row r="12027" spans="1:5" x14ac:dyDescent="0.2">
      <c r="A12027" t="str">
        <f>"01339"</f>
        <v>01339</v>
      </c>
      <c r="B12027" t="s">
        <v>25</v>
      </c>
      <c r="C12027">
        <v>1339</v>
      </c>
      <c r="D12027" t="str">
        <f>"01339"</f>
        <v>01339</v>
      </c>
      <c r="E12027">
        <v>72.22</v>
      </c>
    </row>
    <row r="12028" spans="1:5" x14ac:dyDescent="0.2">
      <c r="A12028" t="str">
        <f>"01340"</f>
        <v>01340</v>
      </c>
      <c r="B12028" t="s">
        <v>25</v>
      </c>
      <c r="C12028">
        <v>1340</v>
      </c>
      <c r="D12028" t="str">
        <f>"01340"</f>
        <v>01340</v>
      </c>
      <c r="E12028">
        <v>71.11</v>
      </c>
    </row>
    <row r="12029" spans="1:5" x14ac:dyDescent="0.2">
      <c r="A12029" t="str">
        <f>"01341"</f>
        <v>01341</v>
      </c>
      <c r="B12029" t="s">
        <v>25</v>
      </c>
      <c r="C12029">
        <v>1341</v>
      </c>
      <c r="D12029" t="str">
        <f>"01341"</f>
        <v>01341</v>
      </c>
      <c r="E12029">
        <v>79.52</v>
      </c>
    </row>
    <row r="12030" spans="1:5" x14ac:dyDescent="0.2">
      <c r="A12030" t="str">
        <f>"01342"</f>
        <v>01342</v>
      </c>
      <c r="B12030" t="s">
        <v>25</v>
      </c>
      <c r="C12030">
        <v>1342</v>
      </c>
      <c r="D12030" t="str">
        <f>"01342"</f>
        <v>01342</v>
      </c>
      <c r="E12030">
        <v>80.56</v>
      </c>
    </row>
    <row r="12031" spans="1:5" x14ac:dyDescent="0.2">
      <c r="A12031" t="str">
        <f>"01343"</f>
        <v>01343</v>
      </c>
      <c r="B12031" t="s">
        <v>25</v>
      </c>
      <c r="C12031">
        <v>1343</v>
      </c>
      <c r="D12031" t="str">
        <f>"01343"</f>
        <v>01343</v>
      </c>
      <c r="E12031" t="s">
        <v>6</v>
      </c>
    </row>
    <row r="12032" spans="1:5" x14ac:dyDescent="0.2">
      <c r="A12032" t="str">
        <f>"01344"</f>
        <v>01344</v>
      </c>
      <c r="B12032" t="s">
        <v>25</v>
      </c>
      <c r="C12032">
        <v>1344</v>
      </c>
      <c r="D12032" t="str">
        <f>"01344"</f>
        <v>01344</v>
      </c>
      <c r="E12032">
        <v>74.069999999999993</v>
      </c>
    </row>
    <row r="12033" spans="1:5" x14ac:dyDescent="0.2">
      <c r="A12033" t="str">
        <f>"01346"</f>
        <v>01346</v>
      </c>
      <c r="B12033" t="s">
        <v>25</v>
      </c>
      <c r="C12033">
        <v>1346</v>
      </c>
      <c r="D12033" t="str">
        <f>"01346"</f>
        <v>01346</v>
      </c>
      <c r="E12033">
        <v>66.67</v>
      </c>
    </row>
    <row r="12034" spans="1:5" x14ac:dyDescent="0.2">
      <c r="A12034" t="str">
        <f>"01347"</f>
        <v>01347</v>
      </c>
      <c r="B12034" t="s">
        <v>25</v>
      </c>
      <c r="C12034">
        <v>1347</v>
      </c>
      <c r="D12034" t="str">
        <f>"01347"</f>
        <v>01347</v>
      </c>
      <c r="E12034" t="s">
        <v>6</v>
      </c>
    </row>
    <row r="12035" spans="1:5" x14ac:dyDescent="0.2">
      <c r="A12035" t="str">
        <f>"01349"</f>
        <v>01349</v>
      </c>
      <c r="B12035" t="s">
        <v>25</v>
      </c>
      <c r="C12035">
        <v>1349</v>
      </c>
      <c r="D12035" t="str">
        <f>"01349"</f>
        <v>01349</v>
      </c>
      <c r="E12035">
        <v>75.61</v>
      </c>
    </row>
    <row r="12036" spans="1:5" x14ac:dyDescent="0.2">
      <c r="A12036" t="str">
        <f>"01350"</f>
        <v>01350</v>
      </c>
      <c r="B12036" t="s">
        <v>25</v>
      </c>
      <c r="C12036">
        <v>1350</v>
      </c>
      <c r="D12036" t="str">
        <f>"01350"</f>
        <v>01350</v>
      </c>
      <c r="E12036" t="s">
        <v>6</v>
      </c>
    </row>
    <row r="12037" spans="1:5" x14ac:dyDescent="0.2">
      <c r="A12037" t="str">
        <f>"01351"</f>
        <v>01351</v>
      </c>
      <c r="B12037" t="s">
        <v>25</v>
      </c>
      <c r="C12037">
        <v>1351</v>
      </c>
      <c r="D12037" t="str">
        <f>"01351"</f>
        <v>01351</v>
      </c>
      <c r="E12037">
        <v>78.459999999999994</v>
      </c>
    </row>
    <row r="12038" spans="1:5" x14ac:dyDescent="0.2">
      <c r="A12038" t="str">
        <f>"01354"</f>
        <v>01354</v>
      </c>
      <c r="B12038" t="s">
        <v>25</v>
      </c>
      <c r="C12038">
        <v>1354</v>
      </c>
      <c r="D12038" t="str">
        <f>"01354"</f>
        <v>01354</v>
      </c>
      <c r="E12038">
        <v>77.78</v>
      </c>
    </row>
    <row r="12039" spans="1:5" x14ac:dyDescent="0.2">
      <c r="A12039" t="str">
        <f>"01355"</f>
        <v>01355</v>
      </c>
      <c r="B12039" t="s">
        <v>25</v>
      </c>
      <c r="C12039">
        <v>1355</v>
      </c>
      <c r="D12039" t="str">
        <f>"01355"</f>
        <v>01355</v>
      </c>
      <c r="E12039">
        <v>77.08</v>
      </c>
    </row>
    <row r="12040" spans="1:5" x14ac:dyDescent="0.2">
      <c r="A12040" t="str">
        <f>"01360"</f>
        <v>01360</v>
      </c>
      <c r="B12040" t="s">
        <v>25</v>
      </c>
      <c r="C12040">
        <v>1360</v>
      </c>
      <c r="D12040" t="str">
        <f>"01360"</f>
        <v>01360</v>
      </c>
      <c r="E12040">
        <v>80.41</v>
      </c>
    </row>
    <row r="12041" spans="1:5" x14ac:dyDescent="0.2">
      <c r="A12041" t="str">
        <f>"01364"</f>
        <v>01364</v>
      </c>
      <c r="B12041" t="s">
        <v>25</v>
      </c>
      <c r="C12041">
        <v>1364</v>
      </c>
      <c r="D12041" t="str">
        <f>"01364"</f>
        <v>01364</v>
      </c>
      <c r="E12041">
        <v>72.08</v>
      </c>
    </row>
    <row r="12042" spans="1:5" x14ac:dyDescent="0.2">
      <c r="A12042" t="str">
        <f>"01366"</f>
        <v>01366</v>
      </c>
      <c r="B12042" t="s">
        <v>25</v>
      </c>
      <c r="C12042">
        <v>1366</v>
      </c>
      <c r="D12042" t="str">
        <f>"01366"</f>
        <v>01366</v>
      </c>
      <c r="E12042">
        <v>77.05</v>
      </c>
    </row>
    <row r="12043" spans="1:5" x14ac:dyDescent="0.2">
      <c r="A12043" t="str">
        <f>"01367"</f>
        <v>01367</v>
      </c>
      <c r="B12043" t="s">
        <v>25</v>
      </c>
      <c r="C12043">
        <v>1367</v>
      </c>
      <c r="D12043" t="str">
        <f>"01367"</f>
        <v>01367</v>
      </c>
      <c r="E12043">
        <v>78.260000000000005</v>
      </c>
    </row>
    <row r="12044" spans="1:5" x14ac:dyDescent="0.2">
      <c r="A12044" t="str">
        <f>"01368"</f>
        <v>01368</v>
      </c>
      <c r="B12044" t="s">
        <v>25</v>
      </c>
      <c r="C12044">
        <v>1368</v>
      </c>
      <c r="D12044" t="str">
        <f>"01368"</f>
        <v>01368</v>
      </c>
      <c r="E12044">
        <v>75.44</v>
      </c>
    </row>
    <row r="12045" spans="1:5" x14ac:dyDescent="0.2">
      <c r="A12045" t="str">
        <f>"01370"</f>
        <v>01370</v>
      </c>
      <c r="B12045" t="s">
        <v>25</v>
      </c>
      <c r="C12045">
        <v>1370</v>
      </c>
      <c r="D12045" t="str">
        <f>"01370"</f>
        <v>01370</v>
      </c>
      <c r="E12045">
        <v>73.790000000000006</v>
      </c>
    </row>
    <row r="12046" spans="1:5" x14ac:dyDescent="0.2">
      <c r="A12046" t="str">
        <f>"01373"</f>
        <v>01373</v>
      </c>
      <c r="B12046" t="s">
        <v>25</v>
      </c>
      <c r="C12046">
        <v>1373</v>
      </c>
      <c r="D12046" t="str">
        <f>"01373"</f>
        <v>01373</v>
      </c>
      <c r="E12046">
        <v>81.86</v>
      </c>
    </row>
    <row r="12047" spans="1:5" x14ac:dyDescent="0.2">
      <c r="A12047" t="str">
        <f>"01375"</f>
        <v>01375</v>
      </c>
      <c r="B12047" t="s">
        <v>25</v>
      </c>
      <c r="C12047">
        <v>1375</v>
      </c>
      <c r="D12047" t="str">
        <f>"01375"</f>
        <v>01375</v>
      </c>
      <c r="E12047">
        <v>81.03</v>
      </c>
    </row>
    <row r="12048" spans="1:5" x14ac:dyDescent="0.2">
      <c r="A12048" t="str">
        <f>"01376"</f>
        <v>01376</v>
      </c>
      <c r="B12048" t="s">
        <v>25</v>
      </c>
      <c r="C12048">
        <v>1376</v>
      </c>
      <c r="D12048" t="str">
        <f>"01376"</f>
        <v>01376</v>
      </c>
      <c r="E12048">
        <v>72.11</v>
      </c>
    </row>
    <row r="12049" spans="1:5" x14ac:dyDescent="0.2">
      <c r="A12049" t="str">
        <f>"01378"</f>
        <v>01378</v>
      </c>
      <c r="B12049" t="s">
        <v>25</v>
      </c>
      <c r="C12049">
        <v>1378</v>
      </c>
      <c r="D12049" t="str">
        <f>"01378"</f>
        <v>01378</v>
      </c>
      <c r="E12049">
        <v>75.680000000000007</v>
      </c>
    </row>
    <row r="12050" spans="1:5" x14ac:dyDescent="0.2">
      <c r="A12050" t="str">
        <f>"01379"</f>
        <v>01379</v>
      </c>
      <c r="B12050" t="s">
        <v>25</v>
      </c>
      <c r="C12050">
        <v>1379</v>
      </c>
      <c r="D12050" t="str">
        <f>"01379"</f>
        <v>01379</v>
      </c>
      <c r="E12050">
        <v>72.5</v>
      </c>
    </row>
    <row r="12051" spans="1:5" x14ac:dyDescent="0.2">
      <c r="A12051" t="str">
        <f>"01380"</f>
        <v>01380</v>
      </c>
      <c r="B12051" t="s">
        <v>25</v>
      </c>
      <c r="C12051">
        <v>1380</v>
      </c>
      <c r="D12051" t="str">
        <f>"01380"</f>
        <v>01380</v>
      </c>
      <c r="E12051" t="s">
        <v>6</v>
      </c>
    </row>
    <row r="12052" spans="1:5" x14ac:dyDescent="0.2">
      <c r="A12052" t="str">
        <f>"01420"</f>
        <v>01420</v>
      </c>
      <c r="B12052" t="s">
        <v>25</v>
      </c>
      <c r="C12052">
        <v>1420</v>
      </c>
      <c r="D12052" t="str">
        <f>"01420"</f>
        <v>01420</v>
      </c>
      <c r="E12052">
        <v>70.430000000000007</v>
      </c>
    </row>
    <row r="12053" spans="1:5" x14ac:dyDescent="0.2">
      <c r="A12053" t="str">
        <f>"01430"</f>
        <v>01430</v>
      </c>
      <c r="B12053" t="s">
        <v>25</v>
      </c>
      <c r="C12053">
        <v>1430</v>
      </c>
      <c r="D12053" t="str">
        <f>"01430"</f>
        <v>01430</v>
      </c>
      <c r="E12053">
        <v>81.290000000000006</v>
      </c>
    </row>
    <row r="12054" spans="1:5" x14ac:dyDescent="0.2">
      <c r="A12054" t="str">
        <f>"01431"</f>
        <v>01431</v>
      </c>
      <c r="B12054" t="s">
        <v>25</v>
      </c>
      <c r="C12054">
        <v>1431</v>
      </c>
      <c r="D12054" t="str">
        <f>"01431"</f>
        <v>01431</v>
      </c>
      <c r="E12054">
        <v>79.87</v>
      </c>
    </row>
    <row r="12055" spans="1:5" x14ac:dyDescent="0.2">
      <c r="A12055" t="str">
        <f>"01432"</f>
        <v>01432</v>
      </c>
      <c r="B12055" t="s">
        <v>25</v>
      </c>
      <c r="C12055">
        <v>1432</v>
      </c>
      <c r="D12055" t="str">
        <f>"01432"</f>
        <v>01432</v>
      </c>
      <c r="E12055">
        <v>81.47</v>
      </c>
    </row>
    <row r="12056" spans="1:5" x14ac:dyDescent="0.2">
      <c r="A12056" t="str">
        <f>"01434"</f>
        <v>01434</v>
      </c>
      <c r="B12056" t="s">
        <v>25</v>
      </c>
      <c r="C12056">
        <v>1434</v>
      </c>
      <c r="D12056" t="str">
        <f>"01434"</f>
        <v>01434</v>
      </c>
      <c r="E12056">
        <v>75</v>
      </c>
    </row>
    <row r="12057" spans="1:5" x14ac:dyDescent="0.2">
      <c r="A12057" t="str">
        <f>"01436"</f>
        <v>01436</v>
      </c>
      <c r="B12057" t="s">
        <v>25</v>
      </c>
      <c r="C12057">
        <v>1436</v>
      </c>
      <c r="D12057" t="str">
        <f>"01436"</f>
        <v>01436</v>
      </c>
      <c r="E12057">
        <v>78.62</v>
      </c>
    </row>
    <row r="12058" spans="1:5" x14ac:dyDescent="0.2">
      <c r="A12058" t="str">
        <f>"01440"</f>
        <v>01440</v>
      </c>
      <c r="B12058" t="s">
        <v>25</v>
      </c>
      <c r="C12058">
        <v>1440</v>
      </c>
      <c r="D12058" t="str">
        <f>"01440"</f>
        <v>01440</v>
      </c>
      <c r="E12058">
        <v>75.31</v>
      </c>
    </row>
    <row r="12059" spans="1:5" x14ac:dyDescent="0.2">
      <c r="A12059" t="str">
        <f>"01450"</f>
        <v>01450</v>
      </c>
      <c r="B12059" t="s">
        <v>25</v>
      </c>
      <c r="C12059">
        <v>1450</v>
      </c>
      <c r="D12059" t="str">
        <f>"01450"</f>
        <v>01450</v>
      </c>
      <c r="E12059">
        <v>82.46</v>
      </c>
    </row>
    <row r="12060" spans="1:5" x14ac:dyDescent="0.2">
      <c r="A12060" t="str">
        <f>"01451"</f>
        <v>01451</v>
      </c>
      <c r="B12060" t="s">
        <v>25</v>
      </c>
      <c r="C12060">
        <v>1451</v>
      </c>
      <c r="D12060" t="str">
        <f>"01451"</f>
        <v>01451</v>
      </c>
      <c r="E12060">
        <v>81.93</v>
      </c>
    </row>
    <row r="12061" spans="1:5" x14ac:dyDescent="0.2">
      <c r="A12061" t="str">
        <f>"01452"</f>
        <v>01452</v>
      </c>
      <c r="B12061" t="s">
        <v>25</v>
      </c>
      <c r="C12061">
        <v>1452</v>
      </c>
      <c r="D12061" t="str">
        <f>"01452"</f>
        <v>01452</v>
      </c>
      <c r="E12061">
        <v>82.59</v>
      </c>
    </row>
    <row r="12062" spans="1:5" x14ac:dyDescent="0.2">
      <c r="A12062" t="str">
        <f>"01453"</f>
        <v>01453</v>
      </c>
      <c r="B12062" t="s">
        <v>25</v>
      </c>
      <c r="C12062">
        <v>1453</v>
      </c>
      <c r="D12062" t="str">
        <f>"01453"</f>
        <v>01453</v>
      </c>
      <c r="E12062">
        <v>76.03</v>
      </c>
    </row>
    <row r="12063" spans="1:5" x14ac:dyDescent="0.2">
      <c r="A12063" t="str">
        <f>"01460"</f>
        <v>01460</v>
      </c>
      <c r="B12063" t="s">
        <v>25</v>
      </c>
      <c r="C12063">
        <v>1460</v>
      </c>
      <c r="D12063" t="str">
        <f>"01460"</f>
        <v>01460</v>
      </c>
      <c r="E12063">
        <v>81.84</v>
      </c>
    </row>
    <row r="12064" spans="1:5" x14ac:dyDescent="0.2">
      <c r="A12064" t="str">
        <f>"01462"</f>
        <v>01462</v>
      </c>
      <c r="B12064" t="s">
        <v>25</v>
      </c>
      <c r="C12064">
        <v>1462</v>
      </c>
      <c r="D12064" t="str">
        <f>"01462"</f>
        <v>01462</v>
      </c>
      <c r="E12064">
        <v>81.44</v>
      </c>
    </row>
    <row r="12065" spans="1:5" x14ac:dyDescent="0.2">
      <c r="A12065" t="str">
        <f>"01463"</f>
        <v>01463</v>
      </c>
      <c r="B12065" t="s">
        <v>25</v>
      </c>
      <c r="C12065">
        <v>1463</v>
      </c>
      <c r="D12065" t="str">
        <f>"01463"</f>
        <v>01463</v>
      </c>
      <c r="E12065">
        <v>80.94</v>
      </c>
    </row>
    <row r="12066" spans="1:5" x14ac:dyDescent="0.2">
      <c r="A12066" t="str">
        <f>"01464"</f>
        <v>01464</v>
      </c>
      <c r="B12066" t="s">
        <v>25</v>
      </c>
      <c r="C12066">
        <v>1464</v>
      </c>
      <c r="D12066" t="str">
        <f>"01464"</f>
        <v>01464</v>
      </c>
      <c r="E12066">
        <v>80.510000000000005</v>
      </c>
    </row>
    <row r="12067" spans="1:5" x14ac:dyDescent="0.2">
      <c r="A12067" t="str">
        <f>"01468"</f>
        <v>01468</v>
      </c>
      <c r="B12067" t="s">
        <v>25</v>
      </c>
      <c r="C12067">
        <v>1468</v>
      </c>
      <c r="D12067" t="str">
        <f>"01468"</f>
        <v>01468</v>
      </c>
      <c r="E12067">
        <v>81.19</v>
      </c>
    </row>
    <row r="12068" spans="1:5" x14ac:dyDescent="0.2">
      <c r="A12068" t="str">
        <f>"01469"</f>
        <v>01469</v>
      </c>
      <c r="B12068" t="s">
        <v>25</v>
      </c>
      <c r="C12068">
        <v>1469</v>
      </c>
      <c r="D12068" t="str">
        <f>"01469"</f>
        <v>01469</v>
      </c>
      <c r="E12068">
        <v>80.94</v>
      </c>
    </row>
    <row r="12069" spans="1:5" x14ac:dyDescent="0.2">
      <c r="A12069" t="str">
        <f>"01473"</f>
        <v>01473</v>
      </c>
      <c r="B12069" t="s">
        <v>25</v>
      </c>
      <c r="C12069">
        <v>1473</v>
      </c>
      <c r="D12069" t="str">
        <f>"01473"</f>
        <v>01473</v>
      </c>
      <c r="E12069">
        <v>81.73</v>
      </c>
    </row>
    <row r="12070" spans="1:5" x14ac:dyDescent="0.2">
      <c r="A12070" t="str">
        <f>"01474"</f>
        <v>01474</v>
      </c>
      <c r="B12070" t="s">
        <v>25</v>
      </c>
      <c r="C12070">
        <v>1474</v>
      </c>
      <c r="D12070" t="str">
        <f>"01474"</f>
        <v>01474</v>
      </c>
      <c r="E12070">
        <v>78.5</v>
      </c>
    </row>
    <row r="12071" spans="1:5" x14ac:dyDescent="0.2">
      <c r="A12071" t="str">
        <f>"01475"</f>
        <v>01475</v>
      </c>
      <c r="B12071" t="s">
        <v>25</v>
      </c>
      <c r="C12071">
        <v>1475</v>
      </c>
      <c r="D12071" t="str">
        <f>"01475"</f>
        <v>01475</v>
      </c>
      <c r="E12071">
        <v>76.31</v>
      </c>
    </row>
    <row r="12072" spans="1:5" x14ac:dyDescent="0.2">
      <c r="A12072" t="str">
        <f>"01501"</f>
        <v>01501</v>
      </c>
      <c r="B12072" t="s">
        <v>25</v>
      </c>
      <c r="C12072">
        <v>1501</v>
      </c>
      <c r="D12072" t="str">
        <f>"01501"</f>
        <v>01501</v>
      </c>
      <c r="E12072">
        <v>81.16</v>
      </c>
    </row>
    <row r="12073" spans="1:5" x14ac:dyDescent="0.2">
      <c r="A12073" t="str">
        <f>"01503"</f>
        <v>01503</v>
      </c>
      <c r="B12073" t="s">
        <v>25</v>
      </c>
      <c r="C12073">
        <v>1503</v>
      </c>
      <c r="D12073" t="str">
        <f>"01503"</f>
        <v>01503</v>
      </c>
      <c r="E12073">
        <v>78.44</v>
      </c>
    </row>
    <row r="12074" spans="1:5" x14ac:dyDescent="0.2">
      <c r="A12074" t="str">
        <f>"01504"</f>
        <v>01504</v>
      </c>
      <c r="B12074" t="s">
        <v>25</v>
      </c>
      <c r="C12074">
        <v>1504</v>
      </c>
      <c r="D12074" t="str">
        <f>"01504"</f>
        <v>01504</v>
      </c>
      <c r="E12074">
        <v>81.06</v>
      </c>
    </row>
    <row r="12075" spans="1:5" x14ac:dyDescent="0.2">
      <c r="A12075" t="str">
        <f>"01505"</f>
        <v>01505</v>
      </c>
      <c r="B12075" t="s">
        <v>25</v>
      </c>
      <c r="C12075">
        <v>1505</v>
      </c>
      <c r="D12075" t="str">
        <f>"01505"</f>
        <v>01505</v>
      </c>
      <c r="E12075">
        <v>84.43</v>
      </c>
    </row>
    <row r="12076" spans="1:5" x14ac:dyDescent="0.2">
      <c r="A12076" t="str">
        <f>"01506"</f>
        <v>01506</v>
      </c>
      <c r="B12076" t="s">
        <v>25</v>
      </c>
      <c r="C12076">
        <v>1506</v>
      </c>
      <c r="D12076" t="str">
        <f>"01506"</f>
        <v>01506</v>
      </c>
      <c r="E12076">
        <v>77.98</v>
      </c>
    </row>
    <row r="12077" spans="1:5" x14ac:dyDescent="0.2">
      <c r="A12077" t="str">
        <f>"01507"</f>
        <v>01507</v>
      </c>
      <c r="B12077" t="s">
        <v>25</v>
      </c>
      <c r="C12077">
        <v>1507</v>
      </c>
      <c r="D12077" t="str">
        <f>"01507"</f>
        <v>01507</v>
      </c>
      <c r="E12077">
        <v>81.459999999999994</v>
      </c>
    </row>
    <row r="12078" spans="1:5" x14ac:dyDescent="0.2">
      <c r="A12078" t="str">
        <f>"01510"</f>
        <v>01510</v>
      </c>
      <c r="B12078" t="s">
        <v>25</v>
      </c>
      <c r="C12078">
        <v>1510</v>
      </c>
      <c r="D12078" t="str">
        <f>"01510"</f>
        <v>01510</v>
      </c>
      <c r="E12078">
        <v>79.260000000000005</v>
      </c>
    </row>
    <row r="12079" spans="1:5" x14ac:dyDescent="0.2">
      <c r="A12079" t="str">
        <f>"01515"</f>
        <v>01515</v>
      </c>
      <c r="B12079" t="s">
        <v>25</v>
      </c>
      <c r="C12079">
        <v>1515</v>
      </c>
      <c r="D12079" t="str">
        <f>"01515"</f>
        <v>01515</v>
      </c>
      <c r="E12079">
        <v>81.900000000000006</v>
      </c>
    </row>
    <row r="12080" spans="1:5" x14ac:dyDescent="0.2">
      <c r="A12080" t="str">
        <f>"01516"</f>
        <v>01516</v>
      </c>
      <c r="B12080" t="s">
        <v>25</v>
      </c>
      <c r="C12080">
        <v>1516</v>
      </c>
      <c r="D12080" t="str">
        <f>"01516"</f>
        <v>01516</v>
      </c>
      <c r="E12080">
        <v>82.65</v>
      </c>
    </row>
    <row r="12081" spans="1:5" x14ac:dyDescent="0.2">
      <c r="A12081" t="str">
        <f>"01518"</f>
        <v>01518</v>
      </c>
      <c r="B12081" t="s">
        <v>25</v>
      </c>
      <c r="C12081">
        <v>1518</v>
      </c>
      <c r="D12081" t="str">
        <f>"01518"</f>
        <v>01518</v>
      </c>
      <c r="E12081">
        <v>80.260000000000005</v>
      </c>
    </row>
    <row r="12082" spans="1:5" x14ac:dyDescent="0.2">
      <c r="A12082" t="str">
        <f>"01519"</f>
        <v>01519</v>
      </c>
      <c r="B12082" t="s">
        <v>25</v>
      </c>
      <c r="C12082">
        <v>1519</v>
      </c>
      <c r="D12082" t="str">
        <f>"01519"</f>
        <v>01519</v>
      </c>
      <c r="E12082">
        <v>82.79</v>
      </c>
    </row>
    <row r="12083" spans="1:5" x14ac:dyDescent="0.2">
      <c r="A12083" t="str">
        <f>"01520"</f>
        <v>01520</v>
      </c>
      <c r="B12083" t="s">
        <v>25</v>
      </c>
      <c r="C12083">
        <v>1520</v>
      </c>
      <c r="D12083" t="str">
        <f>"01520"</f>
        <v>01520</v>
      </c>
      <c r="E12083">
        <v>83.27</v>
      </c>
    </row>
    <row r="12084" spans="1:5" x14ac:dyDescent="0.2">
      <c r="A12084" t="str">
        <f>"01521"</f>
        <v>01521</v>
      </c>
      <c r="B12084" t="s">
        <v>25</v>
      </c>
      <c r="C12084">
        <v>1521</v>
      </c>
      <c r="D12084" t="str">
        <f>"01521"</f>
        <v>01521</v>
      </c>
      <c r="E12084">
        <v>81.599999999999994</v>
      </c>
    </row>
    <row r="12085" spans="1:5" x14ac:dyDescent="0.2">
      <c r="A12085" t="str">
        <f>"01522"</f>
        <v>01522</v>
      </c>
      <c r="B12085" t="s">
        <v>25</v>
      </c>
      <c r="C12085">
        <v>1522</v>
      </c>
      <c r="D12085" t="str">
        <f>"01522"</f>
        <v>01522</v>
      </c>
      <c r="E12085">
        <v>81.67</v>
      </c>
    </row>
    <row r="12086" spans="1:5" x14ac:dyDescent="0.2">
      <c r="A12086" t="str">
        <f>"01523"</f>
        <v>01523</v>
      </c>
      <c r="B12086" t="s">
        <v>25</v>
      </c>
      <c r="C12086">
        <v>1523</v>
      </c>
      <c r="D12086" t="str">
        <f>"01523"</f>
        <v>01523</v>
      </c>
      <c r="E12086">
        <v>81.010000000000005</v>
      </c>
    </row>
    <row r="12087" spans="1:5" x14ac:dyDescent="0.2">
      <c r="A12087" t="str">
        <f>"01524"</f>
        <v>01524</v>
      </c>
      <c r="B12087" t="s">
        <v>25</v>
      </c>
      <c r="C12087">
        <v>1524</v>
      </c>
      <c r="D12087" t="str">
        <f>"01524"</f>
        <v>01524</v>
      </c>
      <c r="E12087">
        <v>79.88</v>
      </c>
    </row>
    <row r="12088" spans="1:5" x14ac:dyDescent="0.2">
      <c r="A12088" t="str">
        <f>"01527"</f>
        <v>01527</v>
      </c>
      <c r="B12088" t="s">
        <v>25</v>
      </c>
      <c r="C12088">
        <v>1527</v>
      </c>
      <c r="D12088" t="str">
        <f>"01527"</f>
        <v>01527</v>
      </c>
      <c r="E12088">
        <v>82.4</v>
      </c>
    </row>
    <row r="12089" spans="1:5" x14ac:dyDescent="0.2">
      <c r="A12089" t="str">
        <f>"01529"</f>
        <v>01529</v>
      </c>
      <c r="B12089" t="s">
        <v>25</v>
      </c>
      <c r="C12089">
        <v>1529</v>
      </c>
      <c r="D12089" t="str">
        <f>"01529"</f>
        <v>01529</v>
      </c>
      <c r="E12089">
        <v>80.25</v>
      </c>
    </row>
    <row r="12090" spans="1:5" x14ac:dyDescent="0.2">
      <c r="A12090" t="str">
        <f>"01531"</f>
        <v>01531</v>
      </c>
      <c r="B12090" t="s">
        <v>25</v>
      </c>
      <c r="C12090">
        <v>1531</v>
      </c>
      <c r="D12090" t="str">
        <f>"01531"</f>
        <v>01531</v>
      </c>
      <c r="E12090">
        <v>82</v>
      </c>
    </row>
    <row r="12091" spans="1:5" x14ac:dyDescent="0.2">
      <c r="A12091" t="str">
        <f>"01532"</f>
        <v>01532</v>
      </c>
      <c r="B12091" t="s">
        <v>25</v>
      </c>
      <c r="C12091">
        <v>1532</v>
      </c>
      <c r="D12091" t="str">
        <f>"01532"</f>
        <v>01532</v>
      </c>
      <c r="E12091">
        <v>81.849999999999994</v>
      </c>
    </row>
    <row r="12092" spans="1:5" x14ac:dyDescent="0.2">
      <c r="A12092" t="str">
        <f>"01534"</f>
        <v>01534</v>
      </c>
      <c r="B12092" t="s">
        <v>25</v>
      </c>
      <c r="C12092">
        <v>1534</v>
      </c>
      <c r="D12092" t="str">
        <f>"01534"</f>
        <v>01534</v>
      </c>
      <c r="E12092">
        <v>82.57</v>
      </c>
    </row>
    <row r="12093" spans="1:5" x14ac:dyDescent="0.2">
      <c r="A12093" t="str">
        <f>"01535"</f>
        <v>01535</v>
      </c>
      <c r="B12093" t="s">
        <v>25</v>
      </c>
      <c r="C12093">
        <v>1535</v>
      </c>
      <c r="D12093" t="str">
        <f>"01535"</f>
        <v>01535</v>
      </c>
      <c r="E12093">
        <v>79.06</v>
      </c>
    </row>
    <row r="12094" spans="1:5" x14ac:dyDescent="0.2">
      <c r="A12094" t="str">
        <f>"01536"</f>
        <v>01536</v>
      </c>
      <c r="B12094" t="s">
        <v>25</v>
      </c>
      <c r="C12094">
        <v>1536</v>
      </c>
      <c r="D12094" t="str">
        <f>"01536"</f>
        <v>01536</v>
      </c>
      <c r="E12094">
        <v>83.01</v>
      </c>
    </row>
    <row r="12095" spans="1:5" x14ac:dyDescent="0.2">
      <c r="A12095" t="str">
        <f>"01537"</f>
        <v>01537</v>
      </c>
      <c r="B12095" t="s">
        <v>25</v>
      </c>
      <c r="C12095">
        <v>1537</v>
      </c>
      <c r="D12095" t="str">
        <f>"01537"</f>
        <v>01537</v>
      </c>
      <c r="E12095">
        <v>83.2</v>
      </c>
    </row>
    <row r="12096" spans="1:5" x14ac:dyDescent="0.2">
      <c r="A12096" t="str">
        <f>"01540"</f>
        <v>01540</v>
      </c>
      <c r="B12096" t="s">
        <v>25</v>
      </c>
      <c r="C12096">
        <v>1540</v>
      </c>
      <c r="D12096" t="str">
        <f>"01540"</f>
        <v>01540</v>
      </c>
      <c r="E12096">
        <v>80.58</v>
      </c>
    </row>
    <row r="12097" spans="1:5" x14ac:dyDescent="0.2">
      <c r="A12097" t="str">
        <f>"01541"</f>
        <v>01541</v>
      </c>
      <c r="B12097" t="s">
        <v>25</v>
      </c>
      <c r="C12097">
        <v>1541</v>
      </c>
      <c r="D12097" t="str">
        <f>"01541"</f>
        <v>01541</v>
      </c>
      <c r="E12097">
        <v>82.42</v>
      </c>
    </row>
    <row r="12098" spans="1:5" x14ac:dyDescent="0.2">
      <c r="A12098" t="str">
        <f>"01542"</f>
        <v>01542</v>
      </c>
      <c r="B12098" t="s">
        <v>25</v>
      </c>
      <c r="C12098">
        <v>1542</v>
      </c>
      <c r="D12098" t="str">
        <f>"01542"</f>
        <v>01542</v>
      </c>
      <c r="E12098">
        <v>80.87</v>
      </c>
    </row>
    <row r="12099" spans="1:5" x14ac:dyDescent="0.2">
      <c r="A12099" t="str">
        <f>"01543"</f>
        <v>01543</v>
      </c>
      <c r="B12099" t="s">
        <v>25</v>
      </c>
      <c r="C12099">
        <v>1543</v>
      </c>
      <c r="D12099" t="str">
        <f>"01543"</f>
        <v>01543</v>
      </c>
      <c r="E12099">
        <v>82.31</v>
      </c>
    </row>
    <row r="12100" spans="1:5" x14ac:dyDescent="0.2">
      <c r="A12100" t="str">
        <f>"01545"</f>
        <v>01545</v>
      </c>
      <c r="B12100" t="s">
        <v>25</v>
      </c>
      <c r="C12100">
        <v>1545</v>
      </c>
      <c r="D12100" t="str">
        <f>"01545"</f>
        <v>01545</v>
      </c>
      <c r="E12100">
        <v>82.1</v>
      </c>
    </row>
    <row r="12101" spans="1:5" x14ac:dyDescent="0.2">
      <c r="A12101" t="str">
        <f>"01550"</f>
        <v>01550</v>
      </c>
      <c r="B12101" t="s">
        <v>25</v>
      </c>
      <c r="C12101">
        <v>1550</v>
      </c>
      <c r="D12101" t="str">
        <f>"01550"</f>
        <v>01550</v>
      </c>
      <c r="E12101">
        <v>68.88</v>
      </c>
    </row>
    <row r="12102" spans="1:5" x14ac:dyDescent="0.2">
      <c r="A12102" t="str">
        <f>"01560"</f>
        <v>01560</v>
      </c>
      <c r="B12102" t="s">
        <v>25</v>
      </c>
      <c r="C12102">
        <v>1560</v>
      </c>
      <c r="D12102" t="str">
        <f>"01560"</f>
        <v>01560</v>
      </c>
      <c r="E12102">
        <v>82.3</v>
      </c>
    </row>
    <row r="12103" spans="1:5" x14ac:dyDescent="0.2">
      <c r="A12103" t="str">
        <f>"01562"</f>
        <v>01562</v>
      </c>
      <c r="B12103" t="s">
        <v>25</v>
      </c>
      <c r="C12103">
        <v>1562</v>
      </c>
      <c r="D12103" t="str">
        <f>"01562"</f>
        <v>01562</v>
      </c>
      <c r="E12103">
        <v>79.39</v>
      </c>
    </row>
    <row r="12104" spans="1:5" x14ac:dyDescent="0.2">
      <c r="A12104" t="str">
        <f>"01564"</f>
        <v>01564</v>
      </c>
      <c r="B12104" t="s">
        <v>25</v>
      </c>
      <c r="C12104">
        <v>1564</v>
      </c>
      <c r="D12104" t="str">
        <f>"01564"</f>
        <v>01564</v>
      </c>
      <c r="E12104">
        <v>81.62</v>
      </c>
    </row>
    <row r="12105" spans="1:5" x14ac:dyDescent="0.2">
      <c r="A12105" t="str">
        <f>"01566"</f>
        <v>01566</v>
      </c>
      <c r="B12105" t="s">
        <v>25</v>
      </c>
      <c r="C12105">
        <v>1566</v>
      </c>
      <c r="D12105" t="str">
        <f>"01566"</f>
        <v>01566</v>
      </c>
      <c r="E12105">
        <v>82.76</v>
      </c>
    </row>
    <row r="12106" spans="1:5" x14ac:dyDescent="0.2">
      <c r="A12106" t="str">
        <f>"01568"</f>
        <v>01568</v>
      </c>
      <c r="B12106" t="s">
        <v>25</v>
      </c>
      <c r="C12106">
        <v>1568</v>
      </c>
      <c r="D12106" t="str">
        <f>"01568"</f>
        <v>01568</v>
      </c>
      <c r="E12106">
        <v>81.7</v>
      </c>
    </row>
    <row r="12107" spans="1:5" x14ac:dyDescent="0.2">
      <c r="A12107" t="str">
        <f>"01569"</f>
        <v>01569</v>
      </c>
      <c r="B12107" t="s">
        <v>25</v>
      </c>
      <c r="C12107">
        <v>1569</v>
      </c>
      <c r="D12107" t="str">
        <f>"01569"</f>
        <v>01569</v>
      </c>
      <c r="E12107">
        <v>82.03</v>
      </c>
    </row>
    <row r="12108" spans="1:5" x14ac:dyDescent="0.2">
      <c r="A12108" t="str">
        <f>"01570"</f>
        <v>01570</v>
      </c>
      <c r="B12108" t="s">
        <v>25</v>
      </c>
      <c r="C12108">
        <v>1570</v>
      </c>
      <c r="D12108" t="str">
        <f>"01570"</f>
        <v>01570</v>
      </c>
      <c r="E12108">
        <v>74.61</v>
      </c>
    </row>
    <row r="12109" spans="1:5" x14ac:dyDescent="0.2">
      <c r="A12109" t="str">
        <f>"01571"</f>
        <v>01571</v>
      </c>
      <c r="B12109" t="s">
        <v>25</v>
      </c>
      <c r="C12109">
        <v>1571</v>
      </c>
      <c r="D12109" t="str">
        <f>"01571"</f>
        <v>01571</v>
      </c>
      <c r="E12109">
        <v>79</v>
      </c>
    </row>
    <row r="12110" spans="1:5" x14ac:dyDescent="0.2">
      <c r="A12110" t="str">
        <f>"01581"</f>
        <v>01581</v>
      </c>
      <c r="B12110" t="s">
        <v>25</v>
      </c>
      <c r="C12110">
        <v>1581</v>
      </c>
      <c r="D12110" t="str">
        <f>"01581"</f>
        <v>01581</v>
      </c>
      <c r="E12110">
        <v>82.46</v>
      </c>
    </row>
    <row r="12111" spans="1:5" x14ac:dyDescent="0.2">
      <c r="A12111" t="str">
        <f>"01583"</f>
        <v>01583</v>
      </c>
      <c r="B12111" t="s">
        <v>25</v>
      </c>
      <c r="C12111">
        <v>1583</v>
      </c>
      <c r="D12111" t="str">
        <f>"01583"</f>
        <v>01583</v>
      </c>
      <c r="E12111">
        <v>82.55</v>
      </c>
    </row>
    <row r="12112" spans="1:5" x14ac:dyDescent="0.2">
      <c r="A12112" t="str">
        <f>"01585"</f>
        <v>01585</v>
      </c>
      <c r="B12112" t="s">
        <v>25</v>
      </c>
      <c r="C12112">
        <v>1585</v>
      </c>
      <c r="D12112" t="str">
        <f>"01585"</f>
        <v>01585</v>
      </c>
      <c r="E12112">
        <v>77.209999999999994</v>
      </c>
    </row>
    <row r="12113" spans="1:5" x14ac:dyDescent="0.2">
      <c r="A12113" t="str">
        <f>"01588"</f>
        <v>01588</v>
      </c>
      <c r="B12113" t="s">
        <v>25</v>
      </c>
      <c r="C12113">
        <v>1588</v>
      </c>
      <c r="D12113" t="str">
        <f>"01588"</f>
        <v>01588</v>
      </c>
      <c r="E12113">
        <v>78.63</v>
      </c>
    </row>
    <row r="12114" spans="1:5" x14ac:dyDescent="0.2">
      <c r="A12114" t="str">
        <f>"01590"</f>
        <v>01590</v>
      </c>
      <c r="B12114" t="s">
        <v>25</v>
      </c>
      <c r="C12114">
        <v>1590</v>
      </c>
      <c r="D12114" t="str">
        <f>"01590"</f>
        <v>01590</v>
      </c>
      <c r="E12114">
        <v>82.47</v>
      </c>
    </row>
    <row r="12115" spans="1:5" x14ac:dyDescent="0.2">
      <c r="A12115" t="str">
        <f>"01602"</f>
        <v>01602</v>
      </c>
      <c r="B12115" t="s">
        <v>25</v>
      </c>
      <c r="C12115">
        <v>1602</v>
      </c>
      <c r="D12115" t="str">
        <f>"01602"</f>
        <v>01602</v>
      </c>
      <c r="E12115">
        <v>77.930000000000007</v>
      </c>
    </row>
    <row r="12116" spans="1:5" x14ac:dyDescent="0.2">
      <c r="A12116" t="str">
        <f>"01603"</f>
        <v>01603</v>
      </c>
      <c r="B12116" t="s">
        <v>25</v>
      </c>
      <c r="C12116">
        <v>1603</v>
      </c>
      <c r="D12116" t="str">
        <f>"01603"</f>
        <v>01603</v>
      </c>
      <c r="E12116">
        <v>68.36</v>
      </c>
    </row>
    <row r="12117" spans="1:5" x14ac:dyDescent="0.2">
      <c r="A12117" t="str">
        <f>"01604"</f>
        <v>01604</v>
      </c>
      <c r="B12117" t="s">
        <v>25</v>
      </c>
      <c r="C12117">
        <v>1604</v>
      </c>
      <c r="D12117" t="str">
        <f>"01604"</f>
        <v>01604</v>
      </c>
      <c r="E12117">
        <v>72.319999999999993</v>
      </c>
    </row>
    <row r="12118" spans="1:5" x14ac:dyDescent="0.2">
      <c r="A12118" t="str">
        <f>"01605"</f>
        <v>01605</v>
      </c>
      <c r="B12118" t="s">
        <v>25</v>
      </c>
      <c r="C12118">
        <v>1605</v>
      </c>
      <c r="D12118" t="str">
        <f>"01605"</f>
        <v>01605</v>
      </c>
      <c r="E12118">
        <v>65.599999999999994</v>
      </c>
    </row>
    <row r="12119" spans="1:5" x14ac:dyDescent="0.2">
      <c r="A12119" t="str">
        <f>"01606"</f>
        <v>01606</v>
      </c>
      <c r="B12119" t="s">
        <v>25</v>
      </c>
      <c r="C12119">
        <v>1606</v>
      </c>
      <c r="D12119" t="str">
        <f>"01606"</f>
        <v>01606</v>
      </c>
      <c r="E12119">
        <v>79.680000000000007</v>
      </c>
    </row>
    <row r="12120" spans="1:5" x14ac:dyDescent="0.2">
      <c r="A12120" t="str">
        <f>"01607"</f>
        <v>01607</v>
      </c>
      <c r="B12120" t="s">
        <v>25</v>
      </c>
      <c r="C12120">
        <v>1607</v>
      </c>
      <c r="D12120" t="str">
        <f>"01607"</f>
        <v>01607</v>
      </c>
      <c r="E12120">
        <v>70.14</v>
      </c>
    </row>
    <row r="12121" spans="1:5" x14ac:dyDescent="0.2">
      <c r="A12121" t="str">
        <f>"01608"</f>
        <v>01608</v>
      </c>
      <c r="B12121" t="s">
        <v>25</v>
      </c>
      <c r="C12121">
        <v>1608</v>
      </c>
      <c r="D12121" t="str">
        <f>"01608"</f>
        <v>01608</v>
      </c>
      <c r="E12121">
        <v>60.56</v>
      </c>
    </row>
    <row r="12122" spans="1:5" x14ac:dyDescent="0.2">
      <c r="A12122" t="str">
        <f>"01609"</f>
        <v>01609</v>
      </c>
      <c r="B12122" t="s">
        <v>25</v>
      </c>
      <c r="C12122">
        <v>1609</v>
      </c>
      <c r="D12122" t="str">
        <f>"01609"</f>
        <v>01609</v>
      </c>
      <c r="E12122">
        <v>71.92</v>
      </c>
    </row>
    <row r="12123" spans="1:5" x14ac:dyDescent="0.2">
      <c r="A12123" t="str">
        <f>"01610"</f>
        <v>01610</v>
      </c>
      <c r="B12123" t="s">
        <v>25</v>
      </c>
      <c r="C12123">
        <v>1610</v>
      </c>
      <c r="D12123" t="str">
        <f>"01610"</f>
        <v>01610</v>
      </c>
      <c r="E12123">
        <v>57.84</v>
      </c>
    </row>
    <row r="12124" spans="1:5" x14ac:dyDescent="0.2">
      <c r="A12124" t="str">
        <f>"01611"</f>
        <v>01611</v>
      </c>
      <c r="B12124" t="s">
        <v>25</v>
      </c>
      <c r="C12124">
        <v>1611</v>
      </c>
      <c r="D12124" t="str">
        <f>"01611"</f>
        <v>01611</v>
      </c>
      <c r="E12124">
        <v>76.92</v>
      </c>
    </row>
    <row r="12125" spans="1:5" x14ac:dyDescent="0.2">
      <c r="A12125" t="str">
        <f>"01612"</f>
        <v>01612</v>
      </c>
      <c r="B12125" t="s">
        <v>25</v>
      </c>
      <c r="C12125">
        <v>1612</v>
      </c>
      <c r="D12125" t="str">
        <f>"01612"</f>
        <v>01612</v>
      </c>
      <c r="E12125">
        <v>81.62</v>
      </c>
    </row>
    <row r="12126" spans="1:5" x14ac:dyDescent="0.2">
      <c r="A12126" t="str">
        <f>"01655"</f>
        <v>01655</v>
      </c>
      <c r="B12126" t="s">
        <v>25</v>
      </c>
      <c r="C12126">
        <v>1655</v>
      </c>
      <c r="D12126" t="str">
        <f>"01655"</f>
        <v>01655</v>
      </c>
      <c r="E12126" t="s">
        <v>6</v>
      </c>
    </row>
    <row r="12127" spans="1:5" x14ac:dyDescent="0.2">
      <c r="A12127" t="str">
        <f>"01701"</f>
        <v>01701</v>
      </c>
      <c r="B12127" t="s">
        <v>25</v>
      </c>
      <c r="C12127">
        <v>1701</v>
      </c>
      <c r="D12127" t="str">
        <f>"01701"</f>
        <v>01701</v>
      </c>
      <c r="E12127">
        <v>82.45</v>
      </c>
    </row>
    <row r="12128" spans="1:5" x14ac:dyDescent="0.2">
      <c r="A12128" t="str">
        <f>"01702"</f>
        <v>01702</v>
      </c>
      <c r="B12128" t="s">
        <v>25</v>
      </c>
      <c r="C12128">
        <v>1702</v>
      </c>
      <c r="D12128" t="str">
        <f>"01702"</f>
        <v>01702</v>
      </c>
      <c r="E12128">
        <v>71.61</v>
      </c>
    </row>
    <row r="12129" spans="1:5" x14ac:dyDescent="0.2">
      <c r="A12129" t="str">
        <f>"01718"</f>
        <v>01718</v>
      </c>
      <c r="B12129" t="s">
        <v>25</v>
      </c>
      <c r="C12129">
        <v>1718</v>
      </c>
      <c r="D12129" t="str">
        <f>"01718"</f>
        <v>01718</v>
      </c>
      <c r="E12129">
        <v>84.85</v>
      </c>
    </row>
    <row r="12130" spans="1:5" x14ac:dyDescent="0.2">
      <c r="A12130" t="str">
        <f>"01719"</f>
        <v>01719</v>
      </c>
      <c r="B12130" t="s">
        <v>25</v>
      </c>
      <c r="C12130">
        <v>1719</v>
      </c>
      <c r="D12130" t="str">
        <f>"01719"</f>
        <v>01719</v>
      </c>
      <c r="E12130">
        <v>84.64</v>
      </c>
    </row>
    <row r="12131" spans="1:5" x14ac:dyDescent="0.2">
      <c r="A12131" t="str">
        <f>"01720"</f>
        <v>01720</v>
      </c>
      <c r="B12131" t="s">
        <v>25</v>
      </c>
      <c r="C12131">
        <v>1720</v>
      </c>
      <c r="D12131" t="str">
        <f>"01720"</f>
        <v>01720</v>
      </c>
      <c r="E12131">
        <v>82.2</v>
      </c>
    </row>
    <row r="12132" spans="1:5" x14ac:dyDescent="0.2">
      <c r="A12132" t="str">
        <f>"01721"</f>
        <v>01721</v>
      </c>
      <c r="B12132" t="s">
        <v>25</v>
      </c>
      <c r="C12132">
        <v>1721</v>
      </c>
      <c r="D12132" t="str">
        <f>"01721"</f>
        <v>01721</v>
      </c>
      <c r="E12132">
        <v>82.07</v>
      </c>
    </row>
    <row r="12133" spans="1:5" x14ac:dyDescent="0.2">
      <c r="A12133" t="str">
        <f>"01730"</f>
        <v>01730</v>
      </c>
      <c r="B12133" t="s">
        <v>25</v>
      </c>
      <c r="C12133">
        <v>1730</v>
      </c>
      <c r="D12133" t="str">
        <f>"01730"</f>
        <v>01730</v>
      </c>
      <c r="E12133">
        <v>82.71</v>
      </c>
    </row>
    <row r="12134" spans="1:5" x14ac:dyDescent="0.2">
      <c r="A12134" t="str">
        <f>"01731"</f>
        <v>01731</v>
      </c>
      <c r="B12134" t="s">
        <v>25</v>
      </c>
      <c r="C12134">
        <v>1731</v>
      </c>
      <c r="D12134" t="str">
        <f>"01731"</f>
        <v>01731</v>
      </c>
      <c r="E12134">
        <v>78.48</v>
      </c>
    </row>
    <row r="12135" spans="1:5" x14ac:dyDescent="0.2">
      <c r="A12135" t="str">
        <f>"01740"</f>
        <v>01740</v>
      </c>
      <c r="B12135" t="s">
        <v>25</v>
      </c>
      <c r="C12135">
        <v>1740</v>
      </c>
      <c r="D12135" t="str">
        <f>"01740"</f>
        <v>01740</v>
      </c>
      <c r="E12135">
        <v>83.92</v>
      </c>
    </row>
    <row r="12136" spans="1:5" x14ac:dyDescent="0.2">
      <c r="A12136" t="str">
        <f>"01741"</f>
        <v>01741</v>
      </c>
      <c r="B12136" t="s">
        <v>25</v>
      </c>
      <c r="C12136">
        <v>1741</v>
      </c>
      <c r="D12136" t="str">
        <f>"01741"</f>
        <v>01741</v>
      </c>
      <c r="E12136">
        <v>80.8</v>
      </c>
    </row>
    <row r="12137" spans="1:5" x14ac:dyDescent="0.2">
      <c r="A12137" t="str">
        <f>"01742"</f>
        <v>01742</v>
      </c>
      <c r="B12137" t="s">
        <v>25</v>
      </c>
      <c r="C12137">
        <v>1742</v>
      </c>
      <c r="D12137" t="str">
        <f>"01742"</f>
        <v>01742</v>
      </c>
      <c r="E12137">
        <v>81.819999999999993</v>
      </c>
    </row>
    <row r="12138" spans="1:5" x14ac:dyDescent="0.2">
      <c r="A12138" t="str">
        <f>"01745"</f>
        <v>01745</v>
      </c>
      <c r="B12138" t="s">
        <v>25</v>
      </c>
      <c r="C12138">
        <v>1745</v>
      </c>
      <c r="D12138" t="str">
        <f>"01745"</f>
        <v>01745</v>
      </c>
      <c r="E12138">
        <v>80.77</v>
      </c>
    </row>
    <row r="12139" spans="1:5" x14ac:dyDescent="0.2">
      <c r="A12139" t="str">
        <f>"01746"</f>
        <v>01746</v>
      </c>
      <c r="B12139" t="s">
        <v>25</v>
      </c>
      <c r="C12139">
        <v>1746</v>
      </c>
      <c r="D12139" t="str">
        <f>"01746"</f>
        <v>01746</v>
      </c>
      <c r="E12139">
        <v>82.18</v>
      </c>
    </row>
    <row r="12140" spans="1:5" x14ac:dyDescent="0.2">
      <c r="A12140" t="str">
        <f>"01747"</f>
        <v>01747</v>
      </c>
      <c r="B12140" t="s">
        <v>25</v>
      </c>
      <c r="C12140">
        <v>1747</v>
      </c>
      <c r="D12140" t="str">
        <f>"01747"</f>
        <v>01747</v>
      </c>
      <c r="E12140">
        <v>79.87</v>
      </c>
    </row>
    <row r="12141" spans="1:5" x14ac:dyDescent="0.2">
      <c r="A12141" t="str">
        <f>"01748"</f>
        <v>01748</v>
      </c>
      <c r="B12141" t="s">
        <v>25</v>
      </c>
      <c r="C12141">
        <v>1748</v>
      </c>
      <c r="D12141" t="str">
        <f>"01748"</f>
        <v>01748</v>
      </c>
      <c r="E12141">
        <v>82.74</v>
      </c>
    </row>
    <row r="12142" spans="1:5" x14ac:dyDescent="0.2">
      <c r="A12142" t="str">
        <f>"01749"</f>
        <v>01749</v>
      </c>
      <c r="B12142" t="s">
        <v>25</v>
      </c>
      <c r="C12142">
        <v>1749</v>
      </c>
      <c r="D12142" t="str">
        <f>"01749"</f>
        <v>01749</v>
      </c>
      <c r="E12142">
        <v>80.23</v>
      </c>
    </row>
    <row r="12143" spans="1:5" x14ac:dyDescent="0.2">
      <c r="A12143" t="str">
        <f>"01752"</f>
        <v>01752</v>
      </c>
      <c r="B12143" t="s">
        <v>25</v>
      </c>
      <c r="C12143">
        <v>1752</v>
      </c>
      <c r="D12143" t="str">
        <f>"01752"</f>
        <v>01752</v>
      </c>
      <c r="E12143">
        <v>77.930000000000007</v>
      </c>
    </row>
    <row r="12144" spans="1:5" x14ac:dyDescent="0.2">
      <c r="A12144" t="str">
        <f>"01754"</f>
        <v>01754</v>
      </c>
      <c r="B12144" t="s">
        <v>25</v>
      </c>
      <c r="C12144">
        <v>1754</v>
      </c>
      <c r="D12144" t="str">
        <f>"01754"</f>
        <v>01754</v>
      </c>
      <c r="E12144">
        <v>82.82</v>
      </c>
    </row>
    <row r="12145" spans="1:5" x14ac:dyDescent="0.2">
      <c r="A12145" t="str">
        <f>"01756"</f>
        <v>01756</v>
      </c>
      <c r="B12145" t="s">
        <v>25</v>
      </c>
      <c r="C12145">
        <v>1756</v>
      </c>
      <c r="D12145" t="str">
        <f>"01756"</f>
        <v>01756</v>
      </c>
      <c r="E12145">
        <v>81.19</v>
      </c>
    </row>
    <row r="12146" spans="1:5" x14ac:dyDescent="0.2">
      <c r="A12146" t="str">
        <f>"01757"</f>
        <v>01757</v>
      </c>
      <c r="B12146" t="s">
        <v>25</v>
      </c>
      <c r="C12146">
        <v>1757</v>
      </c>
      <c r="D12146" t="str">
        <f>"01757"</f>
        <v>01757</v>
      </c>
      <c r="E12146">
        <v>77.2</v>
      </c>
    </row>
    <row r="12147" spans="1:5" x14ac:dyDescent="0.2">
      <c r="A12147" t="str">
        <f>"01760"</f>
        <v>01760</v>
      </c>
      <c r="B12147" t="s">
        <v>25</v>
      </c>
      <c r="C12147">
        <v>1760</v>
      </c>
      <c r="D12147" t="str">
        <f>"01760"</f>
        <v>01760</v>
      </c>
      <c r="E12147">
        <v>83.18</v>
      </c>
    </row>
    <row r="12148" spans="1:5" x14ac:dyDescent="0.2">
      <c r="A12148" t="str">
        <f>"01770"</f>
        <v>01770</v>
      </c>
      <c r="B12148" t="s">
        <v>25</v>
      </c>
      <c r="C12148">
        <v>1770</v>
      </c>
      <c r="D12148" t="str">
        <f>"01770"</f>
        <v>01770</v>
      </c>
      <c r="E12148">
        <v>82.04</v>
      </c>
    </row>
    <row r="12149" spans="1:5" x14ac:dyDescent="0.2">
      <c r="A12149" t="str">
        <f>"01772"</f>
        <v>01772</v>
      </c>
      <c r="B12149" t="s">
        <v>25</v>
      </c>
      <c r="C12149">
        <v>1772</v>
      </c>
      <c r="D12149" t="str">
        <f>"01772"</f>
        <v>01772</v>
      </c>
      <c r="E12149">
        <v>82.57</v>
      </c>
    </row>
    <row r="12150" spans="1:5" x14ac:dyDescent="0.2">
      <c r="A12150" t="str">
        <f>"01773"</f>
        <v>01773</v>
      </c>
      <c r="B12150" t="s">
        <v>25</v>
      </c>
      <c r="C12150">
        <v>1773</v>
      </c>
      <c r="D12150" t="str">
        <f>"01773"</f>
        <v>01773</v>
      </c>
      <c r="E12150">
        <v>83.96</v>
      </c>
    </row>
    <row r="12151" spans="1:5" x14ac:dyDescent="0.2">
      <c r="A12151" t="str">
        <f>"01775"</f>
        <v>01775</v>
      </c>
      <c r="B12151" t="s">
        <v>25</v>
      </c>
      <c r="C12151">
        <v>1775</v>
      </c>
      <c r="D12151" t="str">
        <f>"01775"</f>
        <v>01775</v>
      </c>
      <c r="E12151">
        <v>81.819999999999993</v>
      </c>
    </row>
    <row r="12152" spans="1:5" x14ac:dyDescent="0.2">
      <c r="A12152" t="str">
        <f>"01776"</f>
        <v>01776</v>
      </c>
      <c r="B12152" t="s">
        <v>25</v>
      </c>
      <c r="C12152">
        <v>1776</v>
      </c>
      <c r="D12152" t="str">
        <f>"01776"</f>
        <v>01776</v>
      </c>
      <c r="E12152">
        <v>81.5</v>
      </c>
    </row>
    <row r="12153" spans="1:5" x14ac:dyDescent="0.2">
      <c r="A12153" t="str">
        <f>"01778"</f>
        <v>01778</v>
      </c>
      <c r="B12153" t="s">
        <v>25</v>
      </c>
      <c r="C12153">
        <v>1778</v>
      </c>
      <c r="D12153" t="str">
        <f>"01778"</f>
        <v>01778</v>
      </c>
      <c r="E12153">
        <v>82.12</v>
      </c>
    </row>
    <row r="12154" spans="1:5" x14ac:dyDescent="0.2">
      <c r="A12154" t="str">
        <f>"01801"</f>
        <v>01801</v>
      </c>
      <c r="B12154" t="s">
        <v>25</v>
      </c>
      <c r="C12154">
        <v>1801</v>
      </c>
      <c r="D12154" t="str">
        <f>"01801"</f>
        <v>01801</v>
      </c>
      <c r="E12154">
        <v>81.64</v>
      </c>
    </row>
    <row r="12155" spans="1:5" x14ac:dyDescent="0.2">
      <c r="A12155" t="str">
        <f>"01803"</f>
        <v>01803</v>
      </c>
      <c r="B12155" t="s">
        <v>25</v>
      </c>
      <c r="C12155">
        <v>1803</v>
      </c>
      <c r="D12155" t="str">
        <f>"01803"</f>
        <v>01803</v>
      </c>
      <c r="E12155">
        <v>82.64</v>
      </c>
    </row>
    <row r="12156" spans="1:5" x14ac:dyDescent="0.2">
      <c r="A12156" t="str">
        <f>"01805"</f>
        <v>01805</v>
      </c>
      <c r="B12156" t="s">
        <v>25</v>
      </c>
      <c r="C12156">
        <v>1805</v>
      </c>
      <c r="D12156" t="str">
        <f>"01805"</f>
        <v>01805</v>
      </c>
      <c r="E12156" t="s">
        <v>6</v>
      </c>
    </row>
    <row r="12157" spans="1:5" x14ac:dyDescent="0.2">
      <c r="A12157" t="str">
        <f>"01810"</f>
        <v>01810</v>
      </c>
      <c r="B12157" t="s">
        <v>25</v>
      </c>
      <c r="C12157">
        <v>1810</v>
      </c>
      <c r="D12157" t="str">
        <f>"01810"</f>
        <v>01810</v>
      </c>
      <c r="E12157">
        <v>83.14</v>
      </c>
    </row>
    <row r="12158" spans="1:5" x14ac:dyDescent="0.2">
      <c r="A12158" t="str">
        <f>"01821"</f>
        <v>01821</v>
      </c>
      <c r="B12158" t="s">
        <v>25</v>
      </c>
      <c r="C12158">
        <v>1821</v>
      </c>
      <c r="D12158" t="str">
        <f>"01821"</f>
        <v>01821</v>
      </c>
      <c r="E12158">
        <v>82.68</v>
      </c>
    </row>
    <row r="12159" spans="1:5" x14ac:dyDescent="0.2">
      <c r="A12159" t="str">
        <f>"01824"</f>
        <v>01824</v>
      </c>
      <c r="B12159" t="s">
        <v>25</v>
      </c>
      <c r="C12159">
        <v>1824</v>
      </c>
      <c r="D12159" t="str">
        <f>"01824"</f>
        <v>01824</v>
      </c>
      <c r="E12159">
        <v>82.39</v>
      </c>
    </row>
    <row r="12160" spans="1:5" x14ac:dyDescent="0.2">
      <c r="A12160" t="str">
        <f>"01826"</f>
        <v>01826</v>
      </c>
      <c r="B12160" t="s">
        <v>25</v>
      </c>
      <c r="C12160">
        <v>1826</v>
      </c>
      <c r="D12160" t="str">
        <f>"01826"</f>
        <v>01826</v>
      </c>
      <c r="E12160">
        <v>80.48</v>
      </c>
    </row>
    <row r="12161" spans="1:5" x14ac:dyDescent="0.2">
      <c r="A12161" t="str">
        <f>"01827"</f>
        <v>01827</v>
      </c>
      <c r="B12161" t="s">
        <v>25</v>
      </c>
      <c r="C12161">
        <v>1827</v>
      </c>
      <c r="D12161" t="str">
        <f>"01827"</f>
        <v>01827</v>
      </c>
      <c r="E12161">
        <v>83.33</v>
      </c>
    </row>
    <row r="12162" spans="1:5" x14ac:dyDescent="0.2">
      <c r="A12162" t="str">
        <f>"01830"</f>
        <v>01830</v>
      </c>
      <c r="B12162" t="s">
        <v>25</v>
      </c>
      <c r="C12162">
        <v>1830</v>
      </c>
      <c r="D12162" t="str">
        <f>"01830"</f>
        <v>01830</v>
      </c>
      <c r="E12162">
        <v>75.930000000000007</v>
      </c>
    </row>
    <row r="12163" spans="1:5" x14ac:dyDescent="0.2">
      <c r="A12163" t="str">
        <f>"01832"</f>
        <v>01832</v>
      </c>
      <c r="B12163" t="s">
        <v>25</v>
      </c>
      <c r="C12163">
        <v>1832</v>
      </c>
      <c r="D12163" t="str">
        <f>"01832"</f>
        <v>01832</v>
      </c>
      <c r="E12163">
        <v>74.430000000000007</v>
      </c>
    </row>
    <row r="12164" spans="1:5" x14ac:dyDescent="0.2">
      <c r="A12164" t="str">
        <f>"01833"</f>
        <v>01833</v>
      </c>
      <c r="B12164" t="s">
        <v>25</v>
      </c>
      <c r="C12164">
        <v>1833</v>
      </c>
      <c r="D12164" t="str">
        <f>"01833"</f>
        <v>01833</v>
      </c>
      <c r="E12164">
        <v>82.46</v>
      </c>
    </row>
    <row r="12165" spans="1:5" x14ac:dyDescent="0.2">
      <c r="A12165" t="str">
        <f>"01834"</f>
        <v>01834</v>
      </c>
      <c r="B12165" t="s">
        <v>25</v>
      </c>
      <c r="C12165">
        <v>1834</v>
      </c>
      <c r="D12165" t="str">
        <f>"01834"</f>
        <v>01834</v>
      </c>
      <c r="E12165">
        <v>81.319999999999993</v>
      </c>
    </row>
    <row r="12166" spans="1:5" x14ac:dyDescent="0.2">
      <c r="A12166" t="str">
        <f>"01835"</f>
        <v>01835</v>
      </c>
      <c r="B12166" t="s">
        <v>25</v>
      </c>
      <c r="C12166">
        <v>1835</v>
      </c>
      <c r="D12166" t="str">
        <f>"01835"</f>
        <v>01835</v>
      </c>
      <c r="E12166">
        <v>80.760000000000005</v>
      </c>
    </row>
    <row r="12167" spans="1:5" x14ac:dyDescent="0.2">
      <c r="A12167" t="str">
        <f>"01840"</f>
        <v>01840</v>
      </c>
      <c r="B12167" t="s">
        <v>25</v>
      </c>
      <c r="C12167">
        <v>1840</v>
      </c>
      <c r="D12167" t="str">
        <f>"01840"</f>
        <v>01840</v>
      </c>
      <c r="E12167">
        <v>56.76</v>
      </c>
    </row>
    <row r="12168" spans="1:5" x14ac:dyDescent="0.2">
      <c r="A12168" t="str">
        <f>"01841"</f>
        <v>01841</v>
      </c>
      <c r="B12168" t="s">
        <v>25</v>
      </c>
      <c r="C12168">
        <v>1841</v>
      </c>
      <c r="D12168" t="str">
        <f>"01841"</f>
        <v>01841</v>
      </c>
      <c r="E12168">
        <v>58.32</v>
      </c>
    </row>
    <row r="12169" spans="1:5" x14ac:dyDescent="0.2">
      <c r="A12169" t="str">
        <f>"01843"</f>
        <v>01843</v>
      </c>
      <c r="B12169" t="s">
        <v>25</v>
      </c>
      <c r="C12169">
        <v>1843</v>
      </c>
      <c r="D12169" t="str">
        <f>"01843"</f>
        <v>01843</v>
      </c>
      <c r="E12169">
        <v>65.25</v>
      </c>
    </row>
    <row r="12170" spans="1:5" x14ac:dyDescent="0.2">
      <c r="A12170" t="str">
        <f>"01844"</f>
        <v>01844</v>
      </c>
      <c r="B12170" t="s">
        <v>25</v>
      </c>
      <c r="C12170">
        <v>1844</v>
      </c>
      <c r="D12170" t="str">
        <f>"01844"</f>
        <v>01844</v>
      </c>
      <c r="E12170">
        <v>76.52</v>
      </c>
    </row>
    <row r="12171" spans="1:5" x14ac:dyDescent="0.2">
      <c r="A12171" t="str">
        <f>"01845"</f>
        <v>01845</v>
      </c>
      <c r="B12171" t="s">
        <v>25</v>
      </c>
      <c r="C12171">
        <v>1845</v>
      </c>
      <c r="D12171" t="str">
        <f>"01845"</f>
        <v>01845</v>
      </c>
      <c r="E12171">
        <v>80.67</v>
      </c>
    </row>
    <row r="12172" spans="1:5" x14ac:dyDescent="0.2">
      <c r="A12172" t="str">
        <f>"01850"</f>
        <v>01850</v>
      </c>
      <c r="B12172" t="s">
        <v>25</v>
      </c>
      <c r="C12172">
        <v>1850</v>
      </c>
      <c r="D12172" t="str">
        <f>"01850"</f>
        <v>01850</v>
      </c>
      <c r="E12172">
        <v>68.010000000000005</v>
      </c>
    </row>
    <row r="12173" spans="1:5" x14ac:dyDescent="0.2">
      <c r="A12173" t="str">
        <f>"01851"</f>
        <v>01851</v>
      </c>
      <c r="B12173" t="s">
        <v>25</v>
      </c>
      <c r="C12173">
        <v>1851</v>
      </c>
      <c r="D12173" t="str">
        <f>"01851"</f>
        <v>01851</v>
      </c>
      <c r="E12173">
        <v>72.17</v>
      </c>
    </row>
    <row r="12174" spans="1:5" x14ac:dyDescent="0.2">
      <c r="A12174" t="str">
        <f>"01852"</f>
        <v>01852</v>
      </c>
      <c r="B12174" t="s">
        <v>25</v>
      </c>
      <c r="C12174">
        <v>1852</v>
      </c>
      <c r="D12174" t="str">
        <f>"01852"</f>
        <v>01852</v>
      </c>
      <c r="E12174">
        <v>71.87</v>
      </c>
    </row>
    <row r="12175" spans="1:5" x14ac:dyDescent="0.2">
      <c r="A12175" t="str">
        <f>"01854"</f>
        <v>01854</v>
      </c>
      <c r="B12175" t="s">
        <v>25</v>
      </c>
      <c r="C12175">
        <v>1854</v>
      </c>
      <c r="D12175" t="str">
        <f>"01854"</f>
        <v>01854</v>
      </c>
      <c r="E12175">
        <v>70.17</v>
      </c>
    </row>
    <row r="12176" spans="1:5" x14ac:dyDescent="0.2">
      <c r="A12176" t="str">
        <f>"01860"</f>
        <v>01860</v>
      </c>
      <c r="B12176" t="s">
        <v>25</v>
      </c>
      <c r="C12176">
        <v>1860</v>
      </c>
      <c r="D12176" t="str">
        <f>"01860"</f>
        <v>01860</v>
      </c>
      <c r="E12176">
        <v>79.319999999999993</v>
      </c>
    </row>
    <row r="12177" spans="1:5" x14ac:dyDescent="0.2">
      <c r="A12177" t="str">
        <f>"01862"</f>
        <v>01862</v>
      </c>
      <c r="B12177" t="s">
        <v>25</v>
      </c>
      <c r="C12177">
        <v>1862</v>
      </c>
      <c r="D12177" t="str">
        <f>"01862"</f>
        <v>01862</v>
      </c>
      <c r="E12177">
        <v>82.79</v>
      </c>
    </row>
    <row r="12178" spans="1:5" x14ac:dyDescent="0.2">
      <c r="A12178" t="str">
        <f>"01863"</f>
        <v>01863</v>
      </c>
      <c r="B12178" t="s">
        <v>25</v>
      </c>
      <c r="C12178">
        <v>1863</v>
      </c>
      <c r="D12178" t="str">
        <f>"01863"</f>
        <v>01863</v>
      </c>
      <c r="E12178">
        <v>80.900000000000006</v>
      </c>
    </row>
    <row r="12179" spans="1:5" x14ac:dyDescent="0.2">
      <c r="A12179" t="str">
        <f>"01864"</f>
        <v>01864</v>
      </c>
      <c r="B12179" t="s">
        <v>25</v>
      </c>
      <c r="C12179">
        <v>1864</v>
      </c>
      <c r="D12179" t="str">
        <f>"01864"</f>
        <v>01864</v>
      </c>
      <c r="E12179">
        <v>83.27</v>
      </c>
    </row>
    <row r="12180" spans="1:5" x14ac:dyDescent="0.2">
      <c r="A12180" t="str">
        <f>"01867"</f>
        <v>01867</v>
      </c>
      <c r="B12180" t="s">
        <v>25</v>
      </c>
      <c r="C12180">
        <v>1867</v>
      </c>
      <c r="D12180" t="str">
        <f>"01867"</f>
        <v>01867</v>
      </c>
      <c r="E12180">
        <v>83.02</v>
      </c>
    </row>
    <row r="12181" spans="1:5" x14ac:dyDescent="0.2">
      <c r="A12181" t="str">
        <f>"01876"</f>
        <v>01876</v>
      </c>
      <c r="B12181" t="s">
        <v>25</v>
      </c>
      <c r="C12181">
        <v>1876</v>
      </c>
      <c r="D12181" t="str">
        <f>"01876"</f>
        <v>01876</v>
      </c>
      <c r="E12181">
        <v>82.7</v>
      </c>
    </row>
    <row r="12182" spans="1:5" x14ac:dyDescent="0.2">
      <c r="A12182" t="str">
        <f>"01879"</f>
        <v>01879</v>
      </c>
      <c r="B12182" t="s">
        <v>25</v>
      </c>
      <c r="C12182">
        <v>1879</v>
      </c>
      <c r="D12182" t="str">
        <f>"01879"</f>
        <v>01879</v>
      </c>
      <c r="E12182">
        <v>80.75</v>
      </c>
    </row>
    <row r="12183" spans="1:5" x14ac:dyDescent="0.2">
      <c r="A12183" t="str">
        <f>"01880"</f>
        <v>01880</v>
      </c>
      <c r="B12183" t="s">
        <v>25</v>
      </c>
      <c r="C12183">
        <v>1880</v>
      </c>
      <c r="D12183" t="str">
        <f>"01880"</f>
        <v>01880</v>
      </c>
      <c r="E12183">
        <v>83.51</v>
      </c>
    </row>
    <row r="12184" spans="1:5" x14ac:dyDescent="0.2">
      <c r="A12184" t="str">
        <f>"01886"</f>
        <v>01886</v>
      </c>
      <c r="B12184" t="s">
        <v>25</v>
      </c>
      <c r="C12184">
        <v>1886</v>
      </c>
      <c r="D12184" t="str">
        <f>"01886"</f>
        <v>01886</v>
      </c>
      <c r="E12184">
        <v>82.57</v>
      </c>
    </row>
    <row r="12185" spans="1:5" x14ac:dyDescent="0.2">
      <c r="A12185" t="str">
        <f>"01887"</f>
        <v>01887</v>
      </c>
      <c r="B12185" t="s">
        <v>25</v>
      </c>
      <c r="C12185">
        <v>1887</v>
      </c>
      <c r="D12185" t="str">
        <f>"01887"</f>
        <v>01887</v>
      </c>
      <c r="E12185">
        <v>82.3</v>
      </c>
    </row>
    <row r="12186" spans="1:5" x14ac:dyDescent="0.2">
      <c r="A12186" t="str">
        <f>"01890"</f>
        <v>01890</v>
      </c>
      <c r="B12186" t="s">
        <v>25</v>
      </c>
      <c r="C12186">
        <v>1890</v>
      </c>
      <c r="D12186" t="str">
        <f>"01890"</f>
        <v>01890</v>
      </c>
      <c r="E12186">
        <v>83.48</v>
      </c>
    </row>
    <row r="12187" spans="1:5" x14ac:dyDescent="0.2">
      <c r="A12187" t="str">
        <f>"01901"</f>
        <v>01901</v>
      </c>
      <c r="B12187" t="s">
        <v>25</v>
      </c>
      <c r="C12187">
        <v>1901</v>
      </c>
      <c r="D12187" t="str">
        <f>"01901"</f>
        <v>01901</v>
      </c>
      <c r="E12187">
        <v>69.47</v>
      </c>
    </row>
    <row r="12188" spans="1:5" x14ac:dyDescent="0.2">
      <c r="A12188" t="str">
        <f>"01902"</f>
        <v>01902</v>
      </c>
      <c r="B12188" t="s">
        <v>25</v>
      </c>
      <c r="C12188">
        <v>1902</v>
      </c>
      <c r="D12188" t="str">
        <f>"01902"</f>
        <v>01902</v>
      </c>
      <c r="E12188">
        <v>65.61</v>
      </c>
    </row>
    <row r="12189" spans="1:5" x14ac:dyDescent="0.2">
      <c r="A12189" t="str">
        <f>"01904"</f>
        <v>01904</v>
      </c>
      <c r="B12189" t="s">
        <v>25</v>
      </c>
      <c r="C12189">
        <v>1904</v>
      </c>
      <c r="D12189" t="str">
        <f>"01904"</f>
        <v>01904</v>
      </c>
      <c r="E12189">
        <v>77.81</v>
      </c>
    </row>
    <row r="12190" spans="1:5" x14ac:dyDescent="0.2">
      <c r="A12190" t="str">
        <f>"01905"</f>
        <v>01905</v>
      </c>
      <c r="B12190" t="s">
        <v>25</v>
      </c>
      <c r="C12190">
        <v>1905</v>
      </c>
      <c r="D12190" t="str">
        <f>"01905"</f>
        <v>01905</v>
      </c>
      <c r="E12190">
        <v>67.849999999999994</v>
      </c>
    </row>
    <row r="12191" spans="1:5" x14ac:dyDescent="0.2">
      <c r="A12191" t="str">
        <f>"01906"</f>
        <v>01906</v>
      </c>
      <c r="B12191" t="s">
        <v>25</v>
      </c>
      <c r="C12191">
        <v>1906</v>
      </c>
      <c r="D12191" t="str">
        <f>"01906"</f>
        <v>01906</v>
      </c>
      <c r="E12191">
        <v>80.760000000000005</v>
      </c>
    </row>
    <row r="12192" spans="1:5" x14ac:dyDescent="0.2">
      <c r="A12192" t="str">
        <f>"01907"</f>
        <v>01907</v>
      </c>
      <c r="B12192" t="s">
        <v>25</v>
      </c>
      <c r="C12192">
        <v>1907</v>
      </c>
      <c r="D12192" t="str">
        <f>"01907"</f>
        <v>01907</v>
      </c>
      <c r="E12192">
        <v>82.67</v>
      </c>
    </row>
    <row r="12193" spans="1:5" x14ac:dyDescent="0.2">
      <c r="A12193" t="str">
        <f>"01908"</f>
        <v>01908</v>
      </c>
      <c r="B12193" t="s">
        <v>25</v>
      </c>
      <c r="C12193">
        <v>1908</v>
      </c>
      <c r="D12193" t="str">
        <f>"01908"</f>
        <v>01908</v>
      </c>
      <c r="E12193">
        <v>82.29</v>
      </c>
    </row>
    <row r="12194" spans="1:5" x14ac:dyDescent="0.2">
      <c r="A12194" t="str">
        <f>"01910"</f>
        <v>01910</v>
      </c>
      <c r="B12194" t="s">
        <v>25</v>
      </c>
      <c r="C12194">
        <v>1910</v>
      </c>
      <c r="D12194" t="str">
        <f>"01910"</f>
        <v>01910</v>
      </c>
      <c r="E12194" t="s">
        <v>6</v>
      </c>
    </row>
    <row r="12195" spans="1:5" x14ac:dyDescent="0.2">
      <c r="A12195" t="str">
        <f>"01913"</f>
        <v>01913</v>
      </c>
      <c r="B12195" t="s">
        <v>25</v>
      </c>
      <c r="C12195">
        <v>1913</v>
      </c>
      <c r="D12195" t="str">
        <f>"01913"</f>
        <v>01913</v>
      </c>
      <c r="E12195">
        <v>81.150000000000006</v>
      </c>
    </row>
    <row r="12196" spans="1:5" x14ac:dyDescent="0.2">
      <c r="A12196" t="str">
        <f>"01915"</f>
        <v>01915</v>
      </c>
      <c r="B12196" t="s">
        <v>25</v>
      </c>
      <c r="C12196">
        <v>1915</v>
      </c>
      <c r="D12196" t="str">
        <f>"01915"</f>
        <v>01915</v>
      </c>
      <c r="E12196">
        <v>81.02</v>
      </c>
    </row>
    <row r="12197" spans="1:5" x14ac:dyDescent="0.2">
      <c r="A12197" t="str">
        <f>"01921"</f>
        <v>01921</v>
      </c>
      <c r="B12197" t="s">
        <v>25</v>
      </c>
      <c r="C12197">
        <v>1921</v>
      </c>
      <c r="D12197" t="str">
        <f>"01921"</f>
        <v>01921</v>
      </c>
      <c r="E12197">
        <v>81.069999999999993</v>
      </c>
    </row>
    <row r="12198" spans="1:5" x14ac:dyDescent="0.2">
      <c r="A12198" t="str">
        <f>"01922"</f>
        <v>01922</v>
      </c>
      <c r="B12198" t="s">
        <v>25</v>
      </c>
      <c r="C12198">
        <v>1922</v>
      </c>
      <c r="D12198" t="str">
        <f>"01922"</f>
        <v>01922</v>
      </c>
      <c r="E12198">
        <v>79.760000000000005</v>
      </c>
    </row>
    <row r="12199" spans="1:5" x14ac:dyDescent="0.2">
      <c r="A12199" t="str">
        <f>"01923"</f>
        <v>01923</v>
      </c>
      <c r="B12199" t="s">
        <v>25</v>
      </c>
      <c r="C12199">
        <v>1923</v>
      </c>
      <c r="D12199" t="str">
        <f>"01923"</f>
        <v>01923</v>
      </c>
      <c r="E12199">
        <v>81.400000000000006</v>
      </c>
    </row>
    <row r="12200" spans="1:5" x14ac:dyDescent="0.2">
      <c r="A12200" t="str">
        <f>"01929"</f>
        <v>01929</v>
      </c>
      <c r="B12200" t="s">
        <v>25</v>
      </c>
      <c r="C12200">
        <v>1929</v>
      </c>
      <c r="D12200" t="str">
        <f>"01929"</f>
        <v>01929</v>
      </c>
      <c r="E12200">
        <v>79.349999999999994</v>
      </c>
    </row>
    <row r="12201" spans="1:5" x14ac:dyDescent="0.2">
      <c r="A12201" t="str">
        <f>"01930"</f>
        <v>01930</v>
      </c>
      <c r="B12201" t="s">
        <v>25</v>
      </c>
      <c r="C12201">
        <v>1930</v>
      </c>
      <c r="D12201" t="str">
        <f>"01930"</f>
        <v>01930</v>
      </c>
      <c r="E12201">
        <v>77.36</v>
      </c>
    </row>
    <row r="12202" spans="1:5" x14ac:dyDescent="0.2">
      <c r="A12202" t="str">
        <f>"01937"</f>
        <v>01937</v>
      </c>
      <c r="B12202" t="s">
        <v>25</v>
      </c>
      <c r="C12202">
        <v>1937</v>
      </c>
      <c r="D12202" t="str">
        <f>"01937"</f>
        <v>01937</v>
      </c>
      <c r="E12202" t="s">
        <v>6</v>
      </c>
    </row>
    <row r="12203" spans="1:5" x14ac:dyDescent="0.2">
      <c r="A12203" t="str">
        <f>"01938"</f>
        <v>01938</v>
      </c>
      <c r="B12203" t="s">
        <v>25</v>
      </c>
      <c r="C12203">
        <v>1938</v>
      </c>
      <c r="D12203" t="str">
        <f>"01938"</f>
        <v>01938</v>
      </c>
      <c r="E12203">
        <v>81.459999999999994</v>
      </c>
    </row>
    <row r="12204" spans="1:5" x14ac:dyDescent="0.2">
      <c r="A12204" t="str">
        <f>"01940"</f>
        <v>01940</v>
      </c>
      <c r="B12204" t="s">
        <v>25</v>
      </c>
      <c r="C12204">
        <v>1940</v>
      </c>
      <c r="D12204" t="str">
        <f>"01940"</f>
        <v>01940</v>
      </c>
      <c r="E12204">
        <v>82.6</v>
      </c>
    </row>
    <row r="12205" spans="1:5" x14ac:dyDescent="0.2">
      <c r="A12205" t="str">
        <f>"01944"</f>
        <v>01944</v>
      </c>
      <c r="B12205" t="s">
        <v>25</v>
      </c>
      <c r="C12205">
        <v>1944</v>
      </c>
      <c r="D12205" t="str">
        <f>"01944"</f>
        <v>01944</v>
      </c>
      <c r="E12205">
        <v>79.78</v>
      </c>
    </row>
    <row r="12206" spans="1:5" x14ac:dyDescent="0.2">
      <c r="A12206" t="str">
        <f>"01945"</f>
        <v>01945</v>
      </c>
      <c r="B12206" t="s">
        <v>25</v>
      </c>
      <c r="C12206">
        <v>1945</v>
      </c>
      <c r="D12206" t="str">
        <f>"01945"</f>
        <v>01945</v>
      </c>
      <c r="E12206">
        <v>81.42</v>
      </c>
    </row>
    <row r="12207" spans="1:5" x14ac:dyDescent="0.2">
      <c r="A12207" t="str">
        <f>"01949"</f>
        <v>01949</v>
      </c>
      <c r="B12207" t="s">
        <v>25</v>
      </c>
      <c r="C12207">
        <v>1949</v>
      </c>
      <c r="D12207" t="str">
        <f>"01949"</f>
        <v>01949</v>
      </c>
      <c r="E12207">
        <v>81.25</v>
      </c>
    </row>
    <row r="12208" spans="1:5" x14ac:dyDescent="0.2">
      <c r="A12208" t="str">
        <f>"01950"</f>
        <v>01950</v>
      </c>
      <c r="B12208" t="s">
        <v>25</v>
      </c>
      <c r="C12208">
        <v>1950</v>
      </c>
      <c r="D12208" t="str">
        <f>"01950"</f>
        <v>01950</v>
      </c>
      <c r="E12208">
        <v>80.92</v>
      </c>
    </row>
    <row r="12209" spans="1:5" x14ac:dyDescent="0.2">
      <c r="A12209" t="str">
        <f>"01951"</f>
        <v>01951</v>
      </c>
      <c r="B12209" t="s">
        <v>25</v>
      </c>
      <c r="C12209">
        <v>1951</v>
      </c>
      <c r="D12209" t="str">
        <f>"01951"</f>
        <v>01951</v>
      </c>
      <c r="E12209">
        <v>82.11</v>
      </c>
    </row>
    <row r="12210" spans="1:5" x14ac:dyDescent="0.2">
      <c r="A12210" t="str">
        <f>"01952"</f>
        <v>01952</v>
      </c>
      <c r="B12210" t="s">
        <v>25</v>
      </c>
      <c r="C12210">
        <v>1952</v>
      </c>
      <c r="D12210" t="str">
        <f>"01952"</f>
        <v>01952</v>
      </c>
      <c r="E12210">
        <v>78.11</v>
      </c>
    </row>
    <row r="12211" spans="1:5" x14ac:dyDescent="0.2">
      <c r="A12211" t="str">
        <f>"01960"</f>
        <v>01960</v>
      </c>
      <c r="B12211" t="s">
        <v>25</v>
      </c>
      <c r="C12211">
        <v>1960</v>
      </c>
      <c r="D12211" t="str">
        <f>"01960"</f>
        <v>01960</v>
      </c>
      <c r="E12211">
        <v>79.3</v>
      </c>
    </row>
    <row r="12212" spans="1:5" x14ac:dyDescent="0.2">
      <c r="A12212" t="str">
        <f>"01966"</f>
        <v>01966</v>
      </c>
      <c r="B12212" t="s">
        <v>25</v>
      </c>
      <c r="C12212">
        <v>1966</v>
      </c>
      <c r="D12212" t="str">
        <f>"01966"</f>
        <v>01966</v>
      </c>
      <c r="E12212">
        <v>78.44</v>
      </c>
    </row>
    <row r="12213" spans="1:5" x14ac:dyDescent="0.2">
      <c r="A12213" t="str">
        <f>"01969"</f>
        <v>01969</v>
      </c>
      <c r="B12213" t="s">
        <v>25</v>
      </c>
      <c r="C12213">
        <v>1969</v>
      </c>
      <c r="D12213" t="str">
        <f>"01969"</f>
        <v>01969</v>
      </c>
      <c r="E12213">
        <v>83.17</v>
      </c>
    </row>
    <row r="12214" spans="1:5" x14ac:dyDescent="0.2">
      <c r="A12214" t="str">
        <f>"01970"</f>
        <v>01970</v>
      </c>
      <c r="B12214" t="s">
        <v>25</v>
      </c>
      <c r="C12214">
        <v>1970</v>
      </c>
      <c r="D12214" t="str">
        <f>"01970"</f>
        <v>01970</v>
      </c>
      <c r="E12214">
        <v>78.75</v>
      </c>
    </row>
    <row r="12215" spans="1:5" x14ac:dyDescent="0.2">
      <c r="A12215" t="str">
        <f>"01982"</f>
        <v>01982</v>
      </c>
      <c r="B12215" t="s">
        <v>25</v>
      </c>
      <c r="C12215">
        <v>1982</v>
      </c>
      <c r="D12215" t="str">
        <f>"01982"</f>
        <v>01982</v>
      </c>
      <c r="E12215">
        <v>79.83</v>
      </c>
    </row>
    <row r="12216" spans="1:5" x14ac:dyDescent="0.2">
      <c r="A12216" t="str">
        <f>"01983"</f>
        <v>01983</v>
      </c>
      <c r="B12216" t="s">
        <v>25</v>
      </c>
      <c r="C12216">
        <v>1983</v>
      </c>
      <c r="D12216" t="str">
        <f>"01983"</f>
        <v>01983</v>
      </c>
      <c r="E12216">
        <v>82.32</v>
      </c>
    </row>
    <row r="12217" spans="1:5" x14ac:dyDescent="0.2">
      <c r="A12217" t="str">
        <f>"01984"</f>
        <v>01984</v>
      </c>
      <c r="B12217" t="s">
        <v>25</v>
      </c>
      <c r="C12217">
        <v>1984</v>
      </c>
      <c r="D12217" t="str">
        <f>"01984"</f>
        <v>01984</v>
      </c>
      <c r="E12217">
        <v>79.459999999999994</v>
      </c>
    </row>
    <row r="12218" spans="1:5" x14ac:dyDescent="0.2">
      <c r="A12218" t="str">
        <f>"01985"</f>
        <v>01985</v>
      </c>
      <c r="B12218" t="s">
        <v>25</v>
      </c>
      <c r="C12218">
        <v>1985</v>
      </c>
      <c r="D12218" t="str">
        <f>"01985"</f>
        <v>01985</v>
      </c>
      <c r="E12218">
        <v>80.62</v>
      </c>
    </row>
    <row r="12219" spans="1:5" x14ac:dyDescent="0.2">
      <c r="A12219" t="str">
        <f>"02019"</f>
        <v>02019</v>
      </c>
      <c r="B12219" t="s">
        <v>25</v>
      </c>
      <c r="C12219">
        <v>2019</v>
      </c>
      <c r="D12219" t="str">
        <f>"02019"</f>
        <v>02019</v>
      </c>
      <c r="E12219">
        <v>81.39</v>
      </c>
    </row>
    <row r="12220" spans="1:5" x14ac:dyDescent="0.2">
      <c r="A12220" t="str">
        <f>"02021"</f>
        <v>02021</v>
      </c>
      <c r="B12220" t="s">
        <v>25</v>
      </c>
      <c r="C12220">
        <v>2021</v>
      </c>
      <c r="D12220" t="str">
        <f>"02021"</f>
        <v>02021</v>
      </c>
      <c r="E12220">
        <v>81.92</v>
      </c>
    </row>
    <row r="12221" spans="1:5" x14ac:dyDescent="0.2">
      <c r="A12221" t="str">
        <f>"02025"</f>
        <v>02025</v>
      </c>
      <c r="B12221" t="s">
        <v>25</v>
      </c>
      <c r="C12221">
        <v>2025</v>
      </c>
      <c r="D12221" t="str">
        <f>"02025"</f>
        <v>02025</v>
      </c>
      <c r="E12221">
        <v>81.98</v>
      </c>
    </row>
    <row r="12222" spans="1:5" x14ac:dyDescent="0.2">
      <c r="A12222" t="str">
        <f>"02026"</f>
        <v>02026</v>
      </c>
      <c r="B12222" t="s">
        <v>25</v>
      </c>
      <c r="C12222">
        <v>2026</v>
      </c>
      <c r="D12222" t="str">
        <f>"02026"</f>
        <v>02026</v>
      </c>
      <c r="E12222">
        <v>81.67</v>
      </c>
    </row>
    <row r="12223" spans="1:5" x14ac:dyDescent="0.2">
      <c r="A12223" t="str">
        <f>"02030"</f>
        <v>02030</v>
      </c>
      <c r="B12223" t="s">
        <v>25</v>
      </c>
      <c r="C12223">
        <v>2030</v>
      </c>
      <c r="D12223" t="str">
        <f>"02030"</f>
        <v>02030</v>
      </c>
      <c r="E12223">
        <v>82.75</v>
      </c>
    </row>
    <row r="12224" spans="1:5" x14ac:dyDescent="0.2">
      <c r="A12224" t="str">
        <f>"02032"</f>
        <v>02032</v>
      </c>
      <c r="B12224" t="s">
        <v>25</v>
      </c>
      <c r="C12224">
        <v>2032</v>
      </c>
      <c r="D12224" t="str">
        <f>"02032"</f>
        <v>02032</v>
      </c>
      <c r="E12224">
        <v>82.76</v>
      </c>
    </row>
    <row r="12225" spans="1:5" x14ac:dyDescent="0.2">
      <c r="A12225" t="str">
        <f>"02035"</f>
        <v>02035</v>
      </c>
      <c r="B12225" t="s">
        <v>25</v>
      </c>
      <c r="C12225">
        <v>2035</v>
      </c>
      <c r="D12225" t="str">
        <f>"02035"</f>
        <v>02035</v>
      </c>
      <c r="E12225">
        <v>81.84</v>
      </c>
    </row>
    <row r="12226" spans="1:5" x14ac:dyDescent="0.2">
      <c r="A12226" t="str">
        <f>"02038"</f>
        <v>02038</v>
      </c>
      <c r="B12226" t="s">
        <v>25</v>
      </c>
      <c r="C12226">
        <v>2038</v>
      </c>
      <c r="D12226" t="str">
        <f>"02038"</f>
        <v>02038</v>
      </c>
      <c r="E12226">
        <v>81.73</v>
      </c>
    </row>
    <row r="12227" spans="1:5" x14ac:dyDescent="0.2">
      <c r="A12227" t="str">
        <f>"02043"</f>
        <v>02043</v>
      </c>
      <c r="B12227" t="s">
        <v>25</v>
      </c>
      <c r="C12227">
        <v>2043</v>
      </c>
      <c r="D12227" t="str">
        <f>"02043"</f>
        <v>02043</v>
      </c>
      <c r="E12227">
        <v>83.42</v>
      </c>
    </row>
    <row r="12228" spans="1:5" x14ac:dyDescent="0.2">
      <c r="A12228" t="str">
        <f>"02045"</f>
        <v>02045</v>
      </c>
      <c r="B12228" t="s">
        <v>25</v>
      </c>
      <c r="C12228">
        <v>2045</v>
      </c>
      <c r="D12228" t="str">
        <f>"02045"</f>
        <v>02045</v>
      </c>
      <c r="E12228">
        <v>80.39</v>
      </c>
    </row>
    <row r="12229" spans="1:5" x14ac:dyDescent="0.2">
      <c r="A12229" t="str">
        <f>"02048"</f>
        <v>02048</v>
      </c>
      <c r="B12229" t="s">
        <v>25</v>
      </c>
      <c r="C12229">
        <v>2048</v>
      </c>
      <c r="D12229" t="str">
        <f>"02048"</f>
        <v>02048</v>
      </c>
      <c r="E12229">
        <v>81</v>
      </c>
    </row>
    <row r="12230" spans="1:5" x14ac:dyDescent="0.2">
      <c r="A12230" t="str">
        <f>"02050"</f>
        <v>02050</v>
      </c>
      <c r="B12230" t="s">
        <v>25</v>
      </c>
      <c r="C12230">
        <v>2050</v>
      </c>
      <c r="D12230" t="str">
        <f>"02050"</f>
        <v>02050</v>
      </c>
      <c r="E12230">
        <v>80.89</v>
      </c>
    </row>
    <row r="12231" spans="1:5" x14ac:dyDescent="0.2">
      <c r="A12231" t="str">
        <f>"02052"</f>
        <v>02052</v>
      </c>
      <c r="B12231" t="s">
        <v>25</v>
      </c>
      <c r="C12231">
        <v>2052</v>
      </c>
      <c r="D12231" t="str">
        <f>"02052"</f>
        <v>02052</v>
      </c>
      <c r="E12231">
        <v>80.62</v>
      </c>
    </row>
    <row r="12232" spans="1:5" x14ac:dyDescent="0.2">
      <c r="A12232" t="str">
        <f>"02053"</f>
        <v>02053</v>
      </c>
      <c r="B12232" t="s">
        <v>25</v>
      </c>
      <c r="C12232">
        <v>2053</v>
      </c>
      <c r="D12232" t="str">
        <f>"02053"</f>
        <v>02053</v>
      </c>
      <c r="E12232">
        <v>81.38</v>
      </c>
    </row>
    <row r="12233" spans="1:5" x14ac:dyDescent="0.2">
      <c r="A12233" t="str">
        <f>"02054"</f>
        <v>02054</v>
      </c>
      <c r="B12233" t="s">
        <v>25</v>
      </c>
      <c r="C12233">
        <v>2054</v>
      </c>
      <c r="D12233" t="str">
        <f>"02054"</f>
        <v>02054</v>
      </c>
      <c r="E12233">
        <v>82.41</v>
      </c>
    </row>
    <row r="12234" spans="1:5" x14ac:dyDescent="0.2">
      <c r="A12234" t="str">
        <f>"02056"</f>
        <v>02056</v>
      </c>
      <c r="B12234" t="s">
        <v>25</v>
      </c>
      <c r="C12234">
        <v>2056</v>
      </c>
      <c r="D12234" t="str">
        <f>"02056"</f>
        <v>02056</v>
      </c>
      <c r="E12234">
        <v>82.89</v>
      </c>
    </row>
    <row r="12235" spans="1:5" x14ac:dyDescent="0.2">
      <c r="A12235" t="str">
        <f>"02061"</f>
        <v>02061</v>
      </c>
      <c r="B12235" t="s">
        <v>25</v>
      </c>
      <c r="C12235">
        <v>2061</v>
      </c>
      <c r="D12235" t="str">
        <f>"02061"</f>
        <v>02061</v>
      </c>
      <c r="E12235">
        <v>81.22</v>
      </c>
    </row>
    <row r="12236" spans="1:5" x14ac:dyDescent="0.2">
      <c r="A12236" t="str">
        <f>"02062"</f>
        <v>02062</v>
      </c>
      <c r="B12236" t="s">
        <v>25</v>
      </c>
      <c r="C12236">
        <v>2062</v>
      </c>
      <c r="D12236" t="str">
        <f>"02062"</f>
        <v>02062</v>
      </c>
      <c r="E12236">
        <v>81.040000000000006</v>
      </c>
    </row>
    <row r="12237" spans="1:5" x14ac:dyDescent="0.2">
      <c r="A12237" t="str">
        <f>"02066"</f>
        <v>02066</v>
      </c>
      <c r="B12237" t="s">
        <v>25</v>
      </c>
      <c r="C12237">
        <v>2066</v>
      </c>
      <c r="D12237" t="str">
        <f>"02066"</f>
        <v>02066</v>
      </c>
      <c r="E12237">
        <v>80.92</v>
      </c>
    </row>
    <row r="12238" spans="1:5" x14ac:dyDescent="0.2">
      <c r="A12238" t="str">
        <f>"02067"</f>
        <v>02067</v>
      </c>
      <c r="B12238" t="s">
        <v>25</v>
      </c>
      <c r="C12238">
        <v>2067</v>
      </c>
      <c r="D12238" t="str">
        <f>"02067"</f>
        <v>02067</v>
      </c>
      <c r="E12238">
        <v>81.069999999999993</v>
      </c>
    </row>
    <row r="12239" spans="1:5" x14ac:dyDescent="0.2">
      <c r="A12239" t="str">
        <f>"02071"</f>
        <v>02071</v>
      </c>
      <c r="B12239" t="s">
        <v>25</v>
      </c>
      <c r="C12239">
        <v>2071</v>
      </c>
      <c r="D12239" t="str">
        <f>"02071"</f>
        <v>02071</v>
      </c>
      <c r="E12239">
        <v>85.42</v>
      </c>
    </row>
    <row r="12240" spans="1:5" x14ac:dyDescent="0.2">
      <c r="A12240" t="str">
        <f>"02072"</f>
        <v>02072</v>
      </c>
      <c r="B12240" t="s">
        <v>25</v>
      </c>
      <c r="C12240">
        <v>2072</v>
      </c>
      <c r="D12240" t="str">
        <f>"02072"</f>
        <v>02072</v>
      </c>
      <c r="E12240">
        <v>78.38</v>
      </c>
    </row>
    <row r="12241" spans="1:5" x14ac:dyDescent="0.2">
      <c r="A12241" t="str">
        <f>"02081"</f>
        <v>02081</v>
      </c>
      <c r="B12241" t="s">
        <v>25</v>
      </c>
      <c r="C12241">
        <v>2081</v>
      </c>
      <c r="D12241" t="str">
        <f>"02081"</f>
        <v>02081</v>
      </c>
      <c r="E12241">
        <v>82.07</v>
      </c>
    </row>
    <row r="12242" spans="1:5" x14ac:dyDescent="0.2">
      <c r="A12242" t="str">
        <f>"02090"</f>
        <v>02090</v>
      </c>
      <c r="B12242" t="s">
        <v>25</v>
      </c>
      <c r="C12242">
        <v>2090</v>
      </c>
      <c r="D12242" t="str">
        <f>"02090"</f>
        <v>02090</v>
      </c>
      <c r="E12242">
        <v>81.319999999999993</v>
      </c>
    </row>
    <row r="12243" spans="1:5" x14ac:dyDescent="0.2">
      <c r="A12243" t="str">
        <f>"02093"</f>
        <v>02093</v>
      </c>
      <c r="B12243" t="s">
        <v>25</v>
      </c>
      <c r="C12243">
        <v>2093</v>
      </c>
      <c r="D12243" t="str">
        <f>"02093"</f>
        <v>02093</v>
      </c>
      <c r="E12243">
        <v>81.459999999999994</v>
      </c>
    </row>
    <row r="12244" spans="1:5" x14ac:dyDescent="0.2">
      <c r="A12244" t="str">
        <f>"02108"</f>
        <v>02108</v>
      </c>
      <c r="B12244" t="s">
        <v>25</v>
      </c>
      <c r="C12244">
        <v>2108</v>
      </c>
      <c r="D12244" t="str">
        <f>"02108"</f>
        <v>02108</v>
      </c>
      <c r="E12244">
        <v>85.71</v>
      </c>
    </row>
    <row r="12245" spans="1:5" x14ac:dyDescent="0.2">
      <c r="A12245" t="str">
        <f>"02109"</f>
        <v>02109</v>
      </c>
      <c r="B12245" t="s">
        <v>25</v>
      </c>
      <c r="C12245">
        <v>2109</v>
      </c>
      <c r="D12245" t="str">
        <f>"02109"</f>
        <v>02109</v>
      </c>
      <c r="E12245">
        <v>90.29</v>
      </c>
    </row>
    <row r="12246" spans="1:5" x14ac:dyDescent="0.2">
      <c r="A12246" t="str">
        <f>"02110"</f>
        <v>02110</v>
      </c>
      <c r="B12246" t="s">
        <v>25</v>
      </c>
      <c r="C12246">
        <v>2110</v>
      </c>
      <c r="D12246" t="str">
        <f>"02110"</f>
        <v>02110</v>
      </c>
      <c r="E12246">
        <v>85.47</v>
      </c>
    </row>
    <row r="12247" spans="1:5" x14ac:dyDescent="0.2">
      <c r="A12247" t="str">
        <f>"02111"</f>
        <v>02111</v>
      </c>
      <c r="B12247" t="s">
        <v>25</v>
      </c>
      <c r="C12247">
        <v>2111</v>
      </c>
      <c r="D12247" t="str">
        <f>"02111"</f>
        <v>02111</v>
      </c>
      <c r="E12247">
        <v>73.91</v>
      </c>
    </row>
    <row r="12248" spans="1:5" x14ac:dyDescent="0.2">
      <c r="A12248" t="str">
        <f>"02113"</f>
        <v>02113</v>
      </c>
      <c r="B12248" t="s">
        <v>25</v>
      </c>
      <c r="C12248">
        <v>2113</v>
      </c>
      <c r="D12248" t="str">
        <f>"02113"</f>
        <v>02113</v>
      </c>
      <c r="E12248">
        <v>92.87</v>
      </c>
    </row>
    <row r="12249" spans="1:5" x14ac:dyDescent="0.2">
      <c r="A12249" t="str">
        <f>"02114"</f>
        <v>02114</v>
      </c>
      <c r="B12249" t="s">
        <v>25</v>
      </c>
      <c r="C12249">
        <v>2114</v>
      </c>
      <c r="D12249" t="str">
        <f>"02114"</f>
        <v>02114</v>
      </c>
      <c r="E12249">
        <v>91.24</v>
      </c>
    </row>
    <row r="12250" spans="1:5" x14ac:dyDescent="0.2">
      <c r="A12250" t="str">
        <f>"02115"</f>
        <v>02115</v>
      </c>
      <c r="B12250" t="s">
        <v>25</v>
      </c>
      <c r="C12250">
        <v>2115</v>
      </c>
      <c r="D12250" t="str">
        <f>"02115"</f>
        <v>02115</v>
      </c>
      <c r="E12250">
        <v>76.58</v>
      </c>
    </row>
    <row r="12251" spans="1:5" x14ac:dyDescent="0.2">
      <c r="A12251" t="str">
        <f>"02116"</f>
        <v>02116</v>
      </c>
      <c r="B12251" t="s">
        <v>25</v>
      </c>
      <c r="C12251">
        <v>2116</v>
      </c>
      <c r="D12251" t="str">
        <f>"02116"</f>
        <v>02116</v>
      </c>
      <c r="E12251">
        <v>87.48</v>
      </c>
    </row>
    <row r="12252" spans="1:5" x14ac:dyDescent="0.2">
      <c r="A12252" t="str">
        <f>"02118"</f>
        <v>02118</v>
      </c>
      <c r="B12252" t="s">
        <v>25</v>
      </c>
      <c r="C12252">
        <v>2118</v>
      </c>
      <c r="D12252" t="str">
        <f>"02118"</f>
        <v>02118</v>
      </c>
      <c r="E12252">
        <v>77.42</v>
      </c>
    </row>
    <row r="12253" spans="1:5" x14ac:dyDescent="0.2">
      <c r="A12253" t="str">
        <f>"02119"</f>
        <v>02119</v>
      </c>
      <c r="B12253" t="s">
        <v>25</v>
      </c>
      <c r="C12253">
        <v>2119</v>
      </c>
      <c r="D12253" t="str">
        <f>"02119"</f>
        <v>02119</v>
      </c>
      <c r="E12253">
        <v>66.209999999999994</v>
      </c>
    </row>
    <row r="12254" spans="1:5" x14ac:dyDescent="0.2">
      <c r="A12254" t="str">
        <f>"02120"</f>
        <v>02120</v>
      </c>
      <c r="B12254" t="s">
        <v>25</v>
      </c>
      <c r="C12254">
        <v>2120</v>
      </c>
      <c r="D12254" t="str">
        <f>"02120"</f>
        <v>02120</v>
      </c>
      <c r="E12254">
        <v>67.22</v>
      </c>
    </row>
    <row r="12255" spans="1:5" x14ac:dyDescent="0.2">
      <c r="A12255" t="str">
        <f>"02121"</f>
        <v>02121</v>
      </c>
      <c r="B12255" t="s">
        <v>25</v>
      </c>
      <c r="C12255">
        <v>2121</v>
      </c>
      <c r="D12255" t="str">
        <f>"02121"</f>
        <v>02121</v>
      </c>
      <c r="E12255">
        <v>60.93</v>
      </c>
    </row>
    <row r="12256" spans="1:5" x14ac:dyDescent="0.2">
      <c r="A12256" t="str">
        <f>"02122"</f>
        <v>02122</v>
      </c>
      <c r="B12256" t="s">
        <v>25</v>
      </c>
      <c r="C12256">
        <v>2122</v>
      </c>
      <c r="D12256" t="str">
        <f>"02122"</f>
        <v>02122</v>
      </c>
      <c r="E12256">
        <v>72.44</v>
      </c>
    </row>
    <row r="12257" spans="1:5" x14ac:dyDescent="0.2">
      <c r="A12257" t="str">
        <f>"02124"</f>
        <v>02124</v>
      </c>
      <c r="B12257" t="s">
        <v>25</v>
      </c>
      <c r="C12257">
        <v>2124</v>
      </c>
      <c r="D12257" t="str">
        <f>"02124"</f>
        <v>02124</v>
      </c>
      <c r="E12257">
        <v>69.03</v>
      </c>
    </row>
    <row r="12258" spans="1:5" x14ac:dyDescent="0.2">
      <c r="A12258" t="str">
        <f>"02125"</f>
        <v>02125</v>
      </c>
      <c r="B12258" t="s">
        <v>25</v>
      </c>
      <c r="C12258">
        <v>2125</v>
      </c>
      <c r="D12258" t="str">
        <f>"02125"</f>
        <v>02125</v>
      </c>
      <c r="E12258">
        <v>72.83</v>
      </c>
    </row>
    <row r="12259" spans="1:5" x14ac:dyDescent="0.2">
      <c r="A12259" t="str">
        <f>"02126"</f>
        <v>02126</v>
      </c>
      <c r="B12259" t="s">
        <v>25</v>
      </c>
      <c r="C12259">
        <v>2126</v>
      </c>
      <c r="D12259" t="str">
        <f>"02126"</f>
        <v>02126</v>
      </c>
      <c r="E12259">
        <v>68.92</v>
      </c>
    </row>
    <row r="12260" spans="1:5" x14ac:dyDescent="0.2">
      <c r="A12260" t="str">
        <f>"02127"</f>
        <v>02127</v>
      </c>
      <c r="B12260" t="s">
        <v>25</v>
      </c>
      <c r="C12260">
        <v>2127</v>
      </c>
      <c r="D12260" t="str">
        <f>"02127"</f>
        <v>02127</v>
      </c>
      <c r="E12260">
        <v>87.96</v>
      </c>
    </row>
    <row r="12261" spans="1:5" x14ac:dyDescent="0.2">
      <c r="A12261" t="str">
        <f>"02128"</f>
        <v>02128</v>
      </c>
      <c r="B12261" t="s">
        <v>25</v>
      </c>
      <c r="C12261">
        <v>2128</v>
      </c>
      <c r="D12261" t="str">
        <f>"02128"</f>
        <v>02128</v>
      </c>
      <c r="E12261">
        <v>75.31</v>
      </c>
    </row>
    <row r="12262" spans="1:5" x14ac:dyDescent="0.2">
      <c r="A12262" t="str">
        <f>"02129"</f>
        <v>02129</v>
      </c>
      <c r="B12262" t="s">
        <v>25</v>
      </c>
      <c r="C12262">
        <v>2129</v>
      </c>
      <c r="D12262" t="str">
        <f>"02129"</f>
        <v>02129</v>
      </c>
      <c r="E12262">
        <v>83.6</v>
      </c>
    </row>
    <row r="12263" spans="1:5" x14ac:dyDescent="0.2">
      <c r="A12263" t="str">
        <f>"02130"</f>
        <v>02130</v>
      </c>
      <c r="B12263" t="s">
        <v>25</v>
      </c>
      <c r="C12263">
        <v>2130</v>
      </c>
      <c r="D12263" t="str">
        <f>"02130"</f>
        <v>02130</v>
      </c>
      <c r="E12263">
        <v>83.16</v>
      </c>
    </row>
    <row r="12264" spans="1:5" x14ac:dyDescent="0.2">
      <c r="A12264" t="str">
        <f>"02131"</f>
        <v>02131</v>
      </c>
      <c r="B12264" t="s">
        <v>25</v>
      </c>
      <c r="C12264">
        <v>2131</v>
      </c>
      <c r="D12264" t="str">
        <f>"02131"</f>
        <v>02131</v>
      </c>
      <c r="E12264">
        <v>78.13</v>
      </c>
    </row>
    <row r="12265" spans="1:5" x14ac:dyDescent="0.2">
      <c r="A12265" t="str">
        <f>"02132"</f>
        <v>02132</v>
      </c>
      <c r="B12265" t="s">
        <v>25</v>
      </c>
      <c r="C12265">
        <v>2132</v>
      </c>
      <c r="D12265" t="str">
        <f>"02132"</f>
        <v>02132</v>
      </c>
      <c r="E12265">
        <v>84.32</v>
      </c>
    </row>
    <row r="12266" spans="1:5" x14ac:dyDescent="0.2">
      <c r="A12266" t="str">
        <f>"02134"</f>
        <v>02134</v>
      </c>
      <c r="B12266" t="s">
        <v>25</v>
      </c>
      <c r="C12266">
        <v>2134</v>
      </c>
      <c r="D12266" t="str">
        <f>"02134"</f>
        <v>02134</v>
      </c>
      <c r="E12266">
        <v>80.849999999999994</v>
      </c>
    </row>
    <row r="12267" spans="1:5" x14ac:dyDescent="0.2">
      <c r="A12267" t="str">
        <f>"02135"</f>
        <v>02135</v>
      </c>
      <c r="B12267" t="s">
        <v>25</v>
      </c>
      <c r="C12267">
        <v>2135</v>
      </c>
      <c r="D12267" t="str">
        <f>"02135"</f>
        <v>02135</v>
      </c>
      <c r="E12267">
        <v>84.11</v>
      </c>
    </row>
    <row r="12268" spans="1:5" x14ac:dyDescent="0.2">
      <c r="A12268" t="str">
        <f>"02136"</f>
        <v>02136</v>
      </c>
      <c r="B12268" t="s">
        <v>25</v>
      </c>
      <c r="C12268">
        <v>2136</v>
      </c>
      <c r="D12268" t="str">
        <f>"02136"</f>
        <v>02136</v>
      </c>
      <c r="E12268">
        <v>72.989999999999995</v>
      </c>
    </row>
    <row r="12269" spans="1:5" x14ac:dyDescent="0.2">
      <c r="A12269" t="str">
        <f>"02138"</f>
        <v>02138</v>
      </c>
      <c r="B12269" t="s">
        <v>25</v>
      </c>
      <c r="C12269">
        <v>2138</v>
      </c>
      <c r="D12269" t="str">
        <f>"02138"</f>
        <v>02138</v>
      </c>
      <c r="E12269">
        <v>84.16</v>
      </c>
    </row>
    <row r="12270" spans="1:5" x14ac:dyDescent="0.2">
      <c r="A12270" t="str">
        <f>"02139"</f>
        <v>02139</v>
      </c>
      <c r="B12270" t="s">
        <v>25</v>
      </c>
      <c r="C12270">
        <v>2139</v>
      </c>
      <c r="D12270" t="str">
        <f>"02139"</f>
        <v>02139</v>
      </c>
      <c r="E12270">
        <v>83.77</v>
      </c>
    </row>
    <row r="12271" spans="1:5" x14ac:dyDescent="0.2">
      <c r="A12271" t="str">
        <f>"02140"</f>
        <v>02140</v>
      </c>
      <c r="B12271" t="s">
        <v>25</v>
      </c>
      <c r="C12271">
        <v>2140</v>
      </c>
      <c r="D12271" t="str">
        <f>"02140"</f>
        <v>02140</v>
      </c>
      <c r="E12271">
        <v>83.47</v>
      </c>
    </row>
    <row r="12272" spans="1:5" x14ac:dyDescent="0.2">
      <c r="A12272" t="str">
        <f>"02141"</f>
        <v>02141</v>
      </c>
      <c r="B12272" t="s">
        <v>25</v>
      </c>
      <c r="C12272">
        <v>2141</v>
      </c>
      <c r="D12272" t="str">
        <f>"02141"</f>
        <v>02141</v>
      </c>
      <c r="E12272">
        <v>86.45</v>
      </c>
    </row>
    <row r="12273" spans="1:5" x14ac:dyDescent="0.2">
      <c r="A12273" t="str">
        <f>"02142"</f>
        <v>02142</v>
      </c>
      <c r="B12273" t="s">
        <v>25</v>
      </c>
      <c r="C12273">
        <v>2142</v>
      </c>
      <c r="D12273" t="str">
        <f>"02142"</f>
        <v>02142</v>
      </c>
      <c r="E12273">
        <v>88.7</v>
      </c>
    </row>
    <row r="12274" spans="1:5" x14ac:dyDescent="0.2">
      <c r="A12274" t="str">
        <f>"02143"</f>
        <v>02143</v>
      </c>
      <c r="B12274" t="s">
        <v>25</v>
      </c>
      <c r="C12274">
        <v>2143</v>
      </c>
      <c r="D12274" t="str">
        <f>"02143"</f>
        <v>02143</v>
      </c>
      <c r="E12274">
        <v>87.06</v>
      </c>
    </row>
    <row r="12275" spans="1:5" x14ac:dyDescent="0.2">
      <c r="A12275" t="str">
        <f>"02144"</f>
        <v>02144</v>
      </c>
      <c r="B12275" t="s">
        <v>25</v>
      </c>
      <c r="C12275">
        <v>2144</v>
      </c>
      <c r="D12275" t="str">
        <f>"02144"</f>
        <v>02144</v>
      </c>
      <c r="E12275">
        <v>88.52</v>
      </c>
    </row>
    <row r="12276" spans="1:5" x14ac:dyDescent="0.2">
      <c r="A12276" t="str">
        <f>"02145"</f>
        <v>02145</v>
      </c>
      <c r="B12276" t="s">
        <v>25</v>
      </c>
      <c r="C12276">
        <v>2145</v>
      </c>
      <c r="D12276" t="str">
        <f>"02145"</f>
        <v>02145</v>
      </c>
      <c r="E12276">
        <v>81.12</v>
      </c>
    </row>
    <row r="12277" spans="1:5" x14ac:dyDescent="0.2">
      <c r="A12277" t="str">
        <f>"02148"</f>
        <v>02148</v>
      </c>
      <c r="B12277" t="s">
        <v>25</v>
      </c>
      <c r="C12277">
        <v>2148</v>
      </c>
      <c r="D12277" t="str">
        <f>"02148"</f>
        <v>02148</v>
      </c>
      <c r="E12277">
        <v>76.239999999999995</v>
      </c>
    </row>
    <row r="12278" spans="1:5" x14ac:dyDescent="0.2">
      <c r="A12278" t="str">
        <f>"02149"</f>
        <v>02149</v>
      </c>
      <c r="B12278" t="s">
        <v>25</v>
      </c>
      <c r="C12278">
        <v>2149</v>
      </c>
      <c r="D12278" t="str">
        <f>"02149"</f>
        <v>02149</v>
      </c>
      <c r="E12278">
        <v>72.86</v>
      </c>
    </row>
    <row r="12279" spans="1:5" x14ac:dyDescent="0.2">
      <c r="A12279" t="str">
        <f>"02150"</f>
        <v>02150</v>
      </c>
      <c r="B12279" t="s">
        <v>25</v>
      </c>
      <c r="C12279">
        <v>2150</v>
      </c>
      <c r="D12279" t="str">
        <f>"02150"</f>
        <v>02150</v>
      </c>
      <c r="E12279">
        <v>69.47</v>
      </c>
    </row>
    <row r="12280" spans="1:5" x14ac:dyDescent="0.2">
      <c r="A12280" t="str">
        <f>"02151"</f>
        <v>02151</v>
      </c>
      <c r="B12280" t="s">
        <v>25</v>
      </c>
      <c r="C12280">
        <v>2151</v>
      </c>
      <c r="D12280" t="str">
        <f>"02151"</f>
        <v>02151</v>
      </c>
      <c r="E12280">
        <v>74.41</v>
      </c>
    </row>
    <row r="12281" spans="1:5" x14ac:dyDescent="0.2">
      <c r="A12281" t="str">
        <f>"02152"</f>
        <v>02152</v>
      </c>
      <c r="B12281" t="s">
        <v>25</v>
      </c>
      <c r="C12281">
        <v>2152</v>
      </c>
      <c r="D12281" t="str">
        <f>"02152"</f>
        <v>02152</v>
      </c>
      <c r="E12281">
        <v>81.92</v>
      </c>
    </row>
    <row r="12282" spans="1:5" x14ac:dyDescent="0.2">
      <c r="A12282" t="str">
        <f>"02155"</f>
        <v>02155</v>
      </c>
      <c r="B12282" t="s">
        <v>25</v>
      </c>
      <c r="C12282">
        <v>2155</v>
      </c>
      <c r="D12282" t="str">
        <f>"02155"</f>
        <v>02155</v>
      </c>
      <c r="E12282">
        <v>83.44</v>
      </c>
    </row>
    <row r="12283" spans="1:5" x14ac:dyDescent="0.2">
      <c r="A12283" t="str">
        <f>"02163"</f>
        <v>02163</v>
      </c>
      <c r="B12283" t="s">
        <v>25</v>
      </c>
      <c r="C12283">
        <v>2163</v>
      </c>
      <c r="D12283" t="str">
        <f>"02163"</f>
        <v>02163</v>
      </c>
      <c r="E12283">
        <v>80.95</v>
      </c>
    </row>
    <row r="12284" spans="1:5" x14ac:dyDescent="0.2">
      <c r="A12284" t="str">
        <f>"02169"</f>
        <v>02169</v>
      </c>
      <c r="B12284" t="s">
        <v>25</v>
      </c>
      <c r="C12284">
        <v>2169</v>
      </c>
      <c r="D12284" t="str">
        <f>"02169"</f>
        <v>02169</v>
      </c>
      <c r="E12284">
        <v>80.099999999999994</v>
      </c>
    </row>
    <row r="12285" spans="1:5" x14ac:dyDescent="0.2">
      <c r="A12285" t="str">
        <f>"02170"</f>
        <v>02170</v>
      </c>
      <c r="B12285" t="s">
        <v>25</v>
      </c>
      <c r="C12285">
        <v>2170</v>
      </c>
      <c r="D12285" t="str">
        <f>"02170"</f>
        <v>02170</v>
      </c>
      <c r="E12285">
        <v>75.819999999999993</v>
      </c>
    </row>
    <row r="12286" spans="1:5" x14ac:dyDescent="0.2">
      <c r="A12286" t="str">
        <f>"02171"</f>
        <v>02171</v>
      </c>
      <c r="B12286" t="s">
        <v>25</v>
      </c>
      <c r="C12286">
        <v>2171</v>
      </c>
      <c r="D12286" t="str">
        <f>"02171"</f>
        <v>02171</v>
      </c>
      <c r="E12286">
        <v>79.709999999999994</v>
      </c>
    </row>
    <row r="12287" spans="1:5" x14ac:dyDescent="0.2">
      <c r="A12287" t="str">
        <f>"02176"</f>
        <v>02176</v>
      </c>
      <c r="B12287" t="s">
        <v>25</v>
      </c>
      <c r="C12287">
        <v>2176</v>
      </c>
      <c r="D12287" t="str">
        <f>"02176"</f>
        <v>02176</v>
      </c>
      <c r="E12287">
        <v>84.19</v>
      </c>
    </row>
    <row r="12288" spans="1:5" x14ac:dyDescent="0.2">
      <c r="A12288" t="str">
        <f>"02180"</f>
        <v>02180</v>
      </c>
      <c r="B12288" t="s">
        <v>25</v>
      </c>
      <c r="C12288">
        <v>2180</v>
      </c>
      <c r="D12288" t="str">
        <f>"02180"</f>
        <v>02180</v>
      </c>
      <c r="E12288">
        <v>82.83</v>
      </c>
    </row>
    <row r="12289" spans="1:5" x14ac:dyDescent="0.2">
      <c r="A12289" t="str">
        <f>"02184"</f>
        <v>02184</v>
      </c>
      <c r="B12289" t="s">
        <v>25</v>
      </c>
      <c r="C12289">
        <v>2184</v>
      </c>
      <c r="D12289" t="str">
        <f>"02184"</f>
        <v>02184</v>
      </c>
      <c r="E12289">
        <v>80.790000000000006</v>
      </c>
    </row>
    <row r="12290" spans="1:5" x14ac:dyDescent="0.2">
      <c r="A12290" t="str">
        <f>"02186"</f>
        <v>02186</v>
      </c>
      <c r="B12290" t="s">
        <v>25</v>
      </c>
      <c r="C12290">
        <v>2186</v>
      </c>
      <c r="D12290" t="str">
        <f>"02186"</f>
        <v>02186</v>
      </c>
      <c r="E12290">
        <v>82.71</v>
      </c>
    </row>
    <row r="12291" spans="1:5" x14ac:dyDescent="0.2">
      <c r="A12291" t="str">
        <f>"02188"</f>
        <v>02188</v>
      </c>
      <c r="B12291" t="s">
        <v>25</v>
      </c>
      <c r="C12291">
        <v>2188</v>
      </c>
      <c r="D12291" t="str">
        <f>"02188"</f>
        <v>02188</v>
      </c>
      <c r="E12291">
        <v>81.7</v>
      </c>
    </row>
    <row r="12292" spans="1:5" x14ac:dyDescent="0.2">
      <c r="A12292" t="str">
        <f>"02189"</f>
        <v>02189</v>
      </c>
      <c r="B12292" t="s">
        <v>25</v>
      </c>
      <c r="C12292">
        <v>2189</v>
      </c>
      <c r="D12292" t="str">
        <f>"02189"</f>
        <v>02189</v>
      </c>
      <c r="E12292">
        <v>79.47</v>
      </c>
    </row>
    <row r="12293" spans="1:5" x14ac:dyDescent="0.2">
      <c r="A12293" t="str">
        <f>"02190"</f>
        <v>02190</v>
      </c>
      <c r="B12293" t="s">
        <v>25</v>
      </c>
      <c r="C12293">
        <v>2190</v>
      </c>
      <c r="D12293" t="str">
        <f>"02190"</f>
        <v>02190</v>
      </c>
      <c r="E12293">
        <v>83.44</v>
      </c>
    </row>
    <row r="12294" spans="1:5" x14ac:dyDescent="0.2">
      <c r="A12294" t="str">
        <f>"02191"</f>
        <v>02191</v>
      </c>
      <c r="B12294" t="s">
        <v>25</v>
      </c>
      <c r="C12294">
        <v>2191</v>
      </c>
      <c r="D12294" t="str">
        <f>"02191"</f>
        <v>02191</v>
      </c>
      <c r="E12294">
        <v>83.62</v>
      </c>
    </row>
    <row r="12295" spans="1:5" x14ac:dyDescent="0.2">
      <c r="A12295" t="str">
        <f>"02199"</f>
        <v>02199</v>
      </c>
      <c r="B12295" t="s">
        <v>25</v>
      </c>
      <c r="C12295">
        <v>2199</v>
      </c>
      <c r="D12295" t="str">
        <f>"02199"</f>
        <v>02199</v>
      </c>
      <c r="E12295">
        <v>89.25</v>
      </c>
    </row>
    <row r="12296" spans="1:5" x14ac:dyDescent="0.2">
      <c r="A12296" t="str">
        <f>"02201"</f>
        <v>02201</v>
      </c>
      <c r="B12296" t="s">
        <v>25</v>
      </c>
      <c r="C12296">
        <v>2201</v>
      </c>
      <c r="D12296" t="str">
        <f>"02201"</f>
        <v>02201</v>
      </c>
      <c r="E12296" t="s">
        <v>6</v>
      </c>
    </row>
    <row r="12297" spans="1:5" x14ac:dyDescent="0.2">
      <c r="A12297" t="str">
        <f>"02210"</f>
        <v>02210</v>
      </c>
      <c r="B12297" t="s">
        <v>25</v>
      </c>
      <c r="C12297">
        <v>2210</v>
      </c>
      <c r="D12297" t="str">
        <f>"02210"</f>
        <v>02210</v>
      </c>
      <c r="E12297">
        <v>93.51</v>
      </c>
    </row>
    <row r="12298" spans="1:5" x14ac:dyDescent="0.2">
      <c r="A12298" t="str">
        <f>"02215"</f>
        <v>02215</v>
      </c>
      <c r="B12298" t="s">
        <v>25</v>
      </c>
      <c r="C12298">
        <v>2215</v>
      </c>
      <c r="D12298" t="str">
        <f>"02215"</f>
        <v>02215</v>
      </c>
      <c r="E12298">
        <v>80.459999999999994</v>
      </c>
    </row>
    <row r="12299" spans="1:5" x14ac:dyDescent="0.2">
      <c r="A12299" t="str">
        <f>"02222"</f>
        <v>02222</v>
      </c>
      <c r="B12299" t="s">
        <v>25</v>
      </c>
      <c r="C12299">
        <v>2222</v>
      </c>
      <c r="D12299" t="str">
        <f>"02222"</f>
        <v>02222</v>
      </c>
      <c r="E12299" t="s">
        <v>6</v>
      </c>
    </row>
    <row r="12300" spans="1:5" x14ac:dyDescent="0.2">
      <c r="A12300" t="str">
        <f>"02301"</f>
        <v>02301</v>
      </c>
      <c r="B12300" t="s">
        <v>25</v>
      </c>
      <c r="C12300">
        <v>2301</v>
      </c>
      <c r="D12300" t="str">
        <f>"02301"</f>
        <v>02301</v>
      </c>
      <c r="E12300">
        <v>67.59</v>
      </c>
    </row>
    <row r="12301" spans="1:5" x14ac:dyDescent="0.2">
      <c r="A12301" t="str">
        <f>"02302"</f>
        <v>02302</v>
      </c>
      <c r="B12301" t="s">
        <v>25</v>
      </c>
      <c r="C12301">
        <v>2302</v>
      </c>
      <c r="D12301" t="str">
        <f>"02302"</f>
        <v>02302</v>
      </c>
      <c r="E12301">
        <v>71.489999999999995</v>
      </c>
    </row>
    <row r="12302" spans="1:5" x14ac:dyDescent="0.2">
      <c r="A12302" t="str">
        <f>"02322"</f>
        <v>02322</v>
      </c>
      <c r="B12302" t="s">
        <v>25</v>
      </c>
      <c r="C12302">
        <v>2322</v>
      </c>
      <c r="D12302" t="str">
        <f>"02322"</f>
        <v>02322</v>
      </c>
      <c r="E12302">
        <v>78.86</v>
      </c>
    </row>
    <row r="12303" spans="1:5" x14ac:dyDescent="0.2">
      <c r="A12303" t="str">
        <f>"02324"</f>
        <v>02324</v>
      </c>
      <c r="B12303" t="s">
        <v>25</v>
      </c>
      <c r="C12303">
        <v>2324</v>
      </c>
      <c r="D12303" t="str">
        <f>"02324"</f>
        <v>02324</v>
      </c>
      <c r="E12303">
        <v>82.05</v>
      </c>
    </row>
    <row r="12304" spans="1:5" x14ac:dyDescent="0.2">
      <c r="A12304" t="str">
        <f>"02325"</f>
        <v>02325</v>
      </c>
      <c r="B12304" t="s">
        <v>25</v>
      </c>
      <c r="C12304">
        <v>2325</v>
      </c>
      <c r="D12304" t="str">
        <f>"02325"</f>
        <v>02325</v>
      </c>
      <c r="E12304" t="s">
        <v>6</v>
      </c>
    </row>
    <row r="12305" spans="1:5" x14ac:dyDescent="0.2">
      <c r="A12305" t="str">
        <f>"02330"</f>
        <v>02330</v>
      </c>
      <c r="B12305" t="s">
        <v>25</v>
      </c>
      <c r="C12305">
        <v>2330</v>
      </c>
      <c r="D12305" t="str">
        <f>"02330"</f>
        <v>02330</v>
      </c>
      <c r="E12305">
        <v>79.819999999999993</v>
      </c>
    </row>
    <row r="12306" spans="1:5" x14ac:dyDescent="0.2">
      <c r="A12306" t="str">
        <f>"02332"</f>
        <v>02332</v>
      </c>
      <c r="B12306" t="s">
        <v>25</v>
      </c>
      <c r="C12306">
        <v>2332</v>
      </c>
      <c r="D12306" t="str">
        <f>"02332"</f>
        <v>02332</v>
      </c>
      <c r="E12306">
        <v>79.89</v>
      </c>
    </row>
    <row r="12307" spans="1:5" x14ac:dyDescent="0.2">
      <c r="A12307" t="str">
        <f>"02333"</f>
        <v>02333</v>
      </c>
      <c r="B12307" t="s">
        <v>25</v>
      </c>
      <c r="C12307">
        <v>2333</v>
      </c>
      <c r="D12307" t="str">
        <f>"02333"</f>
        <v>02333</v>
      </c>
      <c r="E12307">
        <v>81.12</v>
      </c>
    </row>
    <row r="12308" spans="1:5" x14ac:dyDescent="0.2">
      <c r="A12308" t="str">
        <f>"02338"</f>
        <v>02338</v>
      </c>
      <c r="B12308" t="s">
        <v>25</v>
      </c>
      <c r="C12308">
        <v>2338</v>
      </c>
      <c r="D12308" t="str">
        <f>"02338"</f>
        <v>02338</v>
      </c>
      <c r="E12308">
        <v>80.819999999999993</v>
      </c>
    </row>
    <row r="12309" spans="1:5" x14ac:dyDescent="0.2">
      <c r="A12309" t="str">
        <f>"02339"</f>
        <v>02339</v>
      </c>
      <c r="B12309" t="s">
        <v>25</v>
      </c>
      <c r="C12309">
        <v>2339</v>
      </c>
      <c r="D12309" t="str">
        <f>"02339"</f>
        <v>02339</v>
      </c>
      <c r="E12309">
        <v>81.040000000000006</v>
      </c>
    </row>
    <row r="12310" spans="1:5" x14ac:dyDescent="0.2">
      <c r="A12310" t="str">
        <f>"02341"</f>
        <v>02341</v>
      </c>
      <c r="B12310" t="s">
        <v>25</v>
      </c>
      <c r="C12310">
        <v>2341</v>
      </c>
      <c r="D12310" t="str">
        <f>"02341"</f>
        <v>02341</v>
      </c>
      <c r="E12310">
        <v>82</v>
      </c>
    </row>
    <row r="12311" spans="1:5" x14ac:dyDescent="0.2">
      <c r="A12311" t="str">
        <f>"02343"</f>
        <v>02343</v>
      </c>
      <c r="B12311" t="s">
        <v>25</v>
      </c>
      <c r="C12311">
        <v>2343</v>
      </c>
      <c r="D12311" t="str">
        <f>"02343"</f>
        <v>02343</v>
      </c>
      <c r="E12311">
        <v>80.03</v>
      </c>
    </row>
    <row r="12312" spans="1:5" x14ac:dyDescent="0.2">
      <c r="A12312" t="str">
        <f>"02346"</f>
        <v>02346</v>
      </c>
      <c r="B12312" t="s">
        <v>25</v>
      </c>
      <c r="C12312">
        <v>2346</v>
      </c>
      <c r="D12312" t="str">
        <f>"02346"</f>
        <v>02346</v>
      </c>
      <c r="E12312">
        <v>80.16</v>
      </c>
    </row>
    <row r="12313" spans="1:5" x14ac:dyDescent="0.2">
      <c r="A12313" t="str">
        <f>"02347"</f>
        <v>02347</v>
      </c>
      <c r="B12313" t="s">
        <v>25</v>
      </c>
      <c r="C12313">
        <v>2347</v>
      </c>
      <c r="D12313" t="str">
        <f>"02347"</f>
        <v>02347</v>
      </c>
      <c r="E12313">
        <v>81.25</v>
      </c>
    </row>
    <row r="12314" spans="1:5" x14ac:dyDescent="0.2">
      <c r="A12314" t="str">
        <f>"02350"</f>
        <v>02350</v>
      </c>
      <c r="B12314" t="s">
        <v>25</v>
      </c>
      <c r="C12314">
        <v>2350</v>
      </c>
      <c r="D12314" t="str">
        <f>"02350"</f>
        <v>02350</v>
      </c>
      <c r="E12314" t="s">
        <v>6</v>
      </c>
    </row>
    <row r="12315" spans="1:5" x14ac:dyDescent="0.2">
      <c r="A12315" t="str">
        <f>"02351"</f>
        <v>02351</v>
      </c>
      <c r="B12315" t="s">
        <v>25</v>
      </c>
      <c r="C12315">
        <v>2351</v>
      </c>
      <c r="D12315" t="str">
        <f>"02351"</f>
        <v>02351</v>
      </c>
      <c r="E12315">
        <v>82.31</v>
      </c>
    </row>
    <row r="12316" spans="1:5" x14ac:dyDescent="0.2">
      <c r="A12316" t="str">
        <f>"02356"</f>
        <v>02356</v>
      </c>
      <c r="B12316" t="s">
        <v>25</v>
      </c>
      <c r="C12316">
        <v>2356</v>
      </c>
      <c r="D12316" t="str">
        <f>"02356"</f>
        <v>02356</v>
      </c>
      <c r="E12316">
        <v>80.290000000000006</v>
      </c>
    </row>
    <row r="12317" spans="1:5" x14ac:dyDescent="0.2">
      <c r="A12317" t="str">
        <f>"02359"</f>
        <v>02359</v>
      </c>
      <c r="B12317" t="s">
        <v>25</v>
      </c>
      <c r="C12317">
        <v>2359</v>
      </c>
      <c r="D12317" t="str">
        <f>"02359"</f>
        <v>02359</v>
      </c>
      <c r="E12317">
        <v>81.41</v>
      </c>
    </row>
    <row r="12318" spans="1:5" x14ac:dyDescent="0.2">
      <c r="A12318" t="str">
        <f>"02360"</f>
        <v>02360</v>
      </c>
      <c r="B12318" t="s">
        <v>25</v>
      </c>
      <c r="C12318">
        <v>2360</v>
      </c>
      <c r="D12318" t="str">
        <f>"02360"</f>
        <v>02360</v>
      </c>
      <c r="E12318">
        <v>81.19</v>
      </c>
    </row>
    <row r="12319" spans="1:5" x14ac:dyDescent="0.2">
      <c r="A12319" t="str">
        <f>"02364"</f>
        <v>02364</v>
      </c>
      <c r="B12319" t="s">
        <v>25</v>
      </c>
      <c r="C12319">
        <v>2364</v>
      </c>
      <c r="D12319" t="str">
        <f>"02364"</f>
        <v>02364</v>
      </c>
      <c r="E12319">
        <v>80.36</v>
      </c>
    </row>
    <row r="12320" spans="1:5" x14ac:dyDescent="0.2">
      <c r="A12320" t="str">
        <f>"02367"</f>
        <v>02367</v>
      </c>
      <c r="B12320" t="s">
        <v>25</v>
      </c>
      <c r="C12320">
        <v>2367</v>
      </c>
      <c r="D12320" t="str">
        <f>"02367"</f>
        <v>02367</v>
      </c>
      <c r="E12320">
        <v>81.459999999999994</v>
      </c>
    </row>
    <row r="12321" spans="1:5" x14ac:dyDescent="0.2">
      <c r="A12321" t="str">
        <f>"02368"</f>
        <v>02368</v>
      </c>
      <c r="B12321" t="s">
        <v>25</v>
      </c>
      <c r="C12321">
        <v>2368</v>
      </c>
      <c r="D12321" t="str">
        <f>"02368"</f>
        <v>02368</v>
      </c>
      <c r="E12321">
        <v>75.48</v>
      </c>
    </row>
    <row r="12322" spans="1:5" x14ac:dyDescent="0.2">
      <c r="A12322" t="str">
        <f>"02370"</f>
        <v>02370</v>
      </c>
      <c r="B12322" t="s">
        <v>25</v>
      </c>
      <c r="C12322">
        <v>2370</v>
      </c>
      <c r="D12322" t="str">
        <f>"02370"</f>
        <v>02370</v>
      </c>
      <c r="E12322">
        <v>79.2</v>
      </c>
    </row>
    <row r="12323" spans="1:5" x14ac:dyDescent="0.2">
      <c r="A12323" t="str">
        <f>"02375"</f>
        <v>02375</v>
      </c>
      <c r="B12323" t="s">
        <v>25</v>
      </c>
      <c r="C12323">
        <v>2375</v>
      </c>
      <c r="D12323" t="str">
        <f>"02375"</f>
        <v>02375</v>
      </c>
      <c r="E12323">
        <v>81.52</v>
      </c>
    </row>
    <row r="12324" spans="1:5" x14ac:dyDescent="0.2">
      <c r="A12324" t="str">
        <f>"02379"</f>
        <v>02379</v>
      </c>
      <c r="B12324" t="s">
        <v>25</v>
      </c>
      <c r="C12324">
        <v>2379</v>
      </c>
      <c r="D12324" t="str">
        <f>"02379"</f>
        <v>02379</v>
      </c>
      <c r="E12324">
        <v>81.91</v>
      </c>
    </row>
    <row r="12325" spans="1:5" x14ac:dyDescent="0.2">
      <c r="A12325" t="str">
        <f>"02382"</f>
        <v>02382</v>
      </c>
      <c r="B12325" t="s">
        <v>25</v>
      </c>
      <c r="C12325">
        <v>2382</v>
      </c>
      <c r="D12325" t="str">
        <f>"02382"</f>
        <v>02382</v>
      </c>
      <c r="E12325">
        <v>81.040000000000006</v>
      </c>
    </row>
    <row r="12326" spans="1:5" x14ac:dyDescent="0.2">
      <c r="A12326" t="str">
        <f>"02420"</f>
        <v>02420</v>
      </c>
      <c r="B12326" t="s">
        <v>25</v>
      </c>
      <c r="C12326">
        <v>2420</v>
      </c>
      <c r="D12326" t="str">
        <f>"02420"</f>
        <v>02420</v>
      </c>
      <c r="E12326">
        <v>82.05</v>
      </c>
    </row>
    <row r="12327" spans="1:5" x14ac:dyDescent="0.2">
      <c r="A12327" t="str">
        <f>"02421"</f>
        <v>02421</v>
      </c>
      <c r="B12327" t="s">
        <v>25</v>
      </c>
      <c r="C12327">
        <v>2421</v>
      </c>
      <c r="D12327" t="str">
        <f>"02421"</f>
        <v>02421</v>
      </c>
      <c r="E12327">
        <v>83.09</v>
      </c>
    </row>
    <row r="12328" spans="1:5" x14ac:dyDescent="0.2">
      <c r="A12328" t="str">
        <f>"02445"</f>
        <v>02445</v>
      </c>
      <c r="B12328" t="s">
        <v>25</v>
      </c>
      <c r="C12328">
        <v>2445</v>
      </c>
      <c r="D12328" t="str">
        <f>"02445"</f>
        <v>02445</v>
      </c>
      <c r="E12328">
        <v>84.31</v>
      </c>
    </row>
    <row r="12329" spans="1:5" x14ac:dyDescent="0.2">
      <c r="A12329" t="str">
        <f>"02446"</f>
        <v>02446</v>
      </c>
      <c r="B12329" t="s">
        <v>25</v>
      </c>
      <c r="C12329">
        <v>2446</v>
      </c>
      <c r="D12329" t="str">
        <f>"02446"</f>
        <v>02446</v>
      </c>
      <c r="E12329">
        <v>85.94</v>
      </c>
    </row>
    <row r="12330" spans="1:5" x14ac:dyDescent="0.2">
      <c r="A12330" t="str">
        <f>"02451"</f>
        <v>02451</v>
      </c>
      <c r="B12330" t="s">
        <v>25</v>
      </c>
      <c r="C12330">
        <v>2451</v>
      </c>
      <c r="D12330" t="str">
        <f>"02451"</f>
        <v>02451</v>
      </c>
      <c r="E12330">
        <v>83.54</v>
      </c>
    </row>
    <row r="12331" spans="1:5" x14ac:dyDescent="0.2">
      <c r="A12331" t="str">
        <f>"02452"</f>
        <v>02452</v>
      </c>
      <c r="B12331" t="s">
        <v>25</v>
      </c>
      <c r="C12331">
        <v>2452</v>
      </c>
      <c r="D12331" t="str">
        <f>"02452"</f>
        <v>02452</v>
      </c>
      <c r="E12331">
        <v>80.86</v>
      </c>
    </row>
    <row r="12332" spans="1:5" x14ac:dyDescent="0.2">
      <c r="A12332" t="str">
        <f>"02453"</f>
        <v>02453</v>
      </c>
      <c r="B12332" t="s">
        <v>25</v>
      </c>
      <c r="C12332">
        <v>2453</v>
      </c>
      <c r="D12332" t="str">
        <f>"02453"</f>
        <v>02453</v>
      </c>
      <c r="E12332">
        <v>81.819999999999993</v>
      </c>
    </row>
    <row r="12333" spans="1:5" x14ac:dyDescent="0.2">
      <c r="A12333" t="str">
        <f>"02458"</f>
        <v>02458</v>
      </c>
      <c r="B12333" t="s">
        <v>25</v>
      </c>
      <c r="C12333">
        <v>2458</v>
      </c>
      <c r="D12333" t="str">
        <f>"02458"</f>
        <v>02458</v>
      </c>
      <c r="E12333">
        <v>82.76</v>
      </c>
    </row>
    <row r="12334" spans="1:5" x14ac:dyDescent="0.2">
      <c r="A12334" t="str">
        <f>"02459"</f>
        <v>02459</v>
      </c>
      <c r="B12334" t="s">
        <v>25</v>
      </c>
      <c r="C12334">
        <v>2459</v>
      </c>
      <c r="D12334" t="str">
        <f>"02459"</f>
        <v>02459</v>
      </c>
      <c r="E12334">
        <v>81.92</v>
      </c>
    </row>
    <row r="12335" spans="1:5" x14ac:dyDescent="0.2">
      <c r="A12335" t="str">
        <f>"02460"</f>
        <v>02460</v>
      </c>
      <c r="B12335" t="s">
        <v>25</v>
      </c>
      <c r="C12335">
        <v>2460</v>
      </c>
      <c r="D12335" t="str">
        <f>"02460"</f>
        <v>02460</v>
      </c>
      <c r="E12335">
        <v>83.3</v>
      </c>
    </row>
    <row r="12336" spans="1:5" x14ac:dyDescent="0.2">
      <c r="A12336" t="str">
        <f>"02461"</f>
        <v>02461</v>
      </c>
      <c r="B12336" t="s">
        <v>25</v>
      </c>
      <c r="C12336">
        <v>2461</v>
      </c>
      <c r="D12336" t="str">
        <f>"02461"</f>
        <v>02461</v>
      </c>
      <c r="E12336">
        <v>81.36</v>
      </c>
    </row>
    <row r="12337" spans="1:5" x14ac:dyDescent="0.2">
      <c r="A12337" t="str">
        <f>"02462"</f>
        <v>02462</v>
      </c>
      <c r="B12337" t="s">
        <v>25</v>
      </c>
      <c r="C12337">
        <v>2462</v>
      </c>
      <c r="D12337" t="str">
        <f>"02462"</f>
        <v>02462</v>
      </c>
      <c r="E12337">
        <v>81.16</v>
      </c>
    </row>
    <row r="12338" spans="1:5" x14ac:dyDescent="0.2">
      <c r="A12338" t="str">
        <f>"02464"</f>
        <v>02464</v>
      </c>
      <c r="B12338" t="s">
        <v>25</v>
      </c>
      <c r="C12338">
        <v>2464</v>
      </c>
      <c r="D12338" t="str">
        <f>"02464"</f>
        <v>02464</v>
      </c>
      <c r="E12338">
        <v>80.86</v>
      </c>
    </row>
    <row r="12339" spans="1:5" x14ac:dyDescent="0.2">
      <c r="A12339" t="str">
        <f>"02465"</f>
        <v>02465</v>
      </c>
      <c r="B12339" t="s">
        <v>25</v>
      </c>
      <c r="C12339">
        <v>2465</v>
      </c>
      <c r="D12339" t="str">
        <f>"02465"</f>
        <v>02465</v>
      </c>
      <c r="E12339">
        <v>82.68</v>
      </c>
    </row>
    <row r="12340" spans="1:5" x14ac:dyDescent="0.2">
      <c r="A12340" t="str">
        <f>"02466"</f>
        <v>02466</v>
      </c>
      <c r="B12340" t="s">
        <v>25</v>
      </c>
      <c r="C12340">
        <v>2466</v>
      </c>
      <c r="D12340" t="str">
        <f>"02466"</f>
        <v>02466</v>
      </c>
      <c r="E12340">
        <v>82.61</v>
      </c>
    </row>
    <row r="12341" spans="1:5" x14ac:dyDescent="0.2">
      <c r="A12341" t="str">
        <f>"02467"</f>
        <v>02467</v>
      </c>
      <c r="B12341" t="s">
        <v>25</v>
      </c>
      <c r="C12341">
        <v>2467</v>
      </c>
      <c r="D12341" t="str">
        <f>"02467"</f>
        <v>02467</v>
      </c>
      <c r="E12341">
        <v>82.82</v>
      </c>
    </row>
    <row r="12342" spans="1:5" x14ac:dyDescent="0.2">
      <c r="A12342" t="str">
        <f>"02468"</f>
        <v>02468</v>
      </c>
      <c r="B12342" t="s">
        <v>25</v>
      </c>
      <c r="C12342">
        <v>2468</v>
      </c>
      <c r="D12342" t="str">
        <f>"02468"</f>
        <v>02468</v>
      </c>
      <c r="E12342">
        <v>83.15</v>
      </c>
    </row>
    <row r="12343" spans="1:5" x14ac:dyDescent="0.2">
      <c r="A12343" t="str">
        <f>"02472"</f>
        <v>02472</v>
      </c>
      <c r="B12343" t="s">
        <v>25</v>
      </c>
      <c r="C12343">
        <v>2472</v>
      </c>
      <c r="D12343" t="str">
        <f>"02472"</f>
        <v>02472</v>
      </c>
      <c r="E12343">
        <v>84.39</v>
      </c>
    </row>
    <row r="12344" spans="1:5" x14ac:dyDescent="0.2">
      <c r="A12344" t="str">
        <f>"02474"</f>
        <v>02474</v>
      </c>
      <c r="B12344" t="s">
        <v>25</v>
      </c>
      <c r="C12344">
        <v>2474</v>
      </c>
      <c r="D12344" t="str">
        <f>"02474"</f>
        <v>02474</v>
      </c>
      <c r="E12344">
        <v>85.96</v>
      </c>
    </row>
    <row r="12345" spans="1:5" x14ac:dyDescent="0.2">
      <c r="A12345" t="str">
        <f>"02476"</f>
        <v>02476</v>
      </c>
      <c r="B12345" t="s">
        <v>25</v>
      </c>
      <c r="C12345">
        <v>2476</v>
      </c>
      <c r="D12345" t="str">
        <f>"02476"</f>
        <v>02476</v>
      </c>
      <c r="E12345">
        <v>84.6</v>
      </c>
    </row>
    <row r="12346" spans="1:5" x14ac:dyDescent="0.2">
      <c r="A12346" t="str">
        <f>"02478"</f>
        <v>02478</v>
      </c>
      <c r="B12346" t="s">
        <v>25</v>
      </c>
      <c r="C12346">
        <v>2478</v>
      </c>
      <c r="D12346" t="str">
        <f>"02478"</f>
        <v>02478</v>
      </c>
      <c r="E12346">
        <v>83.45</v>
      </c>
    </row>
    <row r="12347" spans="1:5" x14ac:dyDescent="0.2">
      <c r="A12347" t="str">
        <f>"02481"</f>
        <v>02481</v>
      </c>
      <c r="B12347" t="s">
        <v>25</v>
      </c>
      <c r="C12347">
        <v>2481</v>
      </c>
      <c r="D12347" t="str">
        <f>"02481"</f>
        <v>02481</v>
      </c>
      <c r="E12347">
        <v>80.489999999999995</v>
      </c>
    </row>
    <row r="12348" spans="1:5" x14ac:dyDescent="0.2">
      <c r="A12348" t="str">
        <f>"02482"</f>
        <v>02482</v>
      </c>
      <c r="B12348" t="s">
        <v>25</v>
      </c>
      <c r="C12348">
        <v>2482</v>
      </c>
      <c r="D12348" t="str">
        <f>"02482"</f>
        <v>02482</v>
      </c>
      <c r="E12348">
        <v>81.8</v>
      </c>
    </row>
    <row r="12349" spans="1:5" x14ac:dyDescent="0.2">
      <c r="A12349" t="str">
        <f>"02492"</f>
        <v>02492</v>
      </c>
      <c r="B12349" t="s">
        <v>25</v>
      </c>
      <c r="C12349">
        <v>2492</v>
      </c>
      <c r="D12349" t="str">
        <f>"02492"</f>
        <v>02492</v>
      </c>
      <c r="E12349">
        <v>82.81</v>
      </c>
    </row>
    <row r="12350" spans="1:5" x14ac:dyDescent="0.2">
      <c r="A12350" t="str">
        <f>"02493"</f>
        <v>02493</v>
      </c>
      <c r="B12350" t="s">
        <v>25</v>
      </c>
      <c r="C12350">
        <v>2493</v>
      </c>
      <c r="D12350" t="str">
        <f>"02493"</f>
        <v>02493</v>
      </c>
      <c r="E12350">
        <v>82.17</v>
      </c>
    </row>
    <row r="12351" spans="1:5" x14ac:dyDescent="0.2">
      <c r="A12351" t="str">
        <f>"02494"</f>
        <v>02494</v>
      </c>
      <c r="B12351" t="s">
        <v>25</v>
      </c>
      <c r="C12351">
        <v>2494</v>
      </c>
      <c r="D12351" t="str">
        <f>"02494"</f>
        <v>02494</v>
      </c>
      <c r="E12351">
        <v>82.12</v>
      </c>
    </row>
    <row r="12352" spans="1:5" x14ac:dyDescent="0.2">
      <c r="A12352" t="str">
        <f>"02532"</f>
        <v>02532</v>
      </c>
      <c r="B12352" t="s">
        <v>25</v>
      </c>
      <c r="C12352">
        <v>2532</v>
      </c>
      <c r="D12352" t="str">
        <f>"02532"</f>
        <v>02532</v>
      </c>
      <c r="E12352">
        <v>78.989999999999995</v>
      </c>
    </row>
    <row r="12353" spans="1:5" x14ac:dyDescent="0.2">
      <c r="A12353" t="str">
        <f>"02534"</f>
        <v>02534</v>
      </c>
      <c r="B12353" t="s">
        <v>25</v>
      </c>
      <c r="C12353">
        <v>2534</v>
      </c>
      <c r="D12353" t="str">
        <f>"02534"</f>
        <v>02534</v>
      </c>
      <c r="E12353" t="s">
        <v>6</v>
      </c>
    </row>
    <row r="12354" spans="1:5" x14ac:dyDescent="0.2">
      <c r="A12354" t="str">
        <f>"02535"</f>
        <v>02535</v>
      </c>
      <c r="B12354" t="s">
        <v>25</v>
      </c>
      <c r="C12354">
        <v>2535</v>
      </c>
      <c r="D12354" t="str">
        <f>"02535"</f>
        <v>02535</v>
      </c>
      <c r="E12354">
        <v>75</v>
      </c>
    </row>
    <row r="12355" spans="1:5" x14ac:dyDescent="0.2">
      <c r="A12355" t="str">
        <f>"02536"</f>
        <v>02536</v>
      </c>
      <c r="B12355" t="s">
        <v>25</v>
      </c>
      <c r="C12355">
        <v>2536</v>
      </c>
      <c r="D12355" t="str">
        <f>"02536"</f>
        <v>02536</v>
      </c>
      <c r="E12355">
        <v>77.650000000000006</v>
      </c>
    </row>
    <row r="12356" spans="1:5" x14ac:dyDescent="0.2">
      <c r="A12356" t="str">
        <f>"02537"</f>
        <v>02537</v>
      </c>
      <c r="B12356" t="s">
        <v>25</v>
      </c>
      <c r="C12356">
        <v>2537</v>
      </c>
      <c r="D12356" t="str">
        <f>"02537"</f>
        <v>02537</v>
      </c>
      <c r="E12356">
        <v>78.41</v>
      </c>
    </row>
    <row r="12357" spans="1:5" x14ac:dyDescent="0.2">
      <c r="A12357" t="str">
        <f>"02538"</f>
        <v>02538</v>
      </c>
      <c r="B12357" t="s">
        <v>25</v>
      </c>
      <c r="C12357">
        <v>2538</v>
      </c>
      <c r="D12357" t="str">
        <f>"02538"</f>
        <v>02538</v>
      </c>
      <c r="E12357">
        <v>72.36</v>
      </c>
    </row>
    <row r="12358" spans="1:5" x14ac:dyDescent="0.2">
      <c r="A12358" t="str">
        <f>"02539"</f>
        <v>02539</v>
      </c>
      <c r="B12358" t="s">
        <v>25</v>
      </c>
      <c r="C12358">
        <v>2539</v>
      </c>
      <c r="D12358" t="str">
        <f>"02539"</f>
        <v>02539</v>
      </c>
      <c r="E12358">
        <v>72.819999999999993</v>
      </c>
    </row>
    <row r="12359" spans="1:5" x14ac:dyDescent="0.2">
      <c r="A12359" t="str">
        <f>"02540"</f>
        <v>02540</v>
      </c>
      <c r="B12359" t="s">
        <v>25</v>
      </c>
      <c r="C12359">
        <v>2540</v>
      </c>
      <c r="D12359" t="str">
        <f>"02540"</f>
        <v>02540</v>
      </c>
      <c r="E12359">
        <v>78.959999999999994</v>
      </c>
    </row>
    <row r="12360" spans="1:5" x14ac:dyDescent="0.2">
      <c r="A12360" t="str">
        <f>"02542"</f>
        <v>02542</v>
      </c>
      <c r="B12360" t="s">
        <v>25</v>
      </c>
      <c r="C12360">
        <v>2542</v>
      </c>
      <c r="D12360" t="str">
        <f>"02542"</f>
        <v>02542</v>
      </c>
      <c r="E12360">
        <v>68.42</v>
      </c>
    </row>
    <row r="12361" spans="1:5" x14ac:dyDescent="0.2">
      <c r="A12361" t="str">
        <f>"02543"</f>
        <v>02543</v>
      </c>
      <c r="B12361" t="s">
        <v>25</v>
      </c>
      <c r="C12361">
        <v>2543</v>
      </c>
      <c r="D12361" t="str">
        <f>"02543"</f>
        <v>02543</v>
      </c>
      <c r="E12361">
        <v>83.67</v>
      </c>
    </row>
    <row r="12362" spans="1:5" x14ac:dyDescent="0.2">
      <c r="A12362" t="str">
        <f>"02554"</f>
        <v>02554</v>
      </c>
      <c r="B12362" t="s">
        <v>25</v>
      </c>
      <c r="C12362">
        <v>2554</v>
      </c>
      <c r="D12362" t="str">
        <f>"02554"</f>
        <v>02554</v>
      </c>
      <c r="E12362">
        <v>78.319999999999993</v>
      </c>
    </row>
    <row r="12363" spans="1:5" x14ac:dyDescent="0.2">
      <c r="A12363" t="str">
        <f>"02556"</f>
        <v>02556</v>
      </c>
      <c r="B12363" t="s">
        <v>25</v>
      </c>
      <c r="C12363">
        <v>2556</v>
      </c>
      <c r="D12363" t="str">
        <f>"02556"</f>
        <v>02556</v>
      </c>
      <c r="E12363">
        <v>80.5</v>
      </c>
    </row>
    <row r="12364" spans="1:5" x14ac:dyDescent="0.2">
      <c r="A12364" t="str">
        <f>"02557"</f>
        <v>02557</v>
      </c>
      <c r="B12364" t="s">
        <v>25</v>
      </c>
      <c r="C12364">
        <v>2557</v>
      </c>
      <c r="D12364" t="str">
        <f>"02557"</f>
        <v>02557</v>
      </c>
      <c r="E12364" t="s">
        <v>6</v>
      </c>
    </row>
    <row r="12365" spans="1:5" x14ac:dyDescent="0.2">
      <c r="A12365" t="str">
        <f>"02558"</f>
        <v>02558</v>
      </c>
      <c r="B12365" t="s">
        <v>25</v>
      </c>
      <c r="C12365">
        <v>2558</v>
      </c>
      <c r="D12365" t="str">
        <f>"02558"</f>
        <v>02558</v>
      </c>
      <c r="E12365" t="s">
        <v>6</v>
      </c>
    </row>
    <row r="12366" spans="1:5" x14ac:dyDescent="0.2">
      <c r="A12366" t="str">
        <f>"02559"</f>
        <v>02559</v>
      </c>
      <c r="B12366" t="s">
        <v>25</v>
      </c>
      <c r="C12366">
        <v>2559</v>
      </c>
      <c r="D12366" t="str">
        <f>"02559"</f>
        <v>02559</v>
      </c>
      <c r="E12366">
        <v>81.87</v>
      </c>
    </row>
    <row r="12367" spans="1:5" x14ac:dyDescent="0.2">
      <c r="A12367" t="str">
        <f>"02561"</f>
        <v>02561</v>
      </c>
      <c r="B12367" t="s">
        <v>25</v>
      </c>
      <c r="C12367">
        <v>2561</v>
      </c>
      <c r="D12367" t="str">
        <f>"02561"</f>
        <v>02561</v>
      </c>
      <c r="E12367" t="s">
        <v>6</v>
      </c>
    </row>
    <row r="12368" spans="1:5" x14ac:dyDescent="0.2">
      <c r="A12368" t="str">
        <f>"02562"</f>
        <v>02562</v>
      </c>
      <c r="B12368" t="s">
        <v>25</v>
      </c>
      <c r="C12368">
        <v>2562</v>
      </c>
      <c r="D12368" t="str">
        <f>"02562"</f>
        <v>02562</v>
      </c>
      <c r="E12368">
        <v>79.459999999999994</v>
      </c>
    </row>
    <row r="12369" spans="1:5" x14ac:dyDescent="0.2">
      <c r="A12369" t="str">
        <f>"02563"</f>
        <v>02563</v>
      </c>
      <c r="B12369" t="s">
        <v>25</v>
      </c>
      <c r="C12369">
        <v>2563</v>
      </c>
      <c r="D12369" t="str">
        <f>"02563"</f>
        <v>02563</v>
      </c>
      <c r="E12369">
        <v>80.61</v>
      </c>
    </row>
    <row r="12370" spans="1:5" x14ac:dyDescent="0.2">
      <c r="A12370" t="str">
        <f>"02564"</f>
        <v>02564</v>
      </c>
      <c r="B12370" t="s">
        <v>25</v>
      </c>
      <c r="C12370">
        <v>2564</v>
      </c>
      <c r="D12370" t="str">
        <f>"02564"</f>
        <v>02564</v>
      </c>
      <c r="E12370" t="s">
        <v>6</v>
      </c>
    </row>
    <row r="12371" spans="1:5" x14ac:dyDescent="0.2">
      <c r="A12371" t="str">
        <f>"02568"</f>
        <v>02568</v>
      </c>
      <c r="B12371" t="s">
        <v>25</v>
      </c>
      <c r="C12371">
        <v>2568</v>
      </c>
      <c r="D12371" t="str">
        <f>"02568"</f>
        <v>02568</v>
      </c>
      <c r="E12371">
        <v>70.34</v>
      </c>
    </row>
    <row r="12372" spans="1:5" x14ac:dyDescent="0.2">
      <c r="A12372" t="str">
        <f>"02571"</f>
        <v>02571</v>
      </c>
      <c r="B12372" t="s">
        <v>25</v>
      </c>
      <c r="C12372">
        <v>2571</v>
      </c>
      <c r="D12372" t="str">
        <f>"02571"</f>
        <v>02571</v>
      </c>
      <c r="E12372">
        <v>77.52</v>
      </c>
    </row>
    <row r="12373" spans="1:5" x14ac:dyDescent="0.2">
      <c r="A12373" t="str">
        <f>"02576"</f>
        <v>02576</v>
      </c>
      <c r="B12373" t="s">
        <v>25</v>
      </c>
      <c r="C12373">
        <v>2576</v>
      </c>
      <c r="D12373" t="str">
        <f>"02576"</f>
        <v>02576</v>
      </c>
      <c r="E12373">
        <v>78.83</v>
      </c>
    </row>
    <row r="12374" spans="1:5" x14ac:dyDescent="0.2">
      <c r="A12374" t="str">
        <f>"02601"</f>
        <v>02601</v>
      </c>
      <c r="B12374" t="s">
        <v>25</v>
      </c>
      <c r="C12374">
        <v>2601</v>
      </c>
      <c r="D12374" t="str">
        <f>"02601"</f>
        <v>02601</v>
      </c>
      <c r="E12374">
        <v>68.209999999999994</v>
      </c>
    </row>
    <row r="12375" spans="1:5" x14ac:dyDescent="0.2">
      <c r="A12375" t="str">
        <f>"02630"</f>
        <v>02630</v>
      </c>
      <c r="B12375" t="s">
        <v>25</v>
      </c>
      <c r="C12375">
        <v>2630</v>
      </c>
      <c r="D12375" t="str">
        <f>"02630"</f>
        <v>02630</v>
      </c>
      <c r="E12375">
        <v>81.08</v>
      </c>
    </row>
    <row r="12376" spans="1:5" x14ac:dyDescent="0.2">
      <c r="A12376" t="str">
        <f>"02631"</f>
        <v>02631</v>
      </c>
      <c r="B12376" t="s">
        <v>25</v>
      </c>
      <c r="C12376">
        <v>2631</v>
      </c>
      <c r="D12376" t="str">
        <f>"02631"</f>
        <v>02631</v>
      </c>
      <c r="E12376">
        <v>78.150000000000006</v>
      </c>
    </row>
    <row r="12377" spans="1:5" x14ac:dyDescent="0.2">
      <c r="A12377" t="str">
        <f>"02632"</f>
        <v>02632</v>
      </c>
      <c r="B12377" t="s">
        <v>25</v>
      </c>
      <c r="C12377">
        <v>2632</v>
      </c>
      <c r="D12377" t="str">
        <f>"02632"</f>
        <v>02632</v>
      </c>
      <c r="E12377">
        <v>78.66</v>
      </c>
    </row>
    <row r="12378" spans="1:5" x14ac:dyDescent="0.2">
      <c r="A12378" t="str">
        <f>"02633"</f>
        <v>02633</v>
      </c>
      <c r="B12378" t="s">
        <v>25</v>
      </c>
      <c r="C12378">
        <v>2633</v>
      </c>
      <c r="D12378" t="str">
        <f>"02633"</f>
        <v>02633</v>
      </c>
      <c r="E12378">
        <v>78.95</v>
      </c>
    </row>
    <row r="12379" spans="1:5" x14ac:dyDescent="0.2">
      <c r="A12379" t="str">
        <f>"02635"</f>
        <v>02635</v>
      </c>
      <c r="B12379" t="s">
        <v>25</v>
      </c>
      <c r="C12379">
        <v>2635</v>
      </c>
      <c r="D12379" t="str">
        <f>"02635"</f>
        <v>02635</v>
      </c>
      <c r="E12379">
        <v>78.709999999999994</v>
      </c>
    </row>
    <row r="12380" spans="1:5" x14ac:dyDescent="0.2">
      <c r="A12380" t="str">
        <f>"02638"</f>
        <v>02638</v>
      </c>
      <c r="B12380" t="s">
        <v>25</v>
      </c>
      <c r="C12380">
        <v>2638</v>
      </c>
      <c r="D12380" t="str">
        <f>"02638"</f>
        <v>02638</v>
      </c>
      <c r="E12380">
        <v>79.77</v>
      </c>
    </row>
    <row r="12381" spans="1:5" x14ac:dyDescent="0.2">
      <c r="A12381" t="str">
        <f>"02639"</f>
        <v>02639</v>
      </c>
      <c r="B12381" t="s">
        <v>25</v>
      </c>
      <c r="C12381">
        <v>2639</v>
      </c>
      <c r="D12381" t="str">
        <f>"02639"</f>
        <v>02639</v>
      </c>
      <c r="E12381">
        <v>75</v>
      </c>
    </row>
    <row r="12382" spans="1:5" x14ac:dyDescent="0.2">
      <c r="A12382" t="str">
        <f>"02642"</f>
        <v>02642</v>
      </c>
      <c r="B12382" t="s">
        <v>25</v>
      </c>
      <c r="C12382">
        <v>2642</v>
      </c>
      <c r="D12382" t="str">
        <f>"02642"</f>
        <v>02642</v>
      </c>
      <c r="E12382">
        <v>77.930000000000007</v>
      </c>
    </row>
    <row r="12383" spans="1:5" x14ac:dyDescent="0.2">
      <c r="A12383" t="str">
        <f>"02644"</f>
        <v>02644</v>
      </c>
      <c r="B12383" t="s">
        <v>25</v>
      </c>
      <c r="C12383">
        <v>2644</v>
      </c>
      <c r="D12383" t="str">
        <f>"02644"</f>
        <v>02644</v>
      </c>
      <c r="E12383">
        <v>79.3</v>
      </c>
    </row>
    <row r="12384" spans="1:5" x14ac:dyDescent="0.2">
      <c r="A12384" t="str">
        <f>"02645"</f>
        <v>02645</v>
      </c>
      <c r="B12384" t="s">
        <v>25</v>
      </c>
      <c r="C12384">
        <v>2645</v>
      </c>
      <c r="D12384" t="str">
        <f>"02645"</f>
        <v>02645</v>
      </c>
      <c r="E12384">
        <v>78.459999999999994</v>
      </c>
    </row>
    <row r="12385" spans="1:5" x14ac:dyDescent="0.2">
      <c r="A12385" t="str">
        <f>"02646"</f>
        <v>02646</v>
      </c>
      <c r="B12385" t="s">
        <v>25</v>
      </c>
      <c r="C12385">
        <v>2646</v>
      </c>
      <c r="D12385" t="str">
        <f>"02646"</f>
        <v>02646</v>
      </c>
      <c r="E12385">
        <v>76.319999999999993</v>
      </c>
    </row>
    <row r="12386" spans="1:5" x14ac:dyDescent="0.2">
      <c r="A12386" t="str">
        <f>"02647"</f>
        <v>02647</v>
      </c>
      <c r="B12386" t="s">
        <v>25</v>
      </c>
      <c r="C12386">
        <v>2647</v>
      </c>
      <c r="D12386" t="str">
        <f>"02647"</f>
        <v>02647</v>
      </c>
      <c r="E12386" t="s">
        <v>6</v>
      </c>
    </row>
    <row r="12387" spans="1:5" x14ac:dyDescent="0.2">
      <c r="A12387" t="str">
        <f>"02648"</f>
        <v>02648</v>
      </c>
      <c r="B12387" t="s">
        <v>25</v>
      </c>
      <c r="C12387">
        <v>2648</v>
      </c>
      <c r="D12387" t="str">
        <f>"02648"</f>
        <v>02648</v>
      </c>
      <c r="E12387">
        <v>79.709999999999994</v>
      </c>
    </row>
    <row r="12388" spans="1:5" x14ac:dyDescent="0.2">
      <c r="A12388" t="str">
        <f>"02649"</f>
        <v>02649</v>
      </c>
      <c r="B12388" t="s">
        <v>25</v>
      </c>
      <c r="C12388">
        <v>2649</v>
      </c>
      <c r="D12388" t="str">
        <f>"02649"</f>
        <v>02649</v>
      </c>
      <c r="E12388">
        <v>79.58</v>
      </c>
    </row>
    <row r="12389" spans="1:5" x14ac:dyDescent="0.2">
      <c r="A12389" t="str">
        <f>"02650"</f>
        <v>02650</v>
      </c>
      <c r="B12389" t="s">
        <v>25</v>
      </c>
      <c r="C12389">
        <v>2650</v>
      </c>
      <c r="D12389" t="str">
        <f>"02650"</f>
        <v>02650</v>
      </c>
      <c r="E12389">
        <v>77.59</v>
      </c>
    </row>
    <row r="12390" spans="1:5" x14ac:dyDescent="0.2">
      <c r="A12390" t="str">
        <f>"02652"</f>
        <v>02652</v>
      </c>
      <c r="B12390" t="s">
        <v>25</v>
      </c>
      <c r="C12390">
        <v>2652</v>
      </c>
      <c r="D12390" t="str">
        <f>"02652"</f>
        <v>02652</v>
      </c>
      <c r="E12390" t="s">
        <v>6</v>
      </c>
    </row>
    <row r="12391" spans="1:5" x14ac:dyDescent="0.2">
      <c r="A12391" t="str">
        <f>"02653"</f>
        <v>02653</v>
      </c>
      <c r="B12391" t="s">
        <v>25</v>
      </c>
      <c r="C12391">
        <v>2653</v>
      </c>
      <c r="D12391" t="str">
        <f>"02653"</f>
        <v>02653</v>
      </c>
      <c r="E12391">
        <v>76.72</v>
      </c>
    </row>
    <row r="12392" spans="1:5" x14ac:dyDescent="0.2">
      <c r="A12392" t="str">
        <f>"02655"</f>
        <v>02655</v>
      </c>
      <c r="B12392" t="s">
        <v>25</v>
      </c>
      <c r="C12392">
        <v>2655</v>
      </c>
      <c r="D12392" t="str">
        <f>"02655"</f>
        <v>02655</v>
      </c>
      <c r="E12392">
        <v>78.92</v>
      </c>
    </row>
    <row r="12393" spans="1:5" x14ac:dyDescent="0.2">
      <c r="A12393" t="str">
        <f>"02657"</f>
        <v>02657</v>
      </c>
      <c r="B12393" t="s">
        <v>25</v>
      </c>
      <c r="C12393">
        <v>2657</v>
      </c>
      <c r="D12393" t="str">
        <f>"02657"</f>
        <v>02657</v>
      </c>
      <c r="E12393">
        <v>77.290000000000006</v>
      </c>
    </row>
    <row r="12394" spans="1:5" x14ac:dyDescent="0.2">
      <c r="A12394" t="str">
        <f>"02659"</f>
        <v>02659</v>
      </c>
      <c r="B12394" t="s">
        <v>25</v>
      </c>
      <c r="C12394">
        <v>2659</v>
      </c>
      <c r="D12394" t="str">
        <f>"02659"</f>
        <v>02659</v>
      </c>
      <c r="E12394">
        <v>73.13</v>
      </c>
    </row>
    <row r="12395" spans="1:5" x14ac:dyDescent="0.2">
      <c r="A12395" t="str">
        <f>"02660"</f>
        <v>02660</v>
      </c>
      <c r="B12395" t="s">
        <v>25</v>
      </c>
      <c r="C12395">
        <v>2660</v>
      </c>
      <c r="D12395" t="str">
        <f>"02660"</f>
        <v>02660</v>
      </c>
      <c r="E12395">
        <v>79.099999999999994</v>
      </c>
    </row>
    <row r="12396" spans="1:5" x14ac:dyDescent="0.2">
      <c r="A12396" t="str">
        <f>"02663"</f>
        <v>02663</v>
      </c>
      <c r="B12396" t="s">
        <v>25</v>
      </c>
      <c r="C12396">
        <v>2663</v>
      </c>
      <c r="D12396" t="str">
        <f>"02663"</f>
        <v>02663</v>
      </c>
      <c r="E12396" t="s">
        <v>6</v>
      </c>
    </row>
    <row r="12397" spans="1:5" x14ac:dyDescent="0.2">
      <c r="A12397" t="str">
        <f>"02664"</f>
        <v>02664</v>
      </c>
      <c r="B12397" t="s">
        <v>25</v>
      </c>
      <c r="C12397">
        <v>2664</v>
      </c>
      <c r="D12397" t="str">
        <f>"02664"</f>
        <v>02664</v>
      </c>
      <c r="E12397">
        <v>76.16</v>
      </c>
    </row>
    <row r="12398" spans="1:5" x14ac:dyDescent="0.2">
      <c r="A12398" t="str">
        <f>"02666"</f>
        <v>02666</v>
      </c>
      <c r="B12398" t="s">
        <v>25</v>
      </c>
      <c r="C12398">
        <v>2666</v>
      </c>
      <c r="D12398" t="str">
        <f>"02666"</f>
        <v>02666</v>
      </c>
      <c r="E12398" t="s">
        <v>6</v>
      </c>
    </row>
    <row r="12399" spans="1:5" x14ac:dyDescent="0.2">
      <c r="A12399" t="str">
        <f>"02667"</f>
        <v>02667</v>
      </c>
      <c r="B12399" t="s">
        <v>25</v>
      </c>
      <c r="C12399">
        <v>2667</v>
      </c>
      <c r="D12399" t="str">
        <f>"02667"</f>
        <v>02667</v>
      </c>
      <c r="E12399">
        <v>74.05</v>
      </c>
    </row>
    <row r="12400" spans="1:5" x14ac:dyDescent="0.2">
      <c r="A12400" t="str">
        <f>"02668"</f>
        <v>02668</v>
      </c>
      <c r="B12400" t="s">
        <v>25</v>
      </c>
      <c r="C12400">
        <v>2668</v>
      </c>
      <c r="D12400" t="str">
        <f>"02668"</f>
        <v>02668</v>
      </c>
      <c r="E12400">
        <v>76.09</v>
      </c>
    </row>
    <row r="12401" spans="1:5" x14ac:dyDescent="0.2">
      <c r="A12401" t="str">
        <f>"02670"</f>
        <v>02670</v>
      </c>
      <c r="B12401" t="s">
        <v>25</v>
      </c>
      <c r="C12401">
        <v>2670</v>
      </c>
      <c r="D12401" t="str">
        <f>"02670"</f>
        <v>02670</v>
      </c>
      <c r="E12401">
        <v>76.400000000000006</v>
      </c>
    </row>
    <row r="12402" spans="1:5" x14ac:dyDescent="0.2">
      <c r="A12402" t="str">
        <f>"02671"</f>
        <v>02671</v>
      </c>
      <c r="B12402" t="s">
        <v>25</v>
      </c>
      <c r="C12402">
        <v>2671</v>
      </c>
      <c r="D12402" t="str">
        <f>"02671"</f>
        <v>02671</v>
      </c>
      <c r="E12402">
        <v>79.41</v>
      </c>
    </row>
    <row r="12403" spans="1:5" x14ac:dyDescent="0.2">
      <c r="A12403" t="str">
        <f>"02673"</f>
        <v>02673</v>
      </c>
      <c r="B12403" t="s">
        <v>25</v>
      </c>
      <c r="C12403">
        <v>2673</v>
      </c>
      <c r="D12403" t="str">
        <f>"02673"</f>
        <v>02673</v>
      </c>
      <c r="E12403">
        <v>75.31</v>
      </c>
    </row>
    <row r="12404" spans="1:5" x14ac:dyDescent="0.2">
      <c r="A12404" t="str">
        <f>"02675"</f>
        <v>02675</v>
      </c>
      <c r="B12404" t="s">
        <v>25</v>
      </c>
      <c r="C12404">
        <v>2675</v>
      </c>
      <c r="D12404" t="str">
        <f>"02675"</f>
        <v>02675</v>
      </c>
      <c r="E12404">
        <v>80</v>
      </c>
    </row>
    <row r="12405" spans="1:5" x14ac:dyDescent="0.2">
      <c r="A12405" t="str">
        <f>"02702"</f>
        <v>02702</v>
      </c>
      <c r="B12405" t="s">
        <v>25</v>
      </c>
      <c r="C12405">
        <v>2702</v>
      </c>
      <c r="D12405" t="str">
        <f>"02702"</f>
        <v>02702</v>
      </c>
      <c r="E12405">
        <v>81.98</v>
      </c>
    </row>
    <row r="12406" spans="1:5" x14ac:dyDescent="0.2">
      <c r="A12406" t="str">
        <f>"02703"</f>
        <v>02703</v>
      </c>
      <c r="B12406" t="s">
        <v>25</v>
      </c>
      <c r="C12406">
        <v>2703</v>
      </c>
      <c r="D12406" t="str">
        <f>"02703"</f>
        <v>02703</v>
      </c>
      <c r="E12406">
        <v>78.97</v>
      </c>
    </row>
    <row r="12407" spans="1:5" x14ac:dyDescent="0.2">
      <c r="A12407" t="str">
        <f>"02713"</f>
        <v>02713</v>
      </c>
      <c r="B12407" t="s">
        <v>25</v>
      </c>
      <c r="C12407">
        <v>2713</v>
      </c>
      <c r="D12407" t="str">
        <f>"02713"</f>
        <v>02713</v>
      </c>
      <c r="E12407" t="s">
        <v>6</v>
      </c>
    </row>
    <row r="12408" spans="1:5" x14ac:dyDescent="0.2">
      <c r="A12408" t="str">
        <f>"02715"</f>
        <v>02715</v>
      </c>
      <c r="B12408" t="s">
        <v>25</v>
      </c>
      <c r="C12408">
        <v>2715</v>
      </c>
      <c r="D12408" t="str">
        <f>"02715"</f>
        <v>02715</v>
      </c>
      <c r="E12408">
        <v>82.26</v>
      </c>
    </row>
    <row r="12409" spans="1:5" x14ac:dyDescent="0.2">
      <c r="A12409" t="str">
        <f>"02717"</f>
        <v>02717</v>
      </c>
      <c r="B12409" t="s">
        <v>25</v>
      </c>
      <c r="C12409">
        <v>2717</v>
      </c>
      <c r="D12409" t="str">
        <f>"02717"</f>
        <v>02717</v>
      </c>
      <c r="E12409">
        <v>81.849999999999994</v>
      </c>
    </row>
    <row r="12410" spans="1:5" x14ac:dyDescent="0.2">
      <c r="A12410" t="str">
        <f>"02718"</f>
        <v>02718</v>
      </c>
      <c r="B12410" t="s">
        <v>25</v>
      </c>
      <c r="C12410">
        <v>2718</v>
      </c>
      <c r="D12410" t="str">
        <f>"02718"</f>
        <v>02718</v>
      </c>
      <c r="E12410">
        <v>79.28</v>
      </c>
    </row>
    <row r="12411" spans="1:5" x14ac:dyDescent="0.2">
      <c r="A12411" t="str">
        <f>"02719"</f>
        <v>02719</v>
      </c>
      <c r="B12411" t="s">
        <v>25</v>
      </c>
      <c r="C12411">
        <v>2719</v>
      </c>
      <c r="D12411" t="str">
        <f>"02719"</f>
        <v>02719</v>
      </c>
      <c r="E12411">
        <v>79.23</v>
      </c>
    </row>
    <row r="12412" spans="1:5" x14ac:dyDescent="0.2">
      <c r="A12412" t="str">
        <f>"02720"</f>
        <v>02720</v>
      </c>
      <c r="B12412" t="s">
        <v>25</v>
      </c>
      <c r="C12412">
        <v>2720</v>
      </c>
      <c r="D12412" t="str">
        <f>"02720"</f>
        <v>02720</v>
      </c>
      <c r="E12412">
        <v>74.69</v>
      </c>
    </row>
    <row r="12413" spans="1:5" x14ac:dyDescent="0.2">
      <c r="A12413" t="str">
        <f>"02721"</f>
        <v>02721</v>
      </c>
      <c r="B12413" t="s">
        <v>25</v>
      </c>
      <c r="C12413">
        <v>2721</v>
      </c>
      <c r="D12413" t="str">
        <f>"02721"</f>
        <v>02721</v>
      </c>
      <c r="E12413">
        <v>67.7</v>
      </c>
    </row>
    <row r="12414" spans="1:5" x14ac:dyDescent="0.2">
      <c r="A12414" t="str">
        <f>"02722"</f>
        <v>02722</v>
      </c>
      <c r="B12414" t="s">
        <v>25</v>
      </c>
      <c r="C12414">
        <v>2722</v>
      </c>
      <c r="D12414" t="str">
        <f>"02722"</f>
        <v>02722</v>
      </c>
      <c r="E12414" t="s">
        <v>6</v>
      </c>
    </row>
    <row r="12415" spans="1:5" x14ac:dyDescent="0.2">
      <c r="A12415" t="str">
        <f>"02723"</f>
        <v>02723</v>
      </c>
      <c r="B12415" t="s">
        <v>25</v>
      </c>
      <c r="C12415">
        <v>2723</v>
      </c>
      <c r="D12415" t="str">
        <f>"02723"</f>
        <v>02723</v>
      </c>
      <c r="E12415">
        <v>66.52</v>
      </c>
    </row>
    <row r="12416" spans="1:5" x14ac:dyDescent="0.2">
      <c r="A12416" t="str">
        <f>"02724"</f>
        <v>02724</v>
      </c>
      <c r="B12416" t="s">
        <v>25</v>
      </c>
      <c r="C12416">
        <v>2724</v>
      </c>
      <c r="D12416" t="str">
        <f>"02724"</f>
        <v>02724</v>
      </c>
      <c r="E12416">
        <v>68.66</v>
      </c>
    </row>
    <row r="12417" spans="1:5" x14ac:dyDescent="0.2">
      <c r="A12417" t="str">
        <f>"02725"</f>
        <v>02725</v>
      </c>
      <c r="B12417" t="s">
        <v>25</v>
      </c>
      <c r="C12417">
        <v>2725</v>
      </c>
      <c r="D12417" t="str">
        <f>"02725"</f>
        <v>02725</v>
      </c>
      <c r="E12417">
        <v>78.790000000000006</v>
      </c>
    </row>
    <row r="12418" spans="1:5" x14ac:dyDescent="0.2">
      <c r="A12418" t="str">
        <f>"02726"</f>
        <v>02726</v>
      </c>
      <c r="B12418" t="s">
        <v>25</v>
      </c>
      <c r="C12418">
        <v>2726</v>
      </c>
      <c r="D12418" t="str">
        <f>"02726"</f>
        <v>02726</v>
      </c>
      <c r="E12418">
        <v>81.94</v>
      </c>
    </row>
    <row r="12419" spans="1:5" x14ac:dyDescent="0.2">
      <c r="A12419" t="str">
        <f>"02738"</f>
        <v>02738</v>
      </c>
      <c r="B12419" t="s">
        <v>25</v>
      </c>
      <c r="C12419">
        <v>2738</v>
      </c>
      <c r="D12419" t="str">
        <f>"02738"</f>
        <v>02738</v>
      </c>
      <c r="E12419">
        <v>78.150000000000006</v>
      </c>
    </row>
    <row r="12420" spans="1:5" x14ac:dyDescent="0.2">
      <c r="A12420" t="str">
        <f>"02739"</f>
        <v>02739</v>
      </c>
      <c r="B12420" t="s">
        <v>25</v>
      </c>
      <c r="C12420">
        <v>2739</v>
      </c>
      <c r="D12420" t="str">
        <f>"02739"</f>
        <v>02739</v>
      </c>
      <c r="E12420">
        <v>81.89</v>
      </c>
    </row>
    <row r="12421" spans="1:5" x14ac:dyDescent="0.2">
      <c r="A12421" t="str">
        <f>"02740"</f>
        <v>02740</v>
      </c>
      <c r="B12421" t="s">
        <v>25</v>
      </c>
      <c r="C12421">
        <v>2740</v>
      </c>
      <c r="D12421" t="str">
        <f>"02740"</f>
        <v>02740</v>
      </c>
      <c r="E12421">
        <v>68.790000000000006</v>
      </c>
    </row>
    <row r="12422" spans="1:5" x14ac:dyDescent="0.2">
      <c r="A12422" t="str">
        <f>"02743"</f>
        <v>02743</v>
      </c>
      <c r="B12422" t="s">
        <v>25</v>
      </c>
      <c r="C12422">
        <v>2743</v>
      </c>
      <c r="D12422" t="str">
        <f>"02743"</f>
        <v>02743</v>
      </c>
      <c r="E12422">
        <v>80.78</v>
      </c>
    </row>
    <row r="12423" spans="1:5" x14ac:dyDescent="0.2">
      <c r="A12423" t="str">
        <f>"02744"</f>
        <v>02744</v>
      </c>
      <c r="B12423" t="s">
        <v>25</v>
      </c>
      <c r="C12423">
        <v>2744</v>
      </c>
      <c r="D12423" t="str">
        <f>"02744"</f>
        <v>02744</v>
      </c>
      <c r="E12423">
        <v>63.4</v>
      </c>
    </row>
    <row r="12424" spans="1:5" x14ac:dyDescent="0.2">
      <c r="A12424" t="str">
        <f>"02745"</f>
        <v>02745</v>
      </c>
      <c r="B12424" t="s">
        <v>25</v>
      </c>
      <c r="C12424">
        <v>2745</v>
      </c>
      <c r="D12424" t="str">
        <f>"02745"</f>
        <v>02745</v>
      </c>
      <c r="E12424">
        <v>76.53</v>
      </c>
    </row>
    <row r="12425" spans="1:5" x14ac:dyDescent="0.2">
      <c r="A12425" t="str">
        <f>"02746"</f>
        <v>02746</v>
      </c>
      <c r="B12425" t="s">
        <v>25</v>
      </c>
      <c r="C12425">
        <v>2746</v>
      </c>
      <c r="D12425" t="str">
        <f>"02746"</f>
        <v>02746</v>
      </c>
      <c r="E12425">
        <v>58.79</v>
      </c>
    </row>
    <row r="12426" spans="1:5" x14ac:dyDescent="0.2">
      <c r="A12426" t="str">
        <f>"02747"</f>
        <v>02747</v>
      </c>
      <c r="B12426" t="s">
        <v>25</v>
      </c>
      <c r="C12426">
        <v>2747</v>
      </c>
      <c r="D12426" t="str">
        <f>"02747"</f>
        <v>02747</v>
      </c>
      <c r="E12426">
        <v>79.73</v>
      </c>
    </row>
    <row r="12427" spans="1:5" x14ac:dyDescent="0.2">
      <c r="A12427" t="str">
        <f>"02748"</f>
        <v>02748</v>
      </c>
      <c r="B12427" t="s">
        <v>25</v>
      </c>
      <c r="C12427">
        <v>2748</v>
      </c>
      <c r="D12427" t="str">
        <f>"02748"</f>
        <v>02748</v>
      </c>
      <c r="E12427">
        <v>79.599999999999994</v>
      </c>
    </row>
    <row r="12428" spans="1:5" x14ac:dyDescent="0.2">
      <c r="A12428" t="str">
        <f>"02760"</f>
        <v>02760</v>
      </c>
      <c r="B12428" t="s">
        <v>25</v>
      </c>
      <c r="C12428">
        <v>2760</v>
      </c>
      <c r="D12428" t="str">
        <f>"02760"</f>
        <v>02760</v>
      </c>
      <c r="E12428">
        <v>80.650000000000006</v>
      </c>
    </row>
    <row r="12429" spans="1:5" x14ac:dyDescent="0.2">
      <c r="A12429" t="str">
        <f>"02762"</f>
        <v>02762</v>
      </c>
      <c r="B12429" t="s">
        <v>25</v>
      </c>
      <c r="C12429">
        <v>2762</v>
      </c>
      <c r="D12429" t="str">
        <f>"02762"</f>
        <v>02762</v>
      </c>
      <c r="E12429">
        <v>81.73</v>
      </c>
    </row>
    <row r="12430" spans="1:5" x14ac:dyDescent="0.2">
      <c r="A12430" t="str">
        <f>"02763"</f>
        <v>02763</v>
      </c>
      <c r="B12430" t="s">
        <v>25</v>
      </c>
      <c r="C12430">
        <v>2763</v>
      </c>
      <c r="D12430" t="str">
        <f>"02763"</f>
        <v>02763</v>
      </c>
      <c r="E12430">
        <v>81.25</v>
      </c>
    </row>
    <row r="12431" spans="1:5" x14ac:dyDescent="0.2">
      <c r="A12431" t="str">
        <f>"02764"</f>
        <v>02764</v>
      </c>
      <c r="B12431" t="s">
        <v>25</v>
      </c>
      <c r="C12431">
        <v>2764</v>
      </c>
      <c r="D12431" t="str">
        <f>"02764"</f>
        <v>02764</v>
      </c>
      <c r="E12431">
        <v>81.22</v>
      </c>
    </row>
    <row r="12432" spans="1:5" x14ac:dyDescent="0.2">
      <c r="A12432" t="str">
        <f>"02766"</f>
        <v>02766</v>
      </c>
      <c r="B12432" t="s">
        <v>25</v>
      </c>
      <c r="C12432">
        <v>2766</v>
      </c>
      <c r="D12432" t="str">
        <f>"02766"</f>
        <v>02766</v>
      </c>
      <c r="E12432">
        <v>81.709999999999994</v>
      </c>
    </row>
    <row r="12433" spans="1:5" x14ac:dyDescent="0.2">
      <c r="A12433" t="str">
        <f>"02767"</f>
        <v>02767</v>
      </c>
      <c r="B12433" t="s">
        <v>25</v>
      </c>
      <c r="C12433">
        <v>2767</v>
      </c>
      <c r="D12433" t="str">
        <f>"02767"</f>
        <v>02767</v>
      </c>
      <c r="E12433">
        <v>81.08</v>
      </c>
    </row>
    <row r="12434" spans="1:5" x14ac:dyDescent="0.2">
      <c r="A12434" t="str">
        <f>"02769"</f>
        <v>02769</v>
      </c>
      <c r="B12434" t="s">
        <v>25</v>
      </c>
      <c r="C12434">
        <v>2769</v>
      </c>
      <c r="D12434" t="str">
        <f>"02769"</f>
        <v>02769</v>
      </c>
      <c r="E12434">
        <v>81.03</v>
      </c>
    </row>
    <row r="12435" spans="1:5" x14ac:dyDescent="0.2">
      <c r="A12435" t="str">
        <f>"02770"</f>
        <v>02770</v>
      </c>
      <c r="B12435" t="s">
        <v>25</v>
      </c>
      <c r="C12435">
        <v>2770</v>
      </c>
      <c r="D12435" t="str">
        <f>"02770"</f>
        <v>02770</v>
      </c>
      <c r="E12435">
        <v>81.42</v>
      </c>
    </row>
    <row r="12436" spans="1:5" x14ac:dyDescent="0.2">
      <c r="A12436" t="str">
        <f>"02771"</f>
        <v>02771</v>
      </c>
      <c r="B12436" t="s">
        <v>25</v>
      </c>
      <c r="C12436">
        <v>2771</v>
      </c>
      <c r="D12436" t="str">
        <f>"02771"</f>
        <v>02771</v>
      </c>
      <c r="E12436">
        <v>80.099999999999994</v>
      </c>
    </row>
    <row r="12437" spans="1:5" x14ac:dyDescent="0.2">
      <c r="A12437" t="str">
        <f>"02777"</f>
        <v>02777</v>
      </c>
      <c r="B12437" t="s">
        <v>25</v>
      </c>
      <c r="C12437">
        <v>2777</v>
      </c>
      <c r="D12437" t="str">
        <f>"02777"</f>
        <v>02777</v>
      </c>
      <c r="E12437">
        <v>80.58</v>
      </c>
    </row>
    <row r="12438" spans="1:5" x14ac:dyDescent="0.2">
      <c r="A12438" t="str">
        <f>"02779"</f>
        <v>02779</v>
      </c>
      <c r="B12438" t="s">
        <v>25</v>
      </c>
      <c r="C12438">
        <v>2779</v>
      </c>
      <c r="D12438" t="str">
        <f>"02779"</f>
        <v>02779</v>
      </c>
      <c r="E12438">
        <v>82.85</v>
      </c>
    </row>
    <row r="12439" spans="1:5" x14ac:dyDescent="0.2">
      <c r="A12439" t="str">
        <f>"02780"</f>
        <v>02780</v>
      </c>
      <c r="B12439" t="s">
        <v>25</v>
      </c>
      <c r="C12439">
        <v>2780</v>
      </c>
      <c r="D12439" t="str">
        <f>"02780"</f>
        <v>02780</v>
      </c>
      <c r="E12439">
        <v>75.73</v>
      </c>
    </row>
    <row r="12440" spans="1:5" x14ac:dyDescent="0.2">
      <c r="A12440" t="str">
        <f>"02790"</f>
        <v>02790</v>
      </c>
      <c r="B12440" t="s">
        <v>25</v>
      </c>
      <c r="C12440">
        <v>2790</v>
      </c>
      <c r="D12440" t="str">
        <f>"02790"</f>
        <v>02790</v>
      </c>
      <c r="E12440">
        <v>80.989999999999995</v>
      </c>
    </row>
    <row r="12441" spans="1:5" x14ac:dyDescent="0.2">
      <c r="A12441" t="str">
        <f>"02791"</f>
        <v>02791</v>
      </c>
      <c r="B12441" t="s">
        <v>25</v>
      </c>
      <c r="C12441">
        <v>2791</v>
      </c>
      <c r="D12441" t="str">
        <f>"02791"</f>
        <v>02791</v>
      </c>
      <c r="E12441" t="s">
        <v>6</v>
      </c>
    </row>
    <row r="12442" spans="1:5" x14ac:dyDescent="0.2">
      <c r="A12442">
        <v>20601</v>
      </c>
      <c r="B12442" t="s">
        <v>26</v>
      </c>
      <c r="C12442">
        <v>20601</v>
      </c>
      <c r="D12442" t="str">
        <f>"20601"</f>
        <v>20601</v>
      </c>
      <c r="E12442">
        <v>76.430000000000007</v>
      </c>
    </row>
    <row r="12443" spans="1:5" x14ac:dyDescent="0.2">
      <c r="A12443">
        <v>20602</v>
      </c>
      <c r="B12443" t="s">
        <v>26</v>
      </c>
      <c r="C12443">
        <v>20602</v>
      </c>
      <c r="D12443" t="str">
        <f>"20602"</f>
        <v>20602</v>
      </c>
      <c r="E12443">
        <v>73.19</v>
      </c>
    </row>
    <row r="12444" spans="1:5" x14ac:dyDescent="0.2">
      <c r="A12444">
        <v>20603</v>
      </c>
      <c r="B12444" t="s">
        <v>26</v>
      </c>
      <c r="C12444">
        <v>20603</v>
      </c>
      <c r="D12444" t="str">
        <f>"20603"</f>
        <v>20603</v>
      </c>
      <c r="E12444">
        <v>78.510000000000005</v>
      </c>
    </row>
    <row r="12445" spans="1:5" x14ac:dyDescent="0.2">
      <c r="A12445">
        <v>20606</v>
      </c>
      <c r="B12445" t="s">
        <v>26</v>
      </c>
      <c r="C12445">
        <v>20606</v>
      </c>
      <c r="D12445" t="str">
        <f>"20606"</f>
        <v>20606</v>
      </c>
      <c r="E12445">
        <v>84.62</v>
      </c>
    </row>
    <row r="12446" spans="1:5" x14ac:dyDescent="0.2">
      <c r="A12446">
        <v>20607</v>
      </c>
      <c r="B12446" t="s">
        <v>26</v>
      </c>
      <c r="C12446">
        <v>20607</v>
      </c>
      <c r="D12446" t="str">
        <f>"20607"</f>
        <v>20607</v>
      </c>
      <c r="E12446">
        <v>81.38</v>
      </c>
    </row>
    <row r="12447" spans="1:5" x14ac:dyDescent="0.2">
      <c r="A12447">
        <v>20608</v>
      </c>
      <c r="B12447" t="s">
        <v>26</v>
      </c>
      <c r="C12447">
        <v>20608</v>
      </c>
      <c r="D12447" t="str">
        <f>"20608"</f>
        <v>20608</v>
      </c>
      <c r="E12447">
        <v>80.95</v>
      </c>
    </row>
    <row r="12448" spans="1:5" x14ac:dyDescent="0.2">
      <c r="A12448">
        <v>20609</v>
      </c>
      <c r="B12448" t="s">
        <v>26</v>
      </c>
      <c r="C12448">
        <v>20609</v>
      </c>
      <c r="D12448" t="str">
        <f>"20609"</f>
        <v>20609</v>
      </c>
      <c r="E12448">
        <v>79.63</v>
      </c>
    </row>
    <row r="12449" spans="1:5" x14ac:dyDescent="0.2">
      <c r="A12449">
        <v>20611</v>
      </c>
      <c r="B12449" t="s">
        <v>26</v>
      </c>
      <c r="C12449">
        <v>20611</v>
      </c>
      <c r="D12449" t="str">
        <f>"20611"</f>
        <v>20611</v>
      </c>
      <c r="E12449">
        <v>83.64</v>
      </c>
    </row>
    <row r="12450" spans="1:5" x14ac:dyDescent="0.2">
      <c r="A12450">
        <v>20612</v>
      </c>
      <c r="B12450" t="s">
        <v>26</v>
      </c>
      <c r="C12450">
        <v>20612</v>
      </c>
      <c r="D12450" t="str">
        <f>"20612"</f>
        <v>20612</v>
      </c>
      <c r="E12450" t="s">
        <v>6</v>
      </c>
    </row>
    <row r="12451" spans="1:5" x14ac:dyDescent="0.2">
      <c r="A12451">
        <v>20613</v>
      </c>
      <c r="B12451" t="s">
        <v>26</v>
      </c>
      <c r="C12451">
        <v>20613</v>
      </c>
      <c r="D12451" t="str">
        <f>"20613"</f>
        <v>20613</v>
      </c>
      <c r="E12451">
        <v>79.239999999999995</v>
      </c>
    </row>
    <row r="12452" spans="1:5" x14ac:dyDescent="0.2">
      <c r="A12452">
        <v>20615</v>
      </c>
      <c r="B12452" t="s">
        <v>26</v>
      </c>
      <c r="C12452">
        <v>20615</v>
      </c>
      <c r="D12452" t="str">
        <f>"20615"</f>
        <v>20615</v>
      </c>
      <c r="E12452">
        <v>71.430000000000007</v>
      </c>
    </row>
    <row r="12453" spans="1:5" x14ac:dyDescent="0.2">
      <c r="A12453">
        <v>20616</v>
      </c>
      <c r="B12453" t="s">
        <v>26</v>
      </c>
      <c r="C12453">
        <v>20616</v>
      </c>
      <c r="D12453" t="str">
        <f>"20616"</f>
        <v>20616</v>
      </c>
      <c r="E12453">
        <v>77.180000000000007</v>
      </c>
    </row>
    <row r="12454" spans="1:5" x14ac:dyDescent="0.2">
      <c r="A12454">
        <v>20617</v>
      </c>
      <c r="B12454" t="s">
        <v>26</v>
      </c>
      <c r="C12454">
        <v>20617</v>
      </c>
      <c r="D12454" t="str">
        <f>"20617"</f>
        <v>20617</v>
      </c>
      <c r="E12454">
        <v>84.31</v>
      </c>
    </row>
    <row r="12455" spans="1:5" x14ac:dyDescent="0.2">
      <c r="A12455">
        <v>20618</v>
      </c>
      <c r="B12455" t="s">
        <v>26</v>
      </c>
      <c r="C12455">
        <v>20618</v>
      </c>
      <c r="D12455" t="str">
        <f>"20618"</f>
        <v>20618</v>
      </c>
      <c r="E12455">
        <v>78.95</v>
      </c>
    </row>
    <row r="12456" spans="1:5" x14ac:dyDescent="0.2">
      <c r="A12456">
        <v>20619</v>
      </c>
      <c r="B12456" t="s">
        <v>26</v>
      </c>
      <c r="C12456">
        <v>20619</v>
      </c>
      <c r="D12456" t="str">
        <f>"20619"</f>
        <v>20619</v>
      </c>
      <c r="E12456">
        <v>83</v>
      </c>
    </row>
    <row r="12457" spans="1:5" x14ac:dyDescent="0.2">
      <c r="A12457">
        <v>20620</v>
      </c>
      <c r="B12457" t="s">
        <v>26</v>
      </c>
      <c r="C12457">
        <v>20620</v>
      </c>
      <c r="D12457" t="str">
        <f>"20620"</f>
        <v>20620</v>
      </c>
      <c r="E12457">
        <v>78.569999999999993</v>
      </c>
    </row>
    <row r="12458" spans="1:5" x14ac:dyDescent="0.2">
      <c r="A12458">
        <v>20621</v>
      </c>
      <c r="B12458" t="s">
        <v>26</v>
      </c>
      <c r="C12458">
        <v>20621</v>
      </c>
      <c r="D12458" t="str">
        <f>"20621"</f>
        <v>20621</v>
      </c>
      <c r="E12458">
        <v>83.56</v>
      </c>
    </row>
    <row r="12459" spans="1:5" x14ac:dyDescent="0.2">
      <c r="A12459">
        <v>20622</v>
      </c>
      <c r="B12459" t="s">
        <v>26</v>
      </c>
      <c r="C12459">
        <v>20622</v>
      </c>
      <c r="D12459" t="str">
        <f>"20622"</f>
        <v>20622</v>
      </c>
      <c r="E12459">
        <v>77.92</v>
      </c>
    </row>
    <row r="12460" spans="1:5" x14ac:dyDescent="0.2">
      <c r="A12460">
        <v>20623</v>
      </c>
      <c r="B12460" t="s">
        <v>26</v>
      </c>
      <c r="C12460">
        <v>20623</v>
      </c>
      <c r="D12460" t="str">
        <f>"20623"</f>
        <v>20623</v>
      </c>
      <c r="E12460">
        <v>81.290000000000006</v>
      </c>
    </row>
    <row r="12461" spans="1:5" x14ac:dyDescent="0.2">
      <c r="A12461">
        <v>20624</v>
      </c>
      <c r="B12461" t="s">
        <v>26</v>
      </c>
      <c r="C12461">
        <v>20624</v>
      </c>
      <c r="D12461" t="str">
        <f>"20624"</f>
        <v>20624</v>
      </c>
      <c r="E12461">
        <v>81.540000000000006</v>
      </c>
    </row>
    <row r="12462" spans="1:5" x14ac:dyDescent="0.2">
      <c r="A12462">
        <v>20625</v>
      </c>
      <c r="B12462" t="s">
        <v>26</v>
      </c>
      <c r="C12462">
        <v>20625</v>
      </c>
      <c r="D12462" t="str">
        <f>"20625"</f>
        <v>20625</v>
      </c>
      <c r="E12462" t="s">
        <v>6</v>
      </c>
    </row>
    <row r="12463" spans="1:5" x14ac:dyDescent="0.2">
      <c r="A12463">
        <v>20626</v>
      </c>
      <c r="B12463" t="s">
        <v>26</v>
      </c>
      <c r="C12463">
        <v>20626</v>
      </c>
      <c r="D12463" t="str">
        <f>"20626"</f>
        <v>20626</v>
      </c>
      <c r="E12463">
        <v>75</v>
      </c>
    </row>
    <row r="12464" spans="1:5" x14ac:dyDescent="0.2">
      <c r="A12464">
        <v>20628</v>
      </c>
      <c r="B12464" t="s">
        <v>26</v>
      </c>
      <c r="C12464">
        <v>20628</v>
      </c>
      <c r="D12464" t="str">
        <f>"20628"</f>
        <v>20628</v>
      </c>
      <c r="E12464">
        <v>79.31</v>
      </c>
    </row>
    <row r="12465" spans="1:5" x14ac:dyDescent="0.2">
      <c r="A12465">
        <v>20629</v>
      </c>
      <c r="B12465" t="s">
        <v>26</v>
      </c>
      <c r="C12465">
        <v>20629</v>
      </c>
      <c r="D12465" t="str">
        <f>"20629"</f>
        <v>20629</v>
      </c>
      <c r="E12465" t="s">
        <v>6</v>
      </c>
    </row>
    <row r="12466" spans="1:5" x14ac:dyDescent="0.2">
      <c r="A12466">
        <v>20630</v>
      </c>
      <c r="B12466" t="s">
        <v>26</v>
      </c>
      <c r="C12466">
        <v>20630</v>
      </c>
      <c r="D12466" t="str">
        <f>"20630"</f>
        <v>20630</v>
      </c>
      <c r="E12466">
        <v>79.17</v>
      </c>
    </row>
    <row r="12467" spans="1:5" x14ac:dyDescent="0.2">
      <c r="A12467">
        <v>20632</v>
      </c>
      <c r="B12467" t="s">
        <v>26</v>
      </c>
      <c r="C12467">
        <v>20632</v>
      </c>
      <c r="D12467" t="str">
        <f>"20632"</f>
        <v>20632</v>
      </c>
      <c r="E12467">
        <v>76.92</v>
      </c>
    </row>
    <row r="12468" spans="1:5" x14ac:dyDescent="0.2">
      <c r="A12468">
        <v>20634</v>
      </c>
      <c r="B12468" t="s">
        <v>26</v>
      </c>
      <c r="C12468">
        <v>20634</v>
      </c>
      <c r="D12468" t="str">
        <f>"20634"</f>
        <v>20634</v>
      </c>
      <c r="E12468">
        <v>78.13</v>
      </c>
    </row>
    <row r="12469" spans="1:5" x14ac:dyDescent="0.2">
      <c r="A12469">
        <v>20636</v>
      </c>
      <c r="B12469" t="s">
        <v>26</v>
      </c>
      <c r="C12469">
        <v>20636</v>
      </c>
      <c r="D12469" t="str">
        <f>"20636"</f>
        <v>20636</v>
      </c>
      <c r="E12469">
        <v>81.87</v>
      </c>
    </row>
    <row r="12470" spans="1:5" x14ac:dyDescent="0.2">
      <c r="A12470">
        <v>20637</v>
      </c>
      <c r="B12470" t="s">
        <v>26</v>
      </c>
      <c r="C12470">
        <v>20637</v>
      </c>
      <c r="D12470" t="str">
        <f>"20637"</f>
        <v>20637</v>
      </c>
      <c r="E12470">
        <v>82.82</v>
      </c>
    </row>
    <row r="12471" spans="1:5" x14ac:dyDescent="0.2">
      <c r="A12471">
        <v>20639</v>
      </c>
      <c r="B12471" t="s">
        <v>26</v>
      </c>
      <c r="C12471">
        <v>20639</v>
      </c>
      <c r="D12471" t="str">
        <f>"20639"</f>
        <v>20639</v>
      </c>
      <c r="E12471">
        <v>82.37</v>
      </c>
    </row>
    <row r="12472" spans="1:5" x14ac:dyDescent="0.2">
      <c r="A12472">
        <v>20640</v>
      </c>
      <c r="B12472" t="s">
        <v>26</v>
      </c>
      <c r="C12472">
        <v>20640</v>
      </c>
      <c r="D12472" t="str">
        <f>"20640"</f>
        <v>20640</v>
      </c>
      <c r="E12472">
        <v>75.260000000000005</v>
      </c>
    </row>
    <row r="12473" spans="1:5" x14ac:dyDescent="0.2">
      <c r="A12473">
        <v>20645</v>
      </c>
      <c r="B12473" t="s">
        <v>26</v>
      </c>
      <c r="C12473">
        <v>20645</v>
      </c>
      <c r="D12473" t="str">
        <f>"20645"</f>
        <v>20645</v>
      </c>
      <c r="E12473">
        <v>85.37</v>
      </c>
    </row>
    <row r="12474" spans="1:5" x14ac:dyDescent="0.2">
      <c r="A12474">
        <v>20646</v>
      </c>
      <c r="B12474" t="s">
        <v>26</v>
      </c>
      <c r="C12474">
        <v>20646</v>
      </c>
      <c r="D12474" t="str">
        <f>"20646"</f>
        <v>20646</v>
      </c>
      <c r="E12474">
        <v>80.64</v>
      </c>
    </row>
    <row r="12475" spans="1:5" x14ac:dyDescent="0.2">
      <c r="A12475">
        <v>20650</v>
      </c>
      <c r="B12475" t="s">
        <v>26</v>
      </c>
      <c r="C12475">
        <v>20650</v>
      </c>
      <c r="D12475" t="str">
        <f>"20650"</f>
        <v>20650</v>
      </c>
      <c r="E12475">
        <v>81.8</v>
      </c>
    </row>
    <row r="12476" spans="1:5" x14ac:dyDescent="0.2">
      <c r="A12476">
        <v>20653</v>
      </c>
      <c r="B12476" t="s">
        <v>26</v>
      </c>
      <c r="C12476">
        <v>20653</v>
      </c>
      <c r="D12476" t="str">
        <f>"20653"</f>
        <v>20653</v>
      </c>
      <c r="E12476">
        <v>72.319999999999993</v>
      </c>
    </row>
    <row r="12477" spans="1:5" x14ac:dyDescent="0.2">
      <c r="A12477">
        <v>20656</v>
      </c>
      <c r="B12477" t="s">
        <v>26</v>
      </c>
      <c r="C12477">
        <v>20656</v>
      </c>
      <c r="D12477" t="str">
        <f>"20656"</f>
        <v>20656</v>
      </c>
      <c r="E12477" t="s">
        <v>6</v>
      </c>
    </row>
    <row r="12478" spans="1:5" x14ac:dyDescent="0.2">
      <c r="A12478">
        <v>20657</v>
      </c>
      <c r="B12478" t="s">
        <v>26</v>
      </c>
      <c r="C12478">
        <v>20657</v>
      </c>
      <c r="D12478" t="str">
        <f>"20657"</f>
        <v>20657</v>
      </c>
      <c r="E12478">
        <v>76.89</v>
      </c>
    </row>
    <row r="12479" spans="1:5" x14ac:dyDescent="0.2">
      <c r="A12479">
        <v>20658</v>
      </c>
      <c r="B12479" t="s">
        <v>26</v>
      </c>
      <c r="C12479">
        <v>20658</v>
      </c>
      <c r="D12479" t="str">
        <f>"20658"</f>
        <v>20658</v>
      </c>
      <c r="E12479">
        <v>80.39</v>
      </c>
    </row>
    <row r="12480" spans="1:5" x14ac:dyDescent="0.2">
      <c r="A12480">
        <v>20659</v>
      </c>
      <c r="B12480" t="s">
        <v>26</v>
      </c>
      <c r="C12480">
        <v>20659</v>
      </c>
      <c r="D12480" t="str">
        <f>"20659"</f>
        <v>20659</v>
      </c>
      <c r="E12480">
        <v>80.37</v>
      </c>
    </row>
    <row r="12481" spans="1:5" x14ac:dyDescent="0.2">
      <c r="A12481">
        <v>20660</v>
      </c>
      <c r="B12481" t="s">
        <v>26</v>
      </c>
      <c r="C12481">
        <v>20660</v>
      </c>
      <c r="D12481" t="str">
        <f>"20660"</f>
        <v>20660</v>
      </c>
      <c r="E12481" t="s">
        <v>6</v>
      </c>
    </row>
    <row r="12482" spans="1:5" x14ac:dyDescent="0.2">
      <c r="A12482">
        <v>20662</v>
      </c>
      <c r="B12482" t="s">
        <v>26</v>
      </c>
      <c r="C12482">
        <v>20662</v>
      </c>
      <c r="D12482" t="str">
        <f>"20662"</f>
        <v>20662</v>
      </c>
      <c r="E12482">
        <v>75</v>
      </c>
    </row>
    <row r="12483" spans="1:5" x14ac:dyDescent="0.2">
      <c r="A12483">
        <v>20664</v>
      </c>
      <c r="B12483" t="s">
        <v>26</v>
      </c>
      <c r="C12483">
        <v>20664</v>
      </c>
      <c r="D12483" t="str">
        <f>"20664"</f>
        <v>20664</v>
      </c>
      <c r="E12483">
        <v>75.739999999999995</v>
      </c>
    </row>
    <row r="12484" spans="1:5" x14ac:dyDescent="0.2">
      <c r="A12484">
        <v>20667</v>
      </c>
      <c r="B12484" t="s">
        <v>26</v>
      </c>
      <c r="C12484">
        <v>20667</v>
      </c>
      <c r="D12484" t="str">
        <f>"20667"</f>
        <v>20667</v>
      </c>
      <c r="E12484">
        <v>75</v>
      </c>
    </row>
    <row r="12485" spans="1:5" x14ac:dyDescent="0.2">
      <c r="A12485">
        <v>20670</v>
      </c>
      <c r="B12485" t="s">
        <v>26</v>
      </c>
      <c r="C12485">
        <v>20670</v>
      </c>
      <c r="D12485" t="str">
        <f>"20670"</f>
        <v>20670</v>
      </c>
      <c r="E12485">
        <v>71.150000000000006</v>
      </c>
    </row>
    <row r="12486" spans="1:5" x14ac:dyDescent="0.2">
      <c r="A12486">
        <v>20674</v>
      </c>
      <c r="B12486" t="s">
        <v>26</v>
      </c>
      <c r="C12486">
        <v>20674</v>
      </c>
      <c r="D12486" t="str">
        <f>"20674"</f>
        <v>20674</v>
      </c>
      <c r="E12486">
        <v>85.37</v>
      </c>
    </row>
    <row r="12487" spans="1:5" x14ac:dyDescent="0.2">
      <c r="A12487">
        <v>20675</v>
      </c>
      <c r="B12487" t="s">
        <v>26</v>
      </c>
      <c r="C12487">
        <v>20675</v>
      </c>
      <c r="D12487" t="str">
        <f>"20675"</f>
        <v>20675</v>
      </c>
      <c r="E12487">
        <v>81.819999999999993</v>
      </c>
    </row>
    <row r="12488" spans="1:5" x14ac:dyDescent="0.2">
      <c r="A12488">
        <v>20676</v>
      </c>
      <c r="B12488" t="s">
        <v>26</v>
      </c>
      <c r="C12488">
        <v>20676</v>
      </c>
      <c r="D12488" t="str">
        <f>"20676"</f>
        <v>20676</v>
      </c>
      <c r="E12488">
        <v>81.760000000000005</v>
      </c>
    </row>
    <row r="12489" spans="1:5" x14ac:dyDescent="0.2">
      <c r="A12489">
        <v>20677</v>
      </c>
      <c r="B12489" t="s">
        <v>26</v>
      </c>
      <c r="C12489">
        <v>20677</v>
      </c>
      <c r="D12489" t="str">
        <f>"20677"</f>
        <v>20677</v>
      </c>
      <c r="E12489">
        <v>82.95</v>
      </c>
    </row>
    <row r="12490" spans="1:5" x14ac:dyDescent="0.2">
      <c r="A12490">
        <v>20678</v>
      </c>
      <c r="B12490" t="s">
        <v>26</v>
      </c>
      <c r="C12490">
        <v>20678</v>
      </c>
      <c r="D12490" t="str">
        <f>"20678"</f>
        <v>20678</v>
      </c>
      <c r="E12490">
        <v>77.069999999999993</v>
      </c>
    </row>
    <row r="12491" spans="1:5" x14ac:dyDescent="0.2">
      <c r="A12491">
        <v>20680</v>
      </c>
      <c r="B12491" t="s">
        <v>26</v>
      </c>
      <c r="C12491">
        <v>20680</v>
      </c>
      <c r="D12491" t="str">
        <f>"20680"</f>
        <v>20680</v>
      </c>
      <c r="E12491">
        <v>82.5</v>
      </c>
    </row>
    <row r="12492" spans="1:5" x14ac:dyDescent="0.2">
      <c r="A12492">
        <v>20684</v>
      </c>
      <c r="B12492" t="s">
        <v>26</v>
      </c>
      <c r="C12492">
        <v>20684</v>
      </c>
      <c r="D12492" t="str">
        <f>"20684"</f>
        <v>20684</v>
      </c>
      <c r="E12492">
        <v>82.46</v>
      </c>
    </row>
    <row r="12493" spans="1:5" x14ac:dyDescent="0.2">
      <c r="A12493">
        <v>20685</v>
      </c>
      <c r="B12493" t="s">
        <v>26</v>
      </c>
      <c r="C12493">
        <v>20685</v>
      </c>
      <c r="D12493" t="str">
        <f>"20685"</f>
        <v>20685</v>
      </c>
      <c r="E12493">
        <v>81.87</v>
      </c>
    </row>
    <row r="12494" spans="1:5" x14ac:dyDescent="0.2">
      <c r="A12494">
        <v>20686</v>
      </c>
      <c r="B12494" t="s">
        <v>26</v>
      </c>
      <c r="C12494">
        <v>20686</v>
      </c>
      <c r="D12494" t="str">
        <f>"20686"</f>
        <v>20686</v>
      </c>
      <c r="E12494">
        <v>86.67</v>
      </c>
    </row>
    <row r="12495" spans="1:5" x14ac:dyDescent="0.2">
      <c r="A12495">
        <v>20687</v>
      </c>
      <c r="B12495" t="s">
        <v>26</v>
      </c>
      <c r="C12495">
        <v>20687</v>
      </c>
      <c r="D12495" t="str">
        <f>"20687"</f>
        <v>20687</v>
      </c>
      <c r="E12495">
        <v>80</v>
      </c>
    </row>
    <row r="12496" spans="1:5" x14ac:dyDescent="0.2">
      <c r="A12496">
        <v>20688</v>
      </c>
      <c r="B12496" t="s">
        <v>26</v>
      </c>
      <c r="C12496">
        <v>20688</v>
      </c>
      <c r="D12496" t="str">
        <f>"20688"</f>
        <v>20688</v>
      </c>
      <c r="E12496">
        <v>86.32</v>
      </c>
    </row>
    <row r="12497" spans="1:5" x14ac:dyDescent="0.2">
      <c r="A12497">
        <v>20689</v>
      </c>
      <c r="B12497" t="s">
        <v>26</v>
      </c>
      <c r="C12497">
        <v>20689</v>
      </c>
      <c r="D12497" t="str">
        <f>"20689"</f>
        <v>20689</v>
      </c>
      <c r="E12497">
        <v>82.42</v>
      </c>
    </row>
    <row r="12498" spans="1:5" x14ac:dyDescent="0.2">
      <c r="A12498">
        <v>20690</v>
      </c>
      <c r="B12498" t="s">
        <v>26</v>
      </c>
      <c r="C12498">
        <v>20690</v>
      </c>
      <c r="D12498" t="str">
        <f>"20690"</f>
        <v>20690</v>
      </c>
      <c r="E12498">
        <v>84.62</v>
      </c>
    </row>
    <row r="12499" spans="1:5" x14ac:dyDescent="0.2">
      <c r="A12499">
        <v>20692</v>
      </c>
      <c r="B12499" t="s">
        <v>26</v>
      </c>
      <c r="C12499">
        <v>20692</v>
      </c>
      <c r="D12499" t="str">
        <f>"20692"</f>
        <v>20692</v>
      </c>
      <c r="E12499">
        <v>86.79</v>
      </c>
    </row>
    <row r="12500" spans="1:5" x14ac:dyDescent="0.2">
      <c r="A12500">
        <v>20693</v>
      </c>
      <c r="B12500" t="s">
        <v>26</v>
      </c>
      <c r="C12500">
        <v>20693</v>
      </c>
      <c r="D12500" t="str">
        <f>"20693"</f>
        <v>20693</v>
      </c>
      <c r="E12500">
        <v>81.67</v>
      </c>
    </row>
    <row r="12501" spans="1:5" x14ac:dyDescent="0.2">
      <c r="A12501">
        <v>20695</v>
      </c>
      <c r="B12501" t="s">
        <v>26</v>
      </c>
      <c r="C12501">
        <v>20695</v>
      </c>
      <c r="D12501" t="str">
        <f>"20695"</f>
        <v>20695</v>
      </c>
      <c r="E12501">
        <v>79.900000000000006</v>
      </c>
    </row>
    <row r="12502" spans="1:5" x14ac:dyDescent="0.2">
      <c r="A12502">
        <v>20701</v>
      </c>
      <c r="B12502" t="s">
        <v>26</v>
      </c>
      <c r="C12502">
        <v>20701</v>
      </c>
      <c r="D12502" t="str">
        <f>"20701"</f>
        <v>20701</v>
      </c>
      <c r="E12502">
        <v>79.17</v>
      </c>
    </row>
    <row r="12503" spans="1:5" x14ac:dyDescent="0.2">
      <c r="A12503">
        <v>20705</v>
      </c>
      <c r="B12503" t="s">
        <v>26</v>
      </c>
      <c r="C12503">
        <v>20705</v>
      </c>
      <c r="D12503" t="str">
        <f>"20705"</f>
        <v>20705</v>
      </c>
      <c r="E12503">
        <v>68.33</v>
      </c>
    </row>
    <row r="12504" spans="1:5" x14ac:dyDescent="0.2">
      <c r="A12504">
        <v>20706</v>
      </c>
      <c r="B12504" t="s">
        <v>26</v>
      </c>
      <c r="C12504">
        <v>20706</v>
      </c>
      <c r="D12504" t="str">
        <f>"20706"</f>
        <v>20706</v>
      </c>
      <c r="E12504">
        <v>66.33</v>
      </c>
    </row>
    <row r="12505" spans="1:5" x14ac:dyDescent="0.2">
      <c r="A12505">
        <v>20707</v>
      </c>
      <c r="B12505" t="s">
        <v>26</v>
      </c>
      <c r="C12505">
        <v>20707</v>
      </c>
      <c r="D12505" t="str">
        <f>"20707"</f>
        <v>20707</v>
      </c>
      <c r="E12505">
        <v>75.38</v>
      </c>
    </row>
    <row r="12506" spans="1:5" x14ac:dyDescent="0.2">
      <c r="A12506">
        <v>20708</v>
      </c>
      <c r="B12506" t="s">
        <v>26</v>
      </c>
      <c r="C12506">
        <v>20708</v>
      </c>
      <c r="D12506" t="str">
        <f>"20708"</f>
        <v>20708</v>
      </c>
      <c r="E12506">
        <v>68.78</v>
      </c>
    </row>
    <row r="12507" spans="1:5" x14ac:dyDescent="0.2">
      <c r="A12507">
        <v>20710</v>
      </c>
      <c r="B12507" t="s">
        <v>26</v>
      </c>
      <c r="C12507">
        <v>20710</v>
      </c>
      <c r="D12507" t="str">
        <f>"20710"</f>
        <v>20710</v>
      </c>
      <c r="E12507">
        <v>56.29</v>
      </c>
    </row>
    <row r="12508" spans="1:5" x14ac:dyDescent="0.2">
      <c r="A12508">
        <v>20711</v>
      </c>
      <c r="B12508" t="s">
        <v>26</v>
      </c>
      <c r="C12508">
        <v>20711</v>
      </c>
      <c r="D12508" t="str">
        <f>"20711"</f>
        <v>20711</v>
      </c>
      <c r="E12508">
        <v>72.62</v>
      </c>
    </row>
    <row r="12509" spans="1:5" x14ac:dyDescent="0.2">
      <c r="A12509">
        <v>20712</v>
      </c>
      <c r="B12509" t="s">
        <v>26</v>
      </c>
      <c r="C12509">
        <v>20712</v>
      </c>
      <c r="D12509" t="str">
        <f>"20712"</f>
        <v>20712</v>
      </c>
      <c r="E12509">
        <v>67.23</v>
      </c>
    </row>
    <row r="12510" spans="1:5" x14ac:dyDescent="0.2">
      <c r="A12510">
        <v>20714</v>
      </c>
      <c r="B12510" t="s">
        <v>26</v>
      </c>
      <c r="C12510">
        <v>20714</v>
      </c>
      <c r="D12510" t="str">
        <f>"20714"</f>
        <v>20714</v>
      </c>
      <c r="E12510">
        <v>82.7</v>
      </c>
    </row>
    <row r="12511" spans="1:5" x14ac:dyDescent="0.2">
      <c r="A12511">
        <v>20715</v>
      </c>
      <c r="B12511" t="s">
        <v>26</v>
      </c>
      <c r="C12511">
        <v>20715</v>
      </c>
      <c r="D12511" t="str">
        <f>"20715"</f>
        <v>20715</v>
      </c>
      <c r="E12511">
        <v>80.650000000000006</v>
      </c>
    </row>
    <row r="12512" spans="1:5" x14ac:dyDescent="0.2">
      <c r="A12512">
        <v>20716</v>
      </c>
      <c r="B12512" t="s">
        <v>26</v>
      </c>
      <c r="C12512">
        <v>20716</v>
      </c>
      <c r="D12512" t="str">
        <f>"20716"</f>
        <v>20716</v>
      </c>
      <c r="E12512">
        <v>80.34</v>
      </c>
    </row>
    <row r="12513" spans="1:5" x14ac:dyDescent="0.2">
      <c r="A12513">
        <v>20718</v>
      </c>
      <c r="B12513" t="s">
        <v>26</v>
      </c>
      <c r="C12513">
        <v>20718</v>
      </c>
      <c r="D12513" t="str">
        <f>"20718"</f>
        <v>20718</v>
      </c>
      <c r="E12513" t="s">
        <v>6</v>
      </c>
    </row>
    <row r="12514" spans="1:5" x14ac:dyDescent="0.2">
      <c r="A12514">
        <v>20720</v>
      </c>
      <c r="B12514" t="s">
        <v>26</v>
      </c>
      <c r="C12514">
        <v>20720</v>
      </c>
      <c r="D12514" t="str">
        <f>"20720"</f>
        <v>20720</v>
      </c>
      <c r="E12514">
        <v>78.77</v>
      </c>
    </row>
    <row r="12515" spans="1:5" x14ac:dyDescent="0.2">
      <c r="A12515">
        <v>20721</v>
      </c>
      <c r="B12515" t="s">
        <v>26</v>
      </c>
      <c r="C12515">
        <v>20721</v>
      </c>
      <c r="D12515" t="str">
        <f>"20721"</f>
        <v>20721</v>
      </c>
      <c r="E12515">
        <v>80.31</v>
      </c>
    </row>
    <row r="12516" spans="1:5" x14ac:dyDescent="0.2">
      <c r="A12516">
        <v>20722</v>
      </c>
      <c r="B12516" t="s">
        <v>26</v>
      </c>
      <c r="C12516">
        <v>20722</v>
      </c>
      <c r="D12516" t="str">
        <f>"20722"</f>
        <v>20722</v>
      </c>
      <c r="E12516">
        <v>67.37</v>
      </c>
    </row>
    <row r="12517" spans="1:5" x14ac:dyDescent="0.2">
      <c r="A12517">
        <v>20723</v>
      </c>
      <c r="B12517" t="s">
        <v>26</v>
      </c>
      <c r="C12517">
        <v>20723</v>
      </c>
      <c r="D12517" t="str">
        <f>"20723"</f>
        <v>20723</v>
      </c>
      <c r="E12517">
        <v>78.010000000000005</v>
      </c>
    </row>
    <row r="12518" spans="1:5" x14ac:dyDescent="0.2">
      <c r="A12518">
        <v>20724</v>
      </c>
      <c r="B12518" t="s">
        <v>26</v>
      </c>
      <c r="C12518">
        <v>20724</v>
      </c>
      <c r="D12518" t="str">
        <f>"20724"</f>
        <v>20724</v>
      </c>
      <c r="E12518">
        <v>73.14</v>
      </c>
    </row>
    <row r="12519" spans="1:5" x14ac:dyDescent="0.2">
      <c r="A12519">
        <v>20732</v>
      </c>
      <c r="B12519" t="s">
        <v>26</v>
      </c>
      <c r="C12519">
        <v>20732</v>
      </c>
      <c r="D12519" t="str">
        <f>"20732"</f>
        <v>20732</v>
      </c>
      <c r="E12519">
        <v>82.34</v>
      </c>
    </row>
    <row r="12520" spans="1:5" x14ac:dyDescent="0.2">
      <c r="A12520">
        <v>20733</v>
      </c>
      <c r="B12520" t="s">
        <v>26</v>
      </c>
      <c r="C12520">
        <v>20733</v>
      </c>
      <c r="D12520" t="str">
        <f>"20733"</f>
        <v>20733</v>
      </c>
      <c r="E12520">
        <v>82.35</v>
      </c>
    </row>
    <row r="12521" spans="1:5" x14ac:dyDescent="0.2">
      <c r="A12521">
        <v>20735</v>
      </c>
      <c r="B12521" t="s">
        <v>26</v>
      </c>
      <c r="C12521">
        <v>20735</v>
      </c>
      <c r="D12521" t="str">
        <f>"20735"</f>
        <v>20735</v>
      </c>
      <c r="E12521">
        <v>78.260000000000005</v>
      </c>
    </row>
    <row r="12522" spans="1:5" x14ac:dyDescent="0.2">
      <c r="A12522">
        <v>20736</v>
      </c>
      <c r="B12522" t="s">
        <v>26</v>
      </c>
      <c r="C12522">
        <v>20736</v>
      </c>
      <c r="D12522" t="str">
        <f>"20736"</f>
        <v>20736</v>
      </c>
      <c r="E12522">
        <v>82.48</v>
      </c>
    </row>
    <row r="12523" spans="1:5" x14ac:dyDescent="0.2">
      <c r="A12523">
        <v>20737</v>
      </c>
      <c r="B12523" t="s">
        <v>26</v>
      </c>
      <c r="C12523">
        <v>20737</v>
      </c>
      <c r="D12523" t="str">
        <f>"20737"</f>
        <v>20737</v>
      </c>
      <c r="E12523">
        <v>55.84</v>
      </c>
    </row>
    <row r="12524" spans="1:5" x14ac:dyDescent="0.2">
      <c r="A12524">
        <v>20740</v>
      </c>
      <c r="B12524" t="s">
        <v>26</v>
      </c>
      <c r="C12524">
        <v>20740</v>
      </c>
      <c r="D12524" t="str">
        <f>"20740"</f>
        <v>20740</v>
      </c>
      <c r="E12524">
        <v>71.94</v>
      </c>
    </row>
    <row r="12525" spans="1:5" x14ac:dyDescent="0.2">
      <c r="A12525">
        <v>20743</v>
      </c>
      <c r="B12525" t="s">
        <v>26</v>
      </c>
      <c r="C12525">
        <v>20743</v>
      </c>
      <c r="D12525" t="str">
        <f>"20743"</f>
        <v>20743</v>
      </c>
      <c r="E12525">
        <v>67.92</v>
      </c>
    </row>
    <row r="12526" spans="1:5" x14ac:dyDescent="0.2">
      <c r="A12526">
        <v>20744</v>
      </c>
      <c r="B12526" t="s">
        <v>26</v>
      </c>
      <c r="C12526">
        <v>20744</v>
      </c>
      <c r="D12526" t="str">
        <f>"20744"</f>
        <v>20744</v>
      </c>
      <c r="E12526">
        <v>76.27</v>
      </c>
    </row>
    <row r="12527" spans="1:5" x14ac:dyDescent="0.2">
      <c r="A12527">
        <v>20745</v>
      </c>
      <c r="B12527" t="s">
        <v>26</v>
      </c>
      <c r="C12527">
        <v>20745</v>
      </c>
      <c r="D12527" t="str">
        <f>"20745"</f>
        <v>20745</v>
      </c>
      <c r="E12527">
        <v>65.239999999999995</v>
      </c>
    </row>
    <row r="12528" spans="1:5" x14ac:dyDescent="0.2">
      <c r="A12528">
        <v>20746</v>
      </c>
      <c r="B12528" t="s">
        <v>26</v>
      </c>
      <c r="C12528">
        <v>20746</v>
      </c>
      <c r="D12528" t="str">
        <f>"20746"</f>
        <v>20746</v>
      </c>
      <c r="E12528">
        <v>69.72</v>
      </c>
    </row>
    <row r="12529" spans="1:5" x14ac:dyDescent="0.2">
      <c r="A12529">
        <v>20747</v>
      </c>
      <c r="B12529" t="s">
        <v>26</v>
      </c>
      <c r="C12529">
        <v>20747</v>
      </c>
      <c r="D12529" t="str">
        <f>"20747"</f>
        <v>20747</v>
      </c>
      <c r="E12529">
        <v>70.180000000000007</v>
      </c>
    </row>
    <row r="12530" spans="1:5" x14ac:dyDescent="0.2">
      <c r="A12530">
        <v>20748</v>
      </c>
      <c r="B12530" t="s">
        <v>26</v>
      </c>
      <c r="C12530">
        <v>20748</v>
      </c>
      <c r="D12530" t="str">
        <f>"20748"</f>
        <v>20748</v>
      </c>
      <c r="E12530">
        <v>72.37</v>
      </c>
    </row>
    <row r="12531" spans="1:5" x14ac:dyDescent="0.2">
      <c r="A12531">
        <v>20751</v>
      </c>
      <c r="B12531" t="s">
        <v>26</v>
      </c>
      <c r="C12531">
        <v>20751</v>
      </c>
      <c r="D12531" t="str">
        <f>"20751"</f>
        <v>20751</v>
      </c>
      <c r="E12531">
        <v>83.47</v>
      </c>
    </row>
    <row r="12532" spans="1:5" x14ac:dyDescent="0.2">
      <c r="A12532">
        <v>20754</v>
      </c>
      <c r="B12532" t="s">
        <v>26</v>
      </c>
      <c r="C12532">
        <v>20754</v>
      </c>
      <c r="D12532" t="str">
        <f>"20754"</f>
        <v>20754</v>
      </c>
      <c r="E12532">
        <v>83.82</v>
      </c>
    </row>
    <row r="12533" spans="1:5" x14ac:dyDescent="0.2">
      <c r="A12533">
        <v>20755</v>
      </c>
      <c r="B12533" t="s">
        <v>26</v>
      </c>
      <c r="C12533">
        <v>20755</v>
      </c>
      <c r="D12533" t="str">
        <f>"20755"</f>
        <v>20755</v>
      </c>
      <c r="E12533">
        <v>73.319999999999993</v>
      </c>
    </row>
    <row r="12534" spans="1:5" x14ac:dyDescent="0.2">
      <c r="A12534">
        <v>20758</v>
      </c>
      <c r="B12534" t="s">
        <v>26</v>
      </c>
      <c r="C12534">
        <v>20758</v>
      </c>
      <c r="D12534" t="str">
        <f>"20758"</f>
        <v>20758</v>
      </c>
      <c r="E12534">
        <v>87.18</v>
      </c>
    </row>
    <row r="12535" spans="1:5" x14ac:dyDescent="0.2">
      <c r="A12535">
        <v>20759</v>
      </c>
      <c r="B12535" t="s">
        <v>26</v>
      </c>
      <c r="C12535">
        <v>20759</v>
      </c>
      <c r="D12535" t="str">
        <f>"20759"</f>
        <v>20759</v>
      </c>
      <c r="E12535">
        <v>86.41</v>
      </c>
    </row>
    <row r="12536" spans="1:5" x14ac:dyDescent="0.2">
      <c r="A12536">
        <v>20762</v>
      </c>
      <c r="B12536" t="s">
        <v>26</v>
      </c>
      <c r="C12536">
        <v>20762</v>
      </c>
      <c r="D12536" t="str">
        <f>"20762"</f>
        <v>20762</v>
      </c>
      <c r="E12536">
        <v>76.98</v>
      </c>
    </row>
    <row r="12537" spans="1:5" x14ac:dyDescent="0.2">
      <c r="A12537">
        <v>20763</v>
      </c>
      <c r="B12537" t="s">
        <v>26</v>
      </c>
      <c r="C12537">
        <v>20763</v>
      </c>
      <c r="D12537" t="str">
        <f>"20763"</f>
        <v>20763</v>
      </c>
      <c r="E12537">
        <v>72</v>
      </c>
    </row>
    <row r="12538" spans="1:5" x14ac:dyDescent="0.2">
      <c r="A12538">
        <v>20764</v>
      </c>
      <c r="B12538" t="s">
        <v>26</v>
      </c>
      <c r="C12538">
        <v>20764</v>
      </c>
      <c r="D12538" t="str">
        <f>"20764"</f>
        <v>20764</v>
      </c>
      <c r="E12538">
        <v>80.84</v>
      </c>
    </row>
    <row r="12539" spans="1:5" x14ac:dyDescent="0.2">
      <c r="A12539">
        <v>20765</v>
      </c>
      <c r="B12539" t="s">
        <v>26</v>
      </c>
      <c r="C12539">
        <v>20765</v>
      </c>
      <c r="D12539" t="str">
        <f>"20765"</f>
        <v>20765</v>
      </c>
      <c r="E12539" t="s">
        <v>6</v>
      </c>
    </row>
    <row r="12540" spans="1:5" x14ac:dyDescent="0.2">
      <c r="A12540">
        <v>20769</v>
      </c>
      <c r="B12540" t="s">
        <v>26</v>
      </c>
      <c r="C12540">
        <v>20769</v>
      </c>
      <c r="D12540" t="str">
        <f>"20769"</f>
        <v>20769</v>
      </c>
      <c r="E12540">
        <v>77.05</v>
      </c>
    </row>
    <row r="12541" spans="1:5" x14ac:dyDescent="0.2">
      <c r="A12541">
        <v>20770</v>
      </c>
      <c r="B12541" t="s">
        <v>26</v>
      </c>
      <c r="C12541">
        <v>20770</v>
      </c>
      <c r="D12541" t="str">
        <f>"20770"</f>
        <v>20770</v>
      </c>
      <c r="E12541">
        <v>71.239999999999995</v>
      </c>
    </row>
    <row r="12542" spans="1:5" x14ac:dyDescent="0.2">
      <c r="A12542">
        <v>20771</v>
      </c>
      <c r="B12542" t="s">
        <v>26</v>
      </c>
      <c r="C12542">
        <v>20771</v>
      </c>
      <c r="D12542" t="str">
        <f>"20771"</f>
        <v>20771</v>
      </c>
      <c r="E12542" t="s">
        <v>6</v>
      </c>
    </row>
    <row r="12543" spans="1:5" x14ac:dyDescent="0.2">
      <c r="A12543">
        <v>20772</v>
      </c>
      <c r="B12543" t="s">
        <v>26</v>
      </c>
      <c r="C12543">
        <v>20772</v>
      </c>
      <c r="D12543" t="str">
        <f>"20772"</f>
        <v>20772</v>
      </c>
      <c r="E12543">
        <v>81.489999999999995</v>
      </c>
    </row>
    <row r="12544" spans="1:5" x14ac:dyDescent="0.2">
      <c r="A12544">
        <v>20774</v>
      </c>
      <c r="B12544" t="s">
        <v>26</v>
      </c>
      <c r="C12544">
        <v>20774</v>
      </c>
      <c r="D12544" t="str">
        <f>"20774"</f>
        <v>20774</v>
      </c>
      <c r="E12544">
        <v>79.61</v>
      </c>
    </row>
    <row r="12545" spans="1:5" x14ac:dyDescent="0.2">
      <c r="A12545">
        <v>20776</v>
      </c>
      <c r="B12545" t="s">
        <v>26</v>
      </c>
      <c r="C12545">
        <v>20776</v>
      </c>
      <c r="D12545" t="str">
        <f>"20776"</f>
        <v>20776</v>
      </c>
      <c r="E12545">
        <v>80.12</v>
      </c>
    </row>
    <row r="12546" spans="1:5" x14ac:dyDescent="0.2">
      <c r="A12546">
        <v>20777</v>
      </c>
      <c r="B12546" t="s">
        <v>26</v>
      </c>
      <c r="C12546">
        <v>20777</v>
      </c>
      <c r="D12546" t="str">
        <f>"20777"</f>
        <v>20777</v>
      </c>
      <c r="E12546">
        <v>82.74</v>
      </c>
    </row>
    <row r="12547" spans="1:5" x14ac:dyDescent="0.2">
      <c r="A12547">
        <v>20778</v>
      </c>
      <c r="B12547" t="s">
        <v>26</v>
      </c>
      <c r="C12547">
        <v>20778</v>
      </c>
      <c r="D12547" t="str">
        <f>"20778"</f>
        <v>20778</v>
      </c>
      <c r="E12547">
        <v>84.78</v>
      </c>
    </row>
    <row r="12548" spans="1:5" x14ac:dyDescent="0.2">
      <c r="A12548">
        <v>20779</v>
      </c>
      <c r="B12548" t="s">
        <v>26</v>
      </c>
      <c r="C12548">
        <v>20779</v>
      </c>
      <c r="D12548" t="str">
        <f>"20779"</f>
        <v>20779</v>
      </c>
      <c r="E12548">
        <v>83.08</v>
      </c>
    </row>
    <row r="12549" spans="1:5" x14ac:dyDescent="0.2">
      <c r="A12549">
        <v>20781</v>
      </c>
      <c r="B12549" t="s">
        <v>26</v>
      </c>
      <c r="C12549">
        <v>20781</v>
      </c>
      <c r="D12549" t="str">
        <f>"20781"</f>
        <v>20781</v>
      </c>
      <c r="E12549">
        <v>65.400000000000006</v>
      </c>
    </row>
    <row r="12550" spans="1:5" x14ac:dyDescent="0.2">
      <c r="A12550">
        <v>20782</v>
      </c>
      <c r="B12550" t="s">
        <v>26</v>
      </c>
      <c r="C12550">
        <v>20782</v>
      </c>
      <c r="D12550" t="str">
        <f>"20782"</f>
        <v>20782</v>
      </c>
      <c r="E12550">
        <v>66.13</v>
      </c>
    </row>
    <row r="12551" spans="1:5" x14ac:dyDescent="0.2">
      <c r="A12551">
        <v>20783</v>
      </c>
      <c r="B12551" t="s">
        <v>26</v>
      </c>
      <c r="C12551">
        <v>20783</v>
      </c>
      <c r="D12551" t="str">
        <f>"20783"</f>
        <v>20783</v>
      </c>
      <c r="E12551">
        <v>52.65</v>
      </c>
    </row>
    <row r="12552" spans="1:5" x14ac:dyDescent="0.2">
      <c r="A12552">
        <v>20784</v>
      </c>
      <c r="B12552" t="s">
        <v>26</v>
      </c>
      <c r="C12552">
        <v>20784</v>
      </c>
      <c r="D12552" t="str">
        <f>"20784"</f>
        <v>20784</v>
      </c>
      <c r="E12552">
        <v>62.98</v>
      </c>
    </row>
    <row r="12553" spans="1:5" x14ac:dyDescent="0.2">
      <c r="A12553">
        <v>20785</v>
      </c>
      <c r="B12553" t="s">
        <v>26</v>
      </c>
      <c r="C12553">
        <v>20785</v>
      </c>
      <c r="D12553" t="str">
        <f>"20785"</f>
        <v>20785</v>
      </c>
      <c r="E12553">
        <v>67.430000000000007</v>
      </c>
    </row>
    <row r="12554" spans="1:5" x14ac:dyDescent="0.2">
      <c r="A12554">
        <v>20794</v>
      </c>
      <c r="B12554" t="s">
        <v>26</v>
      </c>
      <c r="C12554">
        <v>20794</v>
      </c>
      <c r="D12554" t="str">
        <f>"20794"</f>
        <v>20794</v>
      </c>
      <c r="E12554">
        <v>74.91</v>
      </c>
    </row>
    <row r="12555" spans="1:5" x14ac:dyDescent="0.2">
      <c r="A12555">
        <v>20812</v>
      </c>
      <c r="B12555" t="s">
        <v>26</v>
      </c>
      <c r="C12555">
        <v>20812</v>
      </c>
      <c r="D12555" t="str">
        <f>"20812"</f>
        <v>20812</v>
      </c>
      <c r="E12555">
        <v>73.33</v>
      </c>
    </row>
    <row r="12556" spans="1:5" x14ac:dyDescent="0.2">
      <c r="A12556">
        <v>20814</v>
      </c>
      <c r="B12556" t="s">
        <v>26</v>
      </c>
      <c r="C12556">
        <v>20814</v>
      </c>
      <c r="D12556" t="str">
        <f>"20814"</f>
        <v>20814</v>
      </c>
      <c r="E12556">
        <v>86.09</v>
      </c>
    </row>
    <row r="12557" spans="1:5" x14ac:dyDescent="0.2">
      <c r="A12557">
        <v>20815</v>
      </c>
      <c r="B12557" t="s">
        <v>26</v>
      </c>
      <c r="C12557">
        <v>20815</v>
      </c>
      <c r="D12557" t="str">
        <f>"20815"</f>
        <v>20815</v>
      </c>
      <c r="E12557">
        <v>85.89</v>
      </c>
    </row>
    <row r="12558" spans="1:5" x14ac:dyDescent="0.2">
      <c r="A12558">
        <v>20816</v>
      </c>
      <c r="B12558" t="s">
        <v>26</v>
      </c>
      <c r="C12558">
        <v>20816</v>
      </c>
      <c r="D12558" t="str">
        <f>"20816"</f>
        <v>20816</v>
      </c>
      <c r="E12558">
        <v>84.55</v>
      </c>
    </row>
    <row r="12559" spans="1:5" x14ac:dyDescent="0.2">
      <c r="A12559">
        <v>20817</v>
      </c>
      <c r="B12559" t="s">
        <v>26</v>
      </c>
      <c r="C12559">
        <v>20817</v>
      </c>
      <c r="D12559" t="str">
        <f>"20817"</f>
        <v>20817</v>
      </c>
      <c r="E12559">
        <v>83.71</v>
      </c>
    </row>
    <row r="12560" spans="1:5" x14ac:dyDescent="0.2">
      <c r="A12560">
        <v>20818</v>
      </c>
      <c r="B12560" t="s">
        <v>26</v>
      </c>
      <c r="C12560">
        <v>20818</v>
      </c>
      <c r="D12560" t="str">
        <f>"20818"</f>
        <v>20818</v>
      </c>
      <c r="E12560">
        <v>83.72</v>
      </c>
    </row>
    <row r="12561" spans="1:5" x14ac:dyDescent="0.2">
      <c r="A12561">
        <v>20832</v>
      </c>
      <c r="B12561" t="s">
        <v>26</v>
      </c>
      <c r="C12561">
        <v>20832</v>
      </c>
      <c r="D12561" t="str">
        <f>"20832"</f>
        <v>20832</v>
      </c>
      <c r="E12561">
        <v>81.13</v>
      </c>
    </row>
    <row r="12562" spans="1:5" x14ac:dyDescent="0.2">
      <c r="A12562">
        <v>20833</v>
      </c>
      <c r="B12562" t="s">
        <v>26</v>
      </c>
      <c r="C12562">
        <v>20833</v>
      </c>
      <c r="D12562" t="str">
        <f>"20833"</f>
        <v>20833</v>
      </c>
      <c r="E12562">
        <v>83.02</v>
      </c>
    </row>
    <row r="12563" spans="1:5" x14ac:dyDescent="0.2">
      <c r="A12563">
        <v>20837</v>
      </c>
      <c r="B12563" t="s">
        <v>26</v>
      </c>
      <c r="C12563">
        <v>20837</v>
      </c>
      <c r="D12563" t="str">
        <f>"20837"</f>
        <v>20837</v>
      </c>
      <c r="E12563">
        <v>81.349999999999994</v>
      </c>
    </row>
    <row r="12564" spans="1:5" x14ac:dyDescent="0.2">
      <c r="A12564">
        <v>20838</v>
      </c>
      <c r="B12564" t="s">
        <v>26</v>
      </c>
      <c r="C12564">
        <v>20838</v>
      </c>
      <c r="D12564" t="str">
        <f>"20838"</f>
        <v>20838</v>
      </c>
      <c r="E12564">
        <v>81.25</v>
      </c>
    </row>
    <row r="12565" spans="1:5" x14ac:dyDescent="0.2">
      <c r="A12565">
        <v>20839</v>
      </c>
      <c r="B12565" t="s">
        <v>26</v>
      </c>
      <c r="C12565">
        <v>20839</v>
      </c>
      <c r="D12565" t="str">
        <f>"20839"</f>
        <v>20839</v>
      </c>
      <c r="E12565">
        <v>76.92</v>
      </c>
    </row>
    <row r="12566" spans="1:5" x14ac:dyDescent="0.2">
      <c r="A12566">
        <v>20841</v>
      </c>
      <c r="B12566" t="s">
        <v>26</v>
      </c>
      <c r="C12566">
        <v>20841</v>
      </c>
      <c r="D12566" t="str">
        <f>"20841"</f>
        <v>20841</v>
      </c>
      <c r="E12566">
        <v>80.72</v>
      </c>
    </row>
    <row r="12567" spans="1:5" x14ac:dyDescent="0.2">
      <c r="A12567">
        <v>20842</v>
      </c>
      <c r="B12567" t="s">
        <v>26</v>
      </c>
      <c r="C12567">
        <v>20842</v>
      </c>
      <c r="D12567" t="str">
        <f>"20842"</f>
        <v>20842</v>
      </c>
      <c r="E12567">
        <v>81.72</v>
      </c>
    </row>
    <row r="12568" spans="1:5" x14ac:dyDescent="0.2">
      <c r="A12568">
        <v>20850</v>
      </c>
      <c r="B12568" t="s">
        <v>26</v>
      </c>
      <c r="C12568">
        <v>20850</v>
      </c>
      <c r="D12568" t="str">
        <f>"20850"</f>
        <v>20850</v>
      </c>
      <c r="E12568">
        <v>80.62</v>
      </c>
    </row>
    <row r="12569" spans="1:5" x14ac:dyDescent="0.2">
      <c r="A12569">
        <v>20851</v>
      </c>
      <c r="B12569" t="s">
        <v>26</v>
      </c>
      <c r="C12569">
        <v>20851</v>
      </c>
      <c r="D12569" t="str">
        <f>"20851"</f>
        <v>20851</v>
      </c>
      <c r="E12569">
        <v>70.81</v>
      </c>
    </row>
    <row r="12570" spans="1:5" x14ac:dyDescent="0.2">
      <c r="A12570">
        <v>20852</v>
      </c>
      <c r="B12570" t="s">
        <v>26</v>
      </c>
      <c r="C12570">
        <v>20852</v>
      </c>
      <c r="D12570" t="str">
        <f>"20852"</f>
        <v>20852</v>
      </c>
      <c r="E12570">
        <v>82.13</v>
      </c>
    </row>
    <row r="12571" spans="1:5" x14ac:dyDescent="0.2">
      <c r="A12571">
        <v>20853</v>
      </c>
      <c r="B12571" t="s">
        <v>26</v>
      </c>
      <c r="C12571">
        <v>20853</v>
      </c>
      <c r="D12571" t="str">
        <f>"20853"</f>
        <v>20853</v>
      </c>
      <c r="E12571">
        <v>73.27</v>
      </c>
    </row>
    <row r="12572" spans="1:5" x14ac:dyDescent="0.2">
      <c r="A12572">
        <v>20854</v>
      </c>
      <c r="B12572" t="s">
        <v>26</v>
      </c>
      <c r="C12572">
        <v>20854</v>
      </c>
      <c r="D12572" t="str">
        <f>"20854"</f>
        <v>20854</v>
      </c>
      <c r="E12572">
        <v>82.98</v>
      </c>
    </row>
    <row r="12573" spans="1:5" x14ac:dyDescent="0.2">
      <c r="A12573">
        <v>20855</v>
      </c>
      <c r="B12573" t="s">
        <v>26</v>
      </c>
      <c r="C12573">
        <v>20855</v>
      </c>
      <c r="D12573" t="str">
        <f>"20855"</f>
        <v>20855</v>
      </c>
      <c r="E12573">
        <v>80.849999999999994</v>
      </c>
    </row>
    <row r="12574" spans="1:5" x14ac:dyDescent="0.2">
      <c r="A12574">
        <v>20860</v>
      </c>
      <c r="B12574" t="s">
        <v>26</v>
      </c>
      <c r="C12574">
        <v>20860</v>
      </c>
      <c r="D12574" t="str">
        <f>"20860"</f>
        <v>20860</v>
      </c>
      <c r="E12574">
        <v>77.08</v>
      </c>
    </row>
    <row r="12575" spans="1:5" x14ac:dyDescent="0.2">
      <c r="A12575">
        <v>20861</v>
      </c>
      <c r="B12575" t="s">
        <v>26</v>
      </c>
      <c r="C12575">
        <v>20861</v>
      </c>
      <c r="D12575" t="str">
        <f>"20861"</f>
        <v>20861</v>
      </c>
      <c r="E12575">
        <v>82</v>
      </c>
    </row>
    <row r="12576" spans="1:5" x14ac:dyDescent="0.2">
      <c r="A12576">
        <v>20862</v>
      </c>
      <c r="B12576" t="s">
        <v>26</v>
      </c>
      <c r="C12576">
        <v>20862</v>
      </c>
      <c r="D12576" t="str">
        <f>"20862"</f>
        <v>20862</v>
      </c>
      <c r="E12576">
        <v>72.73</v>
      </c>
    </row>
    <row r="12577" spans="1:5" x14ac:dyDescent="0.2">
      <c r="A12577">
        <v>20866</v>
      </c>
      <c r="B12577" t="s">
        <v>26</v>
      </c>
      <c r="C12577">
        <v>20866</v>
      </c>
      <c r="D12577" t="str">
        <f>"20866"</f>
        <v>20866</v>
      </c>
      <c r="E12577">
        <v>73.099999999999994</v>
      </c>
    </row>
    <row r="12578" spans="1:5" x14ac:dyDescent="0.2">
      <c r="A12578">
        <v>20868</v>
      </c>
      <c r="B12578" t="s">
        <v>26</v>
      </c>
      <c r="C12578">
        <v>20868</v>
      </c>
      <c r="D12578" t="str">
        <f>"20868"</f>
        <v>20868</v>
      </c>
      <c r="E12578">
        <v>69.05</v>
      </c>
    </row>
    <row r="12579" spans="1:5" x14ac:dyDescent="0.2">
      <c r="A12579">
        <v>20871</v>
      </c>
      <c r="B12579" t="s">
        <v>26</v>
      </c>
      <c r="C12579">
        <v>20871</v>
      </c>
      <c r="D12579" t="str">
        <f>"20871"</f>
        <v>20871</v>
      </c>
      <c r="E12579">
        <v>80.75</v>
      </c>
    </row>
    <row r="12580" spans="1:5" x14ac:dyDescent="0.2">
      <c r="A12580">
        <v>20872</v>
      </c>
      <c r="B12580" t="s">
        <v>26</v>
      </c>
      <c r="C12580">
        <v>20872</v>
      </c>
      <c r="D12580" t="str">
        <f>"20872"</f>
        <v>20872</v>
      </c>
      <c r="E12580">
        <v>77.56</v>
      </c>
    </row>
    <row r="12581" spans="1:5" x14ac:dyDescent="0.2">
      <c r="A12581">
        <v>20874</v>
      </c>
      <c r="B12581" t="s">
        <v>26</v>
      </c>
      <c r="C12581">
        <v>20874</v>
      </c>
      <c r="D12581" t="str">
        <f>"20874"</f>
        <v>20874</v>
      </c>
      <c r="E12581">
        <v>73.83</v>
      </c>
    </row>
    <row r="12582" spans="1:5" x14ac:dyDescent="0.2">
      <c r="A12582">
        <v>20876</v>
      </c>
      <c r="B12582" t="s">
        <v>26</v>
      </c>
      <c r="C12582">
        <v>20876</v>
      </c>
      <c r="D12582" t="str">
        <f>"20876"</f>
        <v>20876</v>
      </c>
      <c r="E12582">
        <v>70.849999999999994</v>
      </c>
    </row>
    <row r="12583" spans="1:5" x14ac:dyDescent="0.2">
      <c r="A12583">
        <v>20877</v>
      </c>
      <c r="B12583" t="s">
        <v>26</v>
      </c>
      <c r="C12583">
        <v>20877</v>
      </c>
      <c r="D12583" t="str">
        <f>"20877"</f>
        <v>20877</v>
      </c>
      <c r="E12583">
        <v>63.35</v>
      </c>
    </row>
    <row r="12584" spans="1:5" x14ac:dyDescent="0.2">
      <c r="A12584">
        <v>20878</v>
      </c>
      <c r="B12584" t="s">
        <v>26</v>
      </c>
      <c r="C12584">
        <v>20878</v>
      </c>
      <c r="D12584" t="str">
        <f>"20878"</f>
        <v>20878</v>
      </c>
      <c r="E12584">
        <v>78.900000000000006</v>
      </c>
    </row>
    <row r="12585" spans="1:5" x14ac:dyDescent="0.2">
      <c r="A12585">
        <v>20879</v>
      </c>
      <c r="B12585" t="s">
        <v>26</v>
      </c>
      <c r="C12585">
        <v>20879</v>
      </c>
      <c r="D12585" t="str">
        <f>"20879"</f>
        <v>20879</v>
      </c>
      <c r="E12585">
        <v>70.150000000000006</v>
      </c>
    </row>
    <row r="12586" spans="1:5" x14ac:dyDescent="0.2">
      <c r="A12586">
        <v>20880</v>
      </c>
      <c r="B12586" t="s">
        <v>26</v>
      </c>
      <c r="C12586">
        <v>20880</v>
      </c>
      <c r="D12586" t="str">
        <f>"20880"</f>
        <v>20880</v>
      </c>
      <c r="E12586" t="s">
        <v>6</v>
      </c>
    </row>
    <row r="12587" spans="1:5" x14ac:dyDescent="0.2">
      <c r="A12587">
        <v>20882</v>
      </c>
      <c r="B12587" t="s">
        <v>26</v>
      </c>
      <c r="C12587">
        <v>20882</v>
      </c>
      <c r="D12587" t="str">
        <f>"20882"</f>
        <v>20882</v>
      </c>
      <c r="E12587">
        <v>80.900000000000006</v>
      </c>
    </row>
    <row r="12588" spans="1:5" x14ac:dyDescent="0.2">
      <c r="A12588">
        <v>20886</v>
      </c>
      <c r="B12588" t="s">
        <v>26</v>
      </c>
      <c r="C12588">
        <v>20886</v>
      </c>
      <c r="D12588" t="str">
        <f>"20886"</f>
        <v>20886</v>
      </c>
      <c r="E12588">
        <v>66.63</v>
      </c>
    </row>
    <row r="12589" spans="1:5" x14ac:dyDescent="0.2">
      <c r="A12589">
        <v>20889</v>
      </c>
      <c r="B12589" t="s">
        <v>26</v>
      </c>
      <c r="C12589">
        <v>20889</v>
      </c>
      <c r="D12589" t="str">
        <f>"20889"</f>
        <v>20889</v>
      </c>
      <c r="E12589" t="s">
        <v>6</v>
      </c>
    </row>
    <row r="12590" spans="1:5" x14ac:dyDescent="0.2">
      <c r="A12590">
        <v>20892</v>
      </c>
      <c r="B12590" t="s">
        <v>26</v>
      </c>
      <c r="C12590">
        <v>20892</v>
      </c>
      <c r="D12590" t="str">
        <f>"20892"</f>
        <v>20892</v>
      </c>
      <c r="E12590" t="s">
        <v>6</v>
      </c>
    </row>
    <row r="12591" spans="1:5" x14ac:dyDescent="0.2">
      <c r="A12591">
        <v>20895</v>
      </c>
      <c r="B12591" t="s">
        <v>26</v>
      </c>
      <c r="C12591">
        <v>20895</v>
      </c>
      <c r="D12591" t="str">
        <f>"20895"</f>
        <v>20895</v>
      </c>
      <c r="E12591">
        <v>81.86</v>
      </c>
    </row>
    <row r="12592" spans="1:5" x14ac:dyDescent="0.2">
      <c r="A12592">
        <v>20896</v>
      </c>
      <c r="B12592" t="s">
        <v>26</v>
      </c>
      <c r="C12592">
        <v>20896</v>
      </c>
      <c r="D12592" t="str">
        <f>"20896"</f>
        <v>20896</v>
      </c>
      <c r="E12592" t="s">
        <v>6</v>
      </c>
    </row>
    <row r="12593" spans="1:5" x14ac:dyDescent="0.2">
      <c r="A12593">
        <v>20899</v>
      </c>
      <c r="B12593" t="s">
        <v>26</v>
      </c>
      <c r="C12593">
        <v>20899</v>
      </c>
      <c r="D12593" t="str">
        <f>"20899"</f>
        <v>20899</v>
      </c>
      <c r="E12593" t="s">
        <v>6</v>
      </c>
    </row>
    <row r="12594" spans="1:5" x14ac:dyDescent="0.2">
      <c r="A12594">
        <v>20901</v>
      </c>
      <c r="B12594" t="s">
        <v>26</v>
      </c>
      <c r="C12594">
        <v>20901</v>
      </c>
      <c r="D12594" t="str">
        <f>"20901"</f>
        <v>20901</v>
      </c>
      <c r="E12594">
        <v>73.52</v>
      </c>
    </row>
    <row r="12595" spans="1:5" x14ac:dyDescent="0.2">
      <c r="A12595">
        <v>20902</v>
      </c>
      <c r="B12595" t="s">
        <v>26</v>
      </c>
      <c r="C12595">
        <v>20902</v>
      </c>
      <c r="D12595" t="str">
        <f>"20902"</f>
        <v>20902</v>
      </c>
      <c r="E12595">
        <v>69.67</v>
      </c>
    </row>
    <row r="12596" spans="1:5" x14ac:dyDescent="0.2">
      <c r="A12596">
        <v>20903</v>
      </c>
      <c r="B12596" t="s">
        <v>26</v>
      </c>
      <c r="C12596">
        <v>20903</v>
      </c>
      <c r="D12596" t="str">
        <f>"20903"</f>
        <v>20903</v>
      </c>
      <c r="E12596">
        <v>55.26</v>
      </c>
    </row>
    <row r="12597" spans="1:5" x14ac:dyDescent="0.2">
      <c r="A12597">
        <v>20904</v>
      </c>
      <c r="B12597" t="s">
        <v>26</v>
      </c>
      <c r="C12597">
        <v>20904</v>
      </c>
      <c r="D12597" t="str">
        <f>"20904"</f>
        <v>20904</v>
      </c>
      <c r="E12597">
        <v>70.680000000000007</v>
      </c>
    </row>
    <row r="12598" spans="1:5" x14ac:dyDescent="0.2">
      <c r="A12598">
        <v>20905</v>
      </c>
      <c r="B12598" t="s">
        <v>26</v>
      </c>
      <c r="C12598">
        <v>20905</v>
      </c>
      <c r="D12598" t="str">
        <f>"20905"</f>
        <v>20905</v>
      </c>
      <c r="E12598">
        <v>77.86</v>
      </c>
    </row>
    <row r="12599" spans="1:5" x14ac:dyDescent="0.2">
      <c r="A12599">
        <v>20906</v>
      </c>
      <c r="B12599" t="s">
        <v>26</v>
      </c>
      <c r="C12599">
        <v>20906</v>
      </c>
      <c r="D12599" t="str">
        <f>"20906"</f>
        <v>20906</v>
      </c>
      <c r="E12599">
        <v>68.03</v>
      </c>
    </row>
    <row r="12600" spans="1:5" x14ac:dyDescent="0.2">
      <c r="A12600">
        <v>20910</v>
      </c>
      <c r="B12600" t="s">
        <v>26</v>
      </c>
      <c r="C12600">
        <v>20910</v>
      </c>
      <c r="D12600" t="str">
        <f>"20910"</f>
        <v>20910</v>
      </c>
      <c r="E12600">
        <v>82.34</v>
      </c>
    </row>
    <row r="12601" spans="1:5" x14ac:dyDescent="0.2">
      <c r="A12601">
        <v>20912</v>
      </c>
      <c r="B12601" t="s">
        <v>26</v>
      </c>
      <c r="C12601">
        <v>20912</v>
      </c>
      <c r="D12601" t="str">
        <f>"20912"</f>
        <v>20912</v>
      </c>
      <c r="E12601">
        <v>69.37</v>
      </c>
    </row>
    <row r="12602" spans="1:5" x14ac:dyDescent="0.2">
      <c r="A12602">
        <v>21001</v>
      </c>
      <c r="B12602" t="s">
        <v>26</v>
      </c>
      <c r="C12602">
        <v>21001</v>
      </c>
      <c r="D12602" t="str">
        <f>"21001"</f>
        <v>21001</v>
      </c>
      <c r="E12602">
        <v>72.040000000000006</v>
      </c>
    </row>
    <row r="12603" spans="1:5" x14ac:dyDescent="0.2">
      <c r="A12603">
        <v>21005</v>
      </c>
      <c r="B12603" t="s">
        <v>26</v>
      </c>
      <c r="C12603">
        <v>21005</v>
      </c>
      <c r="D12603" t="str">
        <f>"21005"</f>
        <v>21005</v>
      </c>
      <c r="E12603">
        <v>80.680000000000007</v>
      </c>
    </row>
    <row r="12604" spans="1:5" x14ac:dyDescent="0.2">
      <c r="A12604">
        <v>21009</v>
      </c>
      <c r="B12604" t="s">
        <v>26</v>
      </c>
      <c r="C12604">
        <v>21009</v>
      </c>
      <c r="D12604" t="str">
        <f>"21009"</f>
        <v>21009</v>
      </c>
      <c r="E12604">
        <v>81.83</v>
      </c>
    </row>
    <row r="12605" spans="1:5" x14ac:dyDescent="0.2">
      <c r="A12605">
        <v>21010</v>
      </c>
      <c r="B12605" t="s">
        <v>26</v>
      </c>
      <c r="C12605">
        <v>21010</v>
      </c>
      <c r="D12605" t="str">
        <f>"21010"</f>
        <v>21010</v>
      </c>
      <c r="E12605" t="s">
        <v>6</v>
      </c>
    </row>
    <row r="12606" spans="1:5" x14ac:dyDescent="0.2">
      <c r="A12606">
        <v>21012</v>
      </c>
      <c r="B12606" t="s">
        <v>26</v>
      </c>
      <c r="C12606">
        <v>21012</v>
      </c>
      <c r="D12606" t="str">
        <f>"21012"</f>
        <v>21012</v>
      </c>
      <c r="E12606">
        <v>83.18</v>
      </c>
    </row>
    <row r="12607" spans="1:5" x14ac:dyDescent="0.2">
      <c r="A12607">
        <v>21013</v>
      </c>
      <c r="B12607" t="s">
        <v>26</v>
      </c>
      <c r="C12607">
        <v>21013</v>
      </c>
      <c r="D12607" t="str">
        <f>"21013"</f>
        <v>21013</v>
      </c>
      <c r="E12607">
        <v>84.21</v>
      </c>
    </row>
    <row r="12608" spans="1:5" x14ac:dyDescent="0.2">
      <c r="A12608">
        <v>21014</v>
      </c>
      <c r="B12608" t="s">
        <v>26</v>
      </c>
      <c r="C12608">
        <v>21014</v>
      </c>
      <c r="D12608" t="str">
        <f>"21014"</f>
        <v>21014</v>
      </c>
      <c r="E12608">
        <v>81.62</v>
      </c>
    </row>
    <row r="12609" spans="1:5" x14ac:dyDescent="0.2">
      <c r="A12609">
        <v>21015</v>
      </c>
      <c r="B12609" t="s">
        <v>26</v>
      </c>
      <c r="C12609">
        <v>21015</v>
      </c>
      <c r="D12609" t="str">
        <f>"21015"</f>
        <v>21015</v>
      </c>
      <c r="E12609">
        <v>81.56</v>
      </c>
    </row>
    <row r="12610" spans="1:5" x14ac:dyDescent="0.2">
      <c r="A12610">
        <v>21017</v>
      </c>
      <c r="B12610" t="s">
        <v>26</v>
      </c>
      <c r="C12610">
        <v>21017</v>
      </c>
      <c r="D12610" t="str">
        <f>"21017"</f>
        <v>21017</v>
      </c>
      <c r="E12610">
        <v>80</v>
      </c>
    </row>
    <row r="12611" spans="1:5" x14ac:dyDescent="0.2">
      <c r="A12611">
        <v>21018</v>
      </c>
      <c r="B12611" t="s">
        <v>26</v>
      </c>
      <c r="C12611">
        <v>21018</v>
      </c>
      <c r="D12611" t="str">
        <f>"21018"</f>
        <v>21018</v>
      </c>
      <c r="E12611" t="s">
        <v>6</v>
      </c>
    </row>
    <row r="12612" spans="1:5" x14ac:dyDescent="0.2">
      <c r="A12612">
        <v>21022</v>
      </c>
      <c r="B12612" t="s">
        <v>26</v>
      </c>
      <c r="C12612">
        <v>21022</v>
      </c>
      <c r="D12612" t="str">
        <f>"21022"</f>
        <v>21022</v>
      </c>
      <c r="E12612" t="s">
        <v>6</v>
      </c>
    </row>
    <row r="12613" spans="1:5" x14ac:dyDescent="0.2">
      <c r="A12613">
        <v>21023</v>
      </c>
      <c r="B12613" t="s">
        <v>26</v>
      </c>
      <c r="C12613">
        <v>21023</v>
      </c>
      <c r="D12613" t="str">
        <f>"21023"</f>
        <v>21023</v>
      </c>
      <c r="E12613" t="s">
        <v>6</v>
      </c>
    </row>
    <row r="12614" spans="1:5" x14ac:dyDescent="0.2">
      <c r="A12614">
        <v>21028</v>
      </c>
      <c r="B12614" t="s">
        <v>26</v>
      </c>
      <c r="C12614">
        <v>21028</v>
      </c>
      <c r="D12614" t="str">
        <f>"21028"</f>
        <v>21028</v>
      </c>
      <c r="E12614">
        <v>79.75</v>
      </c>
    </row>
    <row r="12615" spans="1:5" x14ac:dyDescent="0.2">
      <c r="A12615">
        <v>21029</v>
      </c>
      <c r="B12615" t="s">
        <v>26</v>
      </c>
      <c r="C12615">
        <v>21029</v>
      </c>
      <c r="D12615" t="str">
        <f>"21029"</f>
        <v>21029</v>
      </c>
      <c r="E12615">
        <v>81.23</v>
      </c>
    </row>
    <row r="12616" spans="1:5" x14ac:dyDescent="0.2">
      <c r="A12616">
        <v>21030</v>
      </c>
      <c r="B12616" t="s">
        <v>26</v>
      </c>
      <c r="C12616">
        <v>21030</v>
      </c>
      <c r="D12616" t="str">
        <f>"21030"</f>
        <v>21030</v>
      </c>
      <c r="E12616">
        <v>74.91</v>
      </c>
    </row>
    <row r="12617" spans="1:5" x14ac:dyDescent="0.2">
      <c r="A12617">
        <v>21031</v>
      </c>
      <c r="B12617" t="s">
        <v>26</v>
      </c>
      <c r="C12617">
        <v>21031</v>
      </c>
      <c r="D12617" t="str">
        <f>"21031"</f>
        <v>21031</v>
      </c>
      <c r="E12617" t="s">
        <v>6</v>
      </c>
    </row>
    <row r="12618" spans="1:5" x14ac:dyDescent="0.2">
      <c r="A12618">
        <v>21032</v>
      </c>
      <c r="B12618" t="s">
        <v>26</v>
      </c>
      <c r="C12618">
        <v>21032</v>
      </c>
      <c r="D12618" t="str">
        <f>"21032"</f>
        <v>21032</v>
      </c>
      <c r="E12618">
        <v>83.81</v>
      </c>
    </row>
    <row r="12619" spans="1:5" x14ac:dyDescent="0.2">
      <c r="A12619">
        <v>21034</v>
      </c>
      <c r="B12619" t="s">
        <v>26</v>
      </c>
      <c r="C12619">
        <v>21034</v>
      </c>
      <c r="D12619" t="str">
        <f>"21034"</f>
        <v>21034</v>
      </c>
      <c r="E12619">
        <v>77.510000000000005</v>
      </c>
    </row>
    <row r="12620" spans="1:5" x14ac:dyDescent="0.2">
      <c r="A12620">
        <v>21035</v>
      </c>
      <c r="B12620" t="s">
        <v>26</v>
      </c>
      <c r="C12620">
        <v>21035</v>
      </c>
      <c r="D12620" t="str">
        <f>"21035"</f>
        <v>21035</v>
      </c>
      <c r="E12620">
        <v>83.87</v>
      </c>
    </row>
    <row r="12621" spans="1:5" x14ac:dyDescent="0.2">
      <c r="A12621">
        <v>21036</v>
      </c>
      <c r="B12621" t="s">
        <v>26</v>
      </c>
      <c r="C12621">
        <v>21036</v>
      </c>
      <c r="D12621" t="str">
        <f>"21036"</f>
        <v>21036</v>
      </c>
      <c r="E12621">
        <v>84.11</v>
      </c>
    </row>
    <row r="12622" spans="1:5" x14ac:dyDescent="0.2">
      <c r="A12622">
        <v>21037</v>
      </c>
      <c r="B12622" t="s">
        <v>26</v>
      </c>
      <c r="C12622">
        <v>21037</v>
      </c>
      <c r="D12622" t="str">
        <f>"21037"</f>
        <v>21037</v>
      </c>
      <c r="E12622">
        <v>81.84</v>
      </c>
    </row>
    <row r="12623" spans="1:5" x14ac:dyDescent="0.2">
      <c r="A12623">
        <v>21040</v>
      </c>
      <c r="B12623" t="s">
        <v>26</v>
      </c>
      <c r="C12623">
        <v>21040</v>
      </c>
      <c r="D12623" t="str">
        <f>"21040"</f>
        <v>21040</v>
      </c>
      <c r="E12623">
        <v>64.040000000000006</v>
      </c>
    </row>
    <row r="12624" spans="1:5" x14ac:dyDescent="0.2">
      <c r="A12624">
        <v>21042</v>
      </c>
      <c r="B12624" t="s">
        <v>26</v>
      </c>
      <c r="C12624">
        <v>21042</v>
      </c>
      <c r="D12624" t="str">
        <f>"21042"</f>
        <v>21042</v>
      </c>
      <c r="E12624">
        <v>83.18</v>
      </c>
    </row>
    <row r="12625" spans="1:5" x14ac:dyDescent="0.2">
      <c r="A12625">
        <v>21043</v>
      </c>
      <c r="B12625" t="s">
        <v>26</v>
      </c>
      <c r="C12625">
        <v>21043</v>
      </c>
      <c r="D12625" t="str">
        <f>"21043"</f>
        <v>21043</v>
      </c>
      <c r="E12625">
        <v>80.650000000000006</v>
      </c>
    </row>
    <row r="12626" spans="1:5" x14ac:dyDescent="0.2">
      <c r="A12626">
        <v>21044</v>
      </c>
      <c r="B12626" t="s">
        <v>26</v>
      </c>
      <c r="C12626">
        <v>21044</v>
      </c>
      <c r="D12626" t="str">
        <f>"21044"</f>
        <v>21044</v>
      </c>
      <c r="E12626">
        <v>79.66</v>
      </c>
    </row>
    <row r="12627" spans="1:5" x14ac:dyDescent="0.2">
      <c r="A12627">
        <v>21045</v>
      </c>
      <c r="B12627" t="s">
        <v>26</v>
      </c>
      <c r="C12627">
        <v>21045</v>
      </c>
      <c r="D12627" t="str">
        <f>"21045"</f>
        <v>21045</v>
      </c>
      <c r="E12627">
        <v>75.290000000000006</v>
      </c>
    </row>
    <row r="12628" spans="1:5" x14ac:dyDescent="0.2">
      <c r="A12628">
        <v>21046</v>
      </c>
      <c r="B12628" t="s">
        <v>26</v>
      </c>
      <c r="C12628">
        <v>21046</v>
      </c>
      <c r="D12628" t="str">
        <f>"21046"</f>
        <v>21046</v>
      </c>
      <c r="E12628">
        <v>80.650000000000006</v>
      </c>
    </row>
    <row r="12629" spans="1:5" x14ac:dyDescent="0.2">
      <c r="A12629">
        <v>21047</v>
      </c>
      <c r="B12629" t="s">
        <v>26</v>
      </c>
      <c r="C12629">
        <v>21047</v>
      </c>
      <c r="D12629" t="str">
        <f>"21047"</f>
        <v>21047</v>
      </c>
      <c r="E12629">
        <v>82.89</v>
      </c>
    </row>
    <row r="12630" spans="1:5" x14ac:dyDescent="0.2">
      <c r="A12630">
        <v>21048</v>
      </c>
      <c r="B12630" t="s">
        <v>26</v>
      </c>
      <c r="C12630">
        <v>21048</v>
      </c>
      <c r="D12630" t="str">
        <f>"21048"</f>
        <v>21048</v>
      </c>
      <c r="E12630">
        <v>81.72</v>
      </c>
    </row>
    <row r="12631" spans="1:5" x14ac:dyDescent="0.2">
      <c r="A12631">
        <v>21050</v>
      </c>
      <c r="B12631" t="s">
        <v>26</v>
      </c>
      <c r="C12631">
        <v>21050</v>
      </c>
      <c r="D12631" t="str">
        <f>"21050"</f>
        <v>21050</v>
      </c>
      <c r="E12631">
        <v>82.26</v>
      </c>
    </row>
    <row r="12632" spans="1:5" x14ac:dyDescent="0.2">
      <c r="A12632">
        <v>21051</v>
      </c>
      <c r="B12632" t="s">
        <v>26</v>
      </c>
      <c r="C12632">
        <v>21051</v>
      </c>
      <c r="D12632" t="str">
        <f>"21051"</f>
        <v>21051</v>
      </c>
      <c r="E12632">
        <v>76.47</v>
      </c>
    </row>
    <row r="12633" spans="1:5" x14ac:dyDescent="0.2">
      <c r="A12633">
        <v>21052</v>
      </c>
      <c r="B12633" t="s">
        <v>26</v>
      </c>
      <c r="C12633">
        <v>21052</v>
      </c>
      <c r="D12633" t="str">
        <f>"21052"</f>
        <v>21052</v>
      </c>
      <c r="E12633" t="s">
        <v>6</v>
      </c>
    </row>
    <row r="12634" spans="1:5" x14ac:dyDescent="0.2">
      <c r="A12634">
        <v>21053</v>
      </c>
      <c r="B12634" t="s">
        <v>26</v>
      </c>
      <c r="C12634">
        <v>21053</v>
      </c>
      <c r="D12634" t="str">
        <f>"21053"</f>
        <v>21053</v>
      </c>
      <c r="E12634">
        <v>78.75</v>
      </c>
    </row>
    <row r="12635" spans="1:5" x14ac:dyDescent="0.2">
      <c r="A12635">
        <v>21054</v>
      </c>
      <c r="B12635" t="s">
        <v>26</v>
      </c>
      <c r="C12635">
        <v>21054</v>
      </c>
      <c r="D12635" t="str">
        <f>"21054"</f>
        <v>21054</v>
      </c>
      <c r="E12635">
        <v>83.39</v>
      </c>
    </row>
    <row r="12636" spans="1:5" x14ac:dyDescent="0.2">
      <c r="A12636">
        <v>21056</v>
      </c>
      <c r="B12636" t="s">
        <v>26</v>
      </c>
      <c r="C12636">
        <v>21056</v>
      </c>
      <c r="D12636" t="str">
        <f>"21056"</f>
        <v>21056</v>
      </c>
      <c r="E12636" t="s">
        <v>6</v>
      </c>
    </row>
    <row r="12637" spans="1:5" x14ac:dyDescent="0.2">
      <c r="A12637">
        <v>21057</v>
      </c>
      <c r="B12637" t="s">
        <v>26</v>
      </c>
      <c r="C12637">
        <v>21057</v>
      </c>
      <c r="D12637" t="str">
        <f>"21057"</f>
        <v>21057</v>
      </c>
      <c r="E12637">
        <v>83.81</v>
      </c>
    </row>
    <row r="12638" spans="1:5" x14ac:dyDescent="0.2">
      <c r="A12638">
        <v>21060</v>
      </c>
      <c r="B12638" t="s">
        <v>26</v>
      </c>
      <c r="C12638">
        <v>21060</v>
      </c>
      <c r="D12638" t="str">
        <f>"21060"</f>
        <v>21060</v>
      </c>
      <c r="E12638">
        <v>77.75</v>
      </c>
    </row>
    <row r="12639" spans="1:5" x14ac:dyDescent="0.2">
      <c r="A12639">
        <v>21061</v>
      </c>
      <c r="B12639" t="s">
        <v>26</v>
      </c>
      <c r="C12639">
        <v>21061</v>
      </c>
      <c r="D12639" t="str">
        <f>"21061"</f>
        <v>21061</v>
      </c>
      <c r="E12639">
        <v>72.849999999999994</v>
      </c>
    </row>
    <row r="12640" spans="1:5" x14ac:dyDescent="0.2">
      <c r="A12640">
        <v>21071</v>
      </c>
      <c r="B12640" t="s">
        <v>26</v>
      </c>
      <c r="C12640">
        <v>21071</v>
      </c>
      <c r="D12640" t="str">
        <f>"21071"</f>
        <v>21071</v>
      </c>
      <c r="E12640" t="s">
        <v>6</v>
      </c>
    </row>
    <row r="12641" spans="1:5" x14ac:dyDescent="0.2">
      <c r="A12641">
        <v>21074</v>
      </c>
      <c r="B12641" t="s">
        <v>26</v>
      </c>
      <c r="C12641">
        <v>21074</v>
      </c>
      <c r="D12641" t="str">
        <f>"21074"</f>
        <v>21074</v>
      </c>
      <c r="E12641">
        <v>80.69</v>
      </c>
    </row>
    <row r="12642" spans="1:5" x14ac:dyDescent="0.2">
      <c r="A12642">
        <v>21075</v>
      </c>
      <c r="B12642" t="s">
        <v>26</v>
      </c>
      <c r="C12642">
        <v>21075</v>
      </c>
      <c r="D12642" t="str">
        <f>"21075"</f>
        <v>21075</v>
      </c>
      <c r="E12642">
        <v>77.540000000000006</v>
      </c>
    </row>
    <row r="12643" spans="1:5" x14ac:dyDescent="0.2">
      <c r="A12643">
        <v>21076</v>
      </c>
      <c r="B12643" t="s">
        <v>26</v>
      </c>
      <c r="C12643">
        <v>21076</v>
      </c>
      <c r="D12643" t="str">
        <f>"21076"</f>
        <v>21076</v>
      </c>
      <c r="E12643">
        <v>83.25</v>
      </c>
    </row>
    <row r="12644" spans="1:5" x14ac:dyDescent="0.2">
      <c r="A12644">
        <v>21077</v>
      </c>
      <c r="B12644" t="s">
        <v>26</v>
      </c>
      <c r="C12644">
        <v>21077</v>
      </c>
      <c r="D12644" t="str">
        <f>"21077"</f>
        <v>21077</v>
      </c>
      <c r="E12644">
        <v>77.78</v>
      </c>
    </row>
    <row r="12645" spans="1:5" x14ac:dyDescent="0.2">
      <c r="A12645">
        <v>21078</v>
      </c>
      <c r="B12645" t="s">
        <v>26</v>
      </c>
      <c r="C12645">
        <v>21078</v>
      </c>
      <c r="D12645" t="str">
        <f>"21078"</f>
        <v>21078</v>
      </c>
      <c r="E12645">
        <v>79.86</v>
      </c>
    </row>
    <row r="12646" spans="1:5" x14ac:dyDescent="0.2">
      <c r="A12646">
        <v>21082</v>
      </c>
      <c r="B12646" t="s">
        <v>26</v>
      </c>
      <c r="C12646">
        <v>21082</v>
      </c>
      <c r="D12646" t="str">
        <f>"21082"</f>
        <v>21082</v>
      </c>
      <c r="E12646">
        <v>87.76</v>
      </c>
    </row>
    <row r="12647" spans="1:5" x14ac:dyDescent="0.2">
      <c r="A12647">
        <v>21084</v>
      </c>
      <c r="B12647" t="s">
        <v>26</v>
      </c>
      <c r="C12647">
        <v>21084</v>
      </c>
      <c r="D12647" t="str">
        <f>"21084"</f>
        <v>21084</v>
      </c>
      <c r="E12647">
        <v>81.75</v>
      </c>
    </row>
    <row r="12648" spans="1:5" x14ac:dyDescent="0.2">
      <c r="A12648">
        <v>21085</v>
      </c>
      <c r="B12648" t="s">
        <v>26</v>
      </c>
      <c r="C12648">
        <v>21085</v>
      </c>
      <c r="D12648" t="str">
        <f>"21085"</f>
        <v>21085</v>
      </c>
      <c r="E12648">
        <v>80.52</v>
      </c>
    </row>
    <row r="12649" spans="1:5" x14ac:dyDescent="0.2">
      <c r="A12649">
        <v>21087</v>
      </c>
      <c r="B12649" t="s">
        <v>26</v>
      </c>
      <c r="C12649">
        <v>21087</v>
      </c>
      <c r="D12649" t="str">
        <f>"21087"</f>
        <v>21087</v>
      </c>
      <c r="E12649">
        <v>84.54</v>
      </c>
    </row>
    <row r="12650" spans="1:5" x14ac:dyDescent="0.2">
      <c r="A12650">
        <v>21090</v>
      </c>
      <c r="B12650" t="s">
        <v>26</v>
      </c>
      <c r="C12650">
        <v>21090</v>
      </c>
      <c r="D12650" t="str">
        <f>"21090"</f>
        <v>21090</v>
      </c>
      <c r="E12650">
        <v>81.56</v>
      </c>
    </row>
    <row r="12651" spans="1:5" x14ac:dyDescent="0.2">
      <c r="A12651">
        <v>21093</v>
      </c>
      <c r="B12651" t="s">
        <v>26</v>
      </c>
      <c r="C12651">
        <v>21093</v>
      </c>
      <c r="D12651" t="str">
        <f>"21093"</f>
        <v>21093</v>
      </c>
      <c r="E12651">
        <v>82.35</v>
      </c>
    </row>
    <row r="12652" spans="1:5" x14ac:dyDescent="0.2">
      <c r="A12652">
        <v>21102</v>
      </c>
      <c r="B12652" t="s">
        <v>26</v>
      </c>
      <c r="C12652">
        <v>21102</v>
      </c>
      <c r="D12652" t="str">
        <f>"21102"</f>
        <v>21102</v>
      </c>
      <c r="E12652">
        <v>80.17</v>
      </c>
    </row>
    <row r="12653" spans="1:5" x14ac:dyDescent="0.2">
      <c r="A12653">
        <v>21104</v>
      </c>
      <c r="B12653" t="s">
        <v>26</v>
      </c>
      <c r="C12653">
        <v>21104</v>
      </c>
      <c r="D12653" t="str">
        <f>"21104"</f>
        <v>21104</v>
      </c>
      <c r="E12653">
        <v>84.43</v>
      </c>
    </row>
    <row r="12654" spans="1:5" x14ac:dyDescent="0.2">
      <c r="A12654">
        <v>21106</v>
      </c>
      <c r="B12654" t="s">
        <v>26</v>
      </c>
      <c r="C12654">
        <v>21106</v>
      </c>
      <c r="D12654" t="str">
        <f>"21106"</f>
        <v>21106</v>
      </c>
      <c r="E12654" t="s">
        <v>6</v>
      </c>
    </row>
    <row r="12655" spans="1:5" x14ac:dyDescent="0.2">
      <c r="A12655">
        <v>21108</v>
      </c>
      <c r="B12655" t="s">
        <v>26</v>
      </c>
      <c r="C12655">
        <v>21108</v>
      </c>
      <c r="D12655" t="str">
        <f>"21108"</f>
        <v>21108</v>
      </c>
      <c r="E12655">
        <v>81.45</v>
      </c>
    </row>
    <row r="12656" spans="1:5" x14ac:dyDescent="0.2">
      <c r="A12656">
        <v>21111</v>
      </c>
      <c r="B12656" t="s">
        <v>26</v>
      </c>
      <c r="C12656">
        <v>21111</v>
      </c>
      <c r="D12656" t="str">
        <f>"21111"</f>
        <v>21111</v>
      </c>
      <c r="E12656">
        <v>82.61</v>
      </c>
    </row>
    <row r="12657" spans="1:5" x14ac:dyDescent="0.2">
      <c r="A12657">
        <v>21113</v>
      </c>
      <c r="B12657" t="s">
        <v>26</v>
      </c>
      <c r="C12657">
        <v>21113</v>
      </c>
      <c r="D12657" t="str">
        <f>"21113"</f>
        <v>21113</v>
      </c>
      <c r="E12657">
        <v>83.17</v>
      </c>
    </row>
    <row r="12658" spans="1:5" x14ac:dyDescent="0.2">
      <c r="A12658">
        <v>21114</v>
      </c>
      <c r="B12658" t="s">
        <v>26</v>
      </c>
      <c r="C12658">
        <v>21114</v>
      </c>
      <c r="D12658" t="str">
        <f>"21114"</f>
        <v>21114</v>
      </c>
      <c r="E12658">
        <v>83.14</v>
      </c>
    </row>
    <row r="12659" spans="1:5" x14ac:dyDescent="0.2">
      <c r="A12659">
        <v>21117</v>
      </c>
      <c r="B12659" t="s">
        <v>26</v>
      </c>
      <c r="C12659">
        <v>21117</v>
      </c>
      <c r="D12659" t="str">
        <f>"21117"</f>
        <v>21117</v>
      </c>
      <c r="E12659">
        <v>74.42</v>
      </c>
    </row>
    <row r="12660" spans="1:5" x14ac:dyDescent="0.2">
      <c r="A12660">
        <v>21120</v>
      </c>
      <c r="B12660" t="s">
        <v>26</v>
      </c>
      <c r="C12660">
        <v>21120</v>
      </c>
      <c r="D12660" t="str">
        <f>"21120"</f>
        <v>21120</v>
      </c>
      <c r="E12660">
        <v>82.04</v>
      </c>
    </row>
    <row r="12661" spans="1:5" x14ac:dyDescent="0.2">
      <c r="A12661">
        <v>21122</v>
      </c>
      <c r="B12661" t="s">
        <v>26</v>
      </c>
      <c r="C12661">
        <v>21122</v>
      </c>
      <c r="D12661" t="str">
        <f>"21122"</f>
        <v>21122</v>
      </c>
      <c r="E12661">
        <v>81.37</v>
      </c>
    </row>
    <row r="12662" spans="1:5" x14ac:dyDescent="0.2">
      <c r="A12662">
        <v>21128</v>
      </c>
      <c r="B12662" t="s">
        <v>26</v>
      </c>
      <c r="C12662">
        <v>21128</v>
      </c>
      <c r="D12662" t="str">
        <f>"21128"</f>
        <v>21128</v>
      </c>
      <c r="E12662">
        <v>81.27</v>
      </c>
    </row>
    <row r="12663" spans="1:5" x14ac:dyDescent="0.2">
      <c r="A12663">
        <v>21130</v>
      </c>
      <c r="B12663" t="s">
        <v>26</v>
      </c>
      <c r="C12663">
        <v>21130</v>
      </c>
      <c r="D12663" t="str">
        <f>"21130"</f>
        <v>21130</v>
      </c>
      <c r="E12663" t="s">
        <v>6</v>
      </c>
    </row>
    <row r="12664" spans="1:5" x14ac:dyDescent="0.2">
      <c r="A12664">
        <v>21131</v>
      </c>
      <c r="B12664" t="s">
        <v>26</v>
      </c>
      <c r="C12664">
        <v>21131</v>
      </c>
      <c r="D12664" t="str">
        <f>"21131"</f>
        <v>21131</v>
      </c>
      <c r="E12664">
        <v>83.7</v>
      </c>
    </row>
    <row r="12665" spans="1:5" x14ac:dyDescent="0.2">
      <c r="A12665">
        <v>21132</v>
      </c>
      <c r="B12665" t="s">
        <v>26</v>
      </c>
      <c r="C12665">
        <v>21132</v>
      </c>
      <c r="D12665" t="str">
        <f>"21132"</f>
        <v>21132</v>
      </c>
      <c r="E12665">
        <v>81.819999999999993</v>
      </c>
    </row>
    <row r="12666" spans="1:5" x14ac:dyDescent="0.2">
      <c r="A12666">
        <v>21133</v>
      </c>
      <c r="B12666" t="s">
        <v>26</v>
      </c>
      <c r="C12666">
        <v>21133</v>
      </c>
      <c r="D12666" t="str">
        <f>"21133"</f>
        <v>21133</v>
      </c>
      <c r="E12666">
        <v>71.63</v>
      </c>
    </row>
    <row r="12667" spans="1:5" x14ac:dyDescent="0.2">
      <c r="A12667">
        <v>21136</v>
      </c>
      <c r="B12667" t="s">
        <v>26</v>
      </c>
      <c r="C12667">
        <v>21136</v>
      </c>
      <c r="D12667" t="str">
        <f>"21136"</f>
        <v>21136</v>
      </c>
      <c r="E12667">
        <v>73.8</v>
      </c>
    </row>
    <row r="12668" spans="1:5" x14ac:dyDescent="0.2">
      <c r="A12668">
        <v>21140</v>
      </c>
      <c r="B12668" t="s">
        <v>26</v>
      </c>
      <c r="C12668">
        <v>21140</v>
      </c>
      <c r="D12668" t="str">
        <f>"21140"</f>
        <v>21140</v>
      </c>
      <c r="E12668">
        <v>83.8</v>
      </c>
    </row>
    <row r="12669" spans="1:5" x14ac:dyDescent="0.2">
      <c r="A12669">
        <v>21144</v>
      </c>
      <c r="B12669" t="s">
        <v>26</v>
      </c>
      <c r="C12669">
        <v>21144</v>
      </c>
      <c r="D12669" t="str">
        <f>"21144"</f>
        <v>21144</v>
      </c>
      <c r="E12669">
        <v>78.36</v>
      </c>
    </row>
    <row r="12670" spans="1:5" x14ac:dyDescent="0.2">
      <c r="A12670">
        <v>21146</v>
      </c>
      <c r="B12670" t="s">
        <v>26</v>
      </c>
      <c r="C12670">
        <v>21146</v>
      </c>
      <c r="D12670" t="str">
        <f>"21146"</f>
        <v>21146</v>
      </c>
      <c r="E12670">
        <v>82.49</v>
      </c>
    </row>
    <row r="12671" spans="1:5" x14ac:dyDescent="0.2">
      <c r="A12671">
        <v>21152</v>
      </c>
      <c r="B12671" t="s">
        <v>26</v>
      </c>
      <c r="C12671">
        <v>21152</v>
      </c>
      <c r="D12671" t="str">
        <f>"21152"</f>
        <v>21152</v>
      </c>
      <c r="E12671">
        <v>80.78</v>
      </c>
    </row>
    <row r="12672" spans="1:5" x14ac:dyDescent="0.2">
      <c r="A12672">
        <v>21153</v>
      </c>
      <c r="B12672" t="s">
        <v>26</v>
      </c>
      <c r="C12672">
        <v>21153</v>
      </c>
      <c r="D12672" t="str">
        <f>"21153"</f>
        <v>21153</v>
      </c>
      <c r="E12672" t="s">
        <v>6</v>
      </c>
    </row>
    <row r="12673" spans="1:5" x14ac:dyDescent="0.2">
      <c r="A12673">
        <v>21154</v>
      </c>
      <c r="B12673" t="s">
        <v>26</v>
      </c>
      <c r="C12673">
        <v>21154</v>
      </c>
      <c r="D12673" t="str">
        <f>"21154"</f>
        <v>21154</v>
      </c>
      <c r="E12673">
        <v>80.45</v>
      </c>
    </row>
    <row r="12674" spans="1:5" x14ac:dyDescent="0.2">
      <c r="A12674">
        <v>21155</v>
      </c>
      <c r="B12674" t="s">
        <v>26</v>
      </c>
      <c r="C12674">
        <v>21155</v>
      </c>
      <c r="D12674" t="str">
        <f>"21155"</f>
        <v>21155</v>
      </c>
      <c r="E12674">
        <v>81.25</v>
      </c>
    </row>
    <row r="12675" spans="1:5" x14ac:dyDescent="0.2">
      <c r="A12675">
        <v>21156</v>
      </c>
      <c r="B12675" t="s">
        <v>26</v>
      </c>
      <c r="C12675">
        <v>21156</v>
      </c>
      <c r="D12675" t="str">
        <f>"21156"</f>
        <v>21156</v>
      </c>
      <c r="E12675">
        <v>81.819999999999993</v>
      </c>
    </row>
    <row r="12676" spans="1:5" x14ac:dyDescent="0.2">
      <c r="A12676">
        <v>21157</v>
      </c>
      <c r="B12676" t="s">
        <v>26</v>
      </c>
      <c r="C12676">
        <v>21157</v>
      </c>
      <c r="D12676" t="str">
        <f>"21157"</f>
        <v>21157</v>
      </c>
      <c r="E12676">
        <v>78.510000000000005</v>
      </c>
    </row>
    <row r="12677" spans="1:5" x14ac:dyDescent="0.2">
      <c r="A12677">
        <v>21158</v>
      </c>
      <c r="B12677" t="s">
        <v>26</v>
      </c>
      <c r="C12677">
        <v>21158</v>
      </c>
      <c r="D12677" t="str">
        <f>"21158"</f>
        <v>21158</v>
      </c>
      <c r="E12677">
        <v>79.81</v>
      </c>
    </row>
    <row r="12678" spans="1:5" x14ac:dyDescent="0.2">
      <c r="A12678">
        <v>21160</v>
      </c>
      <c r="B12678" t="s">
        <v>26</v>
      </c>
      <c r="C12678">
        <v>21160</v>
      </c>
      <c r="D12678" t="str">
        <f>"21160"</f>
        <v>21160</v>
      </c>
      <c r="E12678">
        <v>76.23</v>
      </c>
    </row>
    <row r="12679" spans="1:5" x14ac:dyDescent="0.2">
      <c r="A12679">
        <v>21161</v>
      </c>
      <c r="B12679" t="s">
        <v>26</v>
      </c>
      <c r="C12679">
        <v>21161</v>
      </c>
      <c r="D12679" t="str">
        <f>"21161"</f>
        <v>21161</v>
      </c>
      <c r="E12679">
        <v>80.95</v>
      </c>
    </row>
    <row r="12680" spans="1:5" x14ac:dyDescent="0.2">
      <c r="A12680">
        <v>21162</v>
      </c>
      <c r="B12680" t="s">
        <v>26</v>
      </c>
      <c r="C12680">
        <v>21162</v>
      </c>
      <c r="D12680" t="str">
        <f>"21162"</f>
        <v>21162</v>
      </c>
      <c r="E12680">
        <v>79.819999999999993</v>
      </c>
    </row>
    <row r="12681" spans="1:5" x14ac:dyDescent="0.2">
      <c r="A12681">
        <v>21163</v>
      </c>
      <c r="B12681" t="s">
        <v>26</v>
      </c>
      <c r="C12681">
        <v>21163</v>
      </c>
      <c r="D12681" t="str">
        <f>"21163"</f>
        <v>21163</v>
      </c>
      <c r="E12681">
        <v>82.57</v>
      </c>
    </row>
    <row r="12682" spans="1:5" x14ac:dyDescent="0.2">
      <c r="A12682">
        <v>21201</v>
      </c>
      <c r="B12682" t="s">
        <v>26</v>
      </c>
      <c r="C12682">
        <v>21201</v>
      </c>
      <c r="D12682" t="str">
        <f>"21201"</f>
        <v>21201</v>
      </c>
      <c r="E12682">
        <v>69.83</v>
      </c>
    </row>
    <row r="12683" spans="1:5" x14ac:dyDescent="0.2">
      <c r="A12683">
        <v>21202</v>
      </c>
      <c r="B12683" t="s">
        <v>26</v>
      </c>
      <c r="C12683">
        <v>21202</v>
      </c>
      <c r="D12683" t="str">
        <f>"21202"</f>
        <v>21202</v>
      </c>
      <c r="E12683">
        <v>73.52</v>
      </c>
    </row>
    <row r="12684" spans="1:5" x14ac:dyDescent="0.2">
      <c r="A12684">
        <v>21203</v>
      </c>
      <c r="B12684" t="s">
        <v>26</v>
      </c>
      <c r="C12684">
        <v>21203</v>
      </c>
      <c r="D12684" t="str">
        <f>"21203"</f>
        <v>21203</v>
      </c>
      <c r="E12684" t="s">
        <v>6</v>
      </c>
    </row>
    <row r="12685" spans="1:5" x14ac:dyDescent="0.2">
      <c r="A12685">
        <v>21204</v>
      </c>
      <c r="B12685" t="s">
        <v>26</v>
      </c>
      <c r="C12685">
        <v>21204</v>
      </c>
      <c r="D12685" t="str">
        <f>"21204"</f>
        <v>21204</v>
      </c>
      <c r="E12685">
        <v>80.19</v>
      </c>
    </row>
    <row r="12686" spans="1:5" x14ac:dyDescent="0.2">
      <c r="A12686">
        <v>21205</v>
      </c>
      <c r="B12686" t="s">
        <v>26</v>
      </c>
      <c r="C12686">
        <v>21205</v>
      </c>
      <c r="D12686" t="str">
        <f>"21205"</f>
        <v>21205</v>
      </c>
      <c r="E12686">
        <v>44.92</v>
      </c>
    </row>
    <row r="12687" spans="1:5" x14ac:dyDescent="0.2">
      <c r="A12687">
        <v>21206</v>
      </c>
      <c r="B12687" t="s">
        <v>26</v>
      </c>
      <c r="C12687">
        <v>21206</v>
      </c>
      <c r="D12687" t="str">
        <f>"21206"</f>
        <v>21206</v>
      </c>
      <c r="E12687">
        <v>65.39</v>
      </c>
    </row>
    <row r="12688" spans="1:5" x14ac:dyDescent="0.2">
      <c r="A12688">
        <v>21207</v>
      </c>
      <c r="B12688" t="s">
        <v>26</v>
      </c>
      <c r="C12688">
        <v>21207</v>
      </c>
      <c r="D12688" t="str">
        <f>"21207"</f>
        <v>21207</v>
      </c>
      <c r="E12688">
        <v>68.19</v>
      </c>
    </row>
    <row r="12689" spans="1:5" x14ac:dyDescent="0.2">
      <c r="A12689">
        <v>21208</v>
      </c>
      <c r="B12689" t="s">
        <v>26</v>
      </c>
      <c r="C12689">
        <v>21208</v>
      </c>
      <c r="D12689" t="str">
        <f>"21208"</f>
        <v>21208</v>
      </c>
      <c r="E12689">
        <v>75.790000000000006</v>
      </c>
    </row>
    <row r="12690" spans="1:5" x14ac:dyDescent="0.2">
      <c r="A12690">
        <v>21209</v>
      </c>
      <c r="B12690" t="s">
        <v>26</v>
      </c>
      <c r="C12690">
        <v>21209</v>
      </c>
      <c r="D12690" t="str">
        <f>"21209"</f>
        <v>21209</v>
      </c>
      <c r="E12690">
        <v>79.17</v>
      </c>
    </row>
    <row r="12691" spans="1:5" x14ac:dyDescent="0.2">
      <c r="A12691">
        <v>21210</v>
      </c>
      <c r="B12691" t="s">
        <v>26</v>
      </c>
      <c r="C12691">
        <v>21210</v>
      </c>
      <c r="D12691" t="str">
        <f>"21210"</f>
        <v>21210</v>
      </c>
      <c r="E12691">
        <v>84.36</v>
      </c>
    </row>
    <row r="12692" spans="1:5" x14ac:dyDescent="0.2">
      <c r="A12692">
        <v>21211</v>
      </c>
      <c r="B12692" t="s">
        <v>26</v>
      </c>
      <c r="C12692">
        <v>21211</v>
      </c>
      <c r="D12692" t="str">
        <f>"21211"</f>
        <v>21211</v>
      </c>
      <c r="E12692">
        <v>83.63</v>
      </c>
    </row>
    <row r="12693" spans="1:5" x14ac:dyDescent="0.2">
      <c r="A12693">
        <v>21212</v>
      </c>
      <c r="B12693" t="s">
        <v>26</v>
      </c>
      <c r="C12693">
        <v>21212</v>
      </c>
      <c r="D12693" t="str">
        <f>"21212"</f>
        <v>21212</v>
      </c>
      <c r="E12693">
        <v>75.900000000000006</v>
      </c>
    </row>
    <row r="12694" spans="1:5" x14ac:dyDescent="0.2">
      <c r="A12694">
        <v>21213</v>
      </c>
      <c r="B12694" t="s">
        <v>26</v>
      </c>
      <c r="C12694">
        <v>21213</v>
      </c>
      <c r="D12694" t="str">
        <f>"21213"</f>
        <v>21213</v>
      </c>
      <c r="E12694">
        <v>55.08</v>
      </c>
    </row>
    <row r="12695" spans="1:5" x14ac:dyDescent="0.2">
      <c r="A12695">
        <v>21214</v>
      </c>
      <c r="B12695" t="s">
        <v>26</v>
      </c>
      <c r="C12695">
        <v>21214</v>
      </c>
      <c r="D12695" t="str">
        <f>"21214"</f>
        <v>21214</v>
      </c>
      <c r="E12695">
        <v>72.849999999999994</v>
      </c>
    </row>
    <row r="12696" spans="1:5" x14ac:dyDescent="0.2">
      <c r="A12696">
        <v>21215</v>
      </c>
      <c r="B12696" t="s">
        <v>26</v>
      </c>
      <c r="C12696">
        <v>21215</v>
      </c>
      <c r="D12696" t="str">
        <f>"21215"</f>
        <v>21215</v>
      </c>
      <c r="E12696">
        <v>59.9</v>
      </c>
    </row>
    <row r="12697" spans="1:5" x14ac:dyDescent="0.2">
      <c r="A12697">
        <v>21216</v>
      </c>
      <c r="B12697" t="s">
        <v>26</v>
      </c>
      <c r="C12697">
        <v>21216</v>
      </c>
      <c r="D12697" t="str">
        <f>"21216"</f>
        <v>21216</v>
      </c>
      <c r="E12697">
        <v>56.46</v>
      </c>
    </row>
    <row r="12698" spans="1:5" x14ac:dyDescent="0.2">
      <c r="A12698">
        <v>21217</v>
      </c>
      <c r="B12698" t="s">
        <v>26</v>
      </c>
      <c r="C12698">
        <v>21217</v>
      </c>
      <c r="D12698" t="str">
        <f>"21217"</f>
        <v>21217</v>
      </c>
      <c r="E12698">
        <v>57.4</v>
      </c>
    </row>
    <row r="12699" spans="1:5" x14ac:dyDescent="0.2">
      <c r="A12699">
        <v>21218</v>
      </c>
      <c r="B12699" t="s">
        <v>26</v>
      </c>
      <c r="C12699">
        <v>21218</v>
      </c>
      <c r="D12699" t="str">
        <f>"21218"</f>
        <v>21218</v>
      </c>
      <c r="E12699">
        <v>68.39</v>
      </c>
    </row>
    <row r="12700" spans="1:5" x14ac:dyDescent="0.2">
      <c r="A12700">
        <v>21219</v>
      </c>
      <c r="B12700" t="s">
        <v>26</v>
      </c>
      <c r="C12700">
        <v>21219</v>
      </c>
      <c r="D12700" t="str">
        <f>"21219"</f>
        <v>21219</v>
      </c>
      <c r="E12700">
        <v>79.06</v>
      </c>
    </row>
    <row r="12701" spans="1:5" x14ac:dyDescent="0.2">
      <c r="A12701">
        <v>21220</v>
      </c>
      <c r="B12701" t="s">
        <v>26</v>
      </c>
      <c r="C12701">
        <v>21220</v>
      </c>
      <c r="D12701" t="str">
        <f>"21220"</f>
        <v>21220</v>
      </c>
      <c r="E12701">
        <v>71.27</v>
      </c>
    </row>
    <row r="12702" spans="1:5" x14ac:dyDescent="0.2">
      <c r="A12702">
        <v>21221</v>
      </c>
      <c r="B12702" t="s">
        <v>26</v>
      </c>
      <c r="C12702">
        <v>21221</v>
      </c>
      <c r="D12702" t="str">
        <f>"21221"</f>
        <v>21221</v>
      </c>
      <c r="E12702">
        <v>68.48</v>
      </c>
    </row>
    <row r="12703" spans="1:5" x14ac:dyDescent="0.2">
      <c r="A12703">
        <v>21222</v>
      </c>
      <c r="B12703" t="s">
        <v>26</v>
      </c>
      <c r="C12703">
        <v>21222</v>
      </c>
      <c r="D12703" t="str">
        <f>"21222"</f>
        <v>21222</v>
      </c>
      <c r="E12703">
        <v>67.349999999999994</v>
      </c>
    </row>
    <row r="12704" spans="1:5" x14ac:dyDescent="0.2">
      <c r="A12704">
        <v>21223</v>
      </c>
      <c r="B12704" t="s">
        <v>26</v>
      </c>
      <c r="C12704">
        <v>21223</v>
      </c>
      <c r="D12704" t="str">
        <f>"21223"</f>
        <v>21223</v>
      </c>
      <c r="E12704">
        <v>48.94</v>
      </c>
    </row>
    <row r="12705" spans="1:5" x14ac:dyDescent="0.2">
      <c r="A12705">
        <v>21224</v>
      </c>
      <c r="B12705" t="s">
        <v>26</v>
      </c>
      <c r="C12705">
        <v>21224</v>
      </c>
      <c r="D12705" t="str">
        <f>"21224"</f>
        <v>21224</v>
      </c>
      <c r="E12705">
        <v>68.459999999999994</v>
      </c>
    </row>
    <row r="12706" spans="1:5" x14ac:dyDescent="0.2">
      <c r="A12706">
        <v>21225</v>
      </c>
      <c r="B12706" t="s">
        <v>26</v>
      </c>
      <c r="C12706">
        <v>21225</v>
      </c>
      <c r="D12706" t="str">
        <f>"21225"</f>
        <v>21225</v>
      </c>
      <c r="E12706">
        <v>58</v>
      </c>
    </row>
    <row r="12707" spans="1:5" x14ac:dyDescent="0.2">
      <c r="A12707">
        <v>21226</v>
      </c>
      <c r="B12707" t="s">
        <v>26</v>
      </c>
      <c r="C12707">
        <v>21226</v>
      </c>
      <c r="D12707" t="str">
        <f>"21226"</f>
        <v>21226</v>
      </c>
      <c r="E12707">
        <v>71.430000000000007</v>
      </c>
    </row>
    <row r="12708" spans="1:5" x14ac:dyDescent="0.2">
      <c r="A12708">
        <v>21227</v>
      </c>
      <c r="B12708" t="s">
        <v>26</v>
      </c>
      <c r="C12708">
        <v>21227</v>
      </c>
      <c r="D12708" t="str">
        <f>"21227"</f>
        <v>21227</v>
      </c>
      <c r="E12708">
        <v>70.48</v>
      </c>
    </row>
    <row r="12709" spans="1:5" x14ac:dyDescent="0.2">
      <c r="A12709">
        <v>21228</v>
      </c>
      <c r="B12709" t="s">
        <v>26</v>
      </c>
      <c r="C12709">
        <v>21228</v>
      </c>
      <c r="D12709" t="str">
        <f>"21228"</f>
        <v>21228</v>
      </c>
      <c r="E12709">
        <v>77.69</v>
      </c>
    </row>
    <row r="12710" spans="1:5" x14ac:dyDescent="0.2">
      <c r="A12710">
        <v>21229</v>
      </c>
      <c r="B12710" t="s">
        <v>26</v>
      </c>
      <c r="C12710">
        <v>21229</v>
      </c>
      <c r="D12710" t="str">
        <f>"21229"</f>
        <v>21229</v>
      </c>
      <c r="E12710">
        <v>64.67</v>
      </c>
    </row>
    <row r="12711" spans="1:5" x14ac:dyDescent="0.2">
      <c r="A12711">
        <v>21230</v>
      </c>
      <c r="B12711" t="s">
        <v>26</v>
      </c>
      <c r="C12711">
        <v>21230</v>
      </c>
      <c r="D12711" t="str">
        <f>"21230"</f>
        <v>21230</v>
      </c>
      <c r="E12711">
        <v>78.8</v>
      </c>
    </row>
    <row r="12712" spans="1:5" x14ac:dyDescent="0.2">
      <c r="A12712">
        <v>21231</v>
      </c>
      <c r="B12712" t="s">
        <v>26</v>
      </c>
      <c r="C12712">
        <v>21231</v>
      </c>
      <c r="D12712" t="str">
        <f>"21231"</f>
        <v>21231</v>
      </c>
      <c r="E12712">
        <v>77.64</v>
      </c>
    </row>
    <row r="12713" spans="1:5" x14ac:dyDescent="0.2">
      <c r="A12713">
        <v>21234</v>
      </c>
      <c r="B12713" t="s">
        <v>26</v>
      </c>
      <c r="C12713">
        <v>21234</v>
      </c>
      <c r="D12713" t="str">
        <f>"21234"</f>
        <v>21234</v>
      </c>
      <c r="E12713">
        <v>75.36</v>
      </c>
    </row>
    <row r="12714" spans="1:5" x14ac:dyDescent="0.2">
      <c r="A12714">
        <v>21236</v>
      </c>
      <c r="B12714" t="s">
        <v>26</v>
      </c>
      <c r="C12714">
        <v>21236</v>
      </c>
      <c r="D12714" t="str">
        <f>"21236"</f>
        <v>21236</v>
      </c>
      <c r="E12714">
        <v>77.45</v>
      </c>
    </row>
    <row r="12715" spans="1:5" x14ac:dyDescent="0.2">
      <c r="A12715">
        <v>21237</v>
      </c>
      <c r="B12715" t="s">
        <v>26</v>
      </c>
      <c r="C12715">
        <v>21237</v>
      </c>
      <c r="D12715" t="str">
        <f>"21237"</f>
        <v>21237</v>
      </c>
      <c r="E12715">
        <v>72.08</v>
      </c>
    </row>
    <row r="12716" spans="1:5" x14ac:dyDescent="0.2">
      <c r="A12716">
        <v>21239</v>
      </c>
      <c r="B12716" t="s">
        <v>26</v>
      </c>
      <c r="C12716">
        <v>21239</v>
      </c>
      <c r="D12716" t="str">
        <f>"21239"</f>
        <v>21239</v>
      </c>
      <c r="E12716">
        <v>69.08</v>
      </c>
    </row>
    <row r="12717" spans="1:5" x14ac:dyDescent="0.2">
      <c r="A12717">
        <v>21240</v>
      </c>
      <c r="B12717" t="s">
        <v>26</v>
      </c>
      <c r="C12717">
        <v>21240</v>
      </c>
      <c r="D12717" t="str">
        <f>"21240"</f>
        <v>21240</v>
      </c>
      <c r="E12717" t="s">
        <v>6</v>
      </c>
    </row>
    <row r="12718" spans="1:5" x14ac:dyDescent="0.2">
      <c r="A12718">
        <v>21241</v>
      </c>
      <c r="B12718" t="s">
        <v>26</v>
      </c>
      <c r="C12718">
        <v>21241</v>
      </c>
      <c r="D12718" t="str">
        <f>"21241"</f>
        <v>21241</v>
      </c>
      <c r="E12718" t="s">
        <v>6</v>
      </c>
    </row>
    <row r="12719" spans="1:5" x14ac:dyDescent="0.2">
      <c r="A12719">
        <v>21244</v>
      </c>
      <c r="B12719" t="s">
        <v>26</v>
      </c>
      <c r="C12719">
        <v>21244</v>
      </c>
      <c r="D12719" t="str">
        <f>"21244"</f>
        <v>21244</v>
      </c>
      <c r="E12719">
        <v>67.55</v>
      </c>
    </row>
    <row r="12720" spans="1:5" x14ac:dyDescent="0.2">
      <c r="A12720">
        <v>21250</v>
      </c>
      <c r="B12720" t="s">
        <v>26</v>
      </c>
      <c r="C12720">
        <v>21250</v>
      </c>
      <c r="D12720" t="str">
        <f>"21250"</f>
        <v>21250</v>
      </c>
      <c r="E12720" t="s">
        <v>6</v>
      </c>
    </row>
    <row r="12721" spans="1:5" x14ac:dyDescent="0.2">
      <c r="A12721">
        <v>21251</v>
      </c>
      <c r="B12721" t="s">
        <v>26</v>
      </c>
      <c r="C12721">
        <v>21251</v>
      </c>
      <c r="D12721" t="str">
        <f>"21251"</f>
        <v>21251</v>
      </c>
      <c r="E12721" t="s">
        <v>6</v>
      </c>
    </row>
    <row r="12722" spans="1:5" x14ac:dyDescent="0.2">
      <c r="A12722">
        <v>21252</v>
      </c>
      <c r="B12722" t="s">
        <v>26</v>
      </c>
      <c r="C12722">
        <v>21252</v>
      </c>
      <c r="D12722" t="str">
        <f>"21252"</f>
        <v>21252</v>
      </c>
      <c r="E12722" t="s">
        <v>6</v>
      </c>
    </row>
    <row r="12723" spans="1:5" x14ac:dyDescent="0.2">
      <c r="A12723">
        <v>21278</v>
      </c>
      <c r="B12723" t="s">
        <v>26</v>
      </c>
      <c r="C12723">
        <v>21278</v>
      </c>
      <c r="D12723" t="str">
        <f>"21278"</f>
        <v>21278</v>
      </c>
      <c r="E12723" t="s">
        <v>6</v>
      </c>
    </row>
    <row r="12724" spans="1:5" x14ac:dyDescent="0.2">
      <c r="A12724">
        <v>21286</v>
      </c>
      <c r="B12724" t="s">
        <v>26</v>
      </c>
      <c r="C12724">
        <v>21286</v>
      </c>
      <c r="D12724" t="str">
        <f>"21286"</f>
        <v>21286</v>
      </c>
      <c r="E12724">
        <v>78.7</v>
      </c>
    </row>
    <row r="12725" spans="1:5" x14ac:dyDescent="0.2">
      <c r="A12725">
        <v>21287</v>
      </c>
      <c r="B12725" t="s">
        <v>26</v>
      </c>
      <c r="C12725">
        <v>21287</v>
      </c>
      <c r="D12725" t="str">
        <f>"21287"</f>
        <v>21287</v>
      </c>
      <c r="E12725" t="s">
        <v>6</v>
      </c>
    </row>
    <row r="12726" spans="1:5" x14ac:dyDescent="0.2">
      <c r="A12726">
        <v>21290</v>
      </c>
      <c r="B12726" t="s">
        <v>26</v>
      </c>
      <c r="C12726">
        <v>21290</v>
      </c>
      <c r="D12726" t="str">
        <f>"21290"</f>
        <v>21290</v>
      </c>
      <c r="E12726" t="s">
        <v>6</v>
      </c>
    </row>
    <row r="12727" spans="1:5" x14ac:dyDescent="0.2">
      <c r="A12727">
        <v>21401</v>
      </c>
      <c r="B12727" t="s">
        <v>26</v>
      </c>
      <c r="C12727">
        <v>21401</v>
      </c>
      <c r="D12727" t="str">
        <f>"21401"</f>
        <v>21401</v>
      </c>
      <c r="E12727">
        <v>79.11</v>
      </c>
    </row>
    <row r="12728" spans="1:5" x14ac:dyDescent="0.2">
      <c r="A12728">
        <v>21402</v>
      </c>
      <c r="B12728" t="s">
        <v>26</v>
      </c>
      <c r="C12728">
        <v>21402</v>
      </c>
      <c r="D12728" t="str">
        <f>"21402"</f>
        <v>21402</v>
      </c>
      <c r="E12728">
        <v>75.930000000000007</v>
      </c>
    </row>
    <row r="12729" spans="1:5" x14ac:dyDescent="0.2">
      <c r="A12729">
        <v>21403</v>
      </c>
      <c r="B12729" t="s">
        <v>26</v>
      </c>
      <c r="C12729">
        <v>21403</v>
      </c>
      <c r="D12729" t="str">
        <f>"21403"</f>
        <v>21403</v>
      </c>
      <c r="E12729">
        <v>75.61</v>
      </c>
    </row>
    <row r="12730" spans="1:5" x14ac:dyDescent="0.2">
      <c r="A12730">
        <v>21405</v>
      </c>
      <c r="B12730" t="s">
        <v>26</v>
      </c>
      <c r="C12730">
        <v>21405</v>
      </c>
      <c r="D12730" t="str">
        <f>"21405"</f>
        <v>21405</v>
      </c>
      <c r="E12730" t="s">
        <v>6</v>
      </c>
    </row>
    <row r="12731" spans="1:5" x14ac:dyDescent="0.2">
      <c r="A12731">
        <v>21409</v>
      </c>
      <c r="B12731" t="s">
        <v>26</v>
      </c>
      <c r="C12731">
        <v>21409</v>
      </c>
      <c r="D12731" t="str">
        <f>"21409"</f>
        <v>21409</v>
      </c>
      <c r="E12731">
        <v>81.680000000000007</v>
      </c>
    </row>
    <row r="12732" spans="1:5" x14ac:dyDescent="0.2">
      <c r="A12732">
        <v>21411</v>
      </c>
      <c r="B12732" t="s">
        <v>26</v>
      </c>
      <c r="C12732">
        <v>21411</v>
      </c>
      <c r="D12732" t="str">
        <f>"21411"</f>
        <v>21411</v>
      </c>
      <c r="E12732" t="s">
        <v>6</v>
      </c>
    </row>
    <row r="12733" spans="1:5" x14ac:dyDescent="0.2">
      <c r="A12733">
        <v>21502</v>
      </c>
      <c r="B12733" t="s">
        <v>26</v>
      </c>
      <c r="C12733">
        <v>21502</v>
      </c>
      <c r="D12733" t="str">
        <f>"21502"</f>
        <v>21502</v>
      </c>
      <c r="E12733">
        <v>69.819999999999993</v>
      </c>
    </row>
    <row r="12734" spans="1:5" x14ac:dyDescent="0.2">
      <c r="A12734">
        <v>21503</v>
      </c>
      <c r="B12734" t="s">
        <v>26</v>
      </c>
      <c r="C12734">
        <v>21503</v>
      </c>
      <c r="D12734" t="str">
        <f>"21503"</f>
        <v>21503</v>
      </c>
      <c r="E12734" t="s">
        <v>6</v>
      </c>
    </row>
    <row r="12735" spans="1:5" x14ac:dyDescent="0.2">
      <c r="A12735">
        <v>21520</v>
      </c>
      <c r="B12735" t="s">
        <v>26</v>
      </c>
      <c r="C12735">
        <v>21520</v>
      </c>
      <c r="D12735" t="str">
        <f>"21520"</f>
        <v>21520</v>
      </c>
      <c r="E12735">
        <v>75</v>
      </c>
    </row>
    <row r="12736" spans="1:5" x14ac:dyDescent="0.2">
      <c r="A12736">
        <v>21521</v>
      </c>
      <c r="B12736" t="s">
        <v>26</v>
      </c>
      <c r="C12736">
        <v>21521</v>
      </c>
      <c r="D12736" t="str">
        <f>"21521"</f>
        <v>21521</v>
      </c>
      <c r="E12736">
        <v>72.22</v>
      </c>
    </row>
    <row r="12737" spans="1:5" x14ac:dyDescent="0.2">
      <c r="A12737">
        <v>21522</v>
      </c>
      <c r="B12737" t="s">
        <v>26</v>
      </c>
      <c r="C12737">
        <v>21522</v>
      </c>
      <c r="D12737" t="str">
        <f>"21522"</f>
        <v>21522</v>
      </c>
      <c r="E12737" t="s">
        <v>6</v>
      </c>
    </row>
    <row r="12738" spans="1:5" x14ac:dyDescent="0.2">
      <c r="A12738">
        <v>21523</v>
      </c>
      <c r="B12738" t="s">
        <v>26</v>
      </c>
      <c r="C12738">
        <v>21523</v>
      </c>
      <c r="D12738" t="str">
        <f>"21523"</f>
        <v>21523</v>
      </c>
      <c r="E12738">
        <v>72.73</v>
      </c>
    </row>
    <row r="12739" spans="1:5" x14ac:dyDescent="0.2">
      <c r="A12739">
        <v>21524</v>
      </c>
      <c r="B12739" t="s">
        <v>26</v>
      </c>
      <c r="C12739">
        <v>21524</v>
      </c>
      <c r="D12739" t="str">
        <f>"21524"</f>
        <v>21524</v>
      </c>
      <c r="E12739" t="s">
        <v>6</v>
      </c>
    </row>
    <row r="12740" spans="1:5" x14ac:dyDescent="0.2">
      <c r="A12740">
        <v>21529</v>
      </c>
      <c r="B12740" t="s">
        <v>26</v>
      </c>
      <c r="C12740">
        <v>21529</v>
      </c>
      <c r="D12740" t="str">
        <f>"21529"</f>
        <v>21529</v>
      </c>
      <c r="E12740" t="s">
        <v>6</v>
      </c>
    </row>
    <row r="12741" spans="1:5" x14ac:dyDescent="0.2">
      <c r="A12741">
        <v>21530</v>
      </c>
      <c r="B12741" t="s">
        <v>26</v>
      </c>
      <c r="C12741">
        <v>21530</v>
      </c>
      <c r="D12741" t="str">
        <f>"21530"</f>
        <v>21530</v>
      </c>
      <c r="E12741">
        <v>73.13</v>
      </c>
    </row>
    <row r="12742" spans="1:5" x14ac:dyDescent="0.2">
      <c r="A12742">
        <v>21531</v>
      </c>
      <c r="B12742" t="s">
        <v>26</v>
      </c>
      <c r="C12742">
        <v>21531</v>
      </c>
      <c r="D12742" t="str">
        <f>"21531"</f>
        <v>21531</v>
      </c>
      <c r="E12742">
        <v>72</v>
      </c>
    </row>
    <row r="12743" spans="1:5" x14ac:dyDescent="0.2">
      <c r="A12743">
        <v>21532</v>
      </c>
      <c r="B12743" t="s">
        <v>26</v>
      </c>
      <c r="C12743">
        <v>21532</v>
      </c>
      <c r="D12743" t="str">
        <f>"21532"</f>
        <v>21532</v>
      </c>
      <c r="E12743">
        <v>74.03</v>
      </c>
    </row>
    <row r="12744" spans="1:5" x14ac:dyDescent="0.2">
      <c r="A12744">
        <v>21536</v>
      </c>
      <c r="B12744" t="s">
        <v>26</v>
      </c>
      <c r="C12744">
        <v>21536</v>
      </c>
      <c r="D12744" t="str">
        <f>"21536"</f>
        <v>21536</v>
      </c>
      <c r="E12744">
        <v>72.28</v>
      </c>
    </row>
    <row r="12745" spans="1:5" x14ac:dyDescent="0.2">
      <c r="A12745">
        <v>21538</v>
      </c>
      <c r="B12745" t="s">
        <v>26</v>
      </c>
      <c r="C12745">
        <v>21538</v>
      </c>
      <c r="D12745" t="str">
        <f>"21538"</f>
        <v>21538</v>
      </c>
      <c r="E12745">
        <v>70.37</v>
      </c>
    </row>
    <row r="12746" spans="1:5" x14ac:dyDescent="0.2">
      <c r="A12746">
        <v>21539</v>
      </c>
      <c r="B12746" t="s">
        <v>26</v>
      </c>
      <c r="C12746">
        <v>21539</v>
      </c>
      <c r="D12746" t="str">
        <f>"21539"</f>
        <v>21539</v>
      </c>
      <c r="E12746">
        <v>68.97</v>
      </c>
    </row>
    <row r="12747" spans="1:5" x14ac:dyDescent="0.2">
      <c r="A12747">
        <v>21540</v>
      </c>
      <c r="B12747" t="s">
        <v>26</v>
      </c>
      <c r="C12747">
        <v>21540</v>
      </c>
      <c r="D12747" t="str">
        <f>"21540"</f>
        <v>21540</v>
      </c>
      <c r="E12747" t="s">
        <v>6</v>
      </c>
    </row>
    <row r="12748" spans="1:5" x14ac:dyDescent="0.2">
      <c r="A12748">
        <v>21541</v>
      </c>
      <c r="B12748" t="s">
        <v>26</v>
      </c>
      <c r="C12748">
        <v>21541</v>
      </c>
      <c r="D12748" t="str">
        <f>"21541"</f>
        <v>21541</v>
      </c>
      <c r="E12748">
        <v>71.25</v>
      </c>
    </row>
    <row r="12749" spans="1:5" x14ac:dyDescent="0.2">
      <c r="A12749">
        <v>21543</v>
      </c>
      <c r="B12749" t="s">
        <v>26</v>
      </c>
      <c r="C12749">
        <v>21543</v>
      </c>
      <c r="D12749" t="str">
        <f>"21543"</f>
        <v>21543</v>
      </c>
      <c r="E12749" t="s">
        <v>6</v>
      </c>
    </row>
    <row r="12750" spans="1:5" x14ac:dyDescent="0.2">
      <c r="A12750">
        <v>21545</v>
      </c>
      <c r="B12750" t="s">
        <v>26</v>
      </c>
      <c r="C12750">
        <v>21545</v>
      </c>
      <c r="D12750" t="str">
        <f>"21545"</f>
        <v>21545</v>
      </c>
      <c r="E12750">
        <v>73.86</v>
      </c>
    </row>
    <row r="12751" spans="1:5" x14ac:dyDescent="0.2">
      <c r="A12751">
        <v>21550</v>
      </c>
      <c r="B12751" t="s">
        <v>26</v>
      </c>
      <c r="C12751">
        <v>21550</v>
      </c>
      <c r="D12751" t="str">
        <f>"21550"</f>
        <v>21550</v>
      </c>
      <c r="E12751">
        <v>70.02</v>
      </c>
    </row>
    <row r="12752" spans="1:5" x14ac:dyDescent="0.2">
      <c r="A12752">
        <v>21555</v>
      </c>
      <c r="B12752" t="s">
        <v>26</v>
      </c>
      <c r="C12752">
        <v>21555</v>
      </c>
      <c r="D12752" t="str">
        <f>"21555"</f>
        <v>21555</v>
      </c>
      <c r="E12752">
        <v>73.239999999999995</v>
      </c>
    </row>
    <row r="12753" spans="1:5" x14ac:dyDescent="0.2">
      <c r="A12753">
        <v>21556</v>
      </c>
      <c r="B12753" t="s">
        <v>26</v>
      </c>
      <c r="C12753">
        <v>21556</v>
      </c>
      <c r="D12753" t="str">
        <f>"21556"</f>
        <v>21556</v>
      </c>
      <c r="E12753" t="s">
        <v>6</v>
      </c>
    </row>
    <row r="12754" spans="1:5" x14ac:dyDescent="0.2">
      <c r="A12754">
        <v>21557</v>
      </c>
      <c r="B12754" t="s">
        <v>26</v>
      </c>
      <c r="C12754">
        <v>21557</v>
      </c>
      <c r="D12754" t="str">
        <f>"21557"</f>
        <v>21557</v>
      </c>
      <c r="E12754">
        <v>72.150000000000006</v>
      </c>
    </row>
    <row r="12755" spans="1:5" x14ac:dyDescent="0.2">
      <c r="A12755">
        <v>21560</v>
      </c>
      <c r="B12755" t="s">
        <v>26</v>
      </c>
      <c r="C12755">
        <v>21560</v>
      </c>
      <c r="D12755" t="str">
        <f>"21560"</f>
        <v>21560</v>
      </c>
      <c r="E12755" t="s">
        <v>6</v>
      </c>
    </row>
    <row r="12756" spans="1:5" x14ac:dyDescent="0.2">
      <c r="A12756">
        <v>21561</v>
      </c>
      <c r="B12756" t="s">
        <v>26</v>
      </c>
      <c r="C12756">
        <v>21561</v>
      </c>
      <c r="D12756" t="str">
        <f>"21561"</f>
        <v>21561</v>
      </c>
      <c r="E12756">
        <v>76.52</v>
      </c>
    </row>
    <row r="12757" spans="1:5" x14ac:dyDescent="0.2">
      <c r="A12757">
        <v>21562</v>
      </c>
      <c r="B12757" t="s">
        <v>26</v>
      </c>
      <c r="C12757">
        <v>21562</v>
      </c>
      <c r="D12757" t="str">
        <f>"21562"</f>
        <v>21562</v>
      </c>
      <c r="E12757">
        <v>68.64</v>
      </c>
    </row>
    <row r="12758" spans="1:5" x14ac:dyDescent="0.2">
      <c r="A12758">
        <v>21601</v>
      </c>
      <c r="B12758" t="s">
        <v>26</v>
      </c>
      <c r="C12758">
        <v>21601</v>
      </c>
      <c r="D12758" t="str">
        <f>"21601"</f>
        <v>21601</v>
      </c>
      <c r="E12758">
        <v>72.73</v>
      </c>
    </row>
    <row r="12759" spans="1:5" x14ac:dyDescent="0.2">
      <c r="A12759">
        <v>21607</v>
      </c>
      <c r="B12759" t="s">
        <v>26</v>
      </c>
      <c r="C12759">
        <v>21607</v>
      </c>
      <c r="D12759" t="str">
        <f>"21607"</f>
        <v>21607</v>
      </c>
      <c r="E12759">
        <v>71.430000000000007</v>
      </c>
    </row>
    <row r="12760" spans="1:5" x14ac:dyDescent="0.2">
      <c r="A12760">
        <v>21610</v>
      </c>
      <c r="B12760" t="s">
        <v>26</v>
      </c>
      <c r="C12760">
        <v>21610</v>
      </c>
      <c r="D12760" t="str">
        <f>"21610"</f>
        <v>21610</v>
      </c>
      <c r="E12760">
        <v>76.47</v>
      </c>
    </row>
    <row r="12761" spans="1:5" x14ac:dyDescent="0.2">
      <c r="A12761">
        <v>21612</v>
      </c>
      <c r="B12761" t="s">
        <v>26</v>
      </c>
      <c r="C12761">
        <v>21612</v>
      </c>
      <c r="D12761" t="str">
        <f>"21612"</f>
        <v>21612</v>
      </c>
      <c r="E12761">
        <v>71.430000000000007</v>
      </c>
    </row>
    <row r="12762" spans="1:5" x14ac:dyDescent="0.2">
      <c r="A12762">
        <v>21613</v>
      </c>
      <c r="B12762" t="s">
        <v>26</v>
      </c>
      <c r="C12762">
        <v>21613</v>
      </c>
      <c r="D12762" t="str">
        <f>"21613"</f>
        <v>21613</v>
      </c>
      <c r="E12762">
        <v>64.010000000000005</v>
      </c>
    </row>
    <row r="12763" spans="1:5" x14ac:dyDescent="0.2">
      <c r="A12763">
        <v>21617</v>
      </c>
      <c r="B12763" t="s">
        <v>26</v>
      </c>
      <c r="C12763">
        <v>21617</v>
      </c>
      <c r="D12763" t="str">
        <f>"21617"</f>
        <v>21617</v>
      </c>
      <c r="E12763">
        <v>78.75</v>
      </c>
    </row>
    <row r="12764" spans="1:5" x14ac:dyDescent="0.2">
      <c r="A12764">
        <v>21619</v>
      </c>
      <c r="B12764" t="s">
        <v>26</v>
      </c>
      <c r="C12764">
        <v>21619</v>
      </c>
      <c r="D12764" t="str">
        <f>"21619"</f>
        <v>21619</v>
      </c>
      <c r="E12764">
        <v>81.27</v>
      </c>
    </row>
    <row r="12765" spans="1:5" x14ac:dyDescent="0.2">
      <c r="A12765">
        <v>21620</v>
      </c>
      <c r="B12765" t="s">
        <v>26</v>
      </c>
      <c r="C12765">
        <v>21620</v>
      </c>
      <c r="D12765" t="str">
        <f>"21620"</f>
        <v>21620</v>
      </c>
      <c r="E12765">
        <v>74.27</v>
      </c>
    </row>
    <row r="12766" spans="1:5" x14ac:dyDescent="0.2">
      <c r="A12766">
        <v>21622</v>
      </c>
      <c r="B12766" t="s">
        <v>26</v>
      </c>
      <c r="C12766">
        <v>21622</v>
      </c>
      <c r="D12766" t="str">
        <f>"21622"</f>
        <v>21622</v>
      </c>
      <c r="E12766">
        <v>75</v>
      </c>
    </row>
    <row r="12767" spans="1:5" x14ac:dyDescent="0.2">
      <c r="A12767">
        <v>21623</v>
      </c>
      <c r="B12767" t="s">
        <v>26</v>
      </c>
      <c r="C12767">
        <v>21623</v>
      </c>
      <c r="D12767" t="str">
        <f>"21623"</f>
        <v>21623</v>
      </c>
      <c r="E12767">
        <v>73.680000000000007</v>
      </c>
    </row>
    <row r="12768" spans="1:5" x14ac:dyDescent="0.2">
      <c r="A12768">
        <v>21624</v>
      </c>
      <c r="B12768" t="s">
        <v>26</v>
      </c>
      <c r="C12768">
        <v>21624</v>
      </c>
      <c r="D12768" t="str">
        <f>"21624"</f>
        <v>21624</v>
      </c>
      <c r="E12768" t="s">
        <v>6</v>
      </c>
    </row>
    <row r="12769" spans="1:5" x14ac:dyDescent="0.2">
      <c r="A12769">
        <v>21625</v>
      </c>
      <c r="B12769" t="s">
        <v>26</v>
      </c>
      <c r="C12769">
        <v>21625</v>
      </c>
      <c r="D12769" t="str">
        <f>"21625"</f>
        <v>21625</v>
      </c>
      <c r="E12769">
        <v>76.319999999999993</v>
      </c>
    </row>
    <row r="12770" spans="1:5" x14ac:dyDescent="0.2">
      <c r="A12770">
        <v>21626</v>
      </c>
      <c r="B12770" t="s">
        <v>26</v>
      </c>
      <c r="C12770">
        <v>21626</v>
      </c>
      <c r="D12770" t="str">
        <f>"21626"</f>
        <v>21626</v>
      </c>
      <c r="E12770" t="s">
        <v>6</v>
      </c>
    </row>
    <row r="12771" spans="1:5" x14ac:dyDescent="0.2">
      <c r="A12771">
        <v>21627</v>
      </c>
      <c r="B12771" t="s">
        <v>26</v>
      </c>
      <c r="C12771">
        <v>21627</v>
      </c>
      <c r="D12771" t="str">
        <f>"21627"</f>
        <v>21627</v>
      </c>
      <c r="E12771" t="s">
        <v>6</v>
      </c>
    </row>
    <row r="12772" spans="1:5" x14ac:dyDescent="0.2">
      <c r="A12772">
        <v>21628</v>
      </c>
      <c r="B12772" t="s">
        <v>26</v>
      </c>
      <c r="C12772">
        <v>21628</v>
      </c>
      <c r="D12772" t="str">
        <f>"21628"</f>
        <v>21628</v>
      </c>
      <c r="E12772" t="s">
        <v>6</v>
      </c>
    </row>
    <row r="12773" spans="1:5" x14ac:dyDescent="0.2">
      <c r="A12773">
        <v>21629</v>
      </c>
      <c r="B12773" t="s">
        <v>26</v>
      </c>
      <c r="C12773">
        <v>21629</v>
      </c>
      <c r="D12773" t="str">
        <f>"21629"</f>
        <v>21629</v>
      </c>
      <c r="E12773">
        <v>72.27</v>
      </c>
    </row>
    <row r="12774" spans="1:5" x14ac:dyDescent="0.2">
      <c r="A12774">
        <v>21631</v>
      </c>
      <c r="B12774" t="s">
        <v>26</v>
      </c>
      <c r="C12774">
        <v>21631</v>
      </c>
      <c r="D12774" t="str">
        <f>"21631"</f>
        <v>21631</v>
      </c>
      <c r="E12774">
        <v>74.02</v>
      </c>
    </row>
    <row r="12775" spans="1:5" x14ac:dyDescent="0.2">
      <c r="A12775">
        <v>21632</v>
      </c>
      <c r="B12775" t="s">
        <v>26</v>
      </c>
      <c r="C12775">
        <v>21632</v>
      </c>
      <c r="D12775" t="str">
        <f>"21632"</f>
        <v>21632</v>
      </c>
      <c r="E12775">
        <v>61.03</v>
      </c>
    </row>
    <row r="12776" spans="1:5" x14ac:dyDescent="0.2">
      <c r="A12776">
        <v>21634</v>
      </c>
      <c r="B12776" t="s">
        <v>26</v>
      </c>
      <c r="C12776">
        <v>21634</v>
      </c>
      <c r="D12776" t="str">
        <f>"21634"</f>
        <v>21634</v>
      </c>
      <c r="E12776">
        <v>48.48</v>
      </c>
    </row>
    <row r="12777" spans="1:5" x14ac:dyDescent="0.2">
      <c r="A12777">
        <v>21635</v>
      </c>
      <c r="B12777" t="s">
        <v>26</v>
      </c>
      <c r="C12777">
        <v>21635</v>
      </c>
      <c r="D12777" t="str">
        <f>"21635"</f>
        <v>21635</v>
      </c>
      <c r="E12777">
        <v>81.63</v>
      </c>
    </row>
    <row r="12778" spans="1:5" x14ac:dyDescent="0.2">
      <c r="A12778">
        <v>21636</v>
      </c>
      <c r="B12778" t="s">
        <v>26</v>
      </c>
      <c r="C12778">
        <v>21636</v>
      </c>
      <c r="D12778" t="str">
        <f>"21636"</f>
        <v>21636</v>
      </c>
      <c r="E12778">
        <v>70.59</v>
      </c>
    </row>
    <row r="12779" spans="1:5" x14ac:dyDescent="0.2">
      <c r="A12779">
        <v>21638</v>
      </c>
      <c r="B12779" t="s">
        <v>26</v>
      </c>
      <c r="C12779">
        <v>21638</v>
      </c>
      <c r="D12779" t="str">
        <f>"21638"</f>
        <v>21638</v>
      </c>
      <c r="E12779">
        <v>77.37</v>
      </c>
    </row>
    <row r="12780" spans="1:5" x14ac:dyDescent="0.2">
      <c r="A12780">
        <v>21639</v>
      </c>
      <c r="B12780" t="s">
        <v>26</v>
      </c>
      <c r="C12780">
        <v>21639</v>
      </c>
      <c r="D12780" t="str">
        <f>"21639"</f>
        <v>21639</v>
      </c>
      <c r="E12780">
        <v>69.760000000000005</v>
      </c>
    </row>
    <row r="12781" spans="1:5" x14ac:dyDescent="0.2">
      <c r="A12781">
        <v>21640</v>
      </c>
      <c r="B12781" t="s">
        <v>26</v>
      </c>
      <c r="C12781">
        <v>21640</v>
      </c>
      <c r="D12781" t="str">
        <f>"21640"</f>
        <v>21640</v>
      </c>
      <c r="E12781">
        <v>63.51</v>
      </c>
    </row>
    <row r="12782" spans="1:5" x14ac:dyDescent="0.2">
      <c r="A12782">
        <v>21641</v>
      </c>
      <c r="B12782" t="s">
        <v>26</v>
      </c>
      <c r="C12782">
        <v>21641</v>
      </c>
      <c r="D12782" t="str">
        <f>"21641"</f>
        <v>21641</v>
      </c>
      <c r="E12782" t="s">
        <v>6</v>
      </c>
    </row>
    <row r="12783" spans="1:5" x14ac:dyDescent="0.2">
      <c r="A12783">
        <v>21643</v>
      </c>
      <c r="B12783" t="s">
        <v>26</v>
      </c>
      <c r="C12783">
        <v>21643</v>
      </c>
      <c r="D12783" t="str">
        <f>"21643"</f>
        <v>21643</v>
      </c>
      <c r="E12783">
        <v>68.27</v>
      </c>
    </row>
    <row r="12784" spans="1:5" x14ac:dyDescent="0.2">
      <c r="A12784">
        <v>21644</v>
      </c>
      <c r="B12784" t="s">
        <v>26</v>
      </c>
      <c r="C12784">
        <v>21644</v>
      </c>
      <c r="D12784" t="str">
        <f>"21644"</f>
        <v>21644</v>
      </c>
      <c r="E12784" t="s">
        <v>6</v>
      </c>
    </row>
    <row r="12785" spans="1:5" x14ac:dyDescent="0.2">
      <c r="A12785">
        <v>21645</v>
      </c>
      <c r="B12785" t="s">
        <v>26</v>
      </c>
      <c r="C12785">
        <v>21645</v>
      </c>
      <c r="D12785" t="str">
        <f>"21645"</f>
        <v>21645</v>
      </c>
      <c r="E12785">
        <v>75</v>
      </c>
    </row>
    <row r="12786" spans="1:5" x14ac:dyDescent="0.2">
      <c r="A12786">
        <v>21647</v>
      </c>
      <c r="B12786" t="s">
        <v>26</v>
      </c>
      <c r="C12786">
        <v>21647</v>
      </c>
      <c r="D12786" t="str">
        <f>"21647"</f>
        <v>21647</v>
      </c>
      <c r="E12786">
        <v>76.47</v>
      </c>
    </row>
    <row r="12787" spans="1:5" x14ac:dyDescent="0.2">
      <c r="A12787">
        <v>21648</v>
      </c>
      <c r="B12787" t="s">
        <v>26</v>
      </c>
      <c r="C12787">
        <v>21648</v>
      </c>
      <c r="D12787" t="str">
        <f>"21648"</f>
        <v>21648</v>
      </c>
      <c r="E12787" t="s">
        <v>6</v>
      </c>
    </row>
    <row r="12788" spans="1:5" x14ac:dyDescent="0.2">
      <c r="A12788">
        <v>21649</v>
      </c>
      <c r="B12788" t="s">
        <v>26</v>
      </c>
      <c r="C12788">
        <v>21649</v>
      </c>
      <c r="D12788" t="str">
        <f>"21649"</f>
        <v>21649</v>
      </c>
      <c r="E12788">
        <v>52.63</v>
      </c>
    </row>
    <row r="12789" spans="1:5" x14ac:dyDescent="0.2">
      <c r="A12789">
        <v>21650</v>
      </c>
      <c r="B12789" t="s">
        <v>26</v>
      </c>
      <c r="C12789">
        <v>21650</v>
      </c>
      <c r="D12789" t="str">
        <f>"21650"</f>
        <v>21650</v>
      </c>
      <c r="E12789">
        <v>81.819999999999993</v>
      </c>
    </row>
    <row r="12790" spans="1:5" x14ac:dyDescent="0.2">
      <c r="A12790">
        <v>21651</v>
      </c>
      <c r="B12790" t="s">
        <v>26</v>
      </c>
      <c r="C12790">
        <v>21651</v>
      </c>
      <c r="D12790" t="str">
        <f>"21651"</f>
        <v>21651</v>
      </c>
      <c r="E12790">
        <v>75.400000000000006</v>
      </c>
    </row>
    <row r="12791" spans="1:5" x14ac:dyDescent="0.2">
      <c r="A12791">
        <v>21652</v>
      </c>
      <c r="B12791" t="s">
        <v>26</v>
      </c>
      <c r="C12791">
        <v>21652</v>
      </c>
      <c r="D12791" t="str">
        <f>"21652"</f>
        <v>21652</v>
      </c>
      <c r="E12791" t="s">
        <v>6</v>
      </c>
    </row>
    <row r="12792" spans="1:5" x14ac:dyDescent="0.2">
      <c r="A12792">
        <v>21653</v>
      </c>
      <c r="B12792" t="s">
        <v>26</v>
      </c>
      <c r="C12792">
        <v>21653</v>
      </c>
      <c r="D12792" t="str">
        <f>"21653"</f>
        <v>21653</v>
      </c>
      <c r="E12792" t="s">
        <v>6</v>
      </c>
    </row>
    <row r="12793" spans="1:5" x14ac:dyDescent="0.2">
      <c r="A12793">
        <v>21654</v>
      </c>
      <c r="B12793" t="s">
        <v>26</v>
      </c>
      <c r="C12793">
        <v>21654</v>
      </c>
      <c r="D12793" t="str">
        <f>"21654"</f>
        <v>21654</v>
      </c>
      <c r="E12793">
        <v>79.03</v>
      </c>
    </row>
    <row r="12794" spans="1:5" x14ac:dyDescent="0.2">
      <c r="A12794">
        <v>21655</v>
      </c>
      <c r="B12794" t="s">
        <v>26</v>
      </c>
      <c r="C12794">
        <v>21655</v>
      </c>
      <c r="D12794" t="str">
        <f>"21655"</f>
        <v>21655</v>
      </c>
      <c r="E12794">
        <v>70.95</v>
      </c>
    </row>
    <row r="12795" spans="1:5" x14ac:dyDescent="0.2">
      <c r="A12795">
        <v>21657</v>
      </c>
      <c r="B12795" t="s">
        <v>26</v>
      </c>
      <c r="C12795">
        <v>21657</v>
      </c>
      <c r="D12795" t="str">
        <f>"21657"</f>
        <v>21657</v>
      </c>
      <c r="E12795">
        <v>78.569999999999993</v>
      </c>
    </row>
    <row r="12796" spans="1:5" x14ac:dyDescent="0.2">
      <c r="A12796">
        <v>21658</v>
      </c>
      <c r="B12796" t="s">
        <v>26</v>
      </c>
      <c r="C12796">
        <v>21658</v>
      </c>
      <c r="D12796" t="str">
        <f>"21658"</f>
        <v>21658</v>
      </c>
      <c r="E12796">
        <v>77.2</v>
      </c>
    </row>
    <row r="12797" spans="1:5" x14ac:dyDescent="0.2">
      <c r="A12797">
        <v>21659</v>
      </c>
      <c r="B12797" t="s">
        <v>26</v>
      </c>
      <c r="C12797">
        <v>21659</v>
      </c>
      <c r="D12797" t="str">
        <f>"21659"</f>
        <v>21659</v>
      </c>
      <c r="E12797">
        <v>72.5</v>
      </c>
    </row>
    <row r="12798" spans="1:5" x14ac:dyDescent="0.2">
      <c r="A12798">
        <v>21660</v>
      </c>
      <c r="B12798" t="s">
        <v>26</v>
      </c>
      <c r="C12798">
        <v>21660</v>
      </c>
      <c r="D12798" t="str">
        <f>"21660"</f>
        <v>21660</v>
      </c>
      <c r="E12798">
        <v>71.66</v>
      </c>
    </row>
    <row r="12799" spans="1:5" x14ac:dyDescent="0.2">
      <c r="A12799">
        <v>21661</v>
      </c>
      <c r="B12799" t="s">
        <v>26</v>
      </c>
      <c r="C12799">
        <v>21661</v>
      </c>
      <c r="D12799" t="str">
        <f>"21661"</f>
        <v>21661</v>
      </c>
      <c r="E12799">
        <v>68.849999999999994</v>
      </c>
    </row>
    <row r="12800" spans="1:5" x14ac:dyDescent="0.2">
      <c r="A12800">
        <v>21662</v>
      </c>
      <c r="B12800" t="s">
        <v>26</v>
      </c>
      <c r="C12800">
        <v>21662</v>
      </c>
      <c r="D12800" t="str">
        <f>"21662"</f>
        <v>21662</v>
      </c>
      <c r="E12800">
        <v>78.95</v>
      </c>
    </row>
    <row r="12801" spans="1:5" x14ac:dyDescent="0.2">
      <c r="A12801">
        <v>21663</v>
      </c>
      <c r="B12801" t="s">
        <v>26</v>
      </c>
      <c r="C12801">
        <v>21663</v>
      </c>
      <c r="D12801" t="str">
        <f>"21663"</f>
        <v>21663</v>
      </c>
      <c r="E12801">
        <v>77.709999999999994</v>
      </c>
    </row>
    <row r="12802" spans="1:5" x14ac:dyDescent="0.2">
      <c r="A12802">
        <v>21664</v>
      </c>
      <c r="B12802" t="s">
        <v>26</v>
      </c>
      <c r="C12802">
        <v>21664</v>
      </c>
      <c r="D12802" t="str">
        <f>"21664"</f>
        <v>21664</v>
      </c>
      <c r="E12802" t="s">
        <v>6</v>
      </c>
    </row>
    <row r="12803" spans="1:5" x14ac:dyDescent="0.2">
      <c r="A12803">
        <v>21665</v>
      </c>
      <c r="B12803" t="s">
        <v>26</v>
      </c>
      <c r="C12803">
        <v>21665</v>
      </c>
      <c r="D12803" t="str">
        <f>"21665"</f>
        <v>21665</v>
      </c>
      <c r="E12803">
        <v>75</v>
      </c>
    </row>
    <row r="12804" spans="1:5" x14ac:dyDescent="0.2">
      <c r="A12804">
        <v>21666</v>
      </c>
      <c r="B12804" t="s">
        <v>26</v>
      </c>
      <c r="C12804">
        <v>21666</v>
      </c>
      <c r="D12804" t="str">
        <f>"21666"</f>
        <v>21666</v>
      </c>
      <c r="E12804">
        <v>80.95</v>
      </c>
    </row>
    <row r="12805" spans="1:5" x14ac:dyDescent="0.2">
      <c r="A12805">
        <v>21667</v>
      </c>
      <c r="B12805" t="s">
        <v>26</v>
      </c>
      <c r="C12805">
        <v>21667</v>
      </c>
      <c r="D12805" t="str">
        <f>"21667"</f>
        <v>21667</v>
      </c>
      <c r="E12805">
        <v>75</v>
      </c>
    </row>
    <row r="12806" spans="1:5" x14ac:dyDescent="0.2">
      <c r="A12806">
        <v>21668</v>
      </c>
      <c r="B12806" t="s">
        <v>26</v>
      </c>
      <c r="C12806">
        <v>21668</v>
      </c>
      <c r="D12806" t="str">
        <f>"21668"</f>
        <v>21668</v>
      </c>
      <c r="E12806">
        <v>70.37</v>
      </c>
    </row>
    <row r="12807" spans="1:5" x14ac:dyDescent="0.2">
      <c r="A12807">
        <v>21669</v>
      </c>
      <c r="B12807" t="s">
        <v>26</v>
      </c>
      <c r="C12807">
        <v>21669</v>
      </c>
      <c r="D12807" t="str">
        <f>"21669"</f>
        <v>21669</v>
      </c>
      <c r="E12807" t="s">
        <v>6</v>
      </c>
    </row>
    <row r="12808" spans="1:5" x14ac:dyDescent="0.2">
      <c r="A12808">
        <v>21671</v>
      </c>
      <c r="B12808" t="s">
        <v>26</v>
      </c>
      <c r="C12808">
        <v>21671</v>
      </c>
      <c r="D12808" t="str">
        <f>"21671"</f>
        <v>21671</v>
      </c>
      <c r="E12808">
        <v>66.67</v>
      </c>
    </row>
    <row r="12809" spans="1:5" x14ac:dyDescent="0.2">
      <c r="A12809">
        <v>21672</v>
      </c>
      <c r="B12809" t="s">
        <v>26</v>
      </c>
      <c r="C12809">
        <v>21672</v>
      </c>
      <c r="D12809" t="str">
        <f>"21672"</f>
        <v>21672</v>
      </c>
      <c r="E12809" t="s">
        <v>6</v>
      </c>
    </row>
    <row r="12810" spans="1:5" x14ac:dyDescent="0.2">
      <c r="A12810">
        <v>21673</v>
      </c>
      <c r="B12810" t="s">
        <v>26</v>
      </c>
      <c r="C12810">
        <v>21673</v>
      </c>
      <c r="D12810" t="str">
        <f>"21673"</f>
        <v>21673</v>
      </c>
      <c r="E12810">
        <v>71.61</v>
      </c>
    </row>
    <row r="12811" spans="1:5" x14ac:dyDescent="0.2">
      <c r="A12811">
        <v>21675</v>
      </c>
      <c r="B12811" t="s">
        <v>26</v>
      </c>
      <c r="C12811">
        <v>21675</v>
      </c>
      <c r="D12811" t="str">
        <f>"21675"</f>
        <v>21675</v>
      </c>
      <c r="E12811" t="s">
        <v>6</v>
      </c>
    </row>
    <row r="12812" spans="1:5" x14ac:dyDescent="0.2">
      <c r="A12812">
        <v>21676</v>
      </c>
      <c r="B12812" t="s">
        <v>26</v>
      </c>
      <c r="C12812">
        <v>21676</v>
      </c>
      <c r="D12812" t="str">
        <f>"21676"</f>
        <v>21676</v>
      </c>
      <c r="E12812">
        <v>73.33</v>
      </c>
    </row>
    <row r="12813" spans="1:5" x14ac:dyDescent="0.2">
      <c r="A12813">
        <v>21677</v>
      </c>
      <c r="B12813" t="s">
        <v>26</v>
      </c>
      <c r="C12813">
        <v>21677</v>
      </c>
      <c r="D12813" t="str">
        <f>"21677"</f>
        <v>21677</v>
      </c>
      <c r="E12813">
        <v>71.430000000000007</v>
      </c>
    </row>
    <row r="12814" spans="1:5" x14ac:dyDescent="0.2">
      <c r="A12814">
        <v>21678</v>
      </c>
      <c r="B12814" t="s">
        <v>26</v>
      </c>
      <c r="C12814">
        <v>21678</v>
      </c>
      <c r="D12814" t="str">
        <f>"21678"</f>
        <v>21678</v>
      </c>
      <c r="E12814">
        <v>75.680000000000007</v>
      </c>
    </row>
    <row r="12815" spans="1:5" x14ac:dyDescent="0.2">
      <c r="A12815">
        <v>21679</v>
      </c>
      <c r="B12815" t="s">
        <v>26</v>
      </c>
      <c r="C12815">
        <v>21679</v>
      </c>
      <c r="D12815" t="str">
        <f>"21679"</f>
        <v>21679</v>
      </c>
      <c r="E12815">
        <v>79.17</v>
      </c>
    </row>
    <row r="12816" spans="1:5" x14ac:dyDescent="0.2">
      <c r="A12816">
        <v>21701</v>
      </c>
      <c r="B12816" t="s">
        <v>26</v>
      </c>
      <c r="C12816">
        <v>21701</v>
      </c>
      <c r="D12816" t="str">
        <f>"21701"</f>
        <v>21701</v>
      </c>
      <c r="E12816">
        <v>79.92</v>
      </c>
    </row>
    <row r="12817" spans="1:5" x14ac:dyDescent="0.2">
      <c r="A12817">
        <v>21702</v>
      </c>
      <c r="B12817" t="s">
        <v>26</v>
      </c>
      <c r="C12817">
        <v>21702</v>
      </c>
      <c r="D12817" t="str">
        <f>"21702"</f>
        <v>21702</v>
      </c>
      <c r="E12817">
        <v>73.87</v>
      </c>
    </row>
    <row r="12818" spans="1:5" x14ac:dyDescent="0.2">
      <c r="A12818">
        <v>21703</v>
      </c>
      <c r="B12818" t="s">
        <v>26</v>
      </c>
      <c r="C12818">
        <v>21703</v>
      </c>
      <c r="D12818" t="str">
        <f>"21703"</f>
        <v>21703</v>
      </c>
      <c r="E12818">
        <v>74.14</v>
      </c>
    </row>
    <row r="12819" spans="1:5" x14ac:dyDescent="0.2">
      <c r="A12819">
        <v>21704</v>
      </c>
      <c r="B12819" t="s">
        <v>26</v>
      </c>
      <c r="C12819">
        <v>21704</v>
      </c>
      <c r="D12819" t="str">
        <f>"21704"</f>
        <v>21704</v>
      </c>
      <c r="E12819">
        <v>81.760000000000005</v>
      </c>
    </row>
    <row r="12820" spans="1:5" x14ac:dyDescent="0.2">
      <c r="A12820">
        <v>21710</v>
      </c>
      <c r="B12820" t="s">
        <v>26</v>
      </c>
      <c r="C12820">
        <v>21710</v>
      </c>
      <c r="D12820" t="str">
        <f>"21710"</f>
        <v>21710</v>
      </c>
      <c r="E12820">
        <v>83.56</v>
      </c>
    </row>
    <row r="12821" spans="1:5" x14ac:dyDescent="0.2">
      <c r="A12821">
        <v>21711</v>
      </c>
      <c r="B12821" t="s">
        <v>26</v>
      </c>
      <c r="C12821">
        <v>21711</v>
      </c>
      <c r="D12821" t="str">
        <f>"21711"</f>
        <v>21711</v>
      </c>
      <c r="E12821">
        <v>76</v>
      </c>
    </row>
    <row r="12822" spans="1:5" x14ac:dyDescent="0.2">
      <c r="A12822">
        <v>21713</v>
      </c>
      <c r="B12822" t="s">
        <v>26</v>
      </c>
      <c r="C12822">
        <v>21713</v>
      </c>
      <c r="D12822" t="str">
        <f>"21713"</f>
        <v>21713</v>
      </c>
      <c r="E12822">
        <v>78.48</v>
      </c>
    </row>
    <row r="12823" spans="1:5" x14ac:dyDescent="0.2">
      <c r="A12823">
        <v>21714</v>
      </c>
      <c r="B12823" t="s">
        <v>26</v>
      </c>
      <c r="C12823">
        <v>21714</v>
      </c>
      <c r="D12823" t="str">
        <f>"21714"</f>
        <v>21714</v>
      </c>
      <c r="E12823" t="s">
        <v>6</v>
      </c>
    </row>
    <row r="12824" spans="1:5" x14ac:dyDescent="0.2">
      <c r="A12824">
        <v>21715</v>
      </c>
      <c r="B12824" t="s">
        <v>26</v>
      </c>
      <c r="C12824">
        <v>21715</v>
      </c>
      <c r="D12824" t="str">
        <f>"21715"</f>
        <v>21715</v>
      </c>
      <c r="E12824" t="s">
        <v>6</v>
      </c>
    </row>
    <row r="12825" spans="1:5" x14ac:dyDescent="0.2">
      <c r="A12825">
        <v>21716</v>
      </c>
      <c r="B12825" t="s">
        <v>26</v>
      </c>
      <c r="C12825">
        <v>21716</v>
      </c>
      <c r="D12825" t="str">
        <f>"21716"</f>
        <v>21716</v>
      </c>
      <c r="E12825">
        <v>79.67</v>
      </c>
    </row>
    <row r="12826" spans="1:5" x14ac:dyDescent="0.2">
      <c r="A12826">
        <v>21717</v>
      </c>
      <c r="B12826" t="s">
        <v>26</v>
      </c>
      <c r="C12826">
        <v>21717</v>
      </c>
      <c r="D12826" t="str">
        <f>"21717"</f>
        <v>21717</v>
      </c>
      <c r="E12826" t="s">
        <v>6</v>
      </c>
    </row>
    <row r="12827" spans="1:5" x14ac:dyDescent="0.2">
      <c r="A12827">
        <v>21718</v>
      </c>
      <c r="B12827" t="s">
        <v>26</v>
      </c>
      <c r="C12827">
        <v>21718</v>
      </c>
      <c r="D12827" t="str">
        <f>"21718"</f>
        <v>21718</v>
      </c>
      <c r="E12827" t="s">
        <v>6</v>
      </c>
    </row>
    <row r="12828" spans="1:5" x14ac:dyDescent="0.2">
      <c r="A12828">
        <v>21719</v>
      </c>
      <c r="B12828" t="s">
        <v>26</v>
      </c>
      <c r="C12828">
        <v>21719</v>
      </c>
      <c r="D12828" t="str">
        <f>"21719"</f>
        <v>21719</v>
      </c>
      <c r="E12828">
        <v>72.13</v>
      </c>
    </row>
    <row r="12829" spans="1:5" x14ac:dyDescent="0.2">
      <c r="A12829">
        <v>21720</v>
      </c>
      <c r="B12829" t="s">
        <v>26</v>
      </c>
      <c r="C12829">
        <v>21720</v>
      </c>
      <c r="D12829" t="str">
        <f>"21720"</f>
        <v>21720</v>
      </c>
      <c r="E12829" t="s">
        <v>6</v>
      </c>
    </row>
    <row r="12830" spans="1:5" x14ac:dyDescent="0.2">
      <c r="A12830">
        <v>21721</v>
      </c>
      <c r="B12830" t="s">
        <v>26</v>
      </c>
      <c r="C12830">
        <v>21721</v>
      </c>
      <c r="D12830" t="str">
        <f>"21721"</f>
        <v>21721</v>
      </c>
      <c r="E12830" t="s">
        <v>6</v>
      </c>
    </row>
    <row r="12831" spans="1:5" x14ac:dyDescent="0.2">
      <c r="A12831">
        <v>21722</v>
      </c>
      <c r="B12831" t="s">
        <v>26</v>
      </c>
      <c r="C12831">
        <v>21722</v>
      </c>
      <c r="D12831" t="str">
        <f>"21722"</f>
        <v>21722</v>
      </c>
      <c r="E12831">
        <v>76.47</v>
      </c>
    </row>
    <row r="12832" spans="1:5" x14ac:dyDescent="0.2">
      <c r="A12832">
        <v>21723</v>
      </c>
      <c r="B12832" t="s">
        <v>26</v>
      </c>
      <c r="C12832">
        <v>21723</v>
      </c>
      <c r="D12832" t="str">
        <f>"21723"</f>
        <v>21723</v>
      </c>
      <c r="E12832">
        <v>82.93</v>
      </c>
    </row>
    <row r="12833" spans="1:5" x14ac:dyDescent="0.2">
      <c r="A12833">
        <v>21727</v>
      </c>
      <c r="B12833" t="s">
        <v>26</v>
      </c>
      <c r="C12833">
        <v>21727</v>
      </c>
      <c r="D12833" t="str">
        <f>"21727"</f>
        <v>21727</v>
      </c>
      <c r="E12833">
        <v>77.73</v>
      </c>
    </row>
    <row r="12834" spans="1:5" x14ac:dyDescent="0.2">
      <c r="A12834">
        <v>21733</v>
      </c>
      <c r="B12834" t="s">
        <v>26</v>
      </c>
      <c r="C12834">
        <v>21733</v>
      </c>
      <c r="D12834" t="str">
        <f>"21733"</f>
        <v>21733</v>
      </c>
      <c r="E12834">
        <v>77.97</v>
      </c>
    </row>
    <row r="12835" spans="1:5" x14ac:dyDescent="0.2">
      <c r="A12835">
        <v>21734</v>
      </c>
      <c r="B12835" t="s">
        <v>26</v>
      </c>
      <c r="C12835">
        <v>21734</v>
      </c>
      <c r="D12835" t="str">
        <f>"21734"</f>
        <v>21734</v>
      </c>
      <c r="E12835" t="s">
        <v>6</v>
      </c>
    </row>
    <row r="12836" spans="1:5" x14ac:dyDescent="0.2">
      <c r="A12836">
        <v>21737</v>
      </c>
      <c r="B12836" t="s">
        <v>26</v>
      </c>
      <c r="C12836">
        <v>21737</v>
      </c>
      <c r="D12836" t="str">
        <f>"21737"</f>
        <v>21737</v>
      </c>
      <c r="E12836">
        <v>82.98</v>
      </c>
    </row>
    <row r="12837" spans="1:5" x14ac:dyDescent="0.2">
      <c r="A12837">
        <v>21738</v>
      </c>
      <c r="B12837" t="s">
        <v>26</v>
      </c>
      <c r="C12837">
        <v>21738</v>
      </c>
      <c r="D12837" t="str">
        <f>"21738"</f>
        <v>21738</v>
      </c>
      <c r="E12837">
        <v>81.819999999999993</v>
      </c>
    </row>
    <row r="12838" spans="1:5" x14ac:dyDescent="0.2">
      <c r="A12838">
        <v>21740</v>
      </c>
      <c r="B12838" t="s">
        <v>26</v>
      </c>
      <c r="C12838">
        <v>21740</v>
      </c>
      <c r="D12838" t="str">
        <f>"21740"</f>
        <v>21740</v>
      </c>
      <c r="E12838">
        <v>66.319999999999993</v>
      </c>
    </row>
    <row r="12839" spans="1:5" x14ac:dyDescent="0.2">
      <c r="A12839">
        <v>21742</v>
      </c>
      <c r="B12839" t="s">
        <v>26</v>
      </c>
      <c r="C12839">
        <v>21742</v>
      </c>
      <c r="D12839" t="str">
        <f>"21742"</f>
        <v>21742</v>
      </c>
      <c r="E12839">
        <v>74.73</v>
      </c>
    </row>
    <row r="12840" spans="1:5" x14ac:dyDescent="0.2">
      <c r="A12840">
        <v>21746</v>
      </c>
      <c r="B12840" t="s">
        <v>26</v>
      </c>
      <c r="C12840">
        <v>21746</v>
      </c>
      <c r="D12840" t="str">
        <f>"21746"</f>
        <v>21746</v>
      </c>
      <c r="E12840" t="s">
        <v>6</v>
      </c>
    </row>
    <row r="12841" spans="1:5" x14ac:dyDescent="0.2">
      <c r="A12841">
        <v>21750</v>
      </c>
      <c r="B12841" t="s">
        <v>26</v>
      </c>
      <c r="C12841">
        <v>21750</v>
      </c>
      <c r="D12841" t="str">
        <f>"21750"</f>
        <v>21750</v>
      </c>
      <c r="E12841">
        <v>69.459999999999994</v>
      </c>
    </row>
    <row r="12842" spans="1:5" x14ac:dyDescent="0.2">
      <c r="A12842">
        <v>21754</v>
      </c>
      <c r="B12842" t="s">
        <v>26</v>
      </c>
      <c r="C12842">
        <v>21754</v>
      </c>
      <c r="D12842" t="str">
        <f>"21754"</f>
        <v>21754</v>
      </c>
      <c r="E12842">
        <v>80.91</v>
      </c>
    </row>
    <row r="12843" spans="1:5" x14ac:dyDescent="0.2">
      <c r="A12843">
        <v>21755</v>
      </c>
      <c r="B12843" t="s">
        <v>26</v>
      </c>
      <c r="C12843">
        <v>21755</v>
      </c>
      <c r="D12843" t="str">
        <f>"21755"</f>
        <v>21755</v>
      </c>
      <c r="E12843">
        <v>79.72</v>
      </c>
    </row>
    <row r="12844" spans="1:5" x14ac:dyDescent="0.2">
      <c r="A12844">
        <v>21756</v>
      </c>
      <c r="B12844" t="s">
        <v>26</v>
      </c>
      <c r="C12844">
        <v>21756</v>
      </c>
      <c r="D12844" t="str">
        <f>"21756"</f>
        <v>21756</v>
      </c>
      <c r="E12844">
        <v>82.18</v>
      </c>
    </row>
    <row r="12845" spans="1:5" x14ac:dyDescent="0.2">
      <c r="A12845">
        <v>21757</v>
      </c>
      <c r="B12845" t="s">
        <v>26</v>
      </c>
      <c r="C12845">
        <v>21757</v>
      </c>
      <c r="D12845" t="str">
        <f>"21757"</f>
        <v>21757</v>
      </c>
      <c r="E12845">
        <v>77.540000000000006</v>
      </c>
    </row>
    <row r="12846" spans="1:5" x14ac:dyDescent="0.2">
      <c r="A12846">
        <v>21758</v>
      </c>
      <c r="B12846" t="s">
        <v>26</v>
      </c>
      <c r="C12846">
        <v>21758</v>
      </c>
      <c r="D12846" t="str">
        <f>"21758"</f>
        <v>21758</v>
      </c>
      <c r="E12846">
        <v>78.64</v>
      </c>
    </row>
    <row r="12847" spans="1:5" x14ac:dyDescent="0.2">
      <c r="A12847">
        <v>21762</v>
      </c>
      <c r="B12847" t="s">
        <v>26</v>
      </c>
      <c r="C12847">
        <v>21762</v>
      </c>
      <c r="D12847" t="str">
        <f>"21762"</f>
        <v>21762</v>
      </c>
      <c r="E12847" t="s">
        <v>6</v>
      </c>
    </row>
    <row r="12848" spans="1:5" x14ac:dyDescent="0.2">
      <c r="A12848">
        <v>21766</v>
      </c>
      <c r="B12848" t="s">
        <v>26</v>
      </c>
      <c r="C12848">
        <v>21766</v>
      </c>
      <c r="D12848" t="str">
        <f>"21766"</f>
        <v>21766</v>
      </c>
      <c r="E12848">
        <v>74.19</v>
      </c>
    </row>
    <row r="12849" spans="1:5" x14ac:dyDescent="0.2">
      <c r="A12849">
        <v>21767</v>
      </c>
      <c r="B12849" t="s">
        <v>26</v>
      </c>
      <c r="C12849">
        <v>21767</v>
      </c>
      <c r="D12849" t="str">
        <f>"21767"</f>
        <v>21767</v>
      </c>
      <c r="E12849">
        <v>73.849999999999994</v>
      </c>
    </row>
    <row r="12850" spans="1:5" x14ac:dyDescent="0.2">
      <c r="A12850">
        <v>21769</v>
      </c>
      <c r="B12850" t="s">
        <v>26</v>
      </c>
      <c r="C12850">
        <v>21769</v>
      </c>
      <c r="D12850" t="str">
        <f>"21769"</f>
        <v>21769</v>
      </c>
      <c r="E12850">
        <v>81.459999999999994</v>
      </c>
    </row>
    <row r="12851" spans="1:5" x14ac:dyDescent="0.2">
      <c r="A12851">
        <v>21770</v>
      </c>
      <c r="B12851" t="s">
        <v>26</v>
      </c>
      <c r="C12851">
        <v>21770</v>
      </c>
      <c r="D12851" t="str">
        <f>"21770"</f>
        <v>21770</v>
      </c>
      <c r="E12851">
        <v>83.44</v>
      </c>
    </row>
    <row r="12852" spans="1:5" x14ac:dyDescent="0.2">
      <c r="A12852">
        <v>21771</v>
      </c>
      <c r="B12852" t="s">
        <v>26</v>
      </c>
      <c r="C12852">
        <v>21771</v>
      </c>
      <c r="D12852" t="str">
        <f>"21771"</f>
        <v>21771</v>
      </c>
      <c r="E12852">
        <v>81.569999999999993</v>
      </c>
    </row>
    <row r="12853" spans="1:5" x14ac:dyDescent="0.2">
      <c r="A12853">
        <v>21773</v>
      </c>
      <c r="B12853" t="s">
        <v>26</v>
      </c>
      <c r="C12853">
        <v>21773</v>
      </c>
      <c r="D12853" t="str">
        <f>"21773"</f>
        <v>21773</v>
      </c>
      <c r="E12853">
        <v>80.900000000000006</v>
      </c>
    </row>
    <row r="12854" spans="1:5" x14ac:dyDescent="0.2">
      <c r="A12854">
        <v>21774</v>
      </c>
      <c r="B12854" t="s">
        <v>26</v>
      </c>
      <c r="C12854">
        <v>21774</v>
      </c>
      <c r="D12854" t="str">
        <f>"21774"</f>
        <v>21774</v>
      </c>
      <c r="E12854">
        <v>84.75</v>
      </c>
    </row>
    <row r="12855" spans="1:5" x14ac:dyDescent="0.2">
      <c r="A12855">
        <v>21776</v>
      </c>
      <c r="B12855" t="s">
        <v>26</v>
      </c>
      <c r="C12855">
        <v>21776</v>
      </c>
      <c r="D12855" t="str">
        <f>"21776"</f>
        <v>21776</v>
      </c>
      <c r="E12855">
        <v>80.77</v>
      </c>
    </row>
    <row r="12856" spans="1:5" x14ac:dyDescent="0.2">
      <c r="A12856">
        <v>21777</v>
      </c>
      <c r="B12856" t="s">
        <v>26</v>
      </c>
      <c r="C12856">
        <v>21777</v>
      </c>
      <c r="D12856" t="str">
        <f>"21777"</f>
        <v>21777</v>
      </c>
      <c r="E12856">
        <v>85.54</v>
      </c>
    </row>
    <row r="12857" spans="1:5" x14ac:dyDescent="0.2">
      <c r="A12857">
        <v>21778</v>
      </c>
      <c r="B12857" t="s">
        <v>26</v>
      </c>
      <c r="C12857">
        <v>21778</v>
      </c>
      <c r="D12857" t="str">
        <f>"21778"</f>
        <v>21778</v>
      </c>
      <c r="E12857">
        <v>78.430000000000007</v>
      </c>
    </row>
    <row r="12858" spans="1:5" x14ac:dyDescent="0.2">
      <c r="A12858">
        <v>21779</v>
      </c>
      <c r="B12858" t="s">
        <v>26</v>
      </c>
      <c r="C12858">
        <v>21779</v>
      </c>
      <c r="D12858" t="str">
        <f>"21779"</f>
        <v>21779</v>
      </c>
      <c r="E12858">
        <v>81.63</v>
      </c>
    </row>
    <row r="12859" spans="1:5" x14ac:dyDescent="0.2">
      <c r="A12859">
        <v>21780</v>
      </c>
      <c r="B12859" t="s">
        <v>26</v>
      </c>
      <c r="C12859">
        <v>21780</v>
      </c>
      <c r="D12859" t="str">
        <f>"21780"</f>
        <v>21780</v>
      </c>
      <c r="E12859">
        <v>81.58</v>
      </c>
    </row>
    <row r="12860" spans="1:5" x14ac:dyDescent="0.2">
      <c r="A12860">
        <v>21782</v>
      </c>
      <c r="B12860" t="s">
        <v>26</v>
      </c>
      <c r="C12860">
        <v>21782</v>
      </c>
      <c r="D12860" t="str">
        <f>"21782"</f>
        <v>21782</v>
      </c>
      <c r="E12860">
        <v>79.27</v>
      </c>
    </row>
    <row r="12861" spans="1:5" x14ac:dyDescent="0.2">
      <c r="A12861">
        <v>21783</v>
      </c>
      <c r="B12861" t="s">
        <v>26</v>
      </c>
      <c r="C12861">
        <v>21783</v>
      </c>
      <c r="D12861" t="str">
        <f>"21783"</f>
        <v>21783</v>
      </c>
      <c r="E12861">
        <v>76.06</v>
      </c>
    </row>
    <row r="12862" spans="1:5" x14ac:dyDescent="0.2">
      <c r="A12862">
        <v>21784</v>
      </c>
      <c r="B12862" t="s">
        <v>26</v>
      </c>
      <c r="C12862">
        <v>21784</v>
      </c>
      <c r="D12862" t="str">
        <f>"21784"</f>
        <v>21784</v>
      </c>
      <c r="E12862">
        <v>83.13</v>
      </c>
    </row>
    <row r="12863" spans="1:5" x14ac:dyDescent="0.2">
      <c r="A12863">
        <v>21787</v>
      </c>
      <c r="B12863" t="s">
        <v>26</v>
      </c>
      <c r="C12863">
        <v>21787</v>
      </c>
      <c r="D12863" t="str">
        <f>"21787"</f>
        <v>21787</v>
      </c>
      <c r="E12863">
        <v>77.38</v>
      </c>
    </row>
    <row r="12864" spans="1:5" x14ac:dyDescent="0.2">
      <c r="A12864">
        <v>21788</v>
      </c>
      <c r="B12864" t="s">
        <v>26</v>
      </c>
      <c r="C12864">
        <v>21788</v>
      </c>
      <c r="D12864" t="str">
        <f>"21788"</f>
        <v>21788</v>
      </c>
      <c r="E12864">
        <v>78.62</v>
      </c>
    </row>
    <row r="12865" spans="1:5" x14ac:dyDescent="0.2">
      <c r="A12865">
        <v>21790</v>
      </c>
      <c r="B12865" t="s">
        <v>26</v>
      </c>
      <c r="C12865">
        <v>21790</v>
      </c>
      <c r="D12865" t="str">
        <f>"21790"</f>
        <v>21790</v>
      </c>
      <c r="E12865" t="s">
        <v>6</v>
      </c>
    </row>
    <row r="12866" spans="1:5" x14ac:dyDescent="0.2">
      <c r="A12866">
        <v>21791</v>
      </c>
      <c r="B12866" t="s">
        <v>26</v>
      </c>
      <c r="C12866">
        <v>21791</v>
      </c>
      <c r="D12866" t="str">
        <f>"21791"</f>
        <v>21791</v>
      </c>
      <c r="E12866">
        <v>79.349999999999994</v>
      </c>
    </row>
    <row r="12867" spans="1:5" x14ac:dyDescent="0.2">
      <c r="A12867">
        <v>21793</v>
      </c>
      <c r="B12867" t="s">
        <v>26</v>
      </c>
      <c r="C12867">
        <v>21793</v>
      </c>
      <c r="D12867" t="str">
        <f>"21793"</f>
        <v>21793</v>
      </c>
      <c r="E12867">
        <v>77.73</v>
      </c>
    </row>
    <row r="12868" spans="1:5" x14ac:dyDescent="0.2">
      <c r="A12868">
        <v>21794</v>
      </c>
      <c r="B12868" t="s">
        <v>26</v>
      </c>
      <c r="C12868">
        <v>21794</v>
      </c>
      <c r="D12868" t="str">
        <f>"21794"</f>
        <v>21794</v>
      </c>
      <c r="E12868">
        <v>80.510000000000005</v>
      </c>
    </row>
    <row r="12869" spans="1:5" x14ac:dyDescent="0.2">
      <c r="A12869">
        <v>21795</v>
      </c>
      <c r="B12869" t="s">
        <v>26</v>
      </c>
      <c r="C12869">
        <v>21795</v>
      </c>
      <c r="D12869" t="str">
        <f>"21795"</f>
        <v>21795</v>
      </c>
      <c r="E12869">
        <v>75.16</v>
      </c>
    </row>
    <row r="12870" spans="1:5" x14ac:dyDescent="0.2">
      <c r="A12870">
        <v>21797</v>
      </c>
      <c r="B12870" t="s">
        <v>26</v>
      </c>
      <c r="C12870">
        <v>21797</v>
      </c>
      <c r="D12870" t="str">
        <f>"21797"</f>
        <v>21797</v>
      </c>
      <c r="E12870">
        <v>80.930000000000007</v>
      </c>
    </row>
    <row r="12871" spans="1:5" x14ac:dyDescent="0.2">
      <c r="A12871">
        <v>21798</v>
      </c>
      <c r="B12871" t="s">
        <v>26</v>
      </c>
      <c r="C12871">
        <v>21798</v>
      </c>
      <c r="D12871" t="str">
        <f>"21798"</f>
        <v>21798</v>
      </c>
      <c r="E12871">
        <v>77.69</v>
      </c>
    </row>
    <row r="12872" spans="1:5" x14ac:dyDescent="0.2">
      <c r="A12872">
        <v>21801</v>
      </c>
      <c r="B12872" t="s">
        <v>26</v>
      </c>
      <c r="C12872">
        <v>21801</v>
      </c>
      <c r="D12872" t="str">
        <f>"21801"</f>
        <v>21801</v>
      </c>
      <c r="E12872">
        <v>64.25</v>
      </c>
    </row>
    <row r="12873" spans="1:5" x14ac:dyDescent="0.2">
      <c r="A12873">
        <v>21804</v>
      </c>
      <c r="B12873" t="s">
        <v>26</v>
      </c>
      <c r="C12873">
        <v>21804</v>
      </c>
      <c r="D12873" t="str">
        <f>"21804"</f>
        <v>21804</v>
      </c>
      <c r="E12873">
        <v>65.89</v>
      </c>
    </row>
    <row r="12874" spans="1:5" x14ac:dyDescent="0.2">
      <c r="A12874">
        <v>21811</v>
      </c>
      <c r="B12874" t="s">
        <v>26</v>
      </c>
      <c r="C12874">
        <v>21811</v>
      </c>
      <c r="D12874" t="str">
        <f>"21811"</f>
        <v>21811</v>
      </c>
      <c r="E12874">
        <v>75.33</v>
      </c>
    </row>
    <row r="12875" spans="1:5" x14ac:dyDescent="0.2">
      <c r="A12875">
        <v>21813</v>
      </c>
      <c r="B12875" t="s">
        <v>26</v>
      </c>
      <c r="C12875">
        <v>21813</v>
      </c>
      <c r="D12875" t="str">
        <f>"21813"</f>
        <v>21813</v>
      </c>
      <c r="E12875">
        <v>75.16</v>
      </c>
    </row>
    <row r="12876" spans="1:5" x14ac:dyDescent="0.2">
      <c r="A12876">
        <v>21814</v>
      </c>
      <c r="B12876" t="s">
        <v>26</v>
      </c>
      <c r="C12876">
        <v>21814</v>
      </c>
      <c r="D12876" t="str">
        <f>"21814"</f>
        <v>21814</v>
      </c>
      <c r="E12876">
        <v>70.59</v>
      </c>
    </row>
    <row r="12877" spans="1:5" x14ac:dyDescent="0.2">
      <c r="A12877">
        <v>21817</v>
      </c>
      <c r="B12877" t="s">
        <v>26</v>
      </c>
      <c r="C12877">
        <v>21817</v>
      </c>
      <c r="D12877" t="str">
        <f>"21817"</f>
        <v>21817</v>
      </c>
      <c r="E12877">
        <v>60.29</v>
      </c>
    </row>
    <row r="12878" spans="1:5" x14ac:dyDescent="0.2">
      <c r="A12878">
        <v>21821</v>
      </c>
      <c r="B12878" t="s">
        <v>26</v>
      </c>
      <c r="C12878">
        <v>21821</v>
      </c>
      <c r="D12878" t="str">
        <f>"21821"</f>
        <v>21821</v>
      </c>
      <c r="E12878">
        <v>73.53</v>
      </c>
    </row>
    <row r="12879" spans="1:5" x14ac:dyDescent="0.2">
      <c r="A12879">
        <v>21822</v>
      </c>
      <c r="B12879" t="s">
        <v>26</v>
      </c>
      <c r="C12879">
        <v>21822</v>
      </c>
      <c r="D12879" t="str">
        <f>"21822"</f>
        <v>21822</v>
      </c>
      <c r="E12879">
        <v>71.650000000000006</v>
      </c>
    </row>
    <row r="12880" spans="1:5" x14ac:dyDescent="0.2">
      <c r="A12880">
        <v>21824</v>
      </c>
      <c r="B12880" t="s">
        <v>26</v>
      </c>
      <c r="C12880">
        <v>21824</v>
      </c>
      <c r="D12880" t="str">
        <f>"21824"</f>
        <v>21824</v>
      </c>
      <c r="E12880" t="s">
        <v>6</v>
      </c>
    </row>
    <row r="12881" spans="1:5" x14ac:dyDescent="0.2">
      <c r="A12881">
        <v>21826</v>
      </c>
      <c r="B12881" t="s">
        <v>26</v>
      </c>
      <c r="C12881">
        <v>21826</v>
      </c>
      <c r="D12881" t="str">
        <f>"21826"</f>
        <v>21826</v>
      </c>
      <c r="E12881">
        <v>64.099999999999994</v>
      </c>
    </row>
    <row r="12882" spans="1:5" x14ac:dyDescent="0.2">
      <c r="A12882">
        <v>21829</v>
      </c>
      <c r="B12882" t="s">
        <v>26</v>
      </c>
      <c r="C12882">
        <v>21829</v>
      </c>
      <c r="D12882" t="str">
        <f>"21829"</f>
        <v>21829</v>
      </c>
      <c r="E12882">
        <v>69.569999999999993</v>
      </c>
    </row>
    <row r="12883" spans="1:5" x14ac:dyDescent="0.2">
      <c r="A12883">
        <v>21830</v>
      </c>
      <c r="B12883" t="s">
        <v>26</v>
      </c>
      <c r="C12883">
        <v>21830</v>
      </c>
      <c r="D12883" t="str">
        <f>"21830"</f>
        <v>21830</v>
      </c>
      <c r="E12883">
        <v>76.12</v>
      </c>
    </row>
    <row r="12884" spans="1:5" x14ac:dyDescent="0.2">
      <c r="A12884">
        <v>21835</v>
      </c>
      <c r="B12884" t="s">
        <v>26</v>
      </c>
      <c r="C12884">
        <v>21835</v>
      </c>
      <c r="D12884" t="str">
        <f>"21835"</f>
        <v>21835</v>
      </c>
      <c r="E12884">
        <v>68.42</v>
      </c>
    </row>
    <row r="12885" spans="1:5" x14ac:dyDescent="0.2">
      <c r="A12885">
        <v>21837</v>
      </c>
      <c r="B12885" t="s">
        <v>26</v>
      </c>
      <c r="C12885">
        <v>21837</v>
      </c>
      <c r="D12885" t="str">
        <f>"21837"</f>
        <v>21837</v>
      </c>
      <c r="E12885">
        <v>69.75</v>
      </c>
    </row>
    <row r="12886" spans="1:5" x14ac:dyDescent="0.2">
      <c r="A12886">
        <v>21838</v>
      </c>
      <c r="B12886" t="s">
        <v>26</v>
      </c>
      <c r="C12886">
        <v>21838</v>
      </c>
      <c r="D12886" t="str">
        <f>"21838"</f>
        <v>21838</v>
      </c>
      <c r="E12886">
        <v>71.62</v>
      </c>
    </row>
    <row r="12887" spans="1:5" x14ac:dyDescent="0.2">
      <c r="A12887">
        <v>21840</v>
      </c>
      <c r="B12887" t="s">
        <v>26</v>
      </c>
      <c r="C12887">
        <v>21840</v>
      </c>
      <c r="D12887" t="str">
        <f>"21840"</f>
        <v>21840</v>
      </c>
      <c r="E12887">
        <v>68.42</v>
      </c>
    </row>
    <row r="12888" spans="1:5" x14ac:dyDescent="0.2">
      <c r="A12888">
        <v>21841</v>
      </c>
      <c r="B12888" t="s">
        <v>26</v>
      </c>
      <c r="C12888">
        <v>21841</v>
      </c>
      <c r="D12888" t="str">
        <f>"21841"</f>
        <v>21841</v>
      </c>
      <c r="E12888">
        <v>76.739999999999995</v>
      </c>
    </row>
    <row r="12889" spans="1:5" x14ac:dyDescent="0.2">
      <c r="A12889">
        <v>21842</v>
      </c>
      <c r="B12889" t="s">
        <v>26</v>
      </c>
      <c r="C12889">
        <v>21842</v>
      </c>
      <c r="D12889" t="str">
        <f>"21842"</f>
        <v>21842</v>
      </c>
      <c r="E12889">
        <v>69.05</v>
      </c>
    </row>
    <row r="12890" spans="1:5" x14ac:dyDescent="0.2">
      <c r="A12890">
        <v>21849</v>
      </c>
      <c r="B12890" t="s">
        <v>26</v>
      </c>
      <c r="C12890">
        <v>21849</v>
      </c>
      <c r="D12890" t="str">
        <f>"21849"</f>
        <v>21849</v>
      </c>
      <c r="E12890">
        <v>72.260000000000005</v>
      </c>
    </row>
    <row r="12891" spans="1:5" x14ac:dyDescent="0.2">
      <c r="A12891">
        <v>21850</v>
      </c>
      <c r="B12891" t="s">
        <v>26</v>
      </c>
      <c r="C12891">
        <v>21850</v>
      </c>
      <c r="D12891" t="str">
        <f>"21850"</f>
        <v>21850</v>
      </c>
      <c r="E12891">
        <v>72.97</v>
      </c>
    </row>
    <row r="12892" spans="1:5" x14ac:dyDescent="0.2">
      <c r="A12892">
        <v>21851</v>
      </c>
      <c r="B12892" t="s">
        <v>26</v>
      </c>
      <c r="C12892">
        <v>21851</v>
      </c>
      <c r="D12892" t="str">
        <f>"21851"</f>
        <v>21851</v>
      </c>
      <c r="E12892">
        <v>67.069999999999993</v>
      </c>
    </row>
    <row r="12893" spans="1:5" x14ac:dyDescent="0.2">
      <c r="A12893">
        <v>21853</v>
      </c>
      <c r="B12893" t="s">
        <v>26</v>
      </c>
      <c r="C12893">
        <v>21853</v>
      </c>
      <c r="D12893" t="str">
        <f>"21853"</f>
        <v>21853</v>
      </c>
      <c r="E12893">
        <v>59.47</v>
      </c>
    </row>
    <row r="12894" spans="1:5" x14ac:dyDescent="0.2">
      <c r="A12894">
        <v>21856</v>
      </c>
      <c r="B12894" t="s">
        <v>26</v>
      </c>
      <c r="C12894">
        <v>21856</v>
      </c>
      <c r="D12894" t="str">
        <f>"21856"</f>
        <v>21856</v>
      </c>
      <c r="E12894">
        <v>70</v>
      </c>
    </row>
    <row r="12895" spans="1:5" x14ac:dyDescent="0.2">
      <c r="A12895">
        <v>21861</v>
      </c>
      <c r="B12895" t="s">
        <v>26</v>
      </c>
      <c r="C12895">
        <v>21861</v>
      </c>
      <c r="D12895" t="str">
        <f>"21861"</f>
        <v>21861</v>
      </c>
      <c r="E12895" t="s">
        <v>6</v>
      </c>
    </row>
    <row r="12896" spans="1:5" x14ac:dyDescent="0.2">
      <c r="A12896">
        <v>21862</v>
      </c>
      <c r="B12896" t="s">
        <v>26</v>
      </c>
      <c r="C12896">
        <v>21862</v>
      </c>
      <c r="D12896" t="str">
        <f>"21862"</f>
        <v>21862</v>
      </c>
      <c r="E12896" t="s">
        <v>6</v>
      </c>
    </row>
    <row r="12897" spans="1:5" x14ac:dyDescent="0.2">
      <c r="A12897">
        <v>21863</v>
      </c>
      <c r="B12897" t="s">
        <v>26</v>
      </c>
      <c r="C12897">
        <v>21863</v>
      </c>
      <c r="D12897" t="str">
        <f>"21863"</f>
        <v>21863</v>
      </c>
      <c r="E12897">
        <v>70.48</v>
      </c>
    </row>
    <row r="12898" spans="1:5" x14ac:dyDescent="0.2">
      <c r="A12898">
        <v>21864</v>
      </c>
      <c r="B12898" t="s">
        <v>26</v>
      </c>
      <c r="C12898">
        <v>21864</v>
      </c>
      <c r="D12898" t="str">
        <f>"21864"</f>
        <v>21864</v>
      </c>
      <c r="E12898">
        <v>64.52</v>
      </c>
    </row>
    <row r="12899" spans="1:5" x14ac:dyDescent="0.2">
      <c r="A12899">
        <v>21865</v>
      </c>
      <c r="B12899" t="s">
        <v>26</v>
      </c>
      <c r="C12899">
        <v>21865</v>
      </c>
      <c r="D12899" t="str">
        <f>"21865"</f>
        <v>21865</v>
      </c>
      <c r="E12899">
        <v>71.430000000000007</v>
      </c>
    </row>
    <row r="12900" spans="1:5" x14ac:dyDescent="0.2">
      <c r="A12900">
        <v>21866</v>
      </c>
      <c r="B12900" t="s">
        <v>26</v>
      </c>
      <c r="C12900">
        <v>21866</v>
      </c>
      <c r="D12900" t="str">
        <f>"21866"</f>
        <v>21866</v>
      </c>
      <c r="E12900" t="s">
        <v>6</v>
      </c>
    </row>
    <row r="12901" spans="1:5" x14ac:dyDescent="0.2">
      <c r="A12901">
        <v>21869</v>
      </c>
      <c r="B12901" t="s">
        <v>26</v>
      </c>
      <c r="C12901">
        <v>21869</v>
      </c>
      <c r="D12901" t="str">
        <f>"21869"</f>
        <v>21869</v>
      </c>
      <c r="E12901">
        <v>67.44</v>
      </c>
    </row>
    <row r="12902" spans="1:5" x14ac:dyDescent="0.2">
      <c r="A12902">
        <v>21871</v>
      </c>
      <c r="B12902" t="s">
        <v>26</v>
      </c>
      <c r="C12902">
        <v>21871</v>
      </c>
      <c r="D12902" t="str">
        <f>"21871"</f>
        <v>21871</v>
      </c>
      <c r="E12902">
        <v>69.05</v>
      </c>
    </row>
    <row r="12903" spans="1:5" x14ac:dyDescent="0.2">
      <c r="A12903">
        <v>21872</v>
      </c>
      <c r="B12903" t="s">
        <v>26</v>
      </c>
      <c r="C12903">
        <v>21872</v>
      </c>
      <c r="D12903" t="str">
        <f>"21872"</f>
        <v>21872</v>
      </c>
      <c r="E12903">
        <v>77.78</v>
      </c>
    </row>
    <row r="12904" spans="1:5" x14ac:dyDescent="0.2">
      <c r="A12904">
        <v>21874</v>
      </c>
      <c r="B12904" t="s">
        <v>26</v>
      </c>
      <c r="C12904">
        <v>21874</v>
      </c>
      <c r="D12904" t="str">
        <f>"21874"</f>
        <v>21874</v>
      </c>
      <c r="E12904">
        <v>71.7</v>
      </c>
    </row>
    <row r="12905" spans="1:5" x14ac:dyDescent="0.2">
      <c r="A12905">
        <v>21875</v>
      </c>
      <c r="B12905" t="s">
        <v>26</v>
      </c>
      <c r="C12905">
        <v>21875</v>
      </c>
      <c r="D12905" t="str">
        <f>"21875"</f>
        <v>21875</v>
      </c>
      <c r="E12905">
        <v>71.03</v>
      </c>
    </row>
    <row r="12906" spans="1:5" x14ac:dyDescent="0.2">
      <c r="A12906">
        <v>21890</v>
      </c>
      <c r="B12906" t="s">
        <v>26</v>
      </c>
      <c r="C12906">
        <v>21890</v>
      </c>
      <c r="D12906" t="str">
        <f>"21890"</f>
        <v>21890</v>
      </c>
      <c r="E12906" t="s">
        <v>6</v>
      </c>
    </row>
    <row r="12907" spans="1:5" x14ac:dyDescent="0.2">
      <c r="A12907">
        <v>21901</v>
      </c>
      <c r="B12907" t="s">
        <v>26</v>
      </c>
      <c r="C12907">
        <v>21901</v>
      </c>
      <c r="D12907" t="str">
        <f>"21901"</f>
        <v>21901</v>
      </c>
      <c r="E12907">
        <v>74.28</v>
      </c>
    </row>
    <row r="12908" spans="1:5" x14ac:dyDescent="0.2">
      <c r="A12908">
        <v>21902</v>
      </c>
      <c r="B12908" t="s">
        <v>26</v>
      </c>
      <c r="C12908">
        <v>21902</v>
      </c>
      <c r="D12908" t="str">
        <f>"21902"</f>
        <v>21902</v>
      </c>
      <c r="E12908" t="s">
        <v>6</v>
      </c>
    </row>
    <row r="12909" spans="1:5" x14ac:dyDescent="0.2">
      <c r="A12909">
        <v>21903</v>
      </c>
      <c r="B12909" t="s">
        <v>26</v>
      </c>
      <c r="C12909">
        <v>21903</v>
      </c>
      <c r="D12909" t="str">
        <f>"21903"</f>
        <v>21903</v>
      </c>
      <c r="E12909">
        <v>76.69</v>
      </c>
    </row>
    <row r="12910" spans="1:5" x14ac:dyDescent="0.2">
      <c r="A12910">
        <v>21904</v>
      </c>
      <c r="B12910" t="s">
        <v>26</v>
      </c>
      <c r="C12910">
        <v>21904</v>
      </c>
      <c r="D12910" t="str">
        <f>"21904"</f>
        <v>21904</v>
      </c>
      <c r="E12910">
        <v>78.3</v>
      </c>
    </row>
    <row r="12911" spans="1:5" x14ac:dyDescent="0.2">
      <c r="A12911">
        <v>21911</v>
      </c>
      <c r="B12911" t="s">
        <v>26</v>
      </c>
      <c r="C12911">
        <v>21911</v>
      </c>
      <c r="D12911" t="str">
        <f>"21911"</f>
        <v>21911</v>
      </c>
      <c r="E12911">
        <v>76.37</v>
      </c>
    </row>
    <row r="12912" spans="1:5" x14ac:dyDescent="0.2">
      <c r="A12912">
        <v>21912</v>
      </c>
      <c r="B12912" t="s">
        <v>26</v>
      </c>
      <c r="C12912">
        <v>21912</v>
      </c>
      <c r="D12912" t="str">
        <f>"21912"</f>
        <v>21912</v>
      </c>
      <c r="E12912">
        <v>76.92</v>
      </c>
    </row>
    <row r="12913" spans="1:5" x14ac:dyDescent="0.2">
      <c r="A12913">
        <v>21913</v>
      </c>
      <c r="B12913" t="s">
        <v>26</v>
      </c>
      <c r="C12913">
        <v>21913</v>
      </c>
      <c r="D12913" t="str">
        <f>"21913"</f>
        <v>21913</v>
      </c>
      <c r="E12913" t="s">
        <v>6</v>
      </c>
    </row>
    <row r="12914" spans="1:5" x14ac:dyDescent="0.2">
      <c r="A12914">
        <v>21914</v>
      </c>
      <c r="B12914" t="s">
        <v>26</v>
      </c>
      <c r="C12914">
        <v>21914</v>
      </c>
      <c r="D12914" t="str">
        <f>"21914"</f>
        <v>21914</v>
      </c>
      <c r="E12914" t="s">
        <v>6</v>
      </c>
    </row>
    <row r="12915" spans="1:5" x14ac:dyDescent="0.2">
      <c r="A12915">
        <v>21915</v>
      </c>
      <c r="B12915" t="s">
        <v>26</v>
      </c>
      <c r="C12915">
        <v>21915</v>
      </c>
      <c r="D12915" t="str">
        <f>"21915"</f>
        <v>21915</v>
      </c>
      <c r="E12915">
        <v>77.63</v>
      </c>
    </row>
    <row r="12916" spans="1:5" x14ac:dyDescent="0.2">
      <c r="A12916">
        <v>21917</v>
      </c>
      <c r="B12916" t="s">
        <v>26</v>
      </c>
      <c r="C12916">
        <v>21917</v>
      </c>
      <c r="D12916" t="str">
        <f>"21917"</f>
        <v>21917</v>
      </c>
      <c r="E12916">
        <v>78.05</v>
      </c>
    </row>
    <row r="12917" spans="1:5" x14ac:dyDescent="0.2">
      <c r="A12917">
        <v>21918</v>
      </c>
      <c r="B12917" t="s">
        <v>26</v>
      </c>
      <c r="C12917">
        <v>21918</v>
      </c>
      <c r="D12917" t="str">
        <f>"21918"</f>
        <v>21918</v>
      </c>
      <c r="E12917">
        <v>79</v>
      </c>
    </row>
    <row r="12918" spans="1:5" x14ac:dyDescent="0.2">
      <c r="A12918">
        <v>21919</v>
      </c>
      <c r="B12918" t="s">
        <v>26</v>
      </c>
      <c r="C12918">
        <v>21919</v>
      </c>
      <c r="D12918" t="str">
        <f>"21919"</f>
        <v>21919</v>
      </c>
      <c r="E12918">
        <v>77.08</v>
      </c>
    </row>
    <row r="12919" spans="1:5" x14ac:dyDescent="0.2">
      <c r="A12919">
        <v>21920</v>
      </c>
      <c r="B12919" t="s">
        <v>26</v>
      </c>
      <c r="C12919">
        <v>21920</v>
      </c>
      <c r="D12919" t="str">
        <f>"21920"</f>
        <v>21920</v>
      </c>
      <c r="E12919" t="s">
        <v>6</v>
      </c>
    </row>
    <row r="12920" spans="1:5" x14ac:dyDescent="0.2">
      <c r="A12920">
        <v>21921</v>
      </c>
      <c r="B12920" t="s">
        <v>26</v>
      </c>
      <c r="C12920">
        <v>21921</v>
      </c>
      <c r="D12920" t="str">
        <f>"21921"</f>
        <v>21921</v>
      </c>
      <c r="E12920">
        <v>73.7</v>
      </c>
    </row>
    <row r="12921" spans="1:5" x14ac:dyDescent="0.2">
      <c r="A12921">
        <v>21930</v>
      </c>
      <c r="B12921" t="s">
        <v>26</v>
      </c>
      <c r="C12921">
        <v>21930</v>
      </c>
      <c r="D12921" t="str">
        <f>"21930"</f>
        <v>21930</v>
      </c>
      <c r="E12921" t="s">
        <v>6</v>
      </c>
    </row>
    <row r="12922" spans="1:5" x14ac:dyDescent="0.2">
      <c r="A12922" t="str">
        <f>"03901"</f>
        <v>03901</v>
      </c>
      <c r="B12922" t="s">
        <v>27</v>
      </c>
      <c r="C12922">
        <v>3901</v>
      </c>
      <c r="D12922" t="str">
        <f>"03901"</f>
        <v>03901</v>
      </c>
      <c r="E12922">
        <v>77.75</v>
      </c>
    </row>
    <row r="12923" spans="1:5" x14ac:dyDescent="0.2">
      <c r="A12923" t="str">
        <f>"03902"</f>
        <v>03902</v>
      </c>
      <c r="B12923" t="s">
        <v>27</v>
      </c>
      <c r="C12923">
        <v>3902</v>
      </c>
      <c r="D12923" t="str">
        <f>"03902"</f>
        <v>03902</v>
      </c>
      <c r="E12923">
        <v>78.400000000000006</v>
      </c>
    </row>
    <row r="12924" spans="1:5" x14ac:dyDescent="0.2">
      <c r="A12924" t="str">
        <f>"03903"</f>
        <v>03903</v>
      </c>
      <c r="B12924" t="s">
        <v>27</v>
      </c>
      <c r="C12924">
        <v>3903</v>
      </c>
      <c r="D12924" t="str">
        <f>"03903"</f>
        <v>03903</v>
      </c>
      <c r="E12924">
        <v>80.5</v>
      </c>
    </row>
    <row r="12925" spans="1:5" x14ac:dyDescent="0.2">
      <c r="A12925" t="str">
        <f>"03904"</f>
        <v>03904</v>
      </c>
      <c r="B12925" t="s">
        <v>27</v>
      </c>
      <c r="C12925">
        <v>3904</v>
      </c>
      <c r="D12925" t="str">
        <f>"03904"</f>
        <v>03904</v>
      </c>
      <c r="E12925">
        <v>80.75</v>
      </c>
    </row>
    <row r="12926" spans="1:5" x14ac:dyDescent="0.2">
      <c r="A12926" t="str">
        <f>"03905"</f>
        <v>03905</v>
      </c>
      <c r="B12926" t="s">
        <v>27</v>
      </c>
      <c r="C12926">
        <v>3905</v>
      </c>
      <c r="D12926" t="str">
        <f>"03905"</f>
        <v>03905</v>
      </c>
      <c r="E12926">
        <v>81.73</v>
      </c>
    </row>
    <row r="12927" spans="1:5" x14ac:dyDescent="0.2">
      <c r="A12927" t="str">
        <f>"03906"</f>
        <v>03906</v>
      </c>
      <c r="B12927" t="s">
        <v>27</v>
      </c>
      <c r="C12927">
        <v>3906</v>
      </c>
      <c r="D12927" t="str">
        <f>"03906"</f>
        <v>03906</v>
      </c>
      <c r="E12927">
        <v>81.599999999999994</v>
      </c>
    </row>
    <row r="12928" spans="1:5" x14ac:dyDescent="0.2">
      <c r="A12928" t="str">
        <f>"03907"</f>
        <v>03907</v>
      </c>
      <c r="B12928" t="s">
        <v>27</v>
      </c>
      <c r="C12928">
        <v>3907</v>
      </c>
      <c r="D12928" t="str">
        <f>"03907"</f>
        <v>03907</v>
      </c>
      <c r="E12928">
        <v>82.29</v>
      </c>
    </row>
    <row r="12929" spans="1:5" x14ac:dyDescent="0.2">
      <c r="A12929" t="str">
        <f>"03908"</f>
        <v>03908</v>
      </c>
      <c r="B12929" t="s">
        <v>27</v>
      </c>
      <c r="C12929">
        <v>3908</v>
      </c>
      <c r="D12929" t="str">
        <f>"03908"</f>
        <v>03908</v>
      </c>
      <c r="E12929">
        <v>79</v>
      </c>
    </row>
    <row r="12930" spans="1:5" x14ac:dyDescent="0.2">
      <c r="A12930" t="str">
        <f>"03909"</f>
        <v>03909</v>
      </c>
      <c r="B12930" t="s">
        <v>27</v>
      </c>
      <c r="C12930">
        <v>3909</v>
      </c>
      <c r="D12930" t="str">
        <f>"03909"</f>
        <v>03909</v>
      </c>
      <c r="E12930">
        <v>79.88</v>
      </c>
    </row>
    <row r="12931" spans="1:5" x14ac:dyDescent="0.2">
      <c r="A12931" t="str">
        <f>"04001"</f>
        <v>04001</v>
      </c>
      <c r="B12931" t="s">
        <v>27</v>
      </c>
      <c r="C12931">
        <v>4001</v>
      </c>
      <c r="D12931" t="str">
        <f>"04001"</f>
        <v>04001</v>
      </c>
      <c r="E12931">
        <v>76.23</v>
      </c>
    </row>
    <row r="12932" spans="1:5" x14ac:dyDescent="0.2">
      <c r="A12932" t="str">
        <f>"04002"</f>
        <v>04002</v>
      </c>
      <c r="B12932" t="s">
        <v>27</v>
      </c>
      <c r="C12932">
        <v>4002</v>
      </c>
      <c r="D12932" t="str">
        <f>"04002"</f>
        <v>04002</v>
      </c>
      <c r="E12932">
        <v>77.31</v>
      </c>
    </row>
    <row r="12933" spans="1:5" x14ac:dyDescent="0.2">
      <c r="A12933" t="str">
        <f>"04003"</f>
        <v>04003</v>
      </c>
      <c r="B12933" t="s">
        <v>27</v>
      </c>
      <c r="C12933">
        <v>4003</v>
      </c>
      <c r="D12933" t="str">
        <f>"04003"</f>
        <v>04003</v>
      </c>
      <c r="E12933">
        <v>70.59</v>
      </c>
    </row>
    <row r="12934" spans="1:5" x14ac:dyDescent="0.2">
      <c r="A12934" t="str">
        <f>"04005"</f>
        <v>04005</v>
      </c>
      <c r="B12934" t="s">
        <v>27</v>
      </c>
      <c r="C12934">
        <v>4005</v>
      </c>
      <c r="D12934" t="str">
        <f>"04005"</f>
        <v>04005</v>
      </c>
      <c r="E12934">
        <v>74.48</v>
      </c>
    </row>
    <row r="12935" spans="1:5" x14ac:dyDescent="0.2">
      <c r="A12935" t="str">
        <f>"04008"</f>
        <v>04008</v>
      </c>
      <c r="B12935" t="s">
        <v>27</v>
      </c>
      <c r="C12935">
        <v>4008</v>
      </c>
      <c r="D12935" t="str">
        <f>"04008"</f>
        <v>04008</v>
      </c>
      <c r="E12935">
        <v>75.5</v>
      </c>
    </row>
    <row r="12936" spans="1:5" x14ac:dyDescent="0.2">
      <c r="A12936" t="str">
        <f>"04009"</f>
        <v>04009</v>
      </c>
      <c r="B12936" t="s">
        <v>27</v>
      </c>
      <c r="C12936">
        <v>4009</v>
      </c>
      <c r="D12936" t="str">
        <f>"04009"</f>
        <v>04009</v>
      </c>
      <c r="E12936">
        <v>70.95</v>
      </c>
    </row>
    <row r="12937" spans="1:5" x14ac:dyDescent="0.2">
      <c r="A12937" t="str">
        <f>"04010"</f>
        <v>04010</v>
      </c>
      <c r="B12937" t="s">
        <v>27</v>
      </c>
      <c r="C12937">
        <v>4010</v>
      </c>
      <c r="D12937" t="str">
        <f>"04010"</f>
        <v>04010</v>
      </c>
      <c r="E12937">
        <v>67.12</v>
      </c>
    </row>
    <row r="12938" spans="1:5" x14ac:dyDescent="0.2">
      <c r="A12938" t="str">
        <f>"04011"</f>
        <v>04011</v>
      </c>
      <c r="B12938" t="s">
        <v>27</v>
      </c>
      <c r="C12938">
        <v>4011</v>
      </c>
      <c r="D12938" t="str">
        <f>"04011"</f>
        <v>04011</v>
      </c>
      <c r="E12938">
        <v>78.16</v>
      </c>
    </row>
    <row r="12939" spans="1:5" x14ac:dyDescent="0.2">
      <c r="A12939" t="str">
        <f>"04013"</f>
        <v>04013</v>
      </c>
      <c r="B12939" t="s">
        <v>27</v>
      </c>
      <c r="C12939">
        <v>4013</v>
      </c>
      <c r="D12939" t="str">
        <f>"04013"</f>
        <v>04013</v>
      </c>
      <c r="E12939" t="s">
        <v>6</v>
      </c>
    </row>
    <row r="12940" spans="1:5" x14ac:dyDescent="0.2">
      <c r="A12940" t="str">
        <f>"04014"</f>
        <v>04014</v>
      </c>
      <c r="B12940" t="s">
        <v>27</v>
      </c>
      <c r="C12940">
        <v>4014</v>
      </c>
      <c r="D12940" t="str">
        <f>"04014"</f>
        <v>04014</v>
      </c>
      <c r="E12940" t="s">
        <v>6</v>
      </c>
    </row>
    <row r="12941" spans="1:5" x14ac:dyDescent="0.2">
      <c r="A12941" t="str">
        <f>"04015"</f>
        <v>04015</v>
      </c>
      <c r="B12941" t="s">
        <v>27</v>
      </c>
      <c r="C12941">
        <v>4015</v>
      </c>
      <c r="D12941" t="str">
        <f>"04015"</f>
        <v>04015</v>
      </c>
      <c r="E12941">
        <v>76.36</v>
      </c>
    </row>
    <row r="12942" spans="1:5" x14ac:dyDescent="0.2">
      <c r="A12942" t="str">
        <f>"04017"</f>
        <v>04017</v>
      </c>
      <c r="B12942" t="s">
        <v>27</v>
      </c>
      <c r="C12942">
        <v>4017</v>
      </c>
      <c r="D12942" t="str">
        <f>"04017"</f>
        <v>04017</v>
      </c>
      <c r="E12942">
        <v>76.19</v>
      </c>
    </row>
    <row r="12943" spans="1:5" x14ac:dyDescent="0.2">
      <c r="A12943" t="str">
        <f>"04019"</f>
        <v>04019</v>
      </c>
      <c r="B12943" t="s">
        <v>27</v>
      </c>
      <c r="C12943">
        <v>4019</v>
      </c>
      <c r="D12943" t="str">
        <f>"04019"</f>
        <v>04019</v>
      </c>
      <c r="E12943" t="s">
        <v>6</v>
      </c>
    </row>
    <row r="12944" spans="1:5" x14ac:dyDescent="0.2">
      <c r="A12944" t="str">
        <f>"04020"</f>
        <v>04020</v>
      </c>
      <c r="B12944" t="s">
        <v>27</v>
      </c>
      <c r="C12944">
        <v>4020</v>
      </c>
      <c r="D12944" t="str">
        <f>"04020"</f>
        <v>04020</v>
      </c>
      <c r="E12944">
        <v>72</v>
      </c>
    </row>
    <row r="12945" spans="1:5" x14ac:dyDescent="0.2">
      <c r="A12945" t="str">
        <f>"04021"</f>
        <v>04021</v>
      </c>
      <c r="B12945" t="s">
        <v>27</v>
      </c>
      <c r="C12945">
        <v>4021</v>
      </c>
      <c r="D12945" t="str">
        <f>"04021"</f>
        <v>04021</v>
      </c>
      <c r="E12945">
        <v>82.32</v>
      </c>
    </row>
    <row r="12946" spans="1:5" x14ac:dyDescent="0.2">
      <c r="A12946" t="str">
        <f>"04022"</f>
        <v>04022</v>
      </c>
      <c r="B12946" t="s">
        <v>27</v>
      </c>
      <c r="C12946">
        <v>4022</v>
      </c>
      <c r="D12946" t="str">
        <f>"04022"</f>
        <v>04022</v>
      </c>
      <c r="E12946">
        <v>69.489999999999995</v>
      </c>
    </row>
    <row r="12947" spans="1:5" x14ac:dyDescent="0.2">
      <c r="A12947" t="str">
        <f>"04024"</f>
        <v>04024</v>
      </c>
      <c r="B12947" t="s">
        <v>27</v>
      </c>
      <c r="C12947">
        <v>4024</v>
      </c>
      <c r="D12947" t="str">
        <f>"04024"</f>
        <v>04024</v>
      </c>
      <c r="E12947">
        <v>76.92</v>
      </c>
    </row>
    <row r="12948" spans="1:5" x14ac:dyDescent="0.2">
      <c r="A12948" t="str">
        <f>"04027"</f>
        <v>04027</v>
      </c>
      <c r="B12948" t="s">
        <v>27</v>
      </c>
      <c r="C12948">
        <v>4027</v>
      </c>
      <c r="D12948" t="str">
        <f>"04027"</f>
        <v>04027</v>
      </c>
      <c r="E12948">
        <v>77.099999999999994</v>
      </c>
    </row>
    <row r="12949" spans="1:5" x14ac:dyDescent="0.2">
      <c r="A12949" t="str">
        <f>"04029"</f>
        <v>04029</v>
      </c>
      <c r="B12949" t="s">
        <v>27</v>
      </c>
      <c r="C12949">
        <v>4029</v>
      </c>
      <c r="D12949" t="str">
        <f>"04029"</f>
        <v>04029</v>
      </c>
      <c r="E12949">
        <v>75.53</v>
      </c>
    </row>
    <row r="12950" spans="1:5" x14ac:dyDescent="0.2">
      <c r="A12950" t="str">
        <f>"04030"</f>
        <v>04030</v>
      </c>
      <c r="B12950" t="s">
        <v>27</v>
      </c>
      <c r="C12950">
        <v>4030</v>
      </c>
      <c r="D12950" t="str">
        <f>"04030"</f>
        <v>04030</v>
      </c>
      <c r="E12950">
        <v>79.25</v>
      </c>
    </row>
    <row r="12951" spans="1:5" x14ac:dyDescent="0.2">
      <c r="A12951" t="str">
        <f>"04032"</f>
        <v>04032</v>
      </c>
      <c r="B12951" t="s">
        <v>27</v>
      </c>
      <c r="C12951">
        <v>4032</v>
      </c>
      <c r="D12951" t="str">
        <f>"04032"</f>
        <v>04032</v>
      </c>
      <c r="E12951">
        <v>78.8</v>
      </c>
    </row>
    <row r="12952" spans="1:5" x14ac:dyDescent="0.2">
      <c r="A12952" t="str">
        <f>"04034"</f>
        <v>04034</v>
      </c>
      <c r="B12952" t="s">
        <v>27</v>
      </c>
      <c r="C12952">
        <v>4034</v>
      </c>
      <c r="D12952" t="str">
        <f>"04034"</f>
        <v>04034</v>
      </c>
      <c r="E12952" t="s">
        <v>6</v>
      </c>
    </row>
    <row r="12953" spans="1:5" x14ac:dyDescent="0.2">
      <c r="A12953" t="str">
        <f>"04037"</f>
        <v>04037</v>
      </c>
      <c r="B12953" t="s">
        <v>27</v>
      </c>
      <c r="C12953">
        <v>4037</v>
      </c>
      <c r="D12953" t="str">
        <f>"04037"</f>
        <v>04037</v>
      </c>
      <c r="E12953">
        <v>69.489999999999995</v>
      </c>
    </row>
    <row r="12954" spans="1:5" x14ac:dyDescent="0.2">
      <c r="A12954" t="str">
        <f>"04038"</f>
        <v>04038</v>
      </c>
      <c r="B12954" t="s">
        <v>27</v>
      </c>
      <c r="C12954">
        <v>4038</v>
      </c>
      <c r="D12954" t="str">
        <f>"04038"</f>
        <v>04038</v>
      </c>
      <c r="E12954">
        <v>80.09</v>
      </c>
    </row>
    <row r="12955" spans="1:5" x14ac:dyDescent="0.2">
      <c r="A12955" t="str">
        <f>"04039"</f>
        <v>04039</v>
      </c>
      <c r="B12955" t="s">
        <v>27</v>
      </c>
      <c r="C12955">
        <v>4039</v>
      </c>
      <c r="D12955" t="str">
        <f>"04039"</f>
        <v>04039</v>
      </c>
      <c r="E12955">
        <v>81.150000000000006</v>
      </c>
    </row>
    <row r="12956" spans="1:5" x14ac:dyDescent="0.2">
      <c r="A12956" t="str">
        <f>"04040"</f>
        <v>04040</v>
      </c>
      <c r="B12956" t="s">
        <v>27</v>
      </c>
      <c r="C12956">
        <v>4040</v>
      </c>
      <c r="D12956" t="str">
        <f>"04040"</f>
        <v>04040</v>
      </c>
      <c r="E12956">
        <v>71.53</v>
      </c>
    </row>
    <row r="12957" spans="1:5" x14ac:dyDescent="0.2">
      <c r="A12957" t="str">
        <f>"04041"</f>
        <v>04041</v>
      </c>
      <c r="B12957" t="s">
        <v>27</v>
      </c>
      <c r="C12957">
        <v>4041</v>
      </c>
      <c r="D12957" t="str">
        <f>"04041"</f>
        <v>04041</v>
      </c>
      <c r="E12957">
        <v>72.31</v>
      </c>
    </row>
    <row r="12958" spans="1:5" x14ac:dyDescent="0.2">
      <c r="A12958" t="str">
        <f>"04042"</f>
        <v>04042</v>
      </c>
      <c r="B12958" t="s">
        <v>27</v>
      </c>
      <c r="C12958">
        <v>4042</v>
      </c>
      <c r="D12958" t="str">
        <f>"04042"</f>
        <v>04042</v>
      </c>
      <c r="E12958">
        <v>79.31</v>
      </c>
    </row>
    <row r="12959" spans="1:5" x14ac:dyDescent="0.2">
      <c r="A12959" t="str">
        <f>"04043"</f>
        <v>04043</v>
      </c>
      <c r="B12959" t="s">
        <v>27</v>
      </c>
      <c r="C12959">
        <v>4043</v>
      </c>
      <c r="D12959" t="str">
        <f>"04043"</f>
        <v>04043</v>
      </c>
      <c r="E12959">
        <v>77.94</v>
      </c>
    </row>
    <row r="12960" spans="1:5" x14ac:dyDescent="0.2">
      <c r="A12960" t="str">
        <f>"04046"</f>
        <v>04046</v>
      </c>
      <c r="B12960" t="s">
        <v>27</v>
      </c>
      <c r="C12960">
        <v>4046</v>
      </c>
      <c r="D12960" t="str">
        <f>"04046"</f>
        <v>04046</v>
      </c>
      <c r="E12960">
        <v>77.72</v>
      </c>
    </row>
    <row r="12961" spans="1:5" x14ac:dyDescent="0.2">
      <c r="A12961" t="str">
        <f>"04047"</f>
        <v>04047</v>
      </c>
      <c r="B12961" t="s">
        <v>27</v>
      </c>
      <c r="C12961">
        <v>4047</v>
      </c>
      <c r="D12961" t="str">
        <f>"04047"</f>
        <v>04047</v>
      </c>
      <c r="E12961">
        <v>70.41</v>
      </c>
    </row>
    <row r="12962" spans="1:5" x14ac:dyDescent="0.2">
      <c r="A12962" t="str">
        <f>"04048"</f>
        <v>04048</v>
      </c>
      <c r="B12962" t="s">
        <v>27</v>
      </c>
      <c r="C12962">
        <v>4048</v>
      </c>
      <c r="D12962" t="str">
        <f>"04048"</f>
        <v>04048</v>
      </c>
      <c r="E12962">
        <v>76.06</v>
      </c>
    </row>
    <row r="12963" spans="1:5" x14ac:dyDescent="0.2">
      <c r="A12963" t="str">
        <f>"04049"</f>
        <v>04049</v>
      </c>
      <c r="B12963" t="s">
        <v>27</v>
      </c>
      <c r="C12963">
        <v>4049</v>
      </c>
      <c r="D12963" t="str">
        <f>"04049"</f>
        <v>04049</v>
      </c>
      <c r="E12963">
        <v>78.739999999999995</v>
      </c>
    </row>
    <row r="12964" spans="1:5" x14ac:dyDescent="0.2">
      <c r="A12964" t="str">
        <f>"04050"</f>
        <v>04050</v>
      </c>
      <c r="B12964" t="s">
        <v>27</v>
      </c>
      <c r="C12964">
        <v>4050</v>
      </c>
      <c r="D12964" t="str">
        <f>"04050"</f>
        <v>04050</v>
      </c>
      <c r="E12964">
        <v>72.73</v>
      </c>
    </row>
    <row r="12965" spans="1:5" x14ac:dyDescent="0.2">
      <c r="A12965" t="str">
        <f>"04051"</f>
        <v>04051</v>
      </c>
      <c r="B12965" t="s">
        <v>27</v>
      </c>
      <c r="C12965">
        <v>4051</v>
      </c>
      <c r="D12965" t="str">
        <f>"04051"</f>
        <v>04051</v>
      </c>
      <c r="E12965">
        <v>70.59</v>
      </c>
    </row>
    <row r="12966" spans="1:5" x14ac:dyDescent="0.2">
      <c r="A12966" t="str">
        <f>"04055"</f>
        <v>04055</v>
      </c>
      <c r="B12966" t="s">
        <v>27</v>
      </c>
      <c r="C12966">
        <v>4055</v>
      </c>
      <c r="D12966" t="str">
        <f>"04055"</f>
        <v>04055</v>
      </c>
      <c r="E12966">
        <v>75.63</v>
      </c>
    </row>
    <row r="12967" spans="1:5" x14ac:dyDescent="0.2">
      <c r="A12967" t="str">
        <f>"04061"</f>
        <v>04061</v>
      </c>
      <c r="B12967" t="s">
        <v>27</v>
      </c>
      <c r="C12967">
        <v>4061</v>
      </c>
      <c r="D12967" t="str">
        <f>"04061"</f>
        <v>04061</v>
      </c>
      <c r="E12967">
        <v>76.05</v>
      </c>
    </row>
    <row r="12968" spans="1:5" x14ac:dyDescent="0.2">
      <c r="A12968" t="str">
        <f>"04062"</f>
        <v>04062</v>
      </c>
      <c r="B12968" t="s">
        <v>27</v>
      </c>
      <c r="C12968">
        <v>4062</v>
      </c>
      <c r="D12968" t="str">
        <f>"04062"</f>
        <v>04062</v>
      </c>
      <c r="E12968">
        <v>78.42</v>
      </c>
    </row>
    <row r="12969" spans="1:5" x14ac:dyDescent="0.2">
      <c r="A12969" t="str">
        <f>"04063"</f>
        <v>04063</v>
      </c>
      <c r="B12969" t="s">
        <v>27</v>
      </c>
      <c r="C12969">
        <v>4063</v>
      </c>
      <c r="D12969" t="str">
        <f>"04063"</f>
        <v>04063</v>
      </c>
      <c r="E12969" t="s">
        <v>6</v>
      </c>
    </row>
    <row r="12970" spans="1:5" x14ac:dyDescent="0.2">
      <c r="A12970" t="str">
        <f>"04064"</f>
        <v>04064</v>
      </c>
      <c r="B12970" t="s">
        <v>27</v>
      </c>
      <c r="C12970">
        <v>4064</v>
      </c>
      <c r="D12970" t="str">
        <f>"04064"</f>
        <v>04064</v>
      </c>
      <c r="E12970">
        <v>76.42</v>
      </c>
    </row>
    <row r="12971" spans="1:5" x14ac:dyDescent="0.2">
      <c r="A12971" t="str">
        <f>"04066"</f>
        <v>04066</v>
      </c>
      <c r="B12971" t="s">
        <v>27</v>
      </c>
      <c r="C12971">
        <v>4066</v>
      </c>
      <c r="D12971" t="str">
        <f>"04066"</f>
        <v>04066</v>
      </c>
      <c r="E12971">
        <v>78.13</v>
      </c>
    </row>
    <row r="12972" spans="1:5" x14ac:dyDescent="0.2">
      <c r="A12972" t="str">
        <f>"04068"</f>
        <v>04068</v>
      </c>
      <c r="B12972" t="s">
        <v>27</v>
      </c>
      <c r="C12972">
        <v>4068</v>
      </c>
      <c r="D12972" t="str">
        <f>"04068"</f>
        <v>04068</v>
      </c>
      <c r="E12972">
        <v>66.069999999999993</v>
      </c>
    </row>
    <row r="12973" spans="1:5" x14ac:dyDescent="0.2">
      <c r="A12973" t="str">
        <f>"04069"</f>
        <v>04069</v>
      </c>
      <c r="B12973" t="s">
        <v>27</v>
      </c>
      <c r="C12973">
        <v>4069</v>
      </c>
      <c r="D12973" t="str">
        <f>"04069"</f>
        <v>04069</v>
      </c>
      <c r="E12973">
        <v>76.540000000000006</v>
      </c>
    </row>
    <row r="12974" spans="1:5" x14ac:dyDescent="0.2">
      <c r="A12974" t="str">
        <f>"04071"</f>
        <v>04071</v>
      </c>
      <c r="B12974" t="s">
        <v>27</v>
      </c>
      <c r="C12974">
        <v>4071</v>
      </c>
      <c r="D12974" t="str">
        <f>"04071"</f>
        <v>04071</v>
      </c>
      <c r="E12974">
        <v>79.150000000000006</v>
      </c>
    </row>
    <row r="12975" spans="1:5" x14ac:dyDescent="0.2">
      <c r="A12975" t="str">
        <f>"04072"</f>
        <v>04072</v>
      </c>
      <c r="B12975" t="s">
        <v>27</v>
      </c>
      <c r="C12975">
        <v>4072</v>
      </c>
      <c r="D12975" t="str">
        <f>"04072"</f>
        <v>04072</v>
      </c>
      <c r="E12975">
        <v>78.06</v>
      </c>
    </row>
    <row r="12976" spans="1:5" x14ac:dyDescent="0.2">
      <c r="A12976" t="str">
        <f>"04073"</f>
        <v>04073</v>
      </c>
      <c r="B12976" t="s">
        <v>27</v>
      </c>
      <c r="C12976">
        <v>4073</v>
      </c>
      <c r="D12976" t="str">
        <f>"04073"</f>
        <v>04073</v>
      </c>
      <c r="E12976">
        <v>73.319999999999993</v>
      </c>
    </row>
    <row r="12977" spans="1:5" x14ac:dyDescent="0.2">
      <c r="A12977" t="str">
        <f>"04074"</f>
        <v>04074</v>
      </c>
      <c r="B12977" t="s">
        <v>27</v>
      </c>
      <c r="C12977">
        <v>4074</v>
      </c>
      <c r="D12977" t="str">
        <f>"04074"</f>
        <v>04074</v>
      </c>
      <c r="E12977">
        <v>80.52</v>
      </c>
    </row>
    <row r="12978" spans="1:5" x14ac:dyDescent="0.2">
      <c r="A12978" t="str">
        <f>"04076"</f>
        <v>04076</v>
      </c>
      <c r="B12978" t="s">
        <v>27</v>
      </c>
      <c r="C12978">
        <v>4076</v>
      </c>
      <c r="D12978" t="str">
        <f>"04076"</f>
        <v>04076</v>
      </c>
      <c r="E12978">
        <v>75</v>
      </c>
    </row>
    <row r="12979" spans="1:5" x14ac:dyDescent="0.2">
      <c r="A12979" t="str">
        <f>"04079"</f>
        <v>04079</v>
      </c>
      <c r="B12979" t="s">
        <v>27</v>
      </c>
      <c r="C12979">
        <v>4079</v>
      </c>
      <c r="D12979" t="str">
        <f>"04079"</f>
        <v>04079</v>
      </c>
      <c r="E12979">
        <v>78.05</v>
      </c>
    </row>
    <row r="12980" spans="1:5" x14ac:dyDescent="0.2">
      <c r="A12980" t="str">
        <f>"04083"</f>
        <v>04083</v>
      </c>
      <c r="B12980" t="s">
        <v>27</v>
      </c>
      <c r="C12980">
        <v>4083</v>
      </c>
      <c r="D12980" t="str">
        <f>"04083"</f>
        <v>04083</v>
      </c>
      <c r="E12980">
        <v>74.790000000000006</v>
      </c>
    </row>
    <row r="12981" spans="1:5" x14ac:dyDescent="0.2">
      <c r="A12981" t="str">
        <f>"04084"</f>
        <v>04084</v>
      </c>
      <c r="B12981" t="s">
        <v>27</v>
      </c>
      <c r="C12981">
        <v>4084</v>
      </c>
      <c r="D12981" t="str">
        <f>"04084"</f>
        <v>04084</v>
      </c>
      <c r="E12981">
        <v>76.900000000000006</v>
      </c>
    </row>
    <row r="12982" spans="1:5" x14ac:dyDescent="0.2">
      <c r="A12982" t="str">
        <f>"04085"</f>
        <v>04085</v>
      </c>
      <c r="B12982" t="s">
        <v>27</v>
      </c>
      <c r="C12982">
        <v>4085</v>
      </c>
      <c r="D12982" t="str">
        <f>"04085"</f>
        <v>04085</v>
      </c>
      <c r="E12982">
        <v>76.84</v>
      </c>
    </row>
    <row r="12983" spans="1:5" x14ac:dyDescent="0.2">
      <c r="A12983" t="str">
        <f>"04086"</f>
        <v>04086</v>
      </c>
      <c r="B12983" t="s">
        <v>27</v>
      </c>
      <c r="C12983">
        <v>4086</v>
      </c>
      <c r="D12983" t="str">
        <f>"04086"</f>
        <v>04086</v>
      </c>
      <c r="E12983">
        <v>80.36</v>
      </c>
    </row>
    <row r="12984" spans="1:5" x14ac:dyDescent="0.2">
      <c r="A12984" t="str">
        <f>"04087"</f>
        <v>04087</v>
      </c>
      <c r="B12984" t="s">
        <v>27</v>
      </c>
      <c r="C12984">
        <v>4087</v>
      </c>
      <c r="D12984" t="str">
        <f>"04087"</f>
        <v>04087</v>
      </c>
      <c r="E12984">
        <v>77.69</v>
      </c>
    </row>
    <row r="12985" spans="1:5" x14ac:dyDescent="0.2">
      <c r="A12985" t="str">
        <f>"04088"</f>
        <v>04088</v>
      </c>
      <c r="B12985" t="s">
        <v>27</v>
      </c>
      <c r="C12985">
        <v>4088</v>
      </c>
      <c r="D12985" t="str">
        <f>"04088"</f>
        <v>04088</v>
      </c>
      <c r="E12985">
        <v>72.459999999999994</v>
      </c>
    </row>
    <row r="12986" spans="1:5" x14ac:dyDescent="0.2">
      <c r="A12986" t="str">
        <f>"04090"</f>
        <v>04090</v>
      </c>
      <c r="B12986" t="s">
        <v>27</v>
      </c>
      <c r="C12986">
        <v>4090</v>
      </c>
      <c r="D12986" t="str">
        <f>"04090"</f>
        <v>04090</v>
      </c>
      <c r="E12986">
        <v>79.23</v>
      </c>
    </row>
    <row r="12987" spans="1:5" x14ac:dyDescent="0.2">
      <c r="A12987" t="str">
        <f>"04091"</f>
        <v>04091</v>
      </c>
      <c r="B12987" t="s">
        <v>27</v>
      </c>
      <c r="C12987">
        <v>4091</v>
      </c>
      <c r="D12987" t="str">
        <f>"04091"</f>
        <v>04091</v>
      </c>
      <c r="E12987">
        <v>70.209999999999994</v>
      </c>
    </row>
    <row r="12988" spans="1:5" x14ac:dyDescent="0.2">
      <c r="A12988" t="str">
        <f>"04092"</f>
        <v>04092</v>
      </c>
      <c r="B12988" t="s">
        <v>27</v>
      </c>
      <c r="C12988">
        <v>4092</v>
      </c>
      <c r="D12988" t="str">
        <f>"04092"</f>
        <v>04092</v>
      </c>
      <c r="E12988">
        <v>76.84</v>
      </c>
    </row>
    <row r="12989" spans="1:5" x14ac:dyDescent="0.2">
      <c r="A12989" t="str">
        <f>"04093"</f>
        <v>04093</v>
      </c>
      <c r="B12989" t="s">
        <v>27</v>
      </c>
      <c r="C12989">
        <v>4093</v>
      </c>
      <c r="D12989" t="str">
        <f>"04093"</f>
        <v>04093</v>
      </c>
      <c r="E12989">
        <v>78.42</v>
      </c>
    </row>
    <row r="12990" spans="1:5" x14ac:dyDescent="0.2">
      <c r="A12990" t="str">
        <f>"04095"</f>
        <v>04095</v>
      </c>
      <c r="B12990" t="s">
        <v>27</v>
      </c>
      <c r="C12990">
        <v>4095</v>
      </c>
      <c r="D12990" t="str">
        <f>"04095"</f>
        <v>04095</v>
      </c>
      <c r="E12990">
        <v>74.58</v>
      </c>
    </row>
    <row r="12991" spans="1:5" x14ac:dyDescent="0.2">
      <c r="A12991" t="str">
        <f>"04096"</f>
        <v>04096</v>
      </c>
      <c r="B12991" t="s">
        <v>27</v>
      </c>
      <c r="C12991">
        <v>4096</v>
      </c>
      <c r="D12991" t="str">
        <f>"04096"</f>
        <v>04096</v>
      </c>
      <c r="E12991">
        <v>79.42</v>
      </c>
    </row>
    <row r="12992" spans="1:5" x14ac:dyDescent="0.2">
      <c r="A12992" t="str">
        <f>"04097"</f>
        <v>04097</v>
      </c>
      <c r="B12992" t="s">
        <v>27</v>
      </c>
      <c r="C12992">
        <v>4097</v>
      </c>
      <c r="D12992" t="str">
        <f>"04097"</f>
        <v>04097</v>
      </c>
      <c r="E12992">
        <v>79.790000000000006</v>
      </c>
    </row>
    <row r="12993" spans="1:5" x14ac:dyDescent="0.2">
      <c r="A12993" t="str">
        <f>"04101"</f>
        <v>04101</v>
      </c>
      <c r="B12993" t="s">
        <v>27</v>
      </c>
      <c r="C12993">
        <v>4101</v>
      </c>
      <c r="D12993" t="str">
        <f>"04101"</f>
        <v>04101</v>
      </c>
      <c r="E12993">
        <v>76.41</v>
      </c>
    </row>
    <row r="12994" spans="1:5" x14ac:dyDescent="0.2">
      <c r="A12994" t="str">
        <f>"04102"</f>
        <v>04102</v>
      </c>
      <c r="B12994" t="s">
        <v>27</v>
      </c>
      <c r="C12994">
        <v>4102</v>
      </c>
      <c r="D12994" t="str">
        <f>"04102"</f>
        <v>04102</v>
      </c>
      <c r="E12994">
        <v>79.81</v>
      </c>
    </row>
    <row r="12995" spans="1:5" x14ac:dyDescent="0.2">
      <c r="A12995" t="str">
        <f>"04103"</f>
        <v>04103</v>
      </c>
      <c r="B12995" t="s">
        <v>27</v>
      </c>
      <c r="C12995">
        <v>4103</v>
      </c>
      <c r="D12995" t="str">
        <f>"04103"</f>
        <v>04103</v>
      </c>
      <c r="E12995">
        <v>78.2</v>
      </c>
    </row>
    <row r="12996" spans="1:5" x14ac:dyDescent="0.2">
      <c r="A12996" t="str">
        <f>"04105"</f>
        <v>04105</v>
      </c>
      <c r="B12996" t="s">
        <v>27</v>
      </c>
      <c r="C12996">
        <v>4105</v>
      </c>
      <c r="D12996" t="str">
        <f>"04105"</f>
        <v>04105</v>
      </c>
      <c r="E12996">
        <v>81.48</v>
      </c>
    </row>
    <row r="12997" spans="1:5" x14ac:dyDescent="0.2">
      <c r="A12997" t="str">
        <f>"04106"</f>
        <v>04106</v>
      </c>
      <c r="B12997" t="s">
        <v>27</v>
      </c>
      <c r="C12997">
        <v>4106</v>
      </c>
      <c r="D12997" t="str">
        <f>"04106"</f>
        <v>04106</v>
      </c>
      <c r="E12997">
        <v>78.61</v>
      </c>
    </row>
    <row r="12998" spans="1:5" x14ac:dyDescent="0.2">
      <c r="A12998" t="str">
        <f>"04107"</f>
        <v>04107</v>
      </c>
      <c r="B12998" t="s">
        <v>27</v>
      </c>
      <c r="C12998">
        <v>4107</v>
      </c>
      <c r="D12998" t="str">
        <f>"04107"</f>
        <v>04107</v>
      </c>
      <c r="E12998">
        <v>80.42</v>
      </c>
    </row>
    <row r="12999" spans="1:5" x14ac:dyDescent="0.2">
      <c r="A12999" t="str">
        <f>"04108"</f>
        <v>04108</v>
      </c>
      <c r="B12999" t="s">
        <v>27</v>
      </c>
      <c r="C12999">
        <v>4108</v>
      </c>
      <c r="D12999" t="str">
        <f>"04108"</f>
        <v>04108</v>
      </c>
      <c r="E12999">
        <v>73.47</v>
      </c>
    </row>
    <row r="13000" spans="1:5" x14ac:dyDescent="0.2">
      <c r="A13000" t="str">
        <f>"04109"</f>
        <v>04109</v>
      </c>
      <c r="B13000" t="s">
        <v>27</v>
      </c>
      <c r="C13000">
        <v>4109</v>
      </c>
      <c r="D13000" t="str">
        <f>"04109"</f>
        <v>04109</v>
      </c>
      <c r="E13000" t="s">
        <v>6</v>
      </c>
    </row>
    <row r="13001" spans="1:5" x14ac:dyDescent="0.2">
      <c r="A13001" t="str">
        <f>"04110"</f>
        <v>04110</v>
      </c>
      <c r="B13001" t="s">
        <v>27</v>
      </c>
      <c r="C13001">
        <v>4110</v>
      </c>
      <c r="D13001" t="str">
        <f>"04110"</f>
        <v>04110</v>
      </c>
      <c r="E13001">
        <v>85.11</v>
      </c>
    </row>
    <row r="13002" spans="1:5" x14ac:dyDescent="0.2">
      <c r="A13002" t="str">
        <f>"04210"</f>
        <v>04210</v>
      </c>
      <c r="B13002" t="s">
        <v>27</v>
      </c>
      <c r="C13002">
        <v>4210</v>
      </c>
      <c r="D13002" t="str">
        <f>"04210"</f>
        <v>04210</v>
      </c>
      <c r="E13002">
        <v>72.33</v>
      </c>
    </row>
    <row r="13003" spans="1:5" x14ac:dyDescent="0.2">
      <c r="A13003" t="str">
        <f>"04216"</f>
        <v>04216</v>
      </c>
      <c r="B13003" t="s">
        <v>27</v>
      </c>
      <c r="C13003">
        <v>4216</v>
      </c>
      <c r="D13003" t="str">
        <f>"04216"</f>
        <v>04216</v>
      </c>
      <c r="E13003">
        <v>71.430000000000007</v>
      </c>
    </row>
    <row r="13004" spans="1:5" x14ac:dyDescent="0.2">
      <c r="A13004" t="str">
        <f>"04217"</f>
        <v>04217</v>
      </c>
      <c r="B13004" t="s">
        <v>27</v>
      </c>
      <c r="C13004">
        <v>4217</v>
      </c>
      <c r="D13004" t="str">
        <f>"04217"</f>
        <v>04217</v>
      </c>
      <c r="E13004">
        <v>73.010000000000005</v>
      </c>
    </row>
    <row r="13005" spans="1:5" x14ac:dyDescent="0.2">
      <c r="A13005" t="str">
        <f>"04219"</f>
        <v>04219</v>
      </c>
      <c r="B13005" t="s">
        <v>27</v>
      </c>
      <c r="C13005">
        <v>4219</v>
      </c>
      <c r="D13005" t="str">
        <f>"04219"</f>
        <v>04219</v>
      </c>
      <c r="E13005">
        <v>70.59</v>
      </c>
    </row>
    <row r="13006" spans="1:5" x14ac:dyDescent="0.2">
      <c r="A13006" t="str">
        <f>"04220"</f>
        <v>04220</v>
      </c>
      <c r="B13006" t="s">
        <v>27</v>
      </c>
      <c r="C13006">
        <v>4220</v>
      </c>
      <c r="D13006" t="str">
        <f>"04220"</f>
        <v>04220</v>
      </c>
      <c r="E13006">
        <v>73.61</v>
      </c>
    </row>
    <row r="13007" spans="1:5" x14ac:dyDescent="0.2">
      <c r="A13007" t="str">
        <f>"04221"</f>
        <v>04221</v>
      </c>
      <c r="B13007" t="s">
        <v>27</v>
      </c>
      <c r="C13007">
        <v>4221</v>
      </c>
      <c r="D13007" t="str">
        <f>"04221"</f>
        <v>04221</v>
      </c>
      <c r="E13007">
        <v>69.77</v>
      </c>
    </row>
    <row r="13008" spans="1:5" x14ac:dyDescent="0.2">
      <c r="A13008" t="str">
        <f>"04222"</f>
        <v>04222</v>
      </c>
      <c r="B13008" t="s">
        <v>27</v>
      </c>
      <c r="C13008">
        <v>4222</v>
      </c>
      <c r="D13008" t="str">
        <f>"04222"</f>
        <v>04222</v>
      </c>
      <c r="E13008">
        <v>82.32</v>
      </c>
    </row>
    <row r="13009" spans="1:5" x14ac:dyDescent="0.2">
      <c r="A13009" t="str">
        <f>"04224"</f>
        <v>04224</v>
      </c>
      <c r="B13009" t="s">
        <v>27</v>
      </c>
      <c r="C13009">
        <v>4224</v>
      </c>
      <c r="D13009" t="str">
        <f>"04224"</f>
        <v>04224</v>
      </c>
      <c r="E13009">
        <v>70.83</v>
      </c>
    </row>
    <row r="13010" spans="1:5" x14ac:dyDescent="0.2">
      <c r="A13010" t="str">
        <f>"04226"</f>
        <v>04226</v>
      </c>
      <c r="B13010" t="s">
        <v>27</v>
      </c>
      <c r="C13010">
        <v>4226</v>
      </c>
      <c r="D13010" t="str">
        <f>"04226"</f>
        <v>04226</v>
      </c>
      <c r="E13010" t="s">
        <v>6</v>
      </c>
    </row>
    <row r="13011" spans="1:5" x14ac:dyDescent="0.2">
      <c r="A13011" t="str">
        <f>"04231"</f>
        <v>04231</v>
      </c>
      <c r="B13011" t="s">
        <v>27</v>
      </c>
      <c r="C13011">
        <v>4231</v>
      </c>
      <c r="D13011" t="str">
        <f>"04231"</f>
        <v>04231</v>
      </c>
      <c r="E13011">
        <v>66.67</v>
      </c>
    </row>
    <row r="13012" spans="1:5" x14ac:dyDescent="0.2">
      <c r="A13012" t="str">
        <f>"04236"</f>
        <v>04236</v>
      </c>
      <c r="B13012" t="s">
        <v>27</v>
      </c>
      <c r="C13012">
        <v>4236</v>
      </c>
      <c r="D13012" t="str">
        <f>"04236"</f>
        <v>04236</v>
      </c>
      <c r="E13012">
        <v>76.44</v>
      </c>
    </row>
    <row r="13013" spans="1:5" x14ac:dyDescent="0.2">
      <c r="A13013" t="str">
        <f>"04237"</f>
        <v>04237</v>
      </c>
      <c r="B13013" t="s">
        <v>27</v>
      </c>
      <c r="C13013">
        <v>4237</v>
      </c>
      <c r="D13013" t="str">
        <f>"04237"</f>
        <v>04237</v>
      </c>
      <c r="E13013">
        <v>75</v>
      </c>
    </row>
    <row r="13014" spans="1:5" x14ac:dyDescent="0.2">
      <c r="A13014" t="str">
        <f>"04238"</f>
        <v>04238</v>
      </c>
      <c r="B13014" t="s">
        <v>27</v>
      </c>
      <c r="C13014">
        <v>4238</v>
      </c>
      <c r="D13014" t="str">
        <f>"04238"</f>
        <v>04238</v>
      </c>
      <c r="E13014">
        <v>77.42</v>
      </c>
    </row>
    <row r="13015" spans="1:5" x14ac:dyDescent="0.2">
      <c r="A13015" t="str">
        <f>"04239"</f>
        <v>04239</v>
      </c>
      <c r="B13015" t="s">
        <v>27</v>
      </c>
      <c r="C13015">
        <v>4239</v>
      </c>
      <c r="D13015" t="str">
        <f>"04239"</f>
        <v>04239</v>
      </c>
      <c r="E13015">
        <v>73.400000000000006</v>
      </c>
    </row>
    <row r="13016" spans="1:5" x14ac:dyDescent="0.2">
      <c r="A13016" t="str">
        <f>"04240"</f>
        <v>04240</v>
      </c>
      <c r="B13016" t="s">
        <v>27</v>
      </c>
      <c r="C13016">
        <v>4240</v>
      </c>
      <c r="D13016" t="str">
        <f>"04240"</f>
        <v>04240</v>
      </c>
      <c r="E13016">
        <v>67.150000000000006</v>
      </c>
    </row>
    <row r="13017" spans="1:5" x14ac:dyDescent="0.2">
      <c r="A13017" t="str">
        <f>"04250"</f>
        <v>04250</v>
      </c>
      <c r="B13017" t="s">
        <v>27</v>
      </c>
      <c r="C13017">
        <v>4250</v>
      </c>
      <c r="D13017" t="str">
        <f>"04250"</f>
        <v>04250</v>
      </c>
      <c r="E13017">
        <v>76.53</v>
      </c>
    </row>
    <row r="13018" spans="1:5" x14ac:dyDescent="0.2">
      <c r="A13018" t="str">
        <f>"04252"</f>
        <v>04252</v>
      </c>
      <c r="B13018" t="s">
        <v>27</v>
      </c>
      <c r="C13018">
        <v>4252</v>
      </c>
      <c r="D13018" t="str">
        <f>"04252"</f>
        <v>04252</v>
      </c>
      <c r="E13018">
        <v>75.739999999999995</v>
      </c>
    </row>
    <row r="13019" spans="1:5" x14ac:dyDescent="0.2">
      <c r="A13019" t="str">
        <f>"04253"</f>
        <v>04253</v>
      </c>
      <c r="B13019" t="s">
        <v>27</v>
      </c>
      <c r="C13019">
        <v>4253</v>
      </c>
      <c r="D13019" t="str">
        <f>"04253"</f>
        <v>04253</v>
      </c>
      <c r="E13019">
        <v>77</v>
      </c>
    </row>
    <row r="13020" spans="1:5" x14ac:dyDescent="0.2">
      <c r="A13020" t="str">
        <f>"04254"</f>
        <v>04254</v>
      </c>
      <c r="B13020" t="s">
        <v>27</v>
      </c>
      <c r="C13020">
        <v>4254</v>
      </c>
      <c r="D13020" t="str">
        <f>"04254"</f>
        <v>04254</v>
      </c>
      <c r="E13020">
        <v>63.78</v>
      </c>
    </row>
    <row r="13021" spans="1:5" x14ac:dyDescent="0.2">
      <c r="A13021" t="str">
        <f>"04255"</f>
        <v>04255</v>
      </c>
      <c r="B13021" t="s">
        <v>27</v>
      </c>
      <c r="C13021">
        <v>4255</v>
      </c>
      <c r="D13021" t="str">
        <f>"04255"</f>
        <v>04255</v>
      </c>
      <c r="E13021">
        <v>67.569999999999993</v>
      </c>
    </row>
    <row r="13022" spans="1:5" x14ac:dyDescent="0.2">
      <c r="A13022" t="str">
        <f>"04256"</f>
        <v>04256</v>
      </c>
      <c r="B13022" t="s">
        <v>27</v>
      </c>
      <c r="C13022">
        <v>4256</v>
      </c>
      <c r="D13022" t="str">
        <f>"04256"</f>
        <v>04256</v>
      </c>
      <c r="E13022">
        <v>71.63</v>
      </c>
    </row>
    <row r="13023" spans="1:5" x14ac:dyDescent="0.2">
      <c r="A13023" t="str">
        <f>"04257"</f>
        <v>04257</v>
      </c>
      <c r="B13023" t="s">
        <v>27</v>
      </c>
      <c r="C13023">
        <v>4257</v>
      </c>
      <c r="D13023" t="str">
        <f>"04257"</f>
        <v>04257</v>
      </c>
      <c r="E13023">
        <v>63.55</v>
      </c>
    </row>
    <row r="13024" spans="1:5" x14ac:dyDescent="0.2">
      <c r="A13024" t="str">
        <f>"04258"</f>
        <v>04258</v>
      </c>
      <c r="B13024" t="s">
        <v>27</v>
      </c>
      <c r="C13024">
        <v>4258</v>
      </c>
      <c r="D13024" t="str">
        <f>"04258"</f>
        <v>04258</v>
      </c>
      <c r="E13024">
        <v>78.680000000000007</v>
      </c>
    </row>
    <row r="13025" spans="1:5" x14ac:dyDescent="0.2">
      <c r="A13025" t="str">
        <f>"04259"</f>
        <v>04259</v>
      </c>
      <c r="B13025" t="s">
        <v>27</v>
      </c>
      <c r="C13025">
        <v>4259</v>
      </c>
      <c r="D13025" t="str">
        <f>"04259"</f>
        <v>04259</v>
      </c>
      <c r="E13025">
        <v>76.92</v>
      </c>
    </row>
    <row r="13026" spans="1:5" x14ac:dyDescent="0.2">
      <c r="A13026" t="str">
        <f>"04260"</f>
        <v>04260</v>
      </c>
      <c r="B13026" t="s">
        <v>27</v>
      </c>
      <c r="C13026">
        <v>4260</v>
      </c>
      <c r="D13026" t="str">
        <f>"04260"</f>
        <v>04260</v>
      </c>
      <c r="E13026">
        <v>80.430000000000007</v>
      </c>
    </row>
    <row r="13027" spans="1:5" x14ac:dyDescent="0.2">
      <c r="A13027" t="str">
        <f>"04261"</f>
        <v>04261</v>
      </c>
      <c r="B13027" t="s">
        <v>27</v>
      </c>
      <c r="C13027">
        <v>4261</v>
      </c>
      <c r="D13027" t="str">
        <f>"04261"</f>
        <v>04261</v>
      </c>
      <c r="E13027">
        <v>79.17</v>
      </c>
    </row>
    <row r="13028" spans="1:5" x14ac:dyDescent="0.2">
      <c r="A13028" t="str">
        <f>"04263"</f>
        <v>04263</v>
      </c>
      <c r="B13028" t="s">
        <v>27</v>
      </c>
      <c r="C13028">
        <v>4263</v>
      </c>
      <c r="D13028" t="str">
        <f>"04263"</f>
        <v>04263</v>
      </c>
      <c r="E13028">
        <v>75.239999999999995</v>
      </c>
    </row>
    <row r="13029" spans="1:5" x14ac:dyDescent="0.2">
      <c r="A13029" t="str">
        <f>"04265"</f>
        <v>04265</v>
      </c>
      <c r="B13029" t="s">
        <v>27</v>
      </c>
      <c r="C13029">
        <v>4265</v>
      </c>
      <c r="D13029" t="str">
        <f>"04265"</f>
        <v>04265</v>
      </c>
      <c r="E13029">
        <v>76.739999999999995</v>
      </c>
    </row>
    <row r="13030" spans="1:5" x14ac:dyDescent="0.2">
      <c r="A13030" t="str">
        <f>"04268"</f>
        <v>04268</v>
      </c>
      <c r="B13030" t="s">
        <v>27</v>
      </c>
      <c r="C13030">
        <v>4268</v>
      </c>
      <c r="D13030" t="str">
        <f>"04268"</f>
        <v>04268</v>
      </c>
      <c r="E13030">
        <v>69.7</v>
      </c>
    </row>
    <row r="13031" spans="1:5" x14ac:dyDescent="0.2">
      <c r="A13031" t="str">
        <f>"04270"</f>
        <v>04270</v>
      </c>
      <c r="B13031" t="s">
        <v>27</v>
      </c>
      <c r="C13031">
        <v>4270</v>
      </c>
      <c r="D13031" t="str">
        <f>"04270"</f>
        <v>04270</v>
      </c>
      <c r="E13031">
        <v>71.64</v>
      </c>
    </row>
    <row r="13032" spans="1:5" x14ac:dyDescent="0.2">
      <c r="A13032" t="str">
        <f>"04274"</f>
        <v>04274</v>
      </c>
      <c r="B13032" t="s">
        <v>27</v>
      </c>
      <c r="C13032">
        <v>4274</v>
      </c>
      <c r="D13032" t="str">
        <f>"04274"</f>
        <v>04274</v>
      </c>
      <c r="E13032">
        <v>76</v>
      </c>
    </row>
    <row r="13033" spans="1:5" x14ac:dyDescent="0.2">
      <c r="A13033" t="str">
        <f>"04275"</f>
        <v>04275</v>
      </c>
      <c r="B13033" t="s">
        <v>27</v>
      </c>
      <c r="C13033">
        <v>4275</v>
      </c>
      <c r="D13033" t="str">
        <f>"04275"</f>
        <v>04275</v>
      </c>
      <c r="E13033">
        <v>69.569999999999993</v>
      </c>
    </row>
    <row r="13034" spans="1:5" x14ac:dyDescent="0.2">
      <c r="A13034" t="str">
        <f>"04276"</f>
        <v>04276</v>
      </c>
      <c r="B13034" t="s">
        <v>27</v>
      </c>
      <c r="C13034">
        <v>4276</v>
      </c>
      <c r="D13034" t="str">
        <f>"04276"</f>
        <v>04276</v>
      </c>
      <c r="E13034">
        <v>68.38</v>
      </c>
    </row>
    <row r="13035" spans="1:5" x14ac:dyDescent="0.2">
      <c r="A13035" t="str">
        <f>"04280"</f>
        <v>04280</v>
      </c>
      <c r="B13035" t="s">
        <v>27</v>
      </c>
      <c r="C13035">
        <v>4280</v>
      </c>
      <c r="D13035" t="str">
        <f>"04280"</f>
        <v>04280</v>
      </c>
      <c r="E13035">
        <v>74.77</v>
      </c>
    </row>
    <row r="13036" spans="1:5" x14ac:dyDescent="0.2">
      <c r="A13036" t="str">
        <f>"04281"</f>
        <v>04281</v>
      </c>
      <c r="B13036" t="s">
        <v>27</v>
      </c>
      <c r="C13036">
        <v>4281</v>
      </c>
      <c r="D13036" t="str">
        <f>"04281"</f>
        <v>04281</v>
      </c>
      <c r="E13036">
        <v>69.430000000000007</v>
      </c>
    </row>
    <row r="13037" spans="1:5" x14ac:dyDescent="0.2">
      <c r="A13037" t="str">
        <f>"04282"</f>
        <v>04282</v>
      </c>
      <c r="B13037" t="s">
        <v>27</v>
      </c>
      <c r="C13037">
        <v>4282</v>
      </c>
      <c r="D13037" t="str">
        <f>"04282"</f>
        <v>04282</v>
      </c>
      <c r="E13037">
        <v>75.650000000000006</v>
      </c>
    </row>
    <row r="13038" spans="1:5" x14ac:dyDescent="0.2">
      <c r="A13038" t="str">
        <f>"04284"</f>
        <v>04284</v>
      </c>
      <c r="B13038" t="s">
        <v>27</v>
      </c>
      <c r="C13038">
        <v>4284</v>
      </c>
      <c r="D13038" t="str">
        <f>"04284"</f>
        <v>04284</v>
      </c>
      <c r="E13038">
        <v>74.58</v>
      </c>
    </row>
    <row r="13039" spans="1:5" x14ac:dyDescent="0.2">
      <c r="A13039" t="str">
        <f>"04285"</f>
        <v>04285</v>
      </c>
      <c r="B13039" t="s">
        <v>27</v>
      </c>
      <c r="C13039">
        <v>4285</v>
      </c>
      <c r="D13039" t="str">
        <f>"04285"</f>
        <v>04285</v>
      </c>
      <c r="E13039">
        <v>80</v>
      </c>
    </row>
    <row r="13040" spans="1:5" x14ac:dyDescent="0.2">
      <c r="A13040" t="str">
        <f>"04287"</f>
        <v>04287</v>
      </c>
      <c r="B13040" t="s">
        <v>27</v>
      </c>
      <c r="C13040">
        <v>4287</v>
      </c>
      <c r="D13040" t="str">
        <f>"04287"</f>
        <v>04287</v>
      </c>
      <c r="E13040">
        <v>77.48</v>
      </c>
    </row>
    <row r="13041" spans="1:5" x14ac:dyDescent="0.2">
      <c r="A13041" t="str">
        <f>"04288"</f>
        <v>04288</v>
      </c>
      <c r="B13041" t="s">
        <v>27</v>
      </c>
      <c r="C13041">
        <v>4288</v>
      </c>
      <c r="D13041" t="str">
        <f>"04288"</f>
        <v>04288</v>
      </c>
      <c r="E13041" t="s">
        <v>6</v>
      </c>
    </row>
    <row r="13042" spans="1:5" x14ac:dyDescent="0.2">
      <c r="A13042" t="str">
        <f>"04289"</f>
        <v>04289</v>
      </c>
      <c r="B13042" t="s">
        <v>27</v>
      </c>
      <c r="C13042">
        <v>4289</v>
      </c>
      <c r="D13042" t="str">
        <f>"04289"</f>
        <v>04289</v>
      </c>
      <c r="E13042">
        <v>66.67</v>
      </c>
    </row>
    <row r="13043" spans="1:5" x14ac:dyDescent="0.2">
      <c r="A13043" t="str">
        <f>"04290"</f>
        <v>04290</v>
      </c>
      <c r="B13043" t="s">
        <v>27</v>
      </c>
      <c r="C13043">
        <v>4290</v>
      </c>
      <c r="D13043" t="str">
        <f>"04290"</f>
        <v>04290</v>
      </c>
      <c r="E13043">
        <v>74.239999999999995</v>
      </c>
    </row>
    <row r="13044" spans="1:5" x14ac:dyDescent="0.2">
      <c r="A13044" t="str">
        <f>"04292"</f>
        <v>04292</v>
      </c>
      <c r="B13044" t="s">
        <v>27</v>
      </c>
      <c r="C13044">
        <v>4292</v>
      </c>
      <c r="D13044" t="str">
        <f>"04292"</f>
        <v>04292</v>
      </c>
      <c r="E13044">
        <v>63.16</v>
      </c>
    </row>
    <row r="13045" spans="1:5" x14ac:dyDescent="0.2">
      <c r="A13045" t="str">
        <f>"04294"</f>
        <v>04294</v>
      </c>
      <c r="B13045" t="s">
        <v>27</v>
      </c>
      <c r="C13045">
        <v>4294</v>
      </c>
      <c r="D13045" t="str">
        <f>"04294"</f>
        <v>04294</v>
      </c>
      <c r="E13045">
        <v>70.78</v>
      </c>
    </row>
    <row r="13046" spans="1:5" x14ac:dyDescent="0.2">
      <c r="A13046" t="str">
        <f>"04330"</f>
        <v>04330</v>
      </c>
      <c r="B13046" t="s">
        <v>27</v>
      </c>
      <c r="C13046">
        <v>4330</v>
      </c>
      <c r="D13046" t="str">
        <f>"04330"</f>
        <v>04330</v>
      </c>
      <c r="E13046">
        <v>74.92</v>
      </c>
    </row>
    <row r="13047" spans="1:5" x14ac:dyDescent="0.2">
      <c r="A13047" t="str">
        <f>"04342"</f>
        <v>04342</v>
      </c>
      <c r="B13047" t="s">
        <v>27</v>
      </c>
      <c r="C13047">
        <v>4342</v>
      </c>
      <c r="D13047" t="str">
        <f>"04342"</f>
        <v>04342</v>
      </c>
      <c r="E13047">
        <v>75.61</v>
      </c>
    </row>
    <row r="13048" spans="1:5" x14ac:dyDescent="0.2">
      <c r="A13048" t="str">
        <f>"04344"</f>
        <v>04344</v>
      </c>
      <c r="B13048" t="s">
        <v>27</v>
      </c>
      <c r="C13048">
        <v>4344</v>
      </c>
      <c r="D13048" t="str">
        <f>"04344"</f>
        <v>04344</v>
      </c>
      <c r="E13048">
        <v>74.13</v>
      </c>
    </row>
    <row r="13049" spans="1:5" x14ac:dyDescent="0.2">
      <c r="A13049" t="str">
        <f>"04345"</f>
        <v>04345</v>
      </c>
      <c r="B13049" t="s">
        <v>27</v>
      </c>
      <c r="C13049">
        <v>4345</v>
      </c>
      <c r="D13049" t="str">
        <f>"04345"</f>
        <v>04345</v>
      </c>
      <c r="E13049">
        <v>75.66</v>
      </c>
    </row>
    <row r="13050" spans="1:5" x14ac:dyDescent="0.2">
      <c r="A13050" t="str">
        <f>"04346"</f>
        <v>04346</v>
      </c>
      <c r="B13050" t="s">
        <v>27</v>
      </c>
      <c r="C13050">
        <v>4346</v>
      </c>
      <c r="D13050" t="str">
        <f>"04346"</f>
        <v>04346</v>
      </c>
      <c r="E13050">
        <v>74.12</v>
      </c>
    </row>
    <row r="13051" spans="1:5" x14ac:dyDescent="0.2">
      <c r="A13051" t="str">
        <f>"04347"</f>
        <v>04347</v>
      </c>
      <c r="B13051" t="s">
        <v>27</v>
      </c>
      <c r="C13051">
        <v>4347</v>
      </c>
      <c r="D13051" t="str">
        <f>"04347"</f>
        <v>04347</v>
      </c>
      <c r="E13051">
        <v>84.56</v>
      </c>
    </row>
    <row r="13052" spans="1:5" x14ac:dyDescent="0.2">
      <c r="A13052" t="str">
        <f>"04348"</f>
        <v>04348</v>
      </c>
      <c r="B13052" t="s">
        <v>27</v>
      </c>
      <c r="C13052">
        <v>4348</v>
      </c>
      <c r="D13052" t="str">
        <f>"04348"</f>
        <v>04348</v>
      </c>
      <c r="E13052">
        <v>72.790000000000006</v>
      </c>
    </row>
    <row r="13053" spans="1:5" x14ac:dyDescent="0.2">
      <c r="A13053" t="str">
        <f>"04349"</f>
        <v>04349</v>
      </c>
      <c r="B13053" t="s">
        <v>27</v>
      </c>
      <c r="C13053">
        <v>4349</v>
      </c>
      <c r="D13053" t="str">
        <f>"04349"</f>
        <v>04349</v>
      </c>
      <c r="E13053">
        <v>77.78</v>
      </c>
    </row>
    <row r="13054" spans="1:5" x14ac:dyDescent="0.2">
      <c r="A13054" t="str">
        <f>"04350"</f>
        <v>04350</v>
      </c>
      <c r="B13054" t="s">
        <v>27</v>
      </c>
      <c r="C13054">
        <v>4350</v>
      </c>
      <c r="D13054" t="str">
        <f>"04350"</f>
        <v>04350</v>
      </c>
      <c r="E13054">
        <v>76.92</v>
      </c>
    </row>
    <row r="13055" spans="1:5" x14ac:dyDescent="0.2">
      <c r="A13055" t="str">
        <f>"04351"</f>
        <v>04351</v>
      </c>
      <c r="B13055" t="s">
        <v>27</v>
      </c>
      <c r="C13055">
        <v>4351</v>
      </c>
      <c r="D13055" t="str">
        <f>"04351"</f>
        <v>04351</v>
      </c>
      <c r="E13055">
        <v>80.430000000000007</v>
      </c>
    </row>
    <row r="13056" spans="1:5" x14ac:dyDescent="0.2">
      <c r="A13056" t="str">
        <f>"04352"</f>
        <v>04352</v>
      </c>
      <c r="B13056" t="s">
        <v>27</v>
      </c>
      <c r="C13056">
        <v>4352</v>
      </c>
      <c r="D13056" t="str">
        <f>"04352"</f>
        <v>04352</v>
      </c>
      <c r="E13056">
        <v>73.489999999999995</v>
      </c>
    </row>
    <row r="13057" spans="1:5" x14ac:dyDescent="0.2">
      <c r="A13057" t="str">
        <f>"04353"</f>
        <v>04353</v>
      </c>
      <c r="B13057" t="s">
        <v>27</v>
      </c>
      <c r="C13057">
        <v>4353</v>
      </c>
      <c r="D13057" t="str">
        <f>"04353"</f>
        <v>04353</v>
      </c>
      <c r="E13057">
        <v>72.97</v>
      </c>
    </row>
    <row r="13058" spans="1:5" x14ac:dyDescent="0.2">
      <c r="A13058" t="str">
        <f>"04354"</f>
        <v>04354</v>
      </c>
      <c r="B13058" t="s">
        <v>27</v>
      </c>
      <c r="C13058">
        <v>4354</v>
      </c>
      <c r="D13058" t="str">
        <f>"04354"</f>
        <v>04354</v>
      </c>
      <c r="E13058">
        <v>71.430000000000007</v>
      </c>
    </row>
    <row r="13059" spans="1:5" x14ac:dyDescent="0.2">
      <c r="A13059" t="str">
        <f>"04355"</f>
        <v>04355</v>
      </c>
      <c r="B13059" t="s">
        <v>27</v>
      </c>
      <c r="C13059">
        <v>4355</v>
      </c>
      <c r="D13059" t="str">
        <f>"04355"</f>
        <v>04355</v>
      </c>
      <c r="E13059">
        <v>77.34</v>
      </c>
    </row>
    <row r="13060" spans="1:5" x14ac:dyDescent="0.2">
      <c r="A13060" t="str">
        <f>"04357"</f>
        <v>04357</v>
      </c>
      <c r="B13060" t="s">
        <v>27</v>
      </c>
      <c r="C13060">
        <v>4357</v>
      </c>
      <c r="D13060" t="str">
        <f>"04357"</f>
        <v>04357</v>
      </c>
      <c r="E13060">
        <v>76.47</v>
      </c>
    </row>
    <row r="13061" spans="1:5" x14ac:dyDescent="0.2">
      <c r="A13061" t="str">
        <f>"04358"</f>
        <v>04358</v>
      </c>
      <c r="B13061" t="s">
        <v>27</v>
      </c>
      <c r="C13061">
        <v>4358</v>
      </c>
      <c r="D13061" t="str">
        <f>"04358"</f>
        <v>04358</v>
      </c>
      <c r="E13061">
        <v>75.39</v>
      </c>
    </row>
    <row r="13062" spans="1:5" x14ac:dyDescent="0.2">
      <c r="A13062" t="str">
        <f>"04359"</f>
        <v>04359</v>
      </c>
      <c r="B13062" t="s">
        <v>27</v>
      </c>
      <c r="C13062">
        <v>4359</v>
      </c>
      <c r="D13062" t="str">
        <f>"04359"</f>
        <v>04359</v>
      </c>
      <c r="E13062" t="s">
        <v>6</v>
      </c>
    </row>
    <row r="13063" spans="1:5" x14ac:dyDescent="0.2">
      <c r="A13063" t="str">
        <f>"04360"</f>
        <v>04360</v>
      </c>
      <c r="B13063" t="s">
        <v>27</v>
      </c>
      <c r="C13063">
        <v>4360</v>
      </c>
      <c r="D13063" t="str">
        <f>"04360"</f>
        <v>04360</v>
      </c>
      <c r="E13063">
        <v>74.069999999999993</v>
      </c>
    </row>
    <row r="13064" spans="1:5" x14ac:dyDescent="0.2">
      <c r="A13064" t="str">
        <f>"04363"</f>
        <v>04363</v>
      </c>
      <c r="B13064" t="s">
        <v>27</v>
      </c>
      <c r="C13064">
        <v>4363</v>
      </c>
      <c r="D13064" t="str">
        <f>"04363"</f>
        <v>04363</v>
      </c>
      <c r="E13064">
        <v>72.58</v>
      </c>
    </row>
    <row r="13065" spans="1:5" x14ac:dyDescent="0.2">
      <c r="A13065" t="str">
        <f>"04364"</f>
        <v>04364</v>
      </c>
      <c r="B13065" t="s">
        <v>27</v>
      </c>
      <c r="C13065">
        <v>4364</v>
      </c>
      <c r="D13065" t="str">
        <f>"04364"</f>
        <v>04364</v>
      </c>
      <c r="E13065">
        <v>76.12</v>
      </c>
    </row>
    <row r="13066" spans="1:5" x14ac:dyDescent="0.2">
      <c r="A13066" t="str">
        <f>"04401"</f>
        <v>04401</v>
      </c>
      <c r="B13066" t="s">
        <v>27</v>
      </c>
      <c r="C13066">
        <v>4401</v>
      </c>
      <c r="D13066" t="str">
        <f>"04401"</f>
        <v>04401</v>
      </c>
      <c r="E13066">
        <v>73.819999999999993</v>
      </c>
    </row>
    <row r="13067" spans="1:5" x14ac:dyDescent="0.2">
      <c r="A13067" t="str">
        <f>"04406"</f>
        <v>04406</v>
      </c>
      <c r="B13067" t="s">
        <v>27</v>
      </c>
      <c r="C13067">
        <v>4406</v>
      </c>
      <c r="D13067" t="str">
        <f>"04406"</f>
        <v>04406</v>
      </c>
      <c r="E13067">
        <v>74.19</v>
      </c>
    </row>
    <row r="13068" spans="1:5" x14ac:dyDescent="0.2">
      <c r="A13068" t="str">
        <f>"04408"</f>
        <v>04408</v>
      </c>
      <c r="B13068" t="s">
        <v>27</v>
      </c>
      <c r="C13068">
        <v>4408</v>
      </c>
      <c r="D13068" t="str">
        <f>"04408"</f>
        <v>04408</v>
      </c>
      <c r="E13068" t="s">
        <v>6</v>
      </c>
    </row>
    <row r="13069" spans="1:5" x14ac:dyDescent="0.2">
      <c r="A13069" t="str">
        <f>"04410"</f>
        <v>04410</v>
      </c>
      <c r="B13069" t="s">
        <v>27</v>
      </c>
      <c r="C13069">
        <v>4410</v>
      </c>
      <c r="D13069" t="str">
        <f>"04410"</f>
        <v>04410</v>
      </c>
      <c r="E13069">
        <v>67.31</v>
      </c>
    </row>
    <row r="13070" spans="1:5" x14ac:dyDescent="0.2">
      <c r="A13070" t="str">
        <f>"04411"</f>
        <v>04411</v>
      </c>
      <c r="B13070" t="s">
        <v>27</v>
      </c>
      <c r="C13070">
        <v>4411</v>
      </c>
      <c r="D13070" t="str">
        <f>"04411"</f>
        <v>04411</v>
      </c>
      <c r="E13070">
        <v>75.64</v>
      </c>
    </row>
    <row r="13071" spans="1:5" x14ac:dyDescent="0.2">
      <c r="A13071" t="str">
        <f>"04412"</f>
        <v>04412</v>
      </c>
      <c r="B13071" t="s">
        <v>27</v>
      </c>
      <c r="C13071">
        <v>4412</v>
      </c>
      <c r="D13071" t="str">
        <f>"04412"</f>
        <v>04412</v>
      </c>
      <c r="E13071">
        <v>75.73</v>
      </c>
    </row>
    <row r="13072" spans="1:5" x14ac:dyDescent="0.2">
      <c r="A13072" t="str">
        <f>"04413"</f>
        <v>04413</v>
      </c>
      <c r="B13072" t="s">
        <v>27</v>
      </c>
      <c r="C13072">
        <v>4413</v>
      </c>
      <c r="D13072" t="str">
        <f>"04413"</f>
        <v>04413</v>
      </c>
      <c r="E13072" t="s">
        <v>6</v>
      </c>
    </row>
    <row r="13073" spans="1:5" x14ac:dyDescent="0.2">
      <c r="A13073" t="str">
        <f>"04414"</f>
        <v>04414</v>
      </c>
      <c r="B13073" t="s">
        <v>27</v>
      </c>
      <c r="C13073">
        <v>4414</v>
      </c>
      <c r="D13073" t="str">
        <f>"04414"</f>
        <v>04414</v>
      </c>
      <c r="E13073">
        <v>68.63</v>
      </c>
    </row>
    <row r="13074" spans="1:5" x14ac:dyDescent="0.2">
      <c r="A13074" t="str">
        <f>"04415"</f>
        <v>04415</v>
      </c>
      <c r="B13074" t="s">
        <v>27</v>
      </c>
      <c r="C13074">
        <v>4415</v>
      </c>
      <c r="D13074" t="str">
        <f>"04415"</f>
        <v>04415</v>
      </c>
      <c r="E13074" t="s">
        <v>6</v>
      </c>
    </row>
    <row r="13075" spans="1:5" x14ac:dyDescent="0.2">
      <c r="A13075" t="str">
        <f>"04416"</f>
        <v>04416</v>
      </c>
      <c r="B13075" t="s">
        <v>27</v>
      </c>
      <c r="C13075">
        <v>4416</v>
      </c>
      <c r="D13075" t="str">
        <f>"04416"</f>
        <v>04416</v>
      </c>
      <c r="E13075">
        <v>72.31</v>
      </c>
    </row>
    <row r="13076" spans="1:5" x14ac:dyDescent="0.2">
      <c r="A13076" t="str">
        <f>"04417"</f>
        <v>04417</v>
      </c>
      <c r="B13076" t="s">
        <v>27</v>
      </c>
      <c r="C13076">
        <v>4417</v>
      </c>
      <c r="D13076" t="str">
        <f>"04417"</f>
        <v>04417</v>
      </c>
      <c r="E13076">
        <v>66.67</v>
      </c>
    </row>
    <row r="13077" spans="1:5" x14ac:dyDescent="0.2">
      <c r="A13077" t="str">
        <f>"04418"</f>
        <v>04418</v>
      </c>
      <c r="B13077" t="s">
        <v>27</v>
      </c>
      <c r="C13077">
        <v>4418</v>
      </c>
      <c r="D13077" t="str">
        <f>"04418"</f>
        <v>04418</v>
      </c>
      <c r="E13077">
        <v>69.569999999999993</v>
      </c>
    </row>
    <row r="13078" spans="1:5" x14ac:dyDescent="0.2">
      <c r="A13078" t="str">
        <f>"04419"</f>
        <v>04419</v>
      </c>
      <c r="B13078" t="s">
        <v>27</v>
      </c>
      <c r="C13078">
        <v>4419</v>
      </c>
      <c r="D13078" t="str">
        <f>"04419"</f>
        <v>04419</v>
      </c>
      <c r="E13078">
        <v>75.709999999999994</v>
      </c>
    </row>
    <row r="13079" spans="1:5" x14ac:dyDescent="0.2">
      <c r="A13079" t="str">
        <f>"04421"</f>
        <v>04421</v>
      </c>
      <c r="B13079" t="s">
        <v>27</v>
      </c>
      <c r="C13079">
        <v>4421</v>
      </c>
      <c r="D13079" t="str">
        <f>"04421"</f>
        <v>04421</v>
      </c>
      <c r="E13079">
        <v>78.13</v>
      </c>
    </row>
    <row r="13080" spans="1:5" x14ac:dyDescent="0.2">
      <c r="A13080" t="str">
        <f>"04422"</f>
        <v>04422</v>
      </c>
      <c r="B13080" t="s">
        <v>27</v>
      </c>
      <c r="C13080">
        <v>4422</v>
      </c>
      <c r="D13080" t="str">
        <f>"04422"</f>
        <v>04422</v>
      </c>
      <c r="E13080">
        <v>63.27</v>
      </c>
    </row>
    <row r="13081" spans="1:5" x14ac:dyDescent="0.2">
      <c r="A13081" t="str">
        <f>"04424"</f>
        <v>04424</v>
      </c>
      <c r="B13081" t="s">
        <v>27</v>
      </c>
      <c r="C13081">
        <v>4424</v>
      </c>
      <c r="D13081" t="str">
        <f>"04424"</f>
        <v>04424</v>
      </c>
      <c r="E13081">
        <v>65.63</v>
      </c>
    </row>
    <row r="13082" spans="1:5" x14ac:dyDescent="0.2">
      <c r="A13082" t="str">
        <f>"04426"</f>
        <v>04426</v>
      </c>
      <c r="B13082" t="s">
        <v>27</v>
      </c>
      <c r="C13082">
        <v>4426</v>
      </c>
      <c r="D13082" t="str">
        <f>"04426"</f>
        <v>04426</v>
      </c>
      <c r="E13082">
        <v>70.650000000000006</v>
      </c>
    </row>
    <row r="13083" spans="1:5" x14ac:dyDescent="0.2">
      <c r="A13083" t="str">
        <f>"04427"</f>
        <v>04427</v>
      </c>
      <c r="B13083" t="s">
        <v>27</v>
      </c>
      <c r="C13083">
        <v>4427</v>
      </c>
      <c r="D13083" t="str">
        <f>"04427"</f>
        <v>04427</v>
      </c>
      <c r="E13083">
        <v>72.66</v>
      </c>
    </row>
    <row r="13084" spans="1:5" x14ac:dyDescent="0.2">
      <c r="A13084" t="str">
        <f>"04428"</f>
        <v>04428</v>
      </c>
      <c r="B13084" t="s">
        <v>27</v>
      </c>
      <c r="C13084">
        <v>4428</v>
      </c>
      <c r="D13084" t="str">
        <f>"04428"</f>
        <v>04428</v>
      </c>
      <c r="E13084">
        <v>73.97</v>
      </c>
    </row>
    <row r="13085" spans="1:5" x14ac:dyDescent="0.2">
      <c r="A13085" t="str">
        <f>"04429"</f>
        <v>04429</v>
      </c>
      <c r="B13085" t="s">
        <v>27</v>
      </c>
      <c r="C13085">
        <v>4429</v>
      </c>
      <c r="D13085" t="str">
        <f>"04429"</f>
        <v>04429</v>
      </c>
      <c r="E13085">
        <v>79.37</v>
      </c>
    </row>
    <row r="13086" spans="1:5" x14ac:dyDescent="0.2">
      <c r="A13086" t="str">
        <f>"04430"</f>
        <v>04430</v>
      </c>
      <c r="B13086" t="s">
        <v>27</v>
      </c>
      <c r="C13086">
        <v>4430</v>
      </c>
      <c r="D13086" t="str">
        <f>"04430"</f>
        <v>04430</v>
      </c>
      <c r="E13086">
        <v>65.63</v>
      </c>
    </row>
    <row r="13087" spans="1:5" x14ac:dyDescent="0.2">
      <c r="A13087" t="str">
        <f>"04434"</f>
        <v>04434</v>
      </c>
      <c r="B13087" t="s">
        <v>27</v>
      </c>
      <c r="C13087">
        <v>4434</v>
      </c>
      <c r="D13087" t="str">
        <f>"04434"</f>
        <v>04434</v>
      </c>
      <c r="E13087">
        <v>69.09</v>
      </c>
    </row>
    <row r="13088" spans="1:5" x14ac:dyDescent="0.2">
      <c r="A13088" t="str">
        <f>"04435"</f>
        <v>04435</v>
      </c>
      <c r="B13088" t="s">
        <v>27</v>
      </c>
      <c r="C13088">
        <v>4435</v>
      </c>
      <c r="D13088" t="str">
        <f>"04435"</f>
        <v>04435</v>
      </c>
      <c r="E13088">
        <v>70.73</v>
      </c>
    </row>
    <row r="13089" spans="1:5" x14ac:dyDescent="0.2">
      <c r="A13089" t="str">
        <f>"04438"</f>
        <v>04438</v>
      </c>
      <c r="B13089" t="s">
        <v>27</v>
      </c>
      <c r="C13089">
        <v>4438</v>
      </c>
      <c r="D13089" t="str">
        <f>"04438"</f>
        <v>04438</v>
      </c>
      <c r="E13089">
        <v>66.040000000000006</v>
      </c>
    </row>
    <row r="13090" spans="1:5" x14ac:dyDescent="0.2">
      <c r="A13090" t="str">
        <f>"04441"</f>
        <v>04441</v>
      </c>
      <c r="B13090" t="s">
        <v>27</v>
      </c>
      <c r="C13090">
        <v>4441</v>
      </c>
      <c r="D13090" t="str">
        <f>"04441"</f>
        <v>04441</v>
      </c>
      <c r="E13090">
        <v>76.47</v>
      </c>
    </row>
    <row r="13091" spans="1:5" x14ac:dyDescent="0.2">
      <c r="A13091" t="str">
        <f>"04442"</f>
        <v>04442</v>
      </c>
      <c r="B13091" t="s">
        <v>27</v>
      </c>
      <c r="C13091">
        <v>4442</v>
      </c>
      <c r="D13091" t="str">
        <f>"04442"</f>
        <v>04442</v>
      </c>
      <c r="E13091" t="s">
        <v>6</v>
      </c>
    </row>
    <row r="13092" spans="1:5" x14ac:dyDescent="0.2">
      <c r="A13092" t="str">
        <f>"04443"</f>
        <v>04443</v>
      </c>
      <c r="B13092" t="s">
        <v>27</v>
      </c>
      <c r="C13092">
        <v>4443</v>
      </c>
      <c r="D13092" t="str">
        <f>"04443"</f>
        <v>04443</v>
      </c>
      <c r="E13092">
        <v>69.790000000000006</v>
      </c>
    </row>
    <row r="13093" spans="1:5" x14ac:dyDescent="0.2">
      <c r="A13093" t="str">
        <f>"04444"</f>
        <v>04444</v>
      </c>
      <c r="B13093" t="s">
        <v>27</v>
      </c>
      <c r="C13093">
        <v>4444</v>
      </c>
      <c r="D13093" t="str">
        <f>"04444"</f>
        <v>04444</v>
      </c>
      <c r="E13093">
        <v>79.55</v>
      </c>
    </row>
    <row r="13094" spans="1:5" x14ac:dyDescent="0.2">
      <c r="A13094" t="str">
        <f>"04448"</f>
        <v>04448</v>
      </c>
      <c r="B13094" t="s">
        <v>27</v>
      </c>
      <c r="C13094">
        <v>4448</v>
      </c>
      <c r="D13094" t="str">
        <f>"04448"</f>
        <v>04448</v>
      </c>
      <c r="E13094">
        <v>67.8</v>
      </c>
    </row>
    <row r="13095" spans="1:5" x14ac:dyDescent="0.2">
      <c r="A13095" t="str">
        <f>"04449"</f>
        <v>04449</v>
      </c>
      <c r="B13095" t="s">
        <v>27</v>
      </c>
      <c r="C13095">
        <v>4449</v>
      </c>
      <c r="D13095" t="str">
        <f>"04449"</f>
        <v>04449</v>
      </c>
      <c r="E13095">
        <v>72.73</v>
      </c>
    </row>
    <row r="13096" spans="1:5" x14ac:dyDescent="0.2">
      <c r="A13096" t="str">
        <f>"04450"</f>
        <v>04450</v>
      </c>
      <c r="B13096" t="s">
        <v>27</v>
      </c>
      <c r="C13096">
        <v>4450</v>
      </c>
      <c r="D13096" t="str">
        <f>"04450"</f>
        <v>04450</v>
      </c>
      <c r="E13096">
        <v>74.599999999999994</v>
      </c>
    </row>
    <row r="13097" spans="1:5" x14ac:dyDescent="0.2">
      <c r="A13097" t="str">
        <f>"04451"</f>
        <v>04451</v>
      </c>
      <c r="B13097" t="s">
        <v>27</v>
      </c>
      <c r="C13097">
        <v>4451</v>
      </c>
      <c r="D13097" t="str">
        <f>"04451"</f>
        <v>04451</v>
      </c>
      <c r="E13097" t="s">
        <v>6</v>
      </c>
    </row>
    <row r="13098" spans="1:5" x14ac:dyDescent="0.2">
      <c r="A13098" t="str">
        <f>"04453"</f>
        <v>04453</v>
      </c>
      <c r="B13098" t="s">
        <v>27</v>
      </c>
      <c r="C13098">
        <v>4453</v>
      </c>
      <c r="D13098" t="str">
        <f>"04453"</f>
        <v>04453</v>
      </c>
      <c r="E13098">
        <v>64.52</v>
      </c>
    </row>
    <row r="13099" spans="1:5" x14ac:dyDescent="0.2">
      <c r="A13099" t="str">
        <f>"04454"</f>
        <v>04454</v>
      </c>
      <c r="B13099" t="s">
        <v>27</v>
      </c>
      <c r="C13099">
        <v>4454</v>
      </c>
      <c r="D13099" t="str">
        <f>"04454"</f>
        <v>04454</v>
      </c>
      <c r="E13099" t="s">
        <v>6</v>
      </c>
    </row>
    <row r="13100" spans="1:5" x14ac:dyDescent="0.2">
      <c r="A13100" t="str">
        <f>"04455"</f>
        <v>04455</v>
      </c>
      <c r="B13100" t="s">
        <v>27</v>
      </c>
      <c r="C13100">
        <v>4455</v>
      </c>
      <c r="D13100" t="str">
        <f>"04455"</f>
        <v>04455</v>
      </c>
      <c r="E13100">
        <v>67.569999999999993</v>
      </c>
    </row>
    <row r="13101" spans="1:5" x14ac:dyDescent="0.2">
      <c r="A13101" t="str">
        <f>"04456"</f>
        <v>04456</v>
      </c>
      <c r="B13101" t="s">
        <v>27</v>
      </c>
      <c r="C13101">
        <v>4456</v>
      </c>
      <c r="D13101" t="str">
        <f>"04456"</f>
        <v>04456</v>
      </c>
      <c r="E13101">
        <v>75.56</v>
      </c>
    </row>
    <row r="13102" spans="1:5" x14ac:dyDescent="0.2">
      <c r="A13102" t="str">
        <f>"04457"</f>
        <v>04457</v>
      </c>
      <c r="B13102" t="s">
        <v>27</v>
      </c>
      <c r="C13102">
        <v>4457</v>
      </c>
      <c r="D13102" t="str">
        <f>"04457"</f>
        <v>04457</v>
      </c>
      <c r="E13102">
        <v>68.7</v>
      </c>
    </row>
    <row r="13103" spans="1:5" x14ac:dyDescent="0.2">
      <c r="A13103" t="str">
        <f>"04459"</f>
        <v>04459</v>
      </c>
      <c r="B13103" t="s">
        <v>27</v>
      </c>
      <c r="C13103">
        <v>4459</v>
      </c>
      <c r="D13103" t="str">
        <f>"04459"</f>
        <v>04459</v>
      </c>
      <c r="E13103">
        <v>53.57</v>
      </c>
    </row>
    <row r="13104" spans="1:5" x14ac:dyDescent="0.2">
      <c r="A13104" t="str">
        <f>"04460"</f>
        <v>04460</v>
      </c>
      <c r="B13104" t="s">
        <v>27</v>
      </c>
      <c r="C13104">
        <v>4460</v>
      </c>
      <c r="D13104" t="str">
        <f>"04460"</f>
        <v>04460</v>
      </c>
      <c r="E13104">
        <v>67.92</v>
      </c>
    </row>
    <row r="13105" spans="1:5" x14ac:dyDescent="0.2">
      <c r="A13105" t="str">
        <f>"04461"</f>
        <v>04461</v>
      </c>
      <c r="B13105" t="s">
        <v>27</v>
      </c>
      <c r="C13105">
        <v>4461</v>
      </c>
      <c r="D13105" t="str">
        <f>"04461"</f>
        <v>04461</v>
      </c>
      <c r="E13105">
        <v>74.150000000000006</v>
      </c>
    </row>
    <row r="13106" spans="1:5" x14ac:dyDescent="0.2">
      <c r="A13106" t="str">
        <f>"04462"</f>
        <v>04462</v>
      </c>
      <c r="B13106" t="s">
        <v>27</v>
      </c>
      <c r="C13106">
        <v>4462</v>
      </c>
      <c r="D13106" t="str">
        <f>"04462"</f>
        <v>04462</v>
      </c>
      <c r="E13106">
        <v>67.02</v>
      </c>
    </row>
    <row r="13107" spans="1:5" x14ac:dyDescent="0.2">
      <c r="A13107" t="str">
        <f>"04463"</f>
        <v>04463</v>
      </c>
      <c r="B13107" t="s">
        <v>27</v>
      </c>
      <c r="C13107">
        <v>4463</v>
      </c>
      <c r="D13107" t="str">
        <f>"04463"</f>
        <v>04463</v>
      </c>
      <c r="E13107">
        <v>64.599999999999994</v>
      </c>
    </row>
    <row r="13108" spans="1:5" x14ac:dyDescent="0.2">
      <c r="A13108" t="str">
        <f>"04464"</f>
        <v>04464</v>
      </c>
      <c r="B13108" t="s">
        <v>27</v>
      </c>
      <c r="C13108">
        <v>4464</v>
      </c>
      <c r="D13108" t="str">
        <f>"04464"</f>
        <v>04464</v>
      </c>
      <c r="E13108">
        <v>62.96</v>
      </c>
    </row>
    <row r="13109" spans="1:5" x14ac:dyDescent="0.2">
      <c r="A13109" t="str">
        <f>"04468"</f>
        <v>04468</v>
      </c>
      <c r="B13109" t="s">
        <v>27</v>
      </c>
      <c r="C13109">
        <v>4468</v>
      </c>
      <c r="D13109" t="str">
        <f>"04468"</f>
        <v>04468</v>
      </c>
      <c r="E13109">
        <v>70.05</v>
      </c>
    </row>
    <row r="13110" spans="1:5" x14ac:dyDescent="0.2">
      <c r="A13110" t="str">
        <f>"04471"</f>
        <v>04471</v>
      </c>
      <c r="B13110" t="s">
        <v>27</v>
      </c>
      <c r="C13110">
        <v>4471</v>
      </c>
      <c r="D13110" t="str">
        <f>"04471"</f>
        <v>04471</v>
      </c>
      <c r="E13110">
        <v>59.09</v>
      </c>
    </row>
    <row r="13111" spans="1:5" x14ac:dyDescent="0.2">
      <c r="A13111" t="str">
        <f>"04472"</f>
        <v>04472</v>
      </c>
      <c r="B13111" t="s">
        <v>27</v>
      </c>
      <c r="C13111">
        <v>4472</v>
      </c>
      <c r="D13111" t="str">
        <f>"04472"</f>
        <v>04472</v>
      </c>
      <c r="E13111">
        <v>70.709999999999994</v>
      </c>
    </row>
    <row r="13112" spans="1:5" x14ac:dyDescent="0.2">
      <c r="A13112" t="str">
        <f>"04473"</f>
        <v>04473</v>
      </c>
      <c r="B13112" t="s">
        <v>27</v>
      </c>
      <c r="C13112">
        <v>4473</v>
      </c>
      <c r="D13112" t="str">
        <f>"04473"</f>
        <v>04473</v>
      </c>
      <c r="E13112">
        <v>73.02</v>
      </c>
    </row>
    <row r="13113" spans="1:5" x14ac:dyDescent="0.2">
      <c r="A13113" t="str">
        <f>"04474"</f>
        <v>04474</v>
      </c>
      <c r="B13113" t="s">
        <v>27</v>
      </c>
      <c r="C13113">
        <v>4474</v>
      </c>
      <c r="D13113" t="str">
        <f>"04474"</f>
        <v>04474</v>
      </c>
      <c r="E13113">
        <v>77.540000000000006</v>
      </c>
    </row>
    <row r="13114" spans="1:5" x14ac:dyDescent="0.2">
      <c r="A13114" t="str">
        <f>"04475"</f>
        <v>04475</v>
      </c>
      <c r="B13114" t="s">
        <v>27</v>
      </c>
      <c r="C13114">
        <v>4475</v>
      </c>
      <c r="D13114" t="str">
        <f>"04475"</f>
        <v>04475</v>
      </c>
      <c r="E13114">
        <v>64.290000000000006</v>
      </c>
    </row>
    <row r="13115" spans="1:5" x14ac:dyDescent="0.2">
      <c r="A13115" t="str">
        <f>"04476"</f>
        <v>04476</v>
      </c>
      <c r="B13115" t="s">
        <v>27</v>
      </c>
      <c r="C13115">
        <v>4476</v>
      </c>
      <c r="D13115" t="str">
        <f>"04476"</f>
        <v>04476</v>
      </c>
      <c r="E13115">
        <v>73.209999999999994</v>
      </c>
    </row>
    <row r="13116" spans="1:5" x14ac:dyDescent="0.2">
      <c r="A13116" t="str">
        <f>"04478"</f>
        <v>04478</v>
      </c>
      <c r="B13116" t="s">
        <v>27</v>
      </c>
      <c r="C13116">
        <v>4478</v>
      </c>
      <c r="D13116" t="str">
        <f>"04478"</f>
        <v>04478</v>
      </c>
      <c r="E13116">
        <v>68.75</v>
      </c>
    </row>
    <row r="13117" spans="1:5" x14ac:dyDescent="0.2">
      <c r="A13117" t="str">
        <f>"04479"</f>
        <v>04479</v>
      </c>
      <c r="B13117" t="s">
        <v>27</v>
      </c>
      <c r="C13117">
        <v>4479</v>
      </c>
      <c r="D13117" t="str">
        <f>"04479"</f>
        <v>04479</v>
      </c>
      <c r="E13117">
        <v>66.67</v>
      </c>
    </row>
    <row r="13118" spans="1:5" x14ac:dyDescent="0.2">
      <c r="A13118" t="str">
        <f>"04481"</f>
        <v>04481</v>
      </c>
      <c r="B13118" t="s">
        <v>27</v>
      </c>
      <c r="C13118">
        <v>4481</v>
      </c>
      <c r="D13118" t="str">
        <f>"04481"</f>
        <v>04481</v>
      </c>
      <c r="E13118">
        <v>65.38</v>
      </c>
    </row>
    <row r="13119" spans="1:5" x14ac:dyDescent="0.2">
      <c r="A13119" t="str">
        <f>"04485"</f>
        <v>04485</v>
      </c>
      <c r="B13119" t="s">
        <v>27</v>
      </c>
      <c r="C13119">
        <v>4485</v>
      </c>
      <c r="D13119" t="str">
        <f>"04485"</f>
        <v>04485</v>
      </c>
      <c r="E13119" t="s">
        <v>6</v>
      </c>
    </row>
    <row r="13120" spans="1:5" x14ac:dyDescent="0.2">
      <c r="A13120" t="str">
        <f>"04487"</f>
        <v>04487</v>
      </c>
      <c r="B13120" t="s">
        <v>27</v>
      </c>
      <c r="C13120">
        <v>4487</v>
      </c>
      <c r="D13120" t="str">
        <f>"04487"</f>
        <v>04487</v>
      </c>
      <c r="E13120">
        <v>62.07</v>
      </c>
    </row>
    <row r="13121" spans="1:5" x14ac:dyDescent="0.2">
      <c r="A13121" t="str">
        <f>"04488"</f>
        <v>04488</v>
      </c>
      <c r="B13121" t="s">
        <v>27</v>
      </c>
      <c r="C13121">
        <v>4488</v>
      </c>
      <c r="D13121" t="str">
        <f>"04488"</f>
        <v>04488</v>
      </c>
      <c r="E13121">
        <v>74.55</v>
      </c>
    </row>
    <row r="13122" spans="1:5" x14ac:dyDescent="0.2">
      <c r="A13122" t="str">
        <f>"04489"</f>
        <v>04489</v>
      </c>
      <c r="B13122" t="s">
        <v>27</v>
      </c>
      <c r="C13122">
        <v>4489</v>
      </c>
      <c r="D13122" t="str">
        <f>"04489"</f>
        <v>04489</v>
      </c>
      <c r="E13122" t="s">
        <v>6</v>
      </c>
    </row>
    <row r="13123" spans="1:5" x14ac:dyDescent="0.2">
      <c r="A13123" t="str">
        <f>"04490"</f>
        <v>04490</v>
      </c>
      <c r="B13123" t="s">
        <v>27</v>
      </c>
      <c r="C13123">
        <v>4490</v>
      </c>
      <c r="D13123" t="str">
        <f>"04490"</f>
        <v>04490</v>
      </c>
      <c r="E13123" t="s">
        <v>6</v>
      </c>
    </row>
    <row r="13124" spans="1:5" x14ac:dyDescent="0.2">
      <c r="A13124" t="str">
        <f>"04491"</f>
        <v>04491</v>
      </c>
      <c r="B13124" t="s">
        <v>27</v>
      </c>
      <c r="C13124">
        <v>4491</v>
      </c>
      <c r="D13124" t="str">
        <f>"04491"</f>
        <v>04491</v>
      </c>
      <c r="E13124" t="s">
        <v>6</v>
      </c>
    </row>
    <row r="13125" spans="1:5" x14ac:dyDescent="0.2">
      <c r="A13125" t="str">
        <f>"04492"</f>
        <v>04492</v>
      </c>
      <c r="B13125" t="s">
        <v>27</v>
      </c>
      <c r="C13125">
        <v>4492</v>
      </c>
      <c r="D13125" t="str">
        <f>"04492"</f>
        <v>04492</v>
      </c>
      <c r="E13125" t="s">
        <v>6</v>
      </c>
    </row>
    <row r="13126" spans="1:5" x14ac:dyDescent="0.2">
      <c r="A13126" t="str">
        <f>"04493"</f>
        <v>04493</v>
      </c>
      <c r="B13126" t="s">
        <v>27</v>
      </c>
      <c r="C13126">
        <v>4493</v>
      </c>
      <c r="D13126" t="str">
        <f>"04493"</f>
        <v>04493</v>
      </c>
      <c r="E13126">
        <v>73.42</v>
      </c>
    </row>
    <row r="13127" spans="1:5" x14ac:dyDescent="0.2">
      <c r="A13127" t="str">
        <f>"04495"</f>
        <v>04495</v>
      </c>
      <c r="B13127" t="s">
        <v>27</v>
      </c>
      <c r="C13127">
        <v>4495</v>
      </c>
      <c r="D13127" t="str">
        <f>"04495"</f>
        <v>04495</v>
      </c>
      <c r="E13127">
        <v>66.67</v>
      </c>
    </row>
    <row r="13128" spans="1:5" x14ac:dyDescent="0.2">
      <c r="A13128" t="str">
        <f>"04496"</f>
        <v>04496</v>
      </c>
      <c r="B13128" t="s">
        <v>27</v>
      </c>
      <c r="C13128">
        <v>4496</v>
      </c>
      <c r="D13128" t="str">
        <f>"04496"</f>
        <v>04496</v>
      </c>
      <c r="E13128">
        <v>75.709999999999994</v>
      </c>
    </row>
    <row r="13129" spans="1:5" x14ac:dyDescent="0.2">
      <c r="A13129" t="str">
        <f>"04497"</f>
        <v>04497</v>
      </c>
      <c r="B13129" t="s">
        <v>27</v>
      </c>
      <c r="C13129">
        <v>4497</v>
      </c>
      <c r="D13129" t="str">
        <f>"04497"</f>
        <v>04497</v>
      </c>
      <c r="E13129">
        <v>58.33</v>
      </c>
    </row>
    <row r="13130" spans="1:5" x14ac:dyDescent="0.2">
      <c r="A13130" t="str">
        <f>"04530"</f>
        <v>04530</v>
      </c>
      <c r="B13130" t="s">
        <v>27</v>
      </c>
      <c r="C13130">
        <v>4530</v>
      </c>
      <c r="D13130" t="str">
        <f>"04530"</f>
        <v>04530</v>
      </c>
      <c r="E13130">
        <v>75.52</v>
      </c>
    </row>
    <row r="13131" spans="1:5" x14ac:dyDescent="0.2">
      <c r="A13131" t="str">
        <f>"04535"</f>
        <v>04535</v>
      </c>
      <c r="B13131" t="s">
        <v>27</v>
      </c>
      <c r="C13131">
        <v>4535</v>
      </c>
      <c r="D13131" t="str">
        <f>"04535"</f>
        <v>04535</v>
      </c>
      <c r="E13131">
        <v>78.38</v>
      </c>
    </row>
    <row r="13132" spans="1:5" x14ac:dyDescent="0.2">
      <c r="A13132" t="str">
        <f>"04537"</f>
        <v>04537</v>
      </c>
      <c r="B13132" t="s">
        <v>27</v>
      </c>
      <c r="C13132">
        <v>4537</v>
      </c>
      <c r="D13132" t="str">
        <f>"04537"</f>
        <v>04537</v>
      </c>
      <c r="E13132">
        <v>69.09</v>
      </c>
    </row>
    <row r="13133" spans="1:5" x14ac:dyDescent="0.2">
      <c r="A13133" t="str">
        <f>"04538"</f>
        <v>04538</v>
      </c>
      <c r="B13133" t="s">
        <v>27</v>
      </c>
      <c r="C13133">
        <v>4538</v>
      </c>
      <c r="D13133" t="str">
        <f>"04538"</f>
        <v>04538</v>
      </c>
      <c r="E13133">
        <v>71.150000000000006</v>
      </c>
    </row>
    <row r="13134" spans="1:5" x14ac:dyDescent="0.2">
      <c r="A13134" t="str">
        <f>"04539"</f>
        <v>04539</v>
      </c>
      <c r="B13134" t="s">
        <v>27</v>
      </c>
      <c r="C13134">
        <v>4539</v>
      </c>
      <c r="D13134" t="str">
        <f>"04539"</f>
        <v>04539</v>
      </c>
      <c r="E13134">
        <v>68.849999999999994</v>
      </c>
    </row>
    <row r="13135" spans="1:5" x14ac:dyDescent="0.2">
      <c r="A13135" t="str">
        <f>"04541"</f>
        <v>04541</v>
      </c>
      <c r="B13135" t="s">
        <v>27</v>
      </c>
      <c r="C13135">
        <v>4541</v>
      </c>
      <c r="D13135" t="str">
        <f>"04541"</f>
        <v>04541</v>
      </c>
      <c r="E13135" t="s">
        <v>6</v>
      </c>
    </row>
    <row r="13136" spans="1:5" x14ac:dyDescent="0.2">
      <c r="A13136" t="str">
        <f>"04543"</f>
        <v>04543</v>
      </c>
      <c r="B13136" t="s">
        <v>27</v>
      </c>
      <c r="C13136">
        <v>4543</v>
      </c>
      <c r="D13136" t="str">
        <f>"04543"</f>
        <v>04543</v>
      </c>
      <c r="E13136">
        <v>72.09</v>
      </c>
    </row>
    <row r="13137" spans="1:5" x14ac:dyDescent="0.2">
      <c r="A13137" t="str">
        <f>"04544"</f>
        <v>04544</v>
      </c>
      <c r="B13137" t="s">
        <v>27</v>
      </c>
      <c r="C13137">
        <v>4544</v>
      </c>
      <c r="D13137" t="str">
        <f>"04544"</f>
        <v>04544</v>
      </c>
      <c r="E13137">
        <v>79.489999999999995</v>
      </c>
    </row>
    <row r="13138" spans="1:5" x14ac:dyDescent="0.2">
      <c r="A13138" t="str">
        <f>"04547"</f>
        <v>04547</v>
      </c>
      <c r="B13138" t="s">
        <v>27</v>
      </c>
      <c r="C13138">
        <v>4547</v>
      </c>
      <c r="D13138" t="str">
        <f>"04547"</f>
        <v>04547</v>
      </c>
      <c r="E13138">
        <v>67.27</v>
      </c>
    </row>
    <row r="13139" spans="1:5" x14ac:dyDescent="0.2">
      <c r="A13139" t="str">
        <f>"04548"</f>
        <v>04548</v>
      </c>
      <c r="B13139" t="s">
        <v>27</v>
      </c>
      <c r="C13139">
        <v>4548</v>
      </c>
      <c r="D13139" t="str">
        <f>"04548"</f>
        <v>04548</v>
      </c>
      <c r="E13139">
        <v>76.47</v>
      </c>
    </row>
    <row r="13140" spans="1:5" x14ac:dyDescent="0.2">
      <c r="A13140" t="str">
        <f>"04551"</f>
        <v>04551</v>
      </c>
      <c r="B13140" t="s">
        <v>27</v>
      </c>
      <c r="C13140">
        <v>4551</v>
      </c>
      <c r="D13140" t="str">
        <f>"04551"</f>
        <v>04551</v>
      </c>
      <c r="E13140">
        <v>74.290000000000006</v>
      </c>
    </row>
    <row r="13141" spans="1:5" x14ac:dyDescent="0.2">
      <c r="A13141" t="str">
        <f>"04553"</f>
        <v>04553</v>
      </c>
      <c r="B13141" t="s">
        <v>27</v>
      </c>
      <c r="C13141">
        <v>4553</v>
      </c>
      <c r="D13141" t="str">
        <f>"04553"</f>
        <v>04553</v>
      </c>
      <c r="E13141">
        <v>74.77</v>
      </c>
    </row>
    <row r="13142" spans="1:5" x14ac:dyDescent="0.2">
      <c r="A13142" t="str">
        <f>"04554"</f>
        <v>04554</v>
      </c>
      <c r="B13142" t="s">
        <v>27</v>
      </c>
      <c r="C13142">
        <v>4554</v>
      </c>
      <c r="D13142" t="str">
        <f>"04554"</f>
        <v>04554</v>
      </c>
      <c r="E13142">
        <v>71.790000000000006</v>
      </c>
    </row>
    <row r="13143" spans="1:5" x14ac:dyDescent="0.2">
      <c r="A13143" t="str">
        <f>"04555"</f>
        <v>04555</v>
      </c>
      <c r="B13143" t="s">
        <v>27</v>
      </c>
      <c r="C13143">
        <v>4555</v>
      </c>
      <c r="D13143" t="str">
        <f>"04555"</f>
        <v>04555</v>
      </c>
      <c r="E13143">
        <v>73.400000000000006</v>
      </c>
    </row>
    <row r="13144" spans="1:5" x14ac:dyDescent="0.2">
      <c r="A13144" t="str">
        <f>"04556"</f>
        <v>04556</v>
      </c>
      <c r="B13144" t="s">
        <v>27</v>
      </c>
      <c r="C13144">
        <v>4556</v>
      </c>
      <c r="D13144" t="str">
        <f>"04556"</f>
        <v>04556</v>
      </c>
      <c r="E13144">
        <v>71.010000000000005</v>
      </c>
    </row>
    <row r="13145" spans="1:5" x14ac:dyDescent="0.2">
      <c r="A13145" t="str">
        <f>"04558"</f>
        <v>04558</v>
      </c>
      <c r="B13145" t="s">
        <v>27</v>
      </c>
      <c r="C13145">
        <v>4558</v>
      </c>
      <c r="D13145" t="str">
        <f>"04558"</f>
        <v>04558</v>
      </c>
      <c r="E13145">
        <v>73.33</v>
      </c>
    </row>
    <row r="13146" spans="1:5" x14ac:dyDescent="0.2">
      <c r="A13146" t="str">
        <f>"04562"</f>
        <v>04562</v>
      </c>
      <c r="B13146" t="s">
        <v>27</v>
      </c>
      <c r="C13146">
        <v>4562</v>
      </c>
      <c r="D13146" t="str">
        <f>"04562"</f>
        <v>04562</v>
      </c>
      <c r="E13146">
        <v>73.58</v>
      </c>
    </row>
    <row r="13147" spans="1:5" x14ac:dyDescent="0.2">
      <c r="A13147" t="str">
        <f>"04563"</f>
        <v>04563</v>
      </c>
      <c r="B13147" t="s">
        <v>27</v>
      </c>
      <c r="C13147">
        <v>4563</v>
      </c>
      <c r="D13147" t="str">
        <f>"04563"</f>
        <v>04563</v>
      </c>
      <c r="E13147">
        <v>71.83</v>
      </c>
    </row>
    <row r="13148" spans="1:5" x14ac:dyDescent="0.2">
      <c r="A13148" t="str">
        <f>"04564"</f>
        <v>04564</v>
      </c>
      <c r="B13148" t="s">
        <v>27</v>
      </c>
      <c r="C13148">
        <v>4564</v>
      </c>
      <c r="D13148" t="str">
        <f>"04564"</f>
        <v>04564</v>
      </c>
      <c r="E13148">
        <v>74.069999999999993</v>
      </c>
    </row>
    <row r="13149" spans="1:5" x14ac:dyDescent="0.2">
      <c r="A13149" t="str">
        <f>"04568"</f>
        <v>04568</v>
      </c>
      <c r="B13149" t="s">
        <v>27</v>
      </c>
      <c r="C13149">
        <v>4568</v>
      </c>
      <c r="D13149" t="str">
        <f>"04568"</f>
        <v>04568</v>
      </c>
      <c r="E13149">
        <v>68.42</v>
      </c>
    </row>
    <row r="13150" spans="1:5" x14ac:dyDescent="0.2">
      <c r="A13150" t="str">
        <f>"04570"</f>
        <v>04570</v>
      </c>
      <c r="B13150" t="s">
        <v>27</v>
      </c>
      <c r="C13150">
        <v>4570</v>
      </c>
      <c r="D13150" t="str">
        <f>"04570"</f>
        <v>04570</v>
      </c>
      <c r="E13150" t="s">
        <v>6</v>
      </c>
    </row>
    <row r="13151" spans="1:5" x14ac:dyDescent="0.2">
      <c r="A13151" t="str">
        <f>"04571"</f>
        <v>04571</v>
      </c>
      <c r="B13151" t="s">
        <v>27</v>
      </c>
      <c r="C13151">
        <v>4571</v>
      </c>
      <c r="D13151" t="str">
        <f>"04571"</f>
        <v>04571</v>
      </c>
      <c r="E13151">
        <v>66.67</v>
      </c>
    </row>
    <row r="13152" spans="1:5" x14ac:dyDescent="0.2">
      <c r="A13152" t="str">
        <f>"04572"</f>
        <v>04572</v>
      </c>
      <c r="B13152" t="s">
        <v>27</v>
      </c>
      <c r="C13152">
        <v>4572</v>
      </c>
      <c r="D13152" t="str">
        <f>"04572"</f>
        <v>04572</v>
      </c>
      <c r="E13152">
        <v>70.95</v>
      </c>
    </row>
    <row r="13153" spans="1:5" x14ac:dyDescent="0.2">
      <c r="A13153" t="str">
        <f>"04573"</f>
        <v>04573</v>
      </c>
      <c r="B13153" t="s">
        <v>27</v>
      </c>
      <c r="C13153">
        <v>4573</v>
      </c>
      <c r="D13153" t="str">
        <f>"04573"</f>
        <v>04573</v>
      </c>
      <c r="E13153">
        <v>78.569999999999993</v>
      </c>
    </row>
    <row r="13154" spans="1:5" x14ac:dyDescent="0.2">
      <c r="A13154" t="str">
        <f>"04574"</f>
        <v>04574</v>
      </c>
      <c r="B13154" t="s">
        <v>27</v>
      </c>
      <c r="C13154">
        <v>4574</v>
      </c>
      <c r="D13154" t="str">
        <f>"04574"</f>
        <v>04574</v>
      </c>
      <c r="E13154">
        <v>71.83</v>
      </c>
    </row>
    <row r="13155" spans="1:5" x14ac:dyDescent="0.2">
      <c r="A13155" t="str">
        <f>"04575"</f>
        <v>04575</v>
      </c>
      <c r="B13155" t="s">
        <v>27</v>
      </c>
      <c r="C13155">
        <v>4575</v>
      </c>
      <c r="D13155" t="str">
        <f>"04575"</f>
        <v>04575</v>
      </c>
      <c r="E13155" t="s">
        <v>6</v>
      </c>
    </row>
    <row r="13156" spans="1:5" x14ac:dyDescent="0.2">
      <c r="A13156" t="str">
        <f>"04576"</f>
        <v>04576</v>
      </c>
      <c r="B13156" t="s">
        <v>27</v>
      </c>
      <c r="C13156">
        <v>4576</v>
      </c>
      <c r="D13156" t="str">
        <f>"04576"</f>
        <v>04576</v>
      </c>
      <c r="E13156">
        <v>73.33</v>
      </c>
    </row>
    <row r="13157" spans="1:5" x14ac:dyDescent="0.2">
      <c r="A13157" t="str">
        <f>"04578"</f>
        <v>04578</v>
      </c>
      <c r="B13157" t="s">
        <v>27</v>
      </c>
      <c r="C13157">
        <v>4578</v>
      </c>
      <c r="D13157" t="str">
        <f>"04578"</f>
        <v>04578</v>
      </c>
      <c r="E13157">
        <v>73.87</v>
      </c>
    </row>
    <row r="13158" spans="1:5" x14ac:dyDescent="0.2">
      <c r="A13158" t="str">
        <f>"04579"</f>
        <v>04579</v>
      </c>
      <c r="B13158" t="s">
        <v>27</v>
      </c>
      <c r="C13158">
        <v>4579</v>
      </c>
      <c r="D13158" t="str">
        <f>"04579"</f>
        <v>04579</v>
      </c>
      <c r="E13158">
        <v>79.25</v>
      </c>
    </row>
    <row r="13159" spans="1:5" x14ac:dyDescent="0.2">
      <c r="A13159" t="str">
        <f>"04605"</f>
        <v>04605</v>
      </c>
      <c r="B13159" t="s">
        <v>27</v>
      </c>
      <c r="C13159">
        <v>4605</v>
      </c>
      <c r="D13159" t="str">
        <f>"04605"</f>
        <v>04605</v>
      </c>
      <c r="E13159">
        <v>73.22</v>
      </c>
    </row>
    <row r="13160" spans="1:5" x14ac:dyDescent="0.2">
      <c r="A13160" t="str">
        <f>"04606"</f>
        <v>04606</v>
      </c>
      <c r="B13160" t="s">
        <v>27</v>
      </c>
      <c r="C13160">
        <v>4606</v>
      </c>
      <c r="D13160" t="str">
        <f>"04606"</f>
        <v>04606</v>
      </c>
      <c r="E13160">
        <v>68</v>
      </c>
    </row>
    <row r="13161" spans="1:5" x14ac:dyDescent="0.2">
      <c r="A13161" t="str">
        <f>"04607"</f>
        <v>04607</v>
      </c>
      <c r="B13161" t="s">
        <v>27</v>
      </c>
      <c r="C13161">
        <v>4607</v>
      </c>
      <c r="D13161" t="str">
        <f>"04607"</f>
        <v>04607</v>
      </c>
      <c r="E13161">
        <v>65.38</v>
      </c>
    </row>
    <row r="13162" spans="1:5" x14ac:dyDescent="0.2">
      <c r="A13162" t="str">
        <f>"04609"</f>
        <v>04609</v>
      </c>
      <c r="B13162" t="s">
        <v>27</v>
      </c>
      <c r="C13162">
        <v>4609</v>
      </c>
      <c r="D13162" t="str">
        <f>"04609"</f>
        <v>04609</v>
      </c>
      <c r="E13162">
        <v>76.03</v>
      </c>
    </row>
    <row r="13163" spans="1:5" x14ac:dyDescent="0.2">
      <c r="A13163" t="str">
        <f>"04611"</f>
        <v>04611</v>
      </c>
      <c r="B13163" t="s">
        <v>27</v>
      </c>
      <c r="C13163">
        <v>4611</v>
      </c>
      <c r="D13163" t="str">
        <f>"04611"</f>
        <v>04611</v>
      </c>
      <c r="E13163" t="s">
        <v>6</v>
      </c>
    </row>
    <row r="13164" spans="1:5" x14ac:dyDescent="0.2">
      <c r="A13164" t="str">
        <f>"04612"</f>
        <v>04612</v>
      </c>
      <c r="B13164" t="s">
        <v>27</v>
      </c>
      <c r="C13164">
        <v>4612</v>
      </c>
      <c r="D13164" t="str">
        <f>"04612"</f>
        <v>04612</v>
      </c>
      <c r="E13164">
        <v>69.23</v>
      </c>
    </row>
    <row r="13165" spans="1:5" x14ac:dyDescent="0.2">
      <c r="A13165" t="str">
        <f>"04613"</f>
        <v>04613</v>
      </c>
      <c r="B13165" t="s">
        <v>27</v>
      </c>
      <c r="C13165">
        <v>4613</v>
      </c>
      <c r="D13165" t="str">
        <f>"04613"</f>
        <v>04613</v>
      </c>
      <c r="E13165">
        <v>66.67</v>
      </c>
    </row>
    <row r="13166" spans="1:5" x14ac:dyDescent="0.2">
      <c r="A13166" t="str">
        <f>"04614"</f>
        <v>04614</v>
      </c>
      <c r="B13166" t="s">
        <v>27</v>
      </c>
      <c r="C13166">
        <v>4614</v>
      </c>
      <c r="D13166" t="str">
        <f>"04614"</f>
        <v>04614</v>
      </c>
      <c r="E13166">
        <v>70.67</v>
      </c>
    </row>
    <row r="13167" spans="1:5" x14ac:dyDescent="0.2">
      <c r="A13167" t="str">
        <f>"04616"</f>
        <v>04616</v>
      </c>
      <c r="B13167" t="s">
        <v>27</v>
      </c>
      <c r="C13167">
        <v>4616</v>
      </c>
      <c r="D13167" t="str">
        <f>"04616"</f>
        <v>04616</v>
      </c>
      <c r="E13167">
        <v>75</v>
      </c>
    </row>
    <row r="13168" spans="1:5" x14ac:dyDescent="0.2">
      <c r="A13168" t="str">
        <f>"04617"</f>
        <v>04617</v>
      </c>
      <c r="B13168" t="s">
        <v>27</v>
      </c>
      <c r="C13168">
        <v>4617</v>
      </c>
      <c r="D13168" t="str">
        <f>"04617"</f>
        <v>04617</v>
      </c>
      <c r="E13168">
        <v>68.42</v>
      </c>
    </row>
    <row r="13169" spans="1:5" x14ac:dyDescent="0.2">
      <c r="A13169" t="str">
        <f>"04619"</f>
        <v>04619</v>
      </c>
      <c r="B13169" t="s">
        <v>27</v>
      </c>
      <c r="C13169">
        <v>4619</v>
      </c>
      <c r="D13169" t="str">
        <f>"04619"</f>
        <v>04619</v>
      </c>
      <c r="E13169">
        <v>67.83</v>
      </c>
    </row>
    <row r="13170" spans="1:5" x14ac:dyDescent="0.2">
      <c r="A13170" t="str">
        <f>"04622"</f>
        <v>04622</v>
      </c>
      <c r="B13170" t="s">
        <v>27</v>
      </c>
      <c r="C13170">
        <v>4622</v>
      </c>
      <c r="D13170" t="str">
        <f>"04622"</f>
        <v>04622</v>
      </c>
      <c r="E13170">
        <v>66.040000000000006</v>
      </c>
    </row>
    <row r="13171" spans="1:5" x14ac:dyDescent="0.2">
      <c r="A13171" t="str">
        <f>"04623"</f>
        <v>04623</v>
      </c>
      <c r="B13171" t="s">
        <v>27</v>
      </c>
      <c r="C13171">
        <v>4623</v>
      </c>
      <c r="D13171" t="str">
        <f>"04623"</f>
        <v>04623</v>
      </c>
      <c r="E13171">
        <v>69.77</v>
      </c>
    </row>
    <row r="13172" spans="1:5" x14ac:dyDescent="0.2">
      <c r="A13172" t="str">
        <f>"04624"</f>
        <v>04624</v>
      </c>
      <c r="B13172" t="s">
        <v>27</v>
      </c>
      <c r="C13172">
        <v>4624</v>
      </c>
      <c r="D13172" t="str">
        <f>"04624"</f>
        <v>04624</v>
      </c>
      <c r="E13172" t="s">
        <v>6</v>
      </c>
    </row>
    <row r="13173" spans="1:5" x14ac:dyDescent="0.2">
      <c r="A13173" t="str">
        <f>"04625"</f>
        <v>04625</v>
      </c>
      <c r="B13173" t="s">
        <v>27</v>
      </c>
      <c r="C13173">
        <v>4625</v>
      </c>
      <c r="D13173" t="str">
        <f>"04625"</f>
        <v>04625</v>
      </c>
      <c r="E13173" t="s">
        <v>6</v>
      </c>
    </row>
    <row r="13174" spans="1:5" x14ac:dyDescent="0.2">
      <c r="A13174" t="str">
        <f>"04626"</f>
        <v>04626</v>
      </c>
      <c r="B13174" t="s">
        <v>27</v>
      </c>
      <c r="C13174">
        <v>4626</v>
      </c>
      <c r="D13174" t="str">
        <f>"04626"</f>
        <v>04626</v>
      </c>
      <c r="E13174">
        <v>60</v>
      </c>
    </row>
    <row r="13175" spans="1:5" x14ac:dyDescent="0.2">
      <c r="A13175" t="str">
        <f>"04627"</f>
        <v>04627</v>
      </c>
      <c r="B13175" t="s">
        <v>27</v>
      </c>
      <c r="C13175">
        <v>4627</v>
      </c>
      <c r="D13175" t="str">
        <f>"04627"</f>
        <v>04627</v>
      </c>
      <c r="E13175">
        <v>70</v>
      </c>
    </row>
    <row r="13176" spans="1:5" x14ac:dyDescent="0.2">
      <c r="A13176" t="str">
        <f>"04628"</f>
        <v>04628</v>
      </c>
      <c r="B13176" t="s">
        <v>27</v>
      </c>
      <c r="C13176">
        <v>4628</v>
      </c>
      <c r="D13176" t="str">
        <f>"04628"</f>
        <v>04628</v>
      </c>
      <c r="E13176">
        <v>66.67</v>
      </c>
    </row>
    <row r="13177" spans="1:5" x14ac:dyDescent="0.2">
      <c r="A13177" t="str">
        <f>"04629"</f>
        <v>04629</v>
      </c>
      <c r="B13177" t="s">
        <v>27</v>
      </c>
      <c r="C13177">
        <v>4629</v>
      </c>
      <c r="D13177" t="str">
        <f>"04629"</f>
        <v>04629</v>
      </c>
      <c r="E13177" t="s">
        <v>6</v>
      </c>
    </row>
    <row r="13178" spans="1:5" x14ac:dyDescent="0.2">
      <c r="A13178" t="str">
        <f>"04630"</f>
        <v>04630</v>
      </c>
      <c r="B13178" t="s">
        <v>27</v>
      </c>
      <c r="C13178">
        <v>4630</v>
      </c>
      <c r="D13178" t="str">
        <f>"04630"</f>
        <v>04630</v>
      </c>
      <c r="E13178">
        <v>70.77</v>
      </c>
    </row>
    <row r="13179" spans="1:5" x14ac:dyDescent="0.2">
      <c r="A13179" t="str">
        <f>"04631"</f>
        <v>04631</v>
      </c>
      <c r="B13179" t="s">
        <v>27</v>
      </c>
      <c r="C13179">
        <v>4631</v>
      </c>
      <c r="D13179" t="str">
        <f>"04631"</f>
        <v>04631</v>
      </c>
      <c r="E13179">
        <v>66.040000000000006</v>
      </c>
    </row>
    <row r="13180" spans="1:5" x14ac:dyDescent="0.2">
      <c r="A13180" t="str">
        <f>"04634"</f>
        <v>04634</v>
      </c>
      <c r="B13180" t="s">
        <v>27</v>
      </c>
      <c r="C13180">
        <v>4634</v>
      </c>
      <c r="D13180" t="str">
        <f>"04634"</f>
        <v>04634</v>
      </c>
      <c r="E13180">
        <v>70.59</v>
      </c>
    </row>
    <row r="13181" spans="1:5" x14ac:dyDescent="0.2">
      <c r="A13181" t="str">
        <f>"04635"</f>
        <v>04635</v>
      </c>
      <c r="B13181" t="s">
        <v>27</v>
      </c>
      <c r="C13181">
        <v>4635</v>
      </c>
      <c r="D13181" t="str">
        <f>"04635"</f>
        <v>04635</v>
      </c>
      <c r="E13181" t="s">
        <v>6</v>
      </c>
    </row>
    <row r="13182" spans="1:5" x14ac:dyDescent="0.2">
      <c r="A13182" t="str">
        <f>"04637"</f>
        <v>04637</v>
      </c>
      <c r="B13182" t="s">
        <v>27</v>
      </c>
      <c r="C13182">
        <v>4637</v>
      </c>
      <c r="D13182" t="str">
        <f>"04637"</f>
        <v>04637</v>
      </c>
      <c r="E13182" t="s">
        <v>6</v>
      </c>
    </row>
    <row r="13183" spans="1:5" x14ac:dyDescent="0.2">
      <c r="A13183" t="str">
        <f>"04640"</f>
        <v>04640</v>
      </c>
      <c r="B13183" t="s">
        <v>27</v>
      </c>
      <c r="C13183">
        <v>4640</v>
      </c>
      <c r="D13183" t="str">
        <f>"04640"</f>
        <v>04640</v>
      </c>
      <c r="E13183">
        <v>73.11</v>
      </c>
    </row>
    <row r="13184" spans="1:5" x14ac:dyDescent="0.2">
      <c r="A13184" t="str">
        <f>"04642"</f>
        <v>04642</v>
      </c>
      <c r="B13184" t="s">
        <v>27</v>
      </c>
      <c r="C13184">
        <v>4642</v>
      </c>
      <c r="D13184" t="str">
        <f>"04642"</f>
        <v>04642</v>
      </c>
      <c r="E13184" t="s">
        <v>6</v>
      </c>
    </row>
    <row r="13185" spans="1:5" x14ac:dyDescent="0.2">
      <c r="A13185" t="str">
        <f>"04643"</f>
        <v>04643</v>
      </c>
      <c r="B13185" t="s">
        <v>27</v>
      </c>
      <c r="C13185">
        <v>4643</v>
      </c>
      <c r="D13185" t="str">
        <f>"04643"</f>
        <v>04643</v>
      </c>
      <c r="E13185">
        <v>60.87</v>
      </c>
    </row>
    <row r="13186" spans="1:5" x14ac:dyDescent="0.2">
      <c r="A13186" t="str">
        <f>"04645"</f>
        <v>04645</v>
      </c>
      <c r="B13186" t="s">
        <v>27</v>
      </c>
      <c r="C13186">
        <v>4645</v>
      </c>
      <c r="D13186" t="str">
        <f>"04645"</f>
        <v>04645</v>
      </c>
      <c r="E13186" t="s">
        <v>6</v>
      </c>
    </row>
    <row r="13187" spans="1:5" x14ac:dyDescent="0.2">
      <c r="A13187" t="str">
        <f>"04646"</f>
        <v>04646</v>
      </c>
      <c r="B13187" t="s">
        <v>27</v>
      </c>
      <c r="C13187">
        <v>4646</v>
      </c>
      <c r="D13187" t="str">
        <f>"04646"</f>
        <v>04646</v>
      </c>
      <c r="E13187" t="s">
        <v>6</v>
      </c>
    </row>
    <row r="13188" spans="1:5" x14ac:dyDescent="0.2">
      <c r="A13188" t="str">
        <f>"04648"</f>
        <v>04648</v>
      </c>
      <c r="B13188" t="s">
        <v>27</v>
      </c>
      <c r="C13188">
        <v>4648</v>
      </c>
      <c r="D13188" t="str">
        <f>"04648"</f>
        <v>04648</v>
      </c>
      <c r="E13188">
        <v>64.290000000000006</v>
      </c>
    </row>
    <row r="13189" spans="1:5" x14ac:dyDescent="0.2">
      <c r="A13189" t="str">
        <f>"04649"</f>
        <v>04649</v>
      </c>
      <c r="B13189" t="s">
        <v>27</v>
      </c>
      <c r="C13189">
        <v>4649</v>
      </c>
      <c r="D13189" t="str">
        <f>"04649"</f>
        <v>04649</v>
      </c>
      <c r="E13189">
        <v>62.26</v>
      </c>
    </row>
    <row r="13190" spans="1:5" x14ac:dyDescent="0.2">
      <c r="A13190" t="str">
        <f>"04650"</f>
        <v>04650</v>
      </c>
      <c r="B13190" t="s">
        <v>27</v>
      </c>
      <c r="C13190">
        <v>4650</v>
      </c>
      <c r="D13190" t="str">
        <f>"04650"</f>
        <v>04650</v>
      </c>
      <c r="E13190">
        <v>71.430000000000007</v>
      </c>
    </row>
    <row r="13191" spans="1:5" x14ac:dyDescent="0.2">
      <c r="A13191" t="str">
        <f>"04652"</f>
        <v>04652</v>
      </c>
      <c r="B13191" t="s">
        <v>27</v>
      </c>
      <c r="C13191">
        <v>4652</v>
      </c>
      <c r="D13191" t="str">
        <f>"04652"</f>
        <v>04652</v>
      </c>
      <c r="E13191">
        <v>63.89</v>
      </c>
    </row>
    <row r="13192" spans="1:5" x14ac:dyDescent="0.2">
      <c r="A13192" t="str">
        <f>"04653"</f>
        <v>04653</v>
      </c>
      <c r="B13192" t="s">
        <v>27</v>
      </c>
      <c r="C13192">
        <v>4653</v>
      </c>
      <c r="D13192" t="str">
        <f>"04653"</f>
        <v>04653</v>
      </c>
      <c r="E13192">
        <v>76.67</v>
      </c>
    </row>
    <row r="13193" spans="1:5" x14ac:dyDescent="0.2">
      <c r="A13193" t="str">
        <f>"04654"</f>
        <v>04654</v>
      </c>
      <c r="B13193" t="s">
        <v>27</v>
      </c>
      <c r="C13193">
        <v>4654</v>
      </c>
      <c r="D13193" t="str">
        <f>"04654"</f>
        <v>04654</v>
      </c>
      <c r="E13193">
        <v>68.38</v>
      </c>
    </row>
    <row r="13194" spans="1:5" x14ac:dyDescent="0.2">
      <c r="A13194" t="str">
        <f>"04655"</f>
        <v>04655</v>
      </c>
      <c r="B13194" t="s">
        <v>27</v>
      </c>
      <c r="C13194">
        <v>4655</v>
      </c>
      <c r="D13194" t="str">
        <f>"04655"</f>
        <v>04655</v>
      </c>
      <c r="E13194">
        <v>58.97</v>
      </c>
    </row>
    <row r="13195" spans="1:5" x14ac:dyDescent="0.2">
      <c r="A13195" t="str">
        <f>"04657"</f>
        <v>04657</v>
      </c>
      <c r="B13195" t="s">
        <v>27</v>
      </c>
      <c r="C13195">
        <v>4657</v>
      </c>
      <c r="D13195" t="str">
        <f>"04657"</f>
        <v>04657</v>
      </c>
      <c r="E13195">
        <v>73.33</v>
      </c>
    </row>
    <row r="13196" spans="1:5" x14ac:dyDescent="0.2">
      <c r="A13196" t="str">
        <f>"04658"</f>
        <v>04658</v>
      </c>
      <c r="B13196" t="s">
        <v>27</v>
      </c>
      <c r="C13196">
        <v>4658</v>
      </c>
      <c r="D13196" t="str">
        <f>"04658"</f>
        <v>04658</v>
      </c>
      <c r="E13196">
        <v>60.32</v>
      </c>
    </row>
    <row r="13197" spans="1:5" x14ac:dyDescent="0.2">
      <c r="A13197" t="str">
        <f>"04660"</f>
        <v>04660</v>
      </c>
      <c r="B13197" t="s">
        <v>27</v>
      </c>
      <c r="C13197">
        <v>4660</v>
      </c>
      <c r="D13197" t="str">
        <f>"04660"</f>
        <v>04660</v>
      </c>
      <c r="E13197">
        <v>77.78</v>
      </c>
    </row>
    <row r="13198" spans="1:5" x14ac:dyDescent="0.2">
      <c r="A13198" t="str">
        <f>"04662"</f>
        <v>04662</v>
      </c>
      <c r="B13198" t="s">
        <v>27</v>
      </c>
      <c r="C13198">
        <v>4662</v>
      </c>
      <c r="D13198" t="str">
        <f>"04662"</f>
        <v>04662</v>
      </c>
      <c r="E13198" t="s">
        <v>6</v>
      </c>
    </row>
    <row r="13199" spans="1:5" x14ac:dyDescent="0.2">
      <c r="A13199" t="str">
        <f>"04664"</f>
        <v>04664</v>
      </c>
      <c r="B13199" t="s">
        <v>27</v>
      </c>
      <c r="C13199">
        <v>4664</v>
      </c>
      <c r="D13199" t="str">
        <f>"04664"</f>
        <v>04664</v>
      </c>
      <c r="E13199">
        <v>69.489999999999995</v>
      </c>
    </row>
    <row r="13200" spans="1:5" x14ac:dyDescent="0.2">
      <c r="A13200" t="str">
        <f>"04666"</f>
        <v>04666</v>
      </c>
      <c r="B13200" t="s">
        <v>27</v>
      </c>
      <c r="C13200">
        <v>4666</v>
      </c>
      <c r="D13200" t="str">
        <f>"04666"</f>
        <v>04666</v>
      </c>
      <c r="E13200">
        <v>67.92</v>
      </c>
    </row>
    <row r="13201" spans="1:5" x14ac:dyDescent="0.2">
      <c r="A13201" t="str">
        <f>"04667"</f>
        <v>04667</v>
      </c>
      <c r="B13201" t="s">
        <v>27</v>
      </c>
      <c r="C13201">
        <v>4667</v>
      </c>
      <c r="D13201" t="str">
        <f>"04667"</f>
        <v>04667</v>
      </c>
      <c r="E13201">
        <v>62.71</v>
      </c>
    </row>
    <row r="13202" spans="1:5" x14ac:dyDescent="0.2">
      <c r="A13202" t="str">
        <f>"04668"</f>
        <v>04668</v>
      </c>
      <c r="B13202" t="s">
        <v>27</v>
      </c>
      <c r="C13202">
        <v>4668</v>
      </c>
      <c r="D13202" t="str">
        <f>"04668"</f>
        <v>04668</v>
      </c>
      <c r="E13202">
        <v>59.02</v>
      </c>
    </row>
    <row r="13203" spans="1:5" x14ac:dyDescent="0.2">
      <c r="A13203" t="str">
        <f>"04669"</f>
        <v>04669</v>
      </c>
      <c r="B13203" t="s">
        <v>27</v>
      </c>
      <c r="C13203">
        <v>4669</v>
      </c>
      <c r="D13203" t="str">
        <f>"04669"</f>
        <v>04669</v>
      </c>
      <c r="E13203">
        <v>66.67</v>
      </c>
    </row>
    <row r="13204" spans="1:5" x14ac:dyDescent="0.2">
      <c r="A13204" t="str">
        <f>"04671"</f>
        <v>04671</v>
      </c>
      <c r="B13204" t="s">
        <v>27</v>
      </c>
      <c r="C13204">
        <v>4671</v>
      </c>
      <c r="D13204" t="str">
        <f>"04671"</f>
        <v>04671</v>
      </c>
      <c r="E13204">
        <v>69.23</v>
      </c>
    </row>
    <row r="13205" spans="1:5" x14ac:dyDescent="0.2">
      <c r="A13205" t="str">
        <f>"04673"</f>
        <v>04673</v>
      </c>
      <c r="B13205" t="s">
        <v>27</v>
      </c>
      <c r="C13205">
        <v>4673</v>
      </c>
      <c r="D13205" t="str">
        <f>"04673"</f>
        <v>04673</v>
      </c>
      <c r="E13205" t="s">
        <v>6</v>
      </c>
    </row>
    <row r="13206" spans="1:5" x14ac:dyDescent="0.2">
      <c r="A13206" t="str">
        <f>"04674"</f>
        <v>04674</v>
      </c>
      <c r="B13206" t="s">
        <v>27</v>
      </c>
      <c r="C13206">
        <v>4674</v>
      </c>
      <c r="D13206" t="str">
        <f>"04674"</f>
        <v>04674</v>
      </c>
      <c r="E13206">
        <v>66.67</v>
      </c>
    </row>
    <row r="13207" spans="1:5" x14ac:dyDescent="0.2">
      <c r="A13207" t="str">
        <f>"04675"</f>
        <v>04675</v>
      </c>
      <c r="B13207" t="s">
        <v>27</v>
      </c>
      <c r="C13207">
        <v>4675</v>
      </c>
      <c r="D13207" t="str">
        <f>"04675"</f>
        <v>04675</v>
      </c>
      <c r="E13207" t="s">
        <v>6</v>
      </c>
    </row>
    <row r="13208" spans="1:5" x14ac:dyDescent="0.2">
      <c r="A13208" t="str">
        <f>"04676"</f>
        <v>04676</v>
      </c>
      <c r="B13208" t="s">
        <v>27</v>
      </c>
      <c r="C13208">
        <v>4676</v>
      </c>
      <c r="D13208" t="str">
        <f>"04676"</f>
        <v>04676</v>
      </c>
      <c r="E13208">
        <v>65.91</v>
      </c>
    </row>
    <row r="13209" spans="1:5" x14ac:dyDescent="0.2">
      <c r="A13209" t="str">
        <f>"04677"</f>
        <v>04677</v>
      </c>
      <c r="B13209" t="s">
        <v>27</v>
      </c>
      <c r="C13209">
        <v>4677</v>
      </c>
      <c r="D13209" t="str">
        <f>"04677"</f>
        <v>04677</v>
      </c>
      <c r="E13209">
        <v>71.430000000000007</v>
      </c>
    </row>
    <row r="13210" spans="1:5" x14ac:dyDescent="0.2">
      <c r="A13210" t="str">
        <f>"04679"</f>
        <v>04679</v>
      </c>
      <c r="B13210" t="s">
        <v>27</v>
      </c>
      <c r="C13210">
        <v>4679</v>
      </c>
      <c r="D13210" t="str">
        <f>"04679"</f>
        <v>04679</v>
      </c>
      <c r="E13210">
        <v>75.510000000000005</v>
      </c>
    </row>
    <row r="13211" spans="1:5" x14ac:dyDescent="0.2">
      <c r="A13211" t="str">
        <f>"04680"</f>
        <v>04680</v>
      </c>
      <c r="B13211" t="s">
        <v>27</v>
      </c>
      <c r="C13211">
        <v>4680</v>
      </c>
      <c r="D13211" t="str">
        <f>"04680"</f>
        <v>04680</v>
      </c>
      <c r="E13211">
        <v>61.22</v>
      </c>
    </row>
    <row r="13212" spans="1:5" x14ac:dyDescent="0.2">
      <c r="A13212" t="str">
        <f>"04681"</f>
        <v>04681</v>
      </c>
      <c r="B13212" t="s">
        <v>27</v>
      </c>
      <c r="C13212">
        <v>4681</v>
      </c>
      <c r="D13212" t="str">
        <f>"04681"</f>
        <v>04681</v>
      </c>
      <c r="E13212">
        <v>68.97</v>
      </c>
    </row>
    <row r="13213" spans="1:5" x14ac:dyDescent="0.2">
      <c r="A13213" t="str">
        <f>"04684"</f>
        <v>04684</v>
      </c>
      <c r="B13213" t="s">
        <v>27</v>
      </c>
      <c r="C13213">
        <v>4684</v>
      </c>
      <c r="D13213" t="str">
        <f>"04684"</f>
        <v>04684</v>
      </c>
      <c r="E13213">
        <v>74.03</v>
      </c>
    </row>
    <row r="13214" spans="1:5" x14ac:dyDescent="0.2">
      <c r="A13214" t="str">
        <f>"04685"</f>
        <v>04685</v>
      </c>
      <c r="B13214" t="s">
        <v>27</v>
      </c>
      <c r="C13214">
        <v>4685</v>
      </c>
      <c r="D13214" t="str">
        <f>"04685"</f>
        <v>04685</v>
      </c>
      <c r="E13214">
        <v>62.5</v>
      </c>
    </row>
    <row r="13215" spans="1:5" x14ac:dyDescent="0.2">
      <c r="A13215" t="str">
        <f>"04686"</f>
        <v>04686</v>
      </c>
      <c r="B13215" t="s">
        <v>27</v>
      </c>
      <c r="C13215">
        <v>4686</v>
      </c>
      <c r="D13215" t="str">
        <f>"04686"</f>
        <v>04686</v>
      </c>
      <c r="E13215" t="s">
        <v>6</v>
      </c>
    </row>
    <row r="13216" spans="1:5" x14ac:dyDescent="0.2">
      <c r="A13216" t="str">
        <f>"04691"</f>
        <v>04691</v>
      </c>
      <c r="B13216" t="s">
        <v>27</v>
      </c>
      <c r="C13216">
        <v>4691</v>
      </c>
      <c r="D13216" t="str">
        <f>"04691"</f>
        <v>04691</v>
      </c>
      <c r="E13216">
        <v>70</v>
      </c>
    </row>
    <row r="13217" spans="1:5" x14ac:dyDescent="0.2">
      <c r="A13217" t="str">
        <f>"04693"</f>
        <v>04693</v>
      </c>
      <c r="B13217" t="s">
        <v>27</v>
      </c>
      <c r="C13217">
        <v>4693</v>
      </c>
      <c r="D13217" t="str">
        <f>"04693"</f>
        <v>04693</v>
      </c>
      <c r="E13217">
        <v>70.37</v>
      </c>
    </row>
    <row r="13218" spans="1:5" x14ac:dyDescent="0.2">
      <c r="A13218" t="str">
        <f>"04694"</f>
        <v>04694</v>
      </c>
      <c r="B13218" t="s">
        <v>27</v>
      </c>
      <c r="C13218">
        <v>4694</v>
      </c>
      <c r="D13218" t="str">
        <f>"04694"</f>
        <v>04694</v>
      </c>
      <c r="E13218">
        <v>71.03</v>
      </c>
    </row>
    <row r="13219" spans="1:5" x14ac:dyDescent="0.2">
      <c r="A13219" t="str">
        <f>"04730"</f>
        <v>04730</v>
      </c>
      <c r="B13219" t="s">
        <v>27</v>
      </c>
      <c r="C13219">
        <v>4730</v>
      </c>
      <c r="D13219" t="str">
        <f>"04730"</f>
        <v>04730</v>
      </c>
      <c r="E13219">
        <v>68.67</v>
      </c>
    </row>
    <row r="13220" spans="1:5" x14ac:dyDescent="0.2">
      <c r="A13220" t="str">
        <f>"04732"</f>
        <v>04732</v>
      </c>
      <c r="B13220" t="s">
        <v>27</v>
      </c>
      <c r="C13220">
        <v>4732</v>
      </c>
      <c r="D13220" t="str">
        <f>"04732"</f>
        <v>04732</v>
      </c>
      <c r="E13220">
        <v>72</v>
      </c>
    </row>
    <row r="13221" spans="1:5" x14ac:dyDescent="0.2">
      <c r="A13221" t="str">
        <f>"04733"</f>
        <v>04733</v>
      </c>
      <c r="B13221" t="s">
        <v>27</v>
      </c>
      <c r="C13221">
        <v>4733</v>
      </c>
      <c r="D13221" t="str">
        <f>"04733"</f>
        <v>04733</v>
      </c>
      <c r="E13221" t="s">
        <v>6</v>
      </c>
    </row>
    <row r="13222" spans="1:5" x14ac:dyDescent="0.2">
      <c r="A13222" t="str">
        <f>"04734"</f>
        <v>04734</v>
      </c>
      <c r="B13222" t="s">
        <v>27</v>
      </c>
      <c r="C13222">
        <v>4734</v>
      </c>
      <c r="D13222" t="str">
        <f>"04734"</f>
        <v>04734</v>
      </c>
      <c r="E13222">
        <v>67.86</v>
      </c>
    </row>
    <row r="13223" spans="1:5" x14ac:dyDescent="0.2">
      <c r="A13223" t="str">
        <f>"04735"</f>
        <v>04735</v>
      </c>
      <c r="B13223" t="s">
        <v>27</v>
      </c>
      <c r="C13223">
        <v>4735</v>
      </c>
      <c r="D13223" t="str">
        <f>"04735"</f>
        <v>04735</v>
      </c>
      <c r="E13223">
        <v>69.569999999999993</v>
      </c>
    </row>
    <row r="13224" spans="1:5" x14ac:dyDescent="0.2">
      <c r="A13224" t="str">
        <f>"04736"</f>
        <v>04736</v>
      </c>
      <c r="B13224" t="s">
        <v>27</v>
      </c>
      <c r="C13224">
        <v>4736</v>
      </c>
      <c r="D13224" t="str">
        <f>"04736"</f>
        <v>04736</v>
      </c>
      <c r="E13224">
        <v>72.22</v>
      </c>
    </row>
    <row r="13225" spans="1:5" x14ac:dyDescent="0.2">
      <c r="A13225" t="str">
        <f>"04739"</f>
        <v>04739</v>
      </c>
      <c r="B13225" t="s">
        <v>27</v>
      </c>
      <c r="C13225">
        <v>4739</v>
      </c>
      <c r="D13225" t="str">
        <f>"04739"</f>
        <v>04739</v>
      </c>
      <c r="E13225">
        <v>71.790000000000006</v>
      </c>
    </row>
    <row r="13226" spans="1:5" x14ac:dyDescent="0.2">
      <c r="A13226" t="str">
        <f>"04740"</f>
        <v>04740</v>
      </c>
      <c r="B13226" t="s">
        <v>27</v>
      </c>
      <c r="C13226">
        <v>4740</v>
      </c>
      <c r="D13226" t="str">
        <f>"04740"</f>
        <v>04740</v>
      </c>
      <c r="E13226">
        <v>74.069999999999993</v>
      </c>
    </row>
    <row r="13227" spans="1:5" x14ac:dyDescent="0.2">
      <c r="A13227" t="str">
        <f>"04741"</f>
        <v>04741</v>
      </c>
      <c r="B13227" t="s">
        <v>27</v>
      </c>
      <c r="C13227">
        <v>4741</v>
      </c>
      <c r="D13227" t="str">
        <f>"04741"</f>
        <v>04741</v>
      </c>
      <c r="E13227" t="s">
        <v>6</v>
      </c>
    </row>
    <row r="13228" spans="1:5" x14ac:dyDescent="0.2">
      <c r="A13228" t="str">
        <f>"04742"</f>
        <v>04742</v>
      </c>
      <c r="B13228" t="s">
        <v>27</v>
      </c>
      <c r="C13228">
        <v>4742</v>
      </c>
      <c r="D13228" t="str">
        <f>"04742"</f>
        <v>04742</v>
      </c>
      <c r="E13228">
        <v>69.930000000000007</v>
      </c>
    </row>
    <row r="13229" spans="1:5" x14ac:dyDescent="0.2">
      <c r="A13229" t="str">
        <f>"04743"</f>
        <v>04743</v>
      </c>
      <c r="B13229" t="s">
        <v>27</v>
      </c>
      <c r="C13229">
        <v>4743</v>
      </c>
      <c r="D13229" t="str">
        <f>"04743"</f>
        <v>04743</v>
      </c>
      <c r="E13229">
        <v>71.86</v>
      </c>
    </row>
    <row r="13230" spans="1:5" x14ac:dyDescent="0.2">
      <c r="A13230" t="str">
        <f>"04744"</f>
        <v>04744</v>
      </c>
      <c r="B13230" t="s">
        <v>27</v>
      </c>
      <c r="C13230">
        <v>4744</v>
      </c>
      <c r="D13230" t="str">
        <f>"04744"</f>
        <v>04744</v>
      </c>
      <c r="E13230" t="s">
        <v>6</v>
      </c>
    </row>
    <row r="13231" spans="1:5" x14ac:dyDescent="0.2">
      <c r="A13231" t="str">
        <f>"04745"</f>
        <v>04745</v>
      </c>
      <c r="B13231" t="s">
        <v>27</v>
      </c>
      <c r="C13231">
        <v>4745</v>
      </c>
      <c r="D13231" t="str">
        <f>"04745"</f>
        <v>04745</v>
      </c>
      <c r="E13231">
        <v>73.91</v>
      </c>
    </row>
    <row r="13232" spans="1:5" x14ac:dyDescent="0.2">
      <c r="A13232" t="str">
        <f>"04746"</f>
        <v>04746</v>
      </c>
      <c r="B13232" t="s">
        <v>27</v>
      </c>
      <c r="C13232">
        <v>4746</v>
      </c>
      <c r="D13232" t="str">
        <f>"04746"</f>
        <v>04746</v>
      </c>
      <c r="E13232">
        <v>70.59</v>
      </c>
    </row>
    <row r="13233" spans="1:5" x14ac:dyDescent="0.2">
      <c r="A13233" t="str">
        <f>"04747"</f>
        <v>04747</v>
      </c>
      <c r="B13233" t="s">
        <v>27</v>
      </c>
      <c r="C13233">
        <v>4747</v>
      </c>
      <c r="D13233" t="str">
        <f>"04747"</f>
        <v>04747</v>
      </c>
      <c r="E13233">
        <v>62</v>
      </c>
    </row>
    <row r="13234" spans="1:5" x14ac:dyDescent="0.2">
      <c r="A13234" t="str">
        <f>"04750"</f>
        <v>04750</v>
      </c>
      <c r="B13234" t="s">
        <v>27</v>
      </c>
      <c r="C13234">
        <v>4750</v>
      </c>
      <c r="D13234" t="str">
        <f>"04750"</f>
        <v>04750</v>
      </c>
      <c r="E13234">
        <v>68.349999999999994</v>
      </c>
    </row>
    <row r="13235" spans="1:5" x14ac:dyDescent="0.2">
      <c r="A13235" t="str">
        <f>"04751"</f>
        <v>04751</v>
      </c>
      <c r="B13235" t="s">
        <v>27</v>
      </c>
      <c r="C13235">
        <v>4751</v>
      </c>
      <c r="D13235" t="str">
        <f>"04751"</f>
        <v>04751</v>
      </c>
      <c r="E13235" t="s">
        <v>6</v>
      </c>
    </row>
    <row r="13236" spans="1:5" x14ac:dyDescent="0.2">
      <c r="A13236" t="str">
        <f>"04756"</f>
        <v>04756</v>
      </c>
      <c r="B13236" t="s">
        <v>27</v>
      </c>
      <c r="C13236">
        <v>4756</v>
      </c>
      <c r="D13236" t="str">
        <f>"04756"</f>
        <v>04756</v>
      </c>
      <c r="E13236">
        <v>72.599999999999994</v>
      </c>
    </row>
    <row r="13237" spans="1:5" x14ac:dyDescent="0.2">
      <c r="A13237" t="str">
        <f>"04757"</f>
        <v>04757</v>
      </c>
      <c r="B13237" t="s">
        <v>27</v>
      </c>
      <c r="C13237">
        <v>4757</v>
      </c>
      <c r="D13237" t="str">
        <f>"04757"</f>
        <v>04757</v>
      </c>
      <c r="E13237">
        <v>75.81</v>
      </c>
    </row>
    <row r="13238" spans="1:5" x14ac:dyDescent="0.2">
      <c r="A13238" t="str">
        <f>"04758"</f>
        <v>04758</v>
      </c>
      <c r="B13238" t="s">
        <v>27</v>
      </c>
      <c r="C13238">
        <v>4758</v>
      </c>
      <c r="D13238" t="str">
        <f>"04758"</f>
        <v>04758</v>
      </c>
      <c r="E13238">
        <v>72.06</v>
      </c>
    </row>
    <row r="13239" spans="1:5" x14ac:dyDescent="0.2">
      <c r="A13239" t="str">
        <f>"04760"</f>
        <v>04760</v>
      </c>
      <c r="B13239" t="s">
        <v>27</v>
      </c>
      <c r="C13239">
        <v>4760</v>
      </c>
      <c r="D13239" t="str">
        <f>"04760"</f>
        <v>04760</v>
      </c>
      <c r="E13239">
        <v>68.75</v>
      </c>
    </row>
    <row r="13240" spans="1:5" x14ac:dyDescent="0.2">
      <c r="A13240" t="str">
        <f>"04761"</f>
        <v>04761</v>
      </c>
      <c r="B13240" t="s">
        <v>27</v>
      </c>
      <c r="C13240">
        <v>4761</v>
      </c>
      <c r="D13240" t="str">
        <f>"04761"</f>
        <v>04761</v>
      </c>
      <c r="E13240">
        <v>76.92</v>
      </c>
    </row>
    <row r="13241" spans="1:5" x14ac:dyDescent="0.2">
      <c r="A13241" t="str">
        <f>"04762"</f>
        <v>04762</v>
      </c>
      <c r="B13241" t="s">
        <v>27</v>
      </c>
      <c r="C13241">
        <v>4762</v>
      </c>
      <c r="D13241" t="str">
        <f>"04762"</f>
        <v>04762</v>
      </c>
      <c r="E13241">
        <v>65.22</v>
      </c>
    </row>
    <row r="13242" spans="1:5" x14ac:dyDescent="0.2">
      <c r="A13242" t="str">
        <f>"04763"</f>
        <v>04763</v>
      </c>
      <c r="B13242" t="s">
        <v>27</v>
      </c>
      <c r="C13242">
        <v>4763</v>
      </c>
      <c r="D13242" t="str">
        <f>"04763"</f>
        <v>04763</v>
      </c>
      <c r="E13242">
        <v>72.73</v>
      </c>
    </row>
    <row r="13243" spans="1:5" x14ac:dyDescent="0.2">
      <c r="A13243" t="str">
        <f>"04764"</f>
        <v>04764</v>
      </c>
      <c r="B13243" t="s">
        <v>27</v>
      </c>
      <c r="C13243">
        <v>4764</v>
      </c>
      <c r="D13243" t="str">
        <f>"04764"</f>
        <v>04764</v>
      </c>
      <c r="E13243" t="s">
        <v>6</v>
      </c>
    </row>
    <row r="13244" spans="1:5" x14ac:dyDescent="0.2">
      <c r="A13244" t="str">
        <f>"04765"</f>
        <v>04765</v>
      </c>
      <c r="B13244" t="s">
        <v>27</v>
      </c>
      <c r="C13244">
        <v>4765</v>
      </c>
      <c r="D13244" t="str">
        <f>"04765"</f>
        <v>04765</v>
      </c>
      <c r="E13244">
        <v>63.27</v>
      </c>
    </row>
    <row r="13245" spans="1:5" x14ac:dyDescent="0.2">
      <c r="A13245" t="str">
        <f>"04766"</f>
        <v>04766</v>
      </c>
      <c r="B13245" t="s">
        <v>27</v>
      </c>
      <c r="C13245">
        <v>4766</v>
      </c>
      <c r="D13245" t="str">
        <f>"04766"</f>
        <v>04766</v>
      </c>
      <c r="E13245">
        <v>56.25</v>
      </c>
    </row>
    <row r="13246" spans="1:5" x14ac:dyDescent="0.2">
      <c r="A13246" t="str">
        <f>"04768"</f>
        <v>04768</v>
      </c>
      <c r="B13246" t="s">
        <v>27</v>
      </c>
      <c r="C13246">
        <v>4768</v>
      </c>
      <c r="D13246" t="str">
        <f>"04768"</f>
        <v>04768</v>
      </c>
      <c r="E13246">
        <v>70.59</v>
      </c>
    </row>
    <row r="13247" spans="1:5" x14ac:dyDescent="0.2">
      <c r="A13247" t="str">
        <f>"04769"</f>
        <v>04769</v>
      </c>
      <c r="B13247" t="s">
        <v>27</v>
      </c>
      <c r="C13247">
        <v>4769</v>
      </c>
      <c r="D13247" t="str">
        <f>"04769"</f>
        <v>04769</v>
      </c>
      <c r="E13247">
        <v>70.86</v>
      </c>
    </row>
    <row r="13248" spans="1:5" x14ac:dyDescent="0.2">
      <c r="A13248" t="str">
        <f>"04772"</f>
        <v>04772</v>
      </c>
      <c r="B13248" t="s">
        <v>27</v>
      </c>
      <c r="C13248">
        <v>4772</v>
      </c>
      <c r="D13248" t="str">
        <f>"04772"</f>
        <v>04772</v>
      </c>
      <c r="E13248">
        <v>73.53</v>
      </c>
    </row>
    <row r="13249" spans="1:5" x14ac:dyDescent="0.2">
      <c r="A13249" t="str">
        <f>"04773"</f>
        <v>04773</v>
      </c>
      <c r="B13249" t="s">
        <v>27</v>
      </c>
      <c r="C13249">
        <v>4773</v>
      </c>
      <c r="D13249" t="str">
        <f>"04773"</f>
        <v>04773</v>
      </c>
      <c r="E13249">
        <v>76.47</v>
      </c>
    </row>
    <row r="13250" spans="1:5" x14ac:dyDescent="0.2">
      <c r="A13250" t="str">
        <f>"04774"</f>
        <v>04774</v>
      </c>
      <c r="B13250" t="s">
        <v>27</v>
      </c>
      <c r="C13250">
        <v>4774</v>
      </c>
      <c r="D13250" t="str">
        <f>"04774"</f>
        <v>04774</v>
      </c>
      <c r="E13250">
        <v>61.54</v>
      </c>
    </row>
    <row r="13251" spans="1:5" x14ac:dyDescent="0.2">
      <c r="A13251" t="str">
        <f>"04776"</f>
        <v>04776</v>
      </c>
      <c r="B13251" t="s">
        <v>27</v>
      </c>
      <c r="C13251">
        <v>4776</v>
      </c>
      <c r="D13251" t="str">
        <f>"04776"</f>
        <v>04776</v>
      </c>
      <c r="E13251">
        <v>61.76</v>
      </c>
    </row>
    <row r="13252" spans="1:5" x14ac:dyDescent="0.2">
      <c r="A13252" t="str">
        <f>"04777"</f>
        <v>04777</v>
      </c>
      <c r="B13252" t="s">
        <v>27</v>
      </c>
      <c r="C13252">
        <v>4777</v>
      </c>
      <c r="D13252" t="str">
        <f>"04777"</f>
        <v>04777</v>
      </c>
      <c r="E13252">
        <v>61.54</v>
      </c>
    </row>
    <row r="13253" spans="1:5" x14ac:dyDescent="0.2">
      <c r="A13253" t="str">
        <f>"04779"</f>
        <v>04779</v>
      </c>
      <c r="B13253" t="s">
        <v>27</v>
      </c>
      <c r="C13253">
        <v>4779</v>
      </c>
      <c r="D13253" t="str">
        <f>"04779"</f>
        <v>04779</v>
      </c>
      <c r="E13253">
        <v>66.67</v>
      </c>
    </row>
    <row r="13254" spans="1:5" x14ac:dyDescent="0.2">
      <c r="A13254" t="str">
        <f>"04780"</f>
        <v>04780</v>
      </c>
      <c r="B13254" t="s">
        <v>27</v>
      </c>
      <c r="C13254">
        <v>4780</v>
      </c>
      <c r="D13254" t="str">
        <f>"04780"</f>
        <v>04780</v>
      </c>
      <c r="E13254">
        <v>65.38</v>
      </c>
    </row>
    <row r="13255" spans="1:5" x14ac:dyDescent="0.2">
      <c r="A13255" t="str">
        <f>"04781"</f>
        <v>04781</v>
      </c>
      <c r="B13255" t="s">
        <v>27</v>
      </c>
      <c r="C13255">
        <v>4781</v>
      </c>
      <c r="D13255" t="str">
        <f>"04781"</f>
        <v>04781</v>
      </c>
      <c r="E13255">
        <v>72</v>
      </c>
    </row>
    <row r="13256" spans="1:5" x14ac:dyDescent="0.2">
      <c r="A13256" t="str">
        <f>"04783"</f>
        <v>04783</v>
      </c>
      <c r="B13256" t="s">
        <v>27</v>
      </c>
      <c r="C13256">
        <v>4783</v>
      </c>
      <c r="D13256" t="str">
        <f>"04783"</f>
        <v>04783</v>
      </c>
      <c r="E13256">
        <v>70</v>
      </c>
    </row>
    <row r="13257" spans="1:5" x14ac:dyDescent="0.2">
      <c r="A13257" t="str">
        <f>"04785"</f>
        <v>04785</v>
      </c>
      <c r="B13257" t="s">
        <v>27</v>
      </c>
      <c r="C13257">
        <v>4785</v>
      </c>
      <c r="D13257" t="str">
        <f>"04785"</f>
        <v>04785</v>
      </c>
      <c r="E13257">
        <v>68.239999999999995</v>
      </c>
    </row>
    <row r="13258" spans="1:5" x14ac:dyDescent="0.2">
      <c r="A13258" t="str">
        <f>"04786"</f>
        <v>04786</v>
      </c>
      <c r="B13258" t="s">
        <v>27</v>
      </c>
      <c r="C13258">
        <v>4786</v>
      </c>
      <c r="D13258" t="str">
        <f>"04786"</f>
        <v>04786</v>
      </c>
      <c r="E13258">
        <v>68</v>
      </c>
    </row>
    <row r="13259" spans="1:5" x14ac:dyDescent="0.2">
      <c r="A13259" t="str">
        <f>"04787"</f>
        <v>04787</v>
      </c>
      <c r="B13259" t="s">
        <v>27</v>
      </c>
      <c r="C13259">
        <v>4787</v>
      </c>
      <c r="D13259" t="str">
        <f>"04787"</f>
        <v>04787</v>
      </c>
      <c r="E13259">
        <v>68.42</v>
      </c>
    </row>
    <row r="13260" spans="1:5" x14ac:dyDescent="0.2">
      <c r="A13260" t="str">
        <f>"04841"</f>
        <v>04841</v>
      </c>
      <c r="B13260" t="s">
        <v>27</v>
      </c>
      <c r="C13260">
        <v>4841</v>
      </c>
      <c r="D13260" t="str">
        <f>"04841"</f>
        <v>04841</v>
      </c>
      <c r="E13260">
        <v>68.63</v>
      </c>
    </row>
    <row r="13261" spans="1:5" x14ac:dyDescent="0.2">
      <c r="A13261" t="str">
        <f>"04843"</f>
        <v>04843</v>
      </c>
      <c r="B13261" t="s">
        <v>27</v>
      </c>
      <c r="C13261">
        <v>4843</v>
      </c>
      <c r="D13261" t="str">
        <f>"04843"</f>
        <v>04843</v>
      </c>
      <c r="E13261">
        <v>73.09</v>
      </c>
    </row>
    <row r="13262" spans="1:5" x14ac:dyDescent="0.2">
      <c r="A13262" t="str">
        <f>"04847"</f>
        <v>04847</v>
      </c>
      <c r="B13262" t="s">
        <v>27</v>
      </c>
      <c r="C13262">
        <v>4847</v>
      </c>
      <c r="D13262" t="str">
        <f>"04847"</f>
        <v>04847</v>
      </c>
      <c r="E13262">
        <v>71.430000000000007</v>
      </c>
    </row>
    <row r="13263" spans="1:5" x14ac:dyDescent="0.2">
      <c r="A13263" t="str">
        <f>"04848"</f>
        <v>04848</v>
      </c>
      <c r="B13263" t="s">
        <v>27</v>
      </c>
      <c r="C13263">
        <v>4848</v>
      </c>
      <c r="D13263" t="str">
        <f>"04848"</f>
        <v>04848</v>
      </c>
      <c r="E13263">
        <v>72.41</v>
      </c>
    </row>
    <row r="13264" spans="1:5" x14ac:dyDescent="0.2">
      <c r="A13264" t="str">
        <f>"04849"</f>
        <v>04849</v>
      </c>
      <c r="B13264" t="s">
        <v>27</v>
      </c>
      <c r="C13264">
        <v>4849</v>
      </c>
      <c r="D13264" t="str">
        <f>"04849"</f>
        <v>04849</v>
      </c>
      <c r="E13264">
        <v>73.12</v>
      </c>
    </row>
    <row r="13265" spans="1:5" x14ac:dyDescent="0.2">
      <c r="A13265" t="str">
        <f>"04851"</f>
        <v>04851</v>
      </c>
      <c r="B13265" t="s">
        <v>27</v>
      </c>
      <c r="C13265">
        <v>4851</v>
      </c>
      <c r="D13265" t="str">
        <f>"04851"</f>
        <v>04851</v>
      </c>
      <c r="E13265" t="s">
        <v>6</v>
      </c>
    </row>
    <row r="13266" spans="1:5" x14ac:dyDescent="0.2">
      <c r="A13266" t="str">
        <f>"04852"</f>
        <v>04852</v>
      </c>
      <c r="B13266" t="s">
        <v>27</v>
      </c>
      <c r="C13266">
        <v>4852</v>
      </c>
      <c r="D13266" t="str">
        <f>"04852"</f>
        <v>04852</v>
      </c>
      <c r="E13266" t="s">
        <v>6</v>
      </c>
    </row>
    <row r="13267" spans="1:5" x14ac:dyDescent="0.2">
      <c r="A13267" t="str">
        <f>"04853"</f>
        <v>04853</v>
      </c>
      <c r="B13267" t="s">
        <v>27</v>
      </c>
      <c r="C13267">
        <v>4853</v>
      </c>
      <c r="D13267" t="str">
        <f>"04853"</f>
        <v>04853</v>
      </c>
      <c r="E13267">
        <v>69.569999999999993</v>
      </c>
    </row>
    <row r="13268" spans="1:5" x14ac:dyDescent="0.2">
      <c r="A13268" t="str">
        <f>"04854"</f>
        <v>04854</v>
      </c>
      <c r="B13268" t="s">
        <v>27</v>
      </c>
      <c r="C13268">
        <v>4854</v>
      </c>
      <c r="D13268" t="str">
        <f>"04854"</f>
        <v>04854</v>
      </c>
      <c r="E13268">
        <v>73.489999999999995</v>
      </c>
    </row>
    <row r="13269" spans="1:5" x14ac:dyDescent="0.2">
      <c r="A13269" t="str">
        <f>"04855"</f>
        <v>04855</v>
      </c>
      <c r="B13269" t="s">
        <v>27</v>
      </c>
      <c r="C13269">
        <v>4855</v>
      </c>
      <c r="D13269" t="str">
        <f>"04855"</f>
        <v>04855</v>
      </c>
      <c r="E13269" t="s">
        <v>6</v>
      </c>
    </row>
    <row r="13270" spans="1:5" x14ac:dyDescent="0.2">
      <c r="A13270" t="str">
        <f>"04856"</f>
        <v>04856</v>
      </c>
      <c r="B13270" t="s">
        <v>27</v>
      </c>
      <c r="C13270">
        <v>4856</v>
      </c>
      <c r="D13270" t="str">
        <f>"04856"</f>
        <v>04856</v>
      </c>
      <c r="E13270">
        <v>74.209999999999994</v>
      </c>
    </row>
    <row r="13271" spans="1:5" x14ac:dyDescent="0.2">
      <c r="A13271" t="str">
        <f>"04858"</f>
        <v>04858</v>
      </c>
      <c r="B13271" t="s">
        <v>27</v>
      </c>
      <c r="C13271">
        <v>4858</v>
      </c>
      <c r="D13271" t="str">
        <f>"04858"</f>
        <v>04858</v>
      </c>
      <c r="E13271">
        <v>72.599999999999994</v>
      </c>
    </row>
    <row r="13272" spans="1:5" x14ac:dyDescent="0.2">
      <c r="A13272" t="str">
        <f>"04859"</f>
        <v>04859</v>
      </c>
      <c r="B13272" t="s">
        <v>27</v>
      </c>
      <c r="C13272">
        <v>4859</v>
      </c>
      <c r="D13272" t="str">
        <f>"04859"</f>
        <v>04859</v>
      </c>
      <c r="E13272">
        <v>75.680000000000007</v>
      </c>
    </row>
    <row r="13273" spans="1:5" x14ac:dyDescent="0.2">
      <c r="A13273" t="str">
        <f>"04860"</f>
        <v>04860</v>
      </c>
      <c r="B13273" t="s">
        <v>27</v>
      </c>
      <c r="C13273">
        <v>4860</v>
      </c>
      <c r="D13273" t="str">
        <f>"04860"</f>
        <v>04860</v>
      </c>
      <c r="E13273">
        <v>68.67</v>
      </c>
    </row>
    <row r="13274" spans="1:5" x14ac:dyDescent="0.2">
      <c r="A13274" t="str">
        <f>"04861"</f>
        <v>04861</v>
      </c>
      <c r="B13274" t="s">
        <v>27</v>
      </c>
      <c r="C13274">
        <v>4861</v>
      </c>
      <c r="D13274" t="str">
        <f>"04861"</f>
        <v>04861</v>
      </c>
      <c r="E13274">
        <v>72.459999999999994</v>
      </c>
    </row>
    <row r="13275" spans="1:5" x14ac:dyDescent="0.2">
      <c r="A13275" t="str">
        <f>"04862"</f>
        <v>04862</v>
      </c>
      <c r="B13275" t="s">
        <v>27</v>
      </c>
      <c r="C13275">
        <v>4862</v>
      </c>
      <c r="D13275" t="str">
        <f>"04862"</f>
        <v>04862</v>
      </c>
      <c r="E13275">
        <v>73.63</v>
      </c>
    </row>
    <row r="13276" spans="1:5" x14ac:dyDescent="0.2">
      <c r="A13276" t="str">
        <f>"04863"</f>
        <v>04863</v>
      </c>
      <c r="B13276" t="s">
        <v>27</v>
      </c>
      <c r="C13276">
        <v>4863</v>
      </c>
      <c r="D13276" t="str">
        <f>"04863"</f>
        <v>04863</v>
      </c>
      <c r="E13276">
        <v>65.569999999999993</v>
      </c>
    </row>
    <row r="13277" spans="1:5" x14ac:dyDescent="0.2">
      <c r="A13277" t="str">
        <f>"04864"</f>
        <v>04864</v>
      </c>
      <c r="B13277" t="s">
        <v>27</v>
      </c>
      <c r="C13277">
        <v>4864</v>
      </c>
      <c r="D13277" t="str">
        <f>"04864"</f>
        <v>04864</v>
      </c>
      <c r="E13277">
        <v>69.790000000000006</v>
      </c>
    </row>
    <row r="13278" spans="1:5" x14ac:dyDescent="0.2">
      <c r="A13278" t="str">
        <f>"04901"</f>
        <v>04901</v>
      </c>
      <c r="B13278" t="s">
        <v>27</v>
      </c>
      <c r="C13278">
        <v>4901</v>
      </c>
      <c r="D13278" t="str">
        <f>"04901"</f>
        <v>04901</v>
      </c>
      <c r="E13278">
        <v>71.94</v>
      </c>
    </row>
    <row r="13279" spans="1:5" x14ac:dyDescent="0.2">
      <c r="A13279" t="str">
        <f>"04903"</f>
        <v>04903</v>
      </c>
      <c r="B13279" t="s">
        <v>27</v>
      </c>
      <c r="C13279">
        <v>4903</v>
      </c>
      <c r="D13279" t="str">
        <f>"04903"</f>
        <v>04903</v>
      </c>
      <c r="E13279" t="s">
        <v>6</v>
      </c>
    </row>
    <row r="13280" spans="1:5" x14ac:dyDescent="0.2">
      <c r="A13280" t="str">
        <f>"04910"</f>
        <v>04910</v>
      </c>
      <c r="B13280" t="s">
        <v>27</v>
      </c>
      <c r="C13280">
        <v>4910</v>
      </c>
      <c r="D13280" t="str">
        <f>"04910"</f>
        <v>04910</v>
      </c>
      <c r="E13280">
        <v>73.63</v>
      </c>
    </row>
    <row r="13281" spans="1:5" x14ac:dyDescent="0.2">
      <c r="A13281" t="str">
        <f>"04911"</f>
        <v>04911</v>
      </c>
      <c r="B13281" t="s">
        <v>27</v>
      </c>
      <c r="C13281">
        <v>4911</v>
      </c>
      <c r="D13281" t="str">
        <f>"04911"</f>
        <v>04911</v>
      </c>
      <c r="E13281">
        <v>65.88</v>
      </c>
    </row>
    <row r="13282" spans="1:5" x14ac:dyDescent="0.2">
      <c r="A13282" t="str">
        <f>"04912"</f>
        <v>04912</v>
      </c>
      <c r="B13282" t="s">
        <v>27</v>
      </c>
      <c r="C13282">
        <v>4912</v>
      </c>
      <c r="D13282" t="str">
        <f>"04912"</f>
        <v>04912</v>
      </c>
      <c r="E13282">
        <v>62.5</v>
      </c>
    </row>
    <row r="13283" spans="1:5" x14ac:dyDescent="0.2">
      <c r="A13283" t="str">
        <f>"04915"</f>
        <v>04915</v>
      </c>
      <c r="B13283" t="s">
        <v>27</v>
      </c>
      <c r="C13283">
        <v>4915</v>
      </c>
      <c r="D13283" t="str">
        <f>"04915"</f>
        <v>04915</v>
      </c>
      <c r="E13283">
        <v>69.84</v>
      </c>
    </row>
    <row r="13284" spans="1:5" x14ac:dyDescent="0.2">
      <c r="A13284" t="str">
        <f>"04917"</f>
        <v>04917</v>
      </c>
      <c r="B13284" t="s">
        <v>27</v>
      </c>
      <c r="C13284">
        <v>4917</v>
      </c>
      <c r="D13284" t="str">
        <f>"04917"</f>
        <v>04917</v>
      </c>
      <c r="E13284">
        <v>78.150000000000006</v>
      </c>
    </row>
    <row r="13285" spans="1:5" x14ac:dyDescent="0.2">
      <c r="A13285" t="str">
        <f>"04920"</f>
        <v>04920</v>
      </c>
      <c r="B13285" t="s">
        <v>27</v>
      </c>
      <c r="C13285">
        <v>4920</v>
      </c>
      <c r="D13285" t="str">
        <f>"04920"</f>
        <v>04920</v>
      </c>
      <c r="E13285">
        <v>68.75</v>
      </c>
    </row>
    <row r="13286" spans="1:5" x14ac:dyDescent="0.2">
      <c r="A13286" t="str">
        <f>"04921"</f>
        <v>04921</v>
      </c>
      <c r="B13286" t="s">
        <v>27</v>
      </c>
      <c r="C13286">
        <v>4921</v>
      </c>
      <c r="D13286" t="str">
        <f>"04921"</f>
        <v>04921</v>
      </c>
      <c r="E13286">
        <v>67.53</v>
      </c>
    </row>
    <row r="13287" spans="1:5" x14ac:dyDescent="0.2">
      <c r="A13287" t="str">
        <f>"04922"</f>
        <v>04922</v>
      </c>
      <c r="B13287" t="s">
        <v>27</v>
      </c>
      <c r="C13287">
        <v>4922</v>
      </c>
      <c r="D13287" t="str">
        <f>"04922"</f>
        <v>04922</v>
      </c>
      <c r="E13287">
        <v>70</v>
      </c>
    </row>
    <row r="13288" spans="1:5" x14ac:dyDescent="0.2">
      <c r="A13288" t="str">
        <f>"04923"</f>
        <v>04923</v>
      </c>
      <c r="B13288" t="s">
        <v>27</v>
      </c>
      <c r="C13288">
        <v>4923</v>
      </c>
      <c r="D13288" t="str">
        <f>"04923"</f>
        <v>04923</v>
      </c>
      <c r="E13288">
        <v>64.709999999999994</v>
      </c>
    </row>
    <row r="13289" spans="1:5" x14ac:dyDescent="0.2">
      <c r="A13289" t="str">
        <f>"04924"</f>
        <v>04924</v>
      </c>
      <c r="B13289" t="s">
        <v>27</v>
      </c>
      <c r="C13289">
        <v>4924</v>
      </c>
      <c r="D13289" t="str">
        <f>"04924"</f>
        <v>04924</v>
      </c>
      <c r="E13289">
        <v>67.78</v>
      </c>
    </row>
    <row r="13290" spans="1:5" x14ac:dyDescent="0.2">
      <c r="A13290" t="str">
        <f>"04925"</f>
        <v>04925</v>
      </c>
      <c r="B13290" t="s">
        <v>27</v>
      </c>
      <c r="C13290">
        <v>4925</v>
      </c>
      <c r="D13290" t="str">
        <f>"04925"</f>
        <v>04925</v>
      </c>
      <c r="E13290" t="s">
        <v>6</v>
      </c>
    </row>
    <row r="13291" spans="1:5" x14ac:dyDescent="0.2">
      <c r="A13291" t="str">
        <f>"04927"</f>
        <v>04927</v>
      </c>
      <c r="B13291" t="s">
        <v>27</v>
      </c>
      <c r="C13291">
        <v>4927</v>
      </c>
      <c r="D13291" t="str">
        <f>"04927"</f>
        <v>04927</v>
      </c>
      <c r="E13291">
        <v>72.19</v>
      </c>
    </row>
    <row r="13292" spans="1:5" x14ac:dyDescent="0.2">
      <c r="A13292" t="str">
        <f>"04928"</f>
        <v>04928</v>
      </c>
      <c r="B13292" t="s">
        <v>27</v>
      </c>
      <c r="C13292">
        <v>4928</v>
      </c>
      <c r="D13292" t="str">
        <f>"04928"</f>
        <v>04928</v>
      </c>
      <c r="E13292">
        <v>68.13</v>
      </c>
    </row>
    <row r="13293" spans="1:5" x14ac:dyDescent="0.2">
      <c r="A13293" t="str">
        <f>"04929"</f>
        <v>04929</v>
      </c>
      <c r="B13293" t="s">
        <v>27</v>
      </c>
      <c r="C13293">
        <v>4929</v>
      </c>
      <c r="D13293" t="str">
        <f>"04929"</f>
        <v>04929</v>
      </c>
      <c r="E13293">
        <v>69.44</v>
      </c>
    </row>
    <row r="13294" spans="1:5" x14ac:dyDescent="0.2">
      <c r="A13294" t="str">
        <f>"04930"</f>
        <v>04930</v>
      </c>
      <c r="B13294" t="s">
        <v>27</v>
      </c>
      <c r="C13294">
        <v>4930</v>
      </c>
      <c r="D13294" t="str">
        <f>"04930"</f>
        <v>04930</v>
      </c>
      <c r="E13294">
        <v>62.71</v>
      </c>
    </row>
    <row r="13295" spans="1:5" x14ac:dyDescent="0.2">
      <c r="A13295" t="str">
        <f>"04932"</f>
        <v>04932</v>
      </c>
      <c r="B13295" t="s">
        <v>27</v>
      </c>
      <c r="C13295">
        <v>4932</v>
      </c>
      <c r="D13295" t="str">
        <f>"04932"</f>
        <v>04932</v>
      </c>
      <c r="E13295">
        <v>75</v>
      </c>
    </row>
    <row r="13296" spans="1:5" x14ac:dyDescent="0.2">
      <c r="A13296" t="str">
        <f>"04936"</f>
        <v>04936</v>
      </c>
      <c r="B13296" t="s">
        <v>27</v>
      </c>
      <c r="C13296">
        <v>4936</v>
      </c>
      <c r="D13296" t="str">
        <f>"04936"</f>
        <v>04936</v>
      </c>
      <c r="E13296">
        <v>75</v>
      </c>
    </row>
    <row r="13297" spans="1:5" x14ac:dyDescent="0.2">
      <c r="A13297" t="str">
        <f>"04937"</f>
        <v>04937</v>
      </c>
      <c r="B13297" t="s">
        <v>27</v>
      </c>
      <c r="C13297">
        <v>4937</v>
      </c>
      <c r="D13297" t="str">
        <f>"04937"</f>
        <v>04937</v>
      </c>
      <c r="E13297">
        <v>71.81</v>
      </c>
    </row>
    <row r="13298" spans="1:5" x14ac:dyDescent="0.2">
      <c r="A13298" t="str">
        <f>"04938"</f>
        <v>04938</v>
      </c>
      <c r="B13298" t="s">
        <v>27</v>
      </c>
      <c r="C13298">
        <v>4938</v>
      </c>
      <c r="D13298" t="str">
        <f>"04938"</f>
        <v>04938</v>
      </c>
      <c r="E13298">
        <v>68.75</v>
      </c>
    </row>
    <row r="13299" spans="1:5" x14ac:dyDescent="0.2">
      <c r="A13299" t="str">
        <f>"04939"</f>
        <v>04939</v>
      </c>
      <c r="B13299" t="s">
        <v>27</v>
      </c>
      <c r="C13299">
        <v>4939</v>
      </c>
      <c r="D13299" t="str">
        <f>"04939"</f>
        <v>04939</v>
      </c>
      <c r="E13299">
        <v>66.67</v>
      </c>
    </row>
    <row r="13300" spans="1:5" x14ac:dyDescent="0.2">
      <c r="A13300" t="str">
        <f>"04941"</f>
        <v>04941</v>
      </c>
      <c r="B13300" t="s">
        <v>27</v>
      </c>
      <c r="C13300">
        <v>4941</v>
      </c>
      <c r="D13300" t="str">
        <f>"04941"</f>
        <v>04941</v>
      </c>
      <c r="E13300">
        <v>69.23</v>
      </c>
    </row>
    <row r="13301" spans="1:5" x14ac:dyDescent="0.2">
      <c r="A13301" t="str">
        <f>"04942"</f>
        <v>04942</v>
      </c>
      <c r="B13301" t="s">
        <v>27</v>
      </c>
      <c r="C13301">
        <v>4942</v>
      </c>
      <c r="D13301" t="str">
        <f>"04942"</f>
        <v>04942</v>
      </c>
      <c r="E13301">
        <v>64.290000000000006</v>
      </c>
    </row>
    <row r="13302" spans="1:5" x14ac:dyDescent="0.2">
      <c r="A13302" t="str">
        <f>"04943"</f>
        <v>04943</v>
      </c>
      <c r="B13302" t="s">
        <v>27</v>
      </c>
      <c r="C13302">
        <v>4943</v>
      </c>
      <c r="D13302" t="str">
        <f>"04943"</f>
        <v>04943</v>
      </c>
      <c r="E13302">
        <v>64.86</v>
      </c>
    </row>
    <row r="13303" spans="1:5" x14ac:dyDescent="0.2">
      <c r="A13303" t="str">
        <f>"04944"</f>
        <v>04944</v>
      </c>
      <c r="B13303" t="s">
        <v>27</v>
      </c>
      <c r="C13303">
        <v>4944</v>
      </c>
      <c r="D13303" t="str">
        <f>"04944"</f>
        <v>04944</v>
      </c>
      <c r="E13303" t="s">
        <v>6</v>
      </c>
    </row>
    <row r="13304" spans="1:5" x14ac:dyDescent="0.2">
      <c r="A13304" t="str">
        <f>"04945"</f>
        <v>04945</v>
      </c>
      <c r="B13304" t="s">
        <v>27</v>
      </c>
      <c r="C13304">
        <v>4945</v>
      </c>
      <c r="D13304" t="str">
        <f>"04945"</f>
        <v>04945</v>
      </c>
      <c r="E13304">
        <v>76.790000000000006</v>
      </c>
    </row>
    <row r="13305" spans="1:5" x14ac:dyDescent="0.2">
      <c r="A13305" t="str">
        <f>"04947"</f>
        <v>04947</v>
      </c>
      <c r="B13305" t="s">
        <v>27</v>
      </c>
      <c r="C13305">
        <v>4947</v>
      </c>
      <c r="D13305" t="str">
        <f>"04947"</f>
        <v>04947</v>
      </c>
      <c r="E13305">
        <v>77.66</v>
      </c>
    </row>
    <row r="13306" spans="1:5" x14ac:dyDescent="0.2">
      <c r="A13306" t="str">
        <f>"04949"</f>
        <v>04949</v>
      </c>
      <c r="B13306" t="s">
        <v>27</v>
      </c>
      <c r="C13306">
        <v>4949</v>
      </c>
      <c r="D13306" t="str">
        <f>"04949"</f>
        <v>04949</v>
      </c>
      <c r="E13306">
        <v>64</v>
      </c>
    </row>
    <row r="13307" spans="1:5" x14ac:dyDescent="0.2">
      <c r="A13307" t="str">
        <f>"04950"</f>
        <v>04950</v>
      </c>
      <c r="B13307" t="s">
        <v>27</v>
      </c>
      <c r="C13307">
        <v>4950</v>
      </c>
      <c r="D13307" t="str">
        <f>"04950"</f>
        <v>04950</v>
      </c>
      <c r="E13307">
        <v>67.19</v>
      </c>
    </row>
    <row r="13308" spans="1:5" x14ac:dyDescent="0.2">
      <c r="A13308" t="str">
        <f>"04951"</f>
        <v>04951</v>
      </c>
      <c r="B13308" t="s">
        <v>27</v>
      </c>
      <c r="C13308">
        <v>4951</v>
      </c>
      <c r="D13308" t="str">
        <f>"04951"</f>
        <v>04951</v>
      </c>
      <c r="E13308">
        <v>69.569999999999993</v>
      </c>
    </row>
    <row r="13309" spans="1:5" x14ac:dyDescent="0.2">
      <c r="A13309" t="str">
        <f>"04952"</f>
        <v>04952</v>
      </c>
      <c r="B13309" t="s">
        <v>27</v>
      </c>
      <c r="C13309">
        <v>4952</v>
      </c>
      <c r="D13309" t="str">
        <f>"04952"</f>
        <v>04952</v>
      </c>
      <c r="E13309">
        <v>72.53</v>
      </c>
    </row>
    <row r="13310" spans="1:5" x14ac:dyDescent="0.2">
      <c r="A13310" t="str">
        <f>"04953"</f>
        <v>04953</v>
      </c>
      <c r="B13310" t="s">
        <v>27</v>
      </c>
      <c r="C13310">
        <v>4953</v>
      </c>
      <c r="D13310" t="str">
        <f>"04953"</f>
        <v>04953</v>
      </c>
      <c r="E13310">
        <v>70.75</v>
      </c>
    </row>
    <row r="13311" spans="1:5" x14ac:dyDescent="0.2">
      <c r="A13311" t="str">
        <f>"04955"</f>
        <v>04955</v>
      </c>
      <c r="B13311" t="s">
        <v>27</v>
      </c>
      <c r="C13311">
        <v>4955</v>
      </c>
      <c r="D13311" t="str">
        <f>"04955"</f>
        <v>04955</v>
      </c>
      <c r="E13311">
        <v>70.59</v>
      </c>
    </row>
    <row r="13312" spans="1:5" x14ac:dyDescent="0.2">
      <c r="A13312" t="str">
        <f>"04956"</f>
        <v>04956</v>
      </c>
      <c r="B13312" t="s">
        <v>27</v>
      </c>
      <c r="C13312">
        <v>4956</v>
      </c>
      <c r="D13312" t="str">
        <f>"04956"</f>
        <v>04956</v>
      </c>
      <c r="E13312">
        <v>69.44</v>
      </c>
    </row>
    <row r="13313" spans="1:5" x14ac:dyDescent="0.2">
      <c r="A13313" t="str">
        <f>"04957"</f>
        <v>04957</v>
      </c>
      <c r="B13313" t="s">
        <v>27</v>
      </c>
      <c r="C13313">
        <v>4957</v>
      </c>
      <c r="D13313" t="str">
        <f>"04957"</f>
        <v>04957</v>
      </c>
      <c r="E13313">
        <v>70.88</v>
      </c>
    </row>
    <row r="13314" spans="1:5" x14ac:dyDescent="0.2">
      <c r="A13314" t="str">
        <f>"04958"</f>
        <v>04958</v>
      </c>
      <c r="B13314" t="s">
        <v>27</v>
      </c>
      <c r="C13314">
        <v>4958</v>
      </c>
      <c r="D13314" t="str">
        <f>"04958"</f>
        <v>04958</v>
      </c>
      <c r="E13314">
        <v>67.5</v>
      </c>
    </row>
    <row r="13315" spans="1:5" x14ac:dyDescent="0.2">
      <c r="A13315" t="str">
        <f>"04961"</f>
        <v>04961</v>
      </c>
      <c r="B13315" t="s">
        <v>27</v>
      </c>
      <c r="C13315">
        <v>4961</v>
      </c>
      <c r="D13315" t="str">
        <f>"04961"</f>
        <v>04961</v>
      </c>
      <c r="E13315">
        <v>63.64</v>
      </c>
    </row>
    <row r="13316" spans="1:5" x14ac:dyDescent="0.2">
      <c r="A13316" t="str">
        <f>"04963"</f>
        <v>04963</v>
      </c>
      <c r="B13316" t="s">
        <v>27</v>
      </c>
      <c r="C13316">
        <v>4963</v>
      </c>
      <c r="D13316" t="str">
        <f>"04963"</f>
        <v>04963</v>
      </c>
      <c r="E13316">
        <v>74.41</v>
      </c>
    </row>
    <row r="13317" spans="1:5" x14ac:dyDescent="0.2">
      <c r="A13317" t="str">
        <f>"04964"</f>
        <v>04964</v>
      </c>
      <c r="B13317" t="s">
        <v>27</v>
      </c>
      <c r="C13317">
        <v>4964</v>
      </c>
      <c r="D13317" t="str">
        <f>"04964"</f>
        <v>04964</v>
      </c>
      <c r="E13317" t="s">
        <v>6</v>
      </c>
    </row>
    <row r="13318" spans="1:5" x14ac:dyDescent="0.2">
      <c r="A13318" t="str">
        <f>"04965"</f>
        <v>04965</v>
      </c>
      <c r="B13318" t="s">
        <v>27</v>
      </c>
      <c r="C13318">
        <v>4965</v>
      </c>
      <c r="D13318" t="str">
        <f>"04965"</f>
        <v>04965</v>
      </c>
      <c r="E13318">
        <v>67.900000000000006</v>
      </c>
    </row>
    <row r="13319" spans="1:5" x14ac:dyDescent="0.2">
      <c r="A13319" t="str">
        <f>"04966"</f>
        <v>04966</v>
      </c>
      <c r="B13319" t="s">
        <v>27</v>
      </c>
      <c r="C13319">
        <v>4966</v>
      </c>
      <c r="D13319" t="str">
        <f>"04966"</f>
        <v>04966</v>
      </c>
      <c r="E13319">
        <v>66.180000000000007</v>
      </c>
    </row>
    <row r="13320" spans="1:5" x14ac:dyDescent="0.2">
      <c r="A13320" t="str">
        <f>"04967"</f>
        <v>04967</v>
      </c>
      <c r="B13320" t="s">
        <v>27</v>
      </c>
      <c r="C13320">
        <v>4967</v>
      </c>
      <c r="D13320" t="str">
        <f>"04967"</f>
        <v>04967</v>
      </c>
      <c r="E13320">
        <v>69.64</v>
      </c>
    </row>
    <row r="13321" spans="1:5" x14ac:dyDescent="0.2">
      <c r="A13321" t="str">
        <f>"04969"</f>
        <v>04969</v>
      </c>
      <c r="B13321" t="s">
        <v>27</v>
      </c>
      <c r="C13321">
        <v>4969</v>
      </c>
      <c r="D13321" t="str">
        <f>"04969"</f>
        <v>04969</v>
      </c>
      <c r="E13321">
        <v>70</v>
      </c>
    </row>
    <row r="13322" spans="1:5" x14ac:dyDescent="0.2">
      <c r="A13322" t="str">
        <f>"04970"</f>
        <v>04970</v>
      </c>
      <c r="B13322" t="s">
        <v>27</v>
      </c>
      <c r="C13322">
        <v>4970</v>
      </c>
      <c r="D13322" t="str">
        <f>"04970"</f>
        <v>04970</v>
      </c>
      <c r="E13322">
        <v>71.790000000000006</v>
      </c>
    </row>
    <row r="13323" spans="1:5" x14ac:dyDescent="0.2">
      <c r="A13323" t="str">
        <f>"04971"</f>
        <v>04971</v>
      </c>
      <c r="B13323" t="s">
        <v>27</v>
      </c>
      <c r="C13323">
        <v>4971</v>
      </c>
      <c r="D13323" t="str">
        <f>"04971"</f>
        <v>04971</v>
      </c>
      <c r="E13323">
        <v>67.44</v>
      </c>
    </row>
    <row r="13324" spans="1:5" x14ac:dyDescent="0.2">
      <c r="A13324" t="str">
        <f>"04973"</f>
        <v>04973</v>
      </c>
      <c r="B13324" t="s">
        <v>27</v>
      </c>
      <c r="C13324">
        <v>4973</v>
      </c>
      <c r="D13324" t="str">
        <f>"04973"</f>
        <v>04973</v>
      </c>
      <c r="E13324">
        <v>71.010000000000005</v>
      </c>
    </row>
    <row r="13325" spans="1:5" x14ac:dyDescent="0.2">
      <c r="A13325" t="str">
        <f>"04974"</f>
        <v>04974</v>
      </c>
      <c r="B13325" t="s">
        <v>27</v>
      </c>
      <c r="C13325">
        <v>4974</v>
      </c>
      <c r="D13325" t="str">
        <f>"04974"</f>
        <v>04974</v>
      </c>
      <c r="E13325">
        <v>69.23</v>
      </c>
    </row>
    <row r="13326" spans="1:5" x14ac:dyDescent="0.2">
      <c r="A13326" t="str">
        <f>"04976"</f>
        <v>04976</v>
      </c>
      <c r="B13326" t="s">
        <v>27</v>
      </c>
      <c r="C13326">
        <v>4976</v>
      </c>
      <c r="D13326" t="str">
        <f>"04976"</f>
        <v>04976</v>
      </c>
      <c r="E13326">
        <v>70.38</v>
      </c>
    </row>
    <row r="13327" spans="1:5" x14ac:dyDescent="0.2">
      <c r="A13327" t="str">
        <f>"04978"</f>
        <v>04978</v>
      </c>
      <c r="B13327" t="s">
        <v>27</v>
      </c>
      <c r="C13327">
        <v>4978</v>
      </c>
      <c r="D13327" t="str">
        <f>"04978"</f>
        <v>04978</v>
      </c>
      <c r="E13327">
        <v>73.47</v>
      </c>
    </row>
    <row r="13328" spans="1:5" x14ac:dyDescent="0.2">
      <c r="A13328" t="str">
        <f>"04979"</f>
        <v>04979</v>
      </c>
      <c r="B13328" t="s">
        <v>27</v>
      </c>
      <c r="C13328">
        <v>4979</v>
      </c>
      <c r="D13328" t="str">
        <f>"04979"</f>
        <v>04979</v>
      </c>
      <c r="E13328">
        <v>66.67</v>
      </c>
    </row>
    <row r="13329" spans="1:5" x14ac:dyDescent="0.2">
      <c r="A13329" t="str">
        <f>"04981"</f>
        <v>04981</v>
      </c>
      <c r="B13329" t="s">
        <v>27</v>
      </c>
      <c r="C13329">
        <v>4981</v>
      </c>
      <c r="D13329" t="str">
        <f>"04981"</f>
        <v>04981</v>
      </c>
      <c r="E13329">
        <v>71.03</v>
      </c>
    </row>
    <row r="13330" spans="1:5" x14ac:dyDescent="0.2">
      <c r="A13330" t="str">
        <f>"04982"</f>
        <v>04982</v>
      </c>
      <c r="B13330" t="s">
        <v>27</v>
      </c>
      <c r="C13330">
        <v>4982</v>
      </c>
      <c r="D13330" t="str">
        <f>"04982"</f>
        <v>04982</v>
      </c>
      <c r="E13330">
        <v>71.88</v>
      </c>
    </row>
    <row r="13331" spans="1:5" x14ac:dyDescent="0.2">
      <c r="A13331" t="str">
        <f>"04983"</f>
        <v>04983</v>
      </c>
      <c r="B13331" t="s">
        <v>27</v>
      </c>
      <c r="C13331">
        <v>4983</v>
      </c>
      <c r="D13331" t="str">
        <f>"04983"</f>
        <v>04983</v>
      </c>
      <c r="E13331">
        <v>67.61</v>
      </c>
    </row>
    <row r="13332" spans="1:5" x14ac:dyDescent="0.2">
      <c r="A13332" t="str">
        <f>"04984"</f>
        <v>04984</v>
      </c>
      <c r="B13332" t="s">
        <v>27</v>
      </c>
      <c r="C13332">
        <v>4984</v>
      </c>
      <c r="D13332" t="str">
        <f>"04984"</f>
        <v>04984</v>
      </c>
      <c r="E13332">
        <v>68.180000000000007</v>
      </c>
    </row>
    <row r="13333" spans="1:5" x14ac:dyDescent="0.2">
      <c r="A13333" t="str">
        <f>"04985"</f>
        <v>04985</v>
      </c>
      <c r="B13333" t="s">
        <v>27</v>
      </c>
      <c r="C13333">
        <v>4985</v>
      </c>
      <c r="D13333" t="str">
        <f>"04985"</f>
        <v>04985</v>
      </c>
      <c r="E13333" t="s">
        <v>6</v>
      </c>
    </row>
    <row r="13334" spans="1:5" x14ac:dyDescent="0.2">
      <c r="A13334" t="str">
        <f>"04986"</f>
        <v>04986</v>
      </c>
      <c r="B13334" t="s">
        <v>27</v>
      </c>
      <c r="C13334">
        <v>4986</v>
      </c>
      <c r="D13334" t="str">
        <f>"04986"</f>
        <v>04986</v>
      </c>
      <c r="E13334">
        <v>63.08</v>
      </c>
    </row>
    <row r="13335" spans="1:5" x14ac:dyDescent="0.2">
      <c r="A13335" t="str">
        <f>"04987"</f>
        <v>04987</v>
      </c>
      <c r="B13335" t="s">
        <v>27</v>
      </c>
      <c r="C13335">
        <v>4987</v>
      </c>
      <c r="D13335" t="str">
        <f>"04987"</f>
        <v>04987</v>
      </c>
      <c r="E13335">
        <v>63.83</v>
      </c>
    </row>
    <row r="13336" spans="1:5" x14ac:dyDescent="0.2">
      <c r="A13336" t="str">
        <f>"04988"</f>
        <v>04988</v>
      </c>
      <c r="B13336" t="s">
        <v>27</v>
      </c>
      <c r="C13336">
        <v>4988</v>
      </c>
      <c r="D13336" t="str">
        <f>"04988"</f>
        <v>04988</v>
      </c>
      <c r="E13336">
        <v>64.56</v>
      </c>
    </row>
    <row r="13337" spans="1:5" x14ac:dyDescent="0.2">
      <c r="A13337" t="str">
        <f>"04989"</f>
        <v>04989</v>
      </c>
      <c r="B13337" t="s">
        <v>27</v>
      </c>
      <c r="C13337">
        <v>4989</v>
      </c>
      <c r="D13337" t="str">
        <f>"04989"</f>
        <v>04989</v>
      </c>
      <c r="E13337">
        <v>75.239999999999995</v>
      </c>
    </row>
    <row r="13338" spans="1:5" x14ac:dyDescent="0.2">
      <c r="A13338">
        <v>48001</v>
      </c>
      <c r="B13338" t="s">
        <v>28</v>
      </c>
      <c r="C13338">
        <v>48001</v>
      </c>
      <c r="D13338" t="str">
        <f>"48001"</f>
        <v>48001</v>
      </c>
      <c r="E13338">
        <v>72.73</v>
      </c>
    </row>
    <row r="13339" spans="1:5" x14ac:dyDescent="0.2">
      <c r="A13339">
        <v>48002</v>
      </c>
      <c r="B13339" t="s">
        <v>28</v>
      </c>
      <c r="C13339">
        <v>48002</v>
      </c>
      <c r="D13339" t="str">
        <f>"48002"</f>
        <v>48002</v>
      </c>
      <c r="E13339">
        <v>79.22</v>
      </c>
    </row>
    <row r="13340" spans="1:5" x14ac:dyDescent="0.2">
      <c r="A13340">
        <v>48003</v>
      </c>
      <c r="B13340" t="s">
        <v>28</v>
      </c>
      <c r="C13340">
        <v>48003</v>
      </c>
      <c r="D13340" t="str">
        <f>"48003"</f>
        <v>48003</v>
      </c>
      <c r="E13340">
        <v>74.84</v>
      </c>
    </row>
    <row r="13341" spans="1:5" x14ac:dyDescent="0.2">
      <c r="A13341">
        <v>48005</v>
      </c>
      <c r="B13341" t="s">
        <v>28</v>
      </c>
      <c r="C13341">
        <v>48005</v>
      </c>
      <c r="D13341" t="str">
        <f>"48005"</f>
        <v>48005</v>
      </c>
      <c r="E13341">
        <v>78.989999999999995</v>
      </c>
    </row>
    <row r="13342" spans="1:5" x14ac:dyDescent="0.2">
      <c r="A13342">
        <v>48006</v>
      </c>
      <c r="B13342" t="s">
        <v>28</v>
      </c>
      <c r="C13342">
        <v>48006</v>
      </c>
      <c r="D13342" t="str">
        <f>"48006"</f>
        <v>48006</v>
      </c>
      <c r="E13342">
        <v>73.02</v>
      </c>
    </row>
    <row r="13343" spans="1:5" x14ac:dyDescent="0.2">
      <c r="A13343">
        <v>48009</v>
      </c>
      <c r="B13343" t="s">
        <v>28</v>
      </c>
      <c r="C13343">
        <v>48009</v>
      </c>
      <c r="D13343" t="str">
        <f>"48009"</f>
        <v>48009</v>
      </c>
      <c r="E13343">
        <v>84.08</v>
      </c>
    </row>
    <row r="13344" spans="1:5" x14ac:dyDescent="0.2">
      <c r="A13344">
        <v>48014</v>
      </c>
      <c r="B13344" t="s">
        <v>28</v>
      </c>
      <c r="C13344">
        <v>48014</v>
      </c>
      <c r="D13344" t="str">
        <f>"48014"</f>
        <v>48014</v>
      </c>
      <c r="E13344">
        <v>71.63</v>
      </c>
    </row>
    <row r="13345" spans="1:5" x14ac:dyDescent="0.2">
      <c r="A13345">
        <v>48015</v>
      </c>
      <c r="B13345" t="s">
        <v>28</v>
      </c>
      <c r="C13345">
        <v>48015</v>
      </c>
      <c r="D13345" t="str">
        <f>"48015"</f>
        <v>48015</v>
      </c>
      <c r="E13345">
        <v>65.77</v>
      </c>
    </row>
    <row r="13346" spans="1:5" x14ac:dyDescent="0.2">
      <c r="A13346">
        <v>48017</v>
      </c>
      <c r="B13346" t="s">
        <v>28</v>
      </c>
      <c r="C13346">
        <v>48017</v>
      </c>
      <c r="D13346" t="str">
        <f>"48017"</f>
        <v>48017</v>
      </c>
      <c r="E13346">
        <v>81.19</v>
      </c>
    </row>
    <row r="13347" spans="1:5" x14ac:dyDescent="0.2">
      <c r="A13347">
        <v>48021</v>
      </c>
      <c r="B13347" t="s">
        <v>28</v>
      </c>
      <c r="C13347">
        <v>48021</v>
      </c>
      <c r="D13347" t="str">
        <f>"48021"</f>
        <v>48021</v>
      </c>
      <c r="E13347">
        <v>60.71</v>
      </c>
    </row>
    <row r="13348" spans="1:5" x14ac:dyDescent="0.2">
      <c r="A13348">
        <v>48022</v>
      </c>
      <c r="B13348" t="s">
        <v>28</v>
      </c>
      <c r="C13348">
        <v>48022</v>
      </c>
      <c r="D13348" t="str">
        <f>"48022"</f>
        <v>48022</v>
      </c>
      <c r="E13348">
        <v>75.19</v>
      </c>
    </row>
    <row r="13349" spans="1:5" x14ac:dyDescent="0.2">
      <c r="A13349">
        <v>48023</v>
      </c>
      <c r="B13349" t="s">
        <v>28</v>
      </c>
      <c r="C13349">
        <v>48023</v>
      </c>
      <c r="D13349" t="str">
        <f>"48023"</f>
        <v>48023</v>
      </c>
      <c r="E13349">
        <v>72.959999999999994</v>
      </c>
    </row>
    <row r="13350" spans="1:5" x14ac:dyDescent="0.2">
      <c r="A13350">
        <v>48025</v>
      </c>
      <c r="B13350" t="s">
        <v>28</v>
      </c>
      <c r="C13350">
        <v>48025</v>
      </c>
      <c r="D13350" t="str">
        <f>"48025"</f>
        <v>48025</v>
      </c>
      <c r="E13350">
        <v>82.05</v>
      </c>
    </row>
    <row r="13351" spans="1:5" x14ac:dyDescent="0.2">
      <c r="A13351">
        <v>48026</v>
      </c>
      <c r="B13351" t="s">
        <v>28</v>
      </c>
      <c r="C13351">
        <v>48026</v>
      </c>
      <c r="D13351" t="str">
        <f>"48026"</f>
        <v>48026</v>
      </c>
      <c r="E13351">
        <v>72.400000000000006</v>
      </c>
    </row>
    <row r="13352" spans="1:5" x14ac:dyDescent="0.2">
      <c r="A13352">
        <v>48027</v>
      </c>
      <c r="B13352" t="s">
        <v>28</v>
      </c>
      <c r="C13352">
        <v>48027</v>
      </c>
      <c r="D13352" t="str">
        <f>"48027"</f>
        <v>48027</v>
      </c>
      <c r="E13352">
        <v>74.03</v>
      </c>
    </row>
    <row r="13353" spans="1:5" x14ac:dyDescent="0.2">
      <c r="A13353">
        <v>48028</v>
      </c>
      <c r="B13353" t="s">
        <v>28</v>
      </c>
      <c r="C13353">
        <v>48028</v>
      </c>
      <c r="D13353" t="str">
        <f>"48028"</f>
        <v>48028</v>
      </c>
      <c r="E13353">
        <v>75.44</v>
      </c>
    </row>
    <row r="13354" spans="1:5" x14ac:dyDescent="0.2">
      <c r="A13354">
        <v>48030</v>
      </c>
      <c r="B13354" t="s">
        <v>28</v>
      </c>
      <c r="C13354">
        <v>48030</v>
      </c>
      <c r="D13354" t="str">
        <f>"48030"</f>
        <v>48030</v>
      </c>
      <c r="E13354">
        <v>64.900000000000006</v>
      </c>
    </row>
    <row r="13355" spans="1:5" x14ac:dyDescent="0.2">
      <c r="A13355">
        <v>48032</v>
      </c>
      <c r="B13355" t="s">
        <v>28</v>
      </c>
      <c r="C13355">
        <v>48032</v>
      </c>
      <c r="D13355" t="str">
        <f>"48032"</f>
        <v>48032</v>
      </c>
      <c r="E13355">
        <v>70.75</v>
      </c>
    </row>
    <row r="13356" spans="1:5" x14ac:dyDescent="0.2">
      <c r="A13356">
        <v>48033</v>
      </c>
      <c r="B13356" t="s">
        <v>28</v>
      </c>
      <c r="C13356">
        <v>48033</v>
      </c>
      <c r="D13356" t="str">
        <f>"48033"</f>
        <v>48033</v>
      </c>
      <c r="E13356">
        <v>69.56</v>
      </c>
    </row>
    <row r="13357" spans="1:5" x14ac:dyDescent="0.2">
      <c r="A13357">
        <v>48034</v>
      </c>
      <c r="B13357" t="s">
        <v>28</v>
      </c>
      <c r="C13357">
        <v>48034</v>
      </c>
      <c r="D13357" t="str">
        <f>"48034"</f>
        <v>48034</v>
      </c>
      <c r="E13357">
        <v>70.97</v>
      </c>
    </row>
    <row r="13358" spans="1:5" x14ac:dyDescent="0.2">
      <c r="A13358">
        <v>48035</v>
      </c>
      <c r="B13358" t="s">
        <v>28</v>
      </c>
      <c r="C13358">
        <v>48035</v>
      </c>
      <c r="D13358" t="str">
        <f>"48035"</f>
        <v>48035</v>
      </c>
      <c r="E13358">
        <v>68.94</v>
      </c>
    </row>
    <row r="13359" spans="1:5" x14ac:dyDescent="0.2">
      <c r="A13359">
        <v>48036</v>
      </c>
      <c r="B13359" t="s">
        <v>28</v>
      </c>
      <c r="C13359">
        <v>48036</v>
      </c>
      <c r="D13359" t="str">
        <f>"48036"</f>
        <v>48036</v>
      </c>
      <c r="E13359">
        <v>69.010000000000005</v>
      </c>
    </row>
    <row r="13360" spans="1:5" x14ac:dyDescent="0.2">
      <c r="A13360">
        <v>48038</v>
      </c>
      <c r="B13360" t="s">
        <v>28</v>
      </c>
      <c r="C13360">
        <v>48038</v>
      </c>
      <c r="D13360" t="str">
        <f>"48038"</f>
        <v>48038</v>
      </c>
      <c r="E13360">
        <v>76.08</v>
      </c>
    </row>
    <row r="13361" spans="1:5" x14ac:dyDescent="0.2">
      <c r="A13361">
        <v>48039</v>
      </c>
      <c r="B13361" t="s">
        <v>28</v>
      </c>
      <c r="C13361">
        <v>48039</v>
      </c>
      <c r="D13361" t="str">
        <f>"48039"</f>
        <v>48039</v>
      </c>
      <c r="E13361">
        <v>70.599999999999994</v>
      </c>
    </row>
    <row r="13362" spans="1:5" x14ac:dyDescent="0.2">
      <c r="A13362">
        <v>48040</v>
      </c>
      <c r="B13362" t="s">
        <v>28</v>
      </c>
      <c r="C13362">
        <v>48040</v>
      </c>
      <c r="D13362" t="str">
        <f>"48040"</f>
        <v>48040</v>
      </c>
      <c r="E13362">
        <v>73.86</v>
      </c>
    </row>
    <row r="13363" spans="1:5" x14ac:dyDescent="0.2">
      <c r="A13363">
        <v>48041</v>
      </c>
      <c r="B13363" t="s">
        <v>28</v>
      </c>
      <c r="C13363">
        <v>48041</v>
      </c>
      <c r="D13363" t="str">
        <f>"48041"</f>
        <v>48041</v>
      </c>
      <c r="E13363">
        <v>75.91</v>
      </c>
    </row>
    <row r="13364" spans="1:5" x14ac:dyDescent="0.2">
      <c r="A13364">
        <v>48042</v>
      </c>
      <c r="B13364" t="s">
        <v>28</v>
      </c>
      <c r="C13364">
        <v>48042</v>
      </c>
      <c r="D13364" t="str">
        <f>"48042"</f>
        <v>48042</v>
      </c>
      <c r="E13364">
        <v>80.05</v>
      </c>
    </row>
    <row r="13365" spans="1:5" x14ac:dyDescent="0.2">
      <c r="A13365">
        <v>48043</v>
      </c>
      <c r="B13365" t="s">
        <v>28</v>
      </c>
      <c r="C13365">
        <v>48043</v>
      </c>
      <c r="D13365" t="str">
        <f>"48043"</f>
        <v>48043</v>
      </c>
      <c r="E13365">
        <v>65.430000000000007</v>
      </c>
    </row>
    <row r="13366" spans="1:5" x14ac:dyDescent="0.2">
      <c r="A13366">
        <v>48044</v>
      </c>
      <c r="B13366" t="s">
        <v>28</v>
      </c>
      <c r="C13366">
        <v>48044</v>
      </c>
      <c r="D13366" t="str">
        <f>"48044"</f>
        <v>48044</v>
      </c>
      <c r="E13366">
        <v>77.55</v>
      </c>
    </row>
    <row r="13367" spans="1:5" x14ac:dyDescent="0.2">
      <c r="A13367">
        <v>48045</v>
      </c>
      <c r="B13367" t="s">
        <v>28</v>
      </c>
      <c r="C13367">
        <v>48045</v>
      </c>
      <c r="D13367" t="str">
        <f>"48045"</f>
        <v>48045</v>
      </c>
      <c r="E13367">
        <v>76.58</v>
      </c>
    </row>
    <row r="13368" spans="1:5" x14ac:dyDescent="0.2">
      <c r="A13368">
        <v>48047</v>
      </c>
      <c r="B13368" t="s">
        <v>28</v>
      </c>
      <c r="C13368">
        <v>48047</v>
      </c>
      <c r="D13368" t="str">
        <f>"48047"</f>
        <v>48047</v>
      </c>
      <c r="E13368">
        <v>78.11</v>
      </c>
    </row>
    <row r="13369" spans="1:5" x14ac:dyDescent="0.2">
      <c r="A13369">
        <v>48048</v>
      </c>
      <c r="B13369" t="s">
        <v>28</v>
      </c>
      <c r="C13369">
        <v>48048</v>
      </c>
      <c r="D13369" t="str">
        <f>"48048"</f>
        <v>48048</v>
      </c>
      <c r="E13369">
        <v>68.88</v>
      </c>
    </row>
    <row r="13370" spans="1:5" x14ac:dyDescent="0.2">
      <c r="A13370">
        <v>48049</v>
      </c>
      <c r="B13370" t="s">
        <v>28</v>
      </c>
      <c r="C13370">
        <v>48049</v>
      </c>
      <c r="D13370" t="str">
        <f>"48049"</f>
        <v>48049</v>
      </c>
      <c r="E13370">
        <v>75.37</v>
      </c>
    </row>
    <row r="13371" spans="1:5" x14ac:dyDescent="0.2">
      <c r="A13371">
        <v>48050</v>
      </c>
      <c r="B13371" t="s">
        <v>28</v>
      </c>
      <c r="C13371">
        <v>48050</v>
      </c>
      <c r="D13371" t="str">
        <f>"48050"</f>
        <v>48050</v>
      </c>
      <c r="E13371">
        <v>75.61</v>
      </c>
    </row>
    <row r="13372" spans="1:5" x14ac:dyDescent="0.2">
      <c r="A13372">
        <v>48051</v>
      </c>
      <c r="B13372" t="s">
        <v>28</v>
      </c>
      <c r="C13372">
        <v>48051</v>
      </c>
      <c r="D13372" t="str">
        <f>"48051"</f>
        <v>48051</v>
      </c>
      <c r="E13372">
        <v>74.75</v>
      </c>
    </row>
    <row r="13373" spans="1:5" x14ac:dyDescent="0.2">
      <c r="A13373">
        <v>48054</v>
      </c>
      <c r="B13373" t="s">
        <v>28</v>
      </c>
      <c r="C13373">
        <v>48054</v>
      </c>
      <c r="D13373" t="str">
        <f>"48054"</f>
        <v>48054</v>
      </c>
      <c r="E13373">
        <v>76.16</v>
      </c>
    </row>
    <row r="13374" spans="1:5" x14ac:dyDescent="0.2">
      <c r="A13374">
        <v>48059</v>
      </c>
      <c r="B13374" t="s">
        <v>28</v>
      </c>
      <c r="C13374">
        <v>48059</v>
      </c>
      <c r="D13374" t="str">
        <f>"48059"</f>
        <v>48059</v>
      </c>
      <c r="E13374">
        <v>71.83</v>
      </c>
    </row>
    <row r="13375" spans="1:5" x14ac:dyDescent="0.2">
      <c r="A13375">
        <v>48060</v>
      </c>
      <c r="B13375" t="s">
        <v>28</v>
      </c>
      <c r="C13375">
        <v>48060</v>
      </c>
      <c r="D13375" t="str">
        <f>"48060"</f>
        <v>48060</v>
      </c>
      <c r="E13375">
        <v>61.29</v>
      </c>
    </row>
    <row r="13376" spans="1:5" x14ac:dyDescent="0.2">
      <c r="A13376">
        <v>48062</v>
      </c>
      <c r="B13376" t="s">
        <v>28</v>
      </c>
      <c r="C13376">
        <v>48062</v>
      </c>
      <c r="D13376" t="str">
        <f>"48062"</f>
        <v>48062</v>
      </c>
      <c r="E13376">
        <v>76.680000000000007</v>
      </c>
    </row>
    <row r="13377" spans="1:5" x14ac:dyDescent="0.2">
      <c r="A13377">
        <v>48063</v>
      </c>
      <c r="B13377" t="s">
        <v>28</v>
      </c>
      <c r="C13377">
        <v>48063</v>
      </c>
      <c r="D13377" t="str">
        <f>"48063"</f>
        <v>48063</v>
      </c>
      <c r="E13377">
        <v>75.77</v>
      </c>
    </row>
    <row r="13378" spans="1:5" x14ac:dyDescent="0.2">
      <c r="A13378">
        <v>48064</v>
      </c>
      <c r="B13378" t="s">
        <v>28</v>
      </c>
      <c r="C13378">
        <v>48064</v>
      </c>
      <c r="D13378" t="str">
        <f>"48064"</f>
        <v>48064</v>
      </c>
      <c r="E13378">
        <v>73.27</v>
      </c>
    </row>
    <row r="13379" spans="1:5" x14ac:dyDescent="0.2">
      <c r="A13379">
        <v>48065</v>
      </c>
      <c r="B13379" t="s">
        <v>28</v>
      </c>
      <c r="C13379">
        <v>48065</v>
      </c>
      <c r="D13379" t="str">
        <f>"48065"</f>
        <v>48065</v>
      </c>
      <c r="E13379">
        <v>76.16</v>
      </c>
    </row>
    <row r="13380" spans="1:5" x14ac:dyDescent="0.2">
      <c r="A13380">
        <v>48066</v>
      </c>
      <c r="B13380" t="s">
        <v>28</v>
      </c>
      <c r="C13380">
        <v>48066</v>
      </c>
      <c r="D13380" t="str">
        <f>"48066"</f>
        <v>48066</v>
      </c>
      <c r="E13380">
        <v>65.959999999999994</v>
      </c>
    </row>
    <row r="13381" spans="1:5" x14ac:dyDescent="0.2">
      <c r="A13381">
        <v>48067</v>
      </c>
      <c r="B13381" t="s">
        <v>28</v>
      </c>
      <c r="C13381">
        <v>48067</v>
      </c>
      <c r="D13381" t="str">
        <f>"48067"</f>
        <v>48067</v>
      </c>
      <c r="E13381">
        <v>86.28</v>
      </c>
    </row>
    <row r="13382" spans="1:5" x14ac:dyDescent="0.2">
      <c r="A13382">
        <v>48068</v>
      </c>
      <c r="B13382" t="s">
        <v>28</v>
      </c>
      <c r="C13382">
        <v>48068</v>
      </c>
      <c r="D13382" t="str">
        <f>"48068"</f>
        <v>48068</v>
      </c>
      <c r="E13382" t="s">
        <v>6</v>
      </c>
    </row>
    <row r="13383" spans="1:5" x14ac:dyDescent="0.2">
      <c r="A13383">
        <v>48069</v>
      </c>
      <c r="B13383" t="s">
        <v>28</v>
      </c>
      <c r="C13383">
        <v>48069</v>
      </c>
      <c r="D13383" t="str">
        <f>"48069"</f>
        <v>48069</v>
      </c>
      <c r="E13383">
        <v>86.52</v>
      </c>
    </row>
    <row r="13384" spans="1:5" x14ac:dyDescent="0.2">
      <c r="A13384">
        <v>48070</v>
      </c>
      <c r="B13384" t="s">
        <v>28</v>
      </c>
      <c r="C13384">
        <v>48070</v>
      </c>
      <c r="D13384" t="str">
        <f>"48070"</f>
        <v>48070</v>
      </c>
      <c r="E13384">
        <v>83.23</v>
      </c>
    </row>
    <row r="13385" spans="1:5" x14ac:dyDescent="0.2">
      <c r="A13385">
        <v>48071</v>
      </c>
      <c r="B13385" t="s">
        <v>28</v>
      </c>
      <c r="C13385">
        <v>48071</v>
      </c>
      <c r="D13385" t="str">
        <f>"48071"</f>
        <v>48071</v>
      </c>
      <c r="E13385">
        <v>72.05</v>
      </c>
    </row>
    <row r="13386" spans="1:5" x14ac:dyDescent="0.2">
      <c r="A13386">
        <v>48072</v>
      </c>
      <c r="B13386" t="s">
        <v>28</v>
      </c>
      <c r="C13386">
        <v>48072</v>
      </c>
      <c r="D13386" t="str">
        <f>"48072"</f>
        <v>48072</v>
      </c>
      <c r="E13386">
        <v>83.35</v>
      </c>
    </row>
    <row r="13387" spans="1:5" x14ac:dyDescent="0.2">
      <c r="A13387">
        <v>48073</v>
      </c>
      <c r="B13387" t="s">
        <v>28</v>
      </c>
      <c r="C13387">
        <v>48073</v>
      </c>
      <c r="D13387" t="str">
        <f>"48073"</f>
        <v>48073</v>
      </c>
      <c r="E13387">
        <v>82.87</v>
      </c>
    </row>
    <row r="13388" spans="1:5" x14ac:dyDescent="0.2">
      <c r="A13388">
        <v>48074</v>
      </c>
      <c r="B13388" t="s">
        <v>28</v>
      </c>
      <c r="C13388">
        <v>48074</v>
      </c>
      <c r="D13388" t="str">
        <f>"48074"</f>
        <v>48074</v>
      </c>
      <c r="E13388">
        <v>70.55</v>
      </c>
    </row>
    <row r="13389" spans="1:5" x14ac:dyDescent="0.2">
      <c r="A13389">
        <v>48075</v>
      </c>
      <c r="B13389" t="s">
        <v>28</v>
      </c>
      <c r="C13389">
        <v>48075</v>
      </c>
      <c r="D13389" t="str">
        <f>"48075"</f>
        <v>48075</v>
      </c>
      <c r="E13389">
        <v>68.989999999999995</v>
      </c>
    </row>
    <row r="13390" spans="1:5" x14ac:dyDescent="0.2">
      <c r="A13390">
        <v>48076</v>
      </c>
      <c r="B13390" t="s">
        <v>28</v>
      </c>
      <c r="C13390">
        <v>48076</v>
      </c>
      <c r="D13390" t="str">
        <f>"48076"</f>
        <v>48076</v>
      </c>
      <c r="E13390">
        <v>73.81</v>
      </c>
    </row>
    <row r="13391" spans="1:5" x14ac:dyDescent="0.2">
      <c r="A13391">
        <v>48079</v>
      </c>
      <c r="B13391" t="s">
        <v>28</v>
      </c>
      <c r="C13391">
        <v>48079</v>
      </c>
      <c r="D13391" t="str">
        <f>"48079"</f>
        <v>48079</v>
      </c>
      <c r="E13391">
        <v>76.319999999999993</v>
      </c>
    </row>
    <row r="13392" spans="1:5" x14ac:dyDescent="0.2">
      <c r="A13392">
        <v>48080</v>
      </c>
      <c r="B13392" t="s">
        <v>28</v>
      </c>
      <c r="C13392">
        <v>48080</v>
      </c>
      <c r="D13392" t="str">
        <f>"48080"</f>
        <v>48080</v>
      </c>
      <c r="E13392">
        <v>74.709999999999994</v>
      </c>
    </row>
    <row r="13393" spans="1:5" x14ac:dyDescent="0.2">
      <c r="A13393">
        <v>48081</v>
      </c>
      <c r="B13393" t="s">
        <v>28</v>
      </c>
      <c r="C13393">
        <v>48081</v>
      </c>
      <c r="D13393" t="str">
        <f>"48081"</f>
        <v>48081</v>
      </c>
      <c r="E13393">
        <v>77.349999999999994</v>
      </c>
    </row>
    <row r="13394" spans="1:5" x14ac:dyDescent="0.2">
      <c r="A13394">
        <v>48082</v>
      </c>
      <c r="B13394" t="s">
        <v>28</v>
      </c>
      <c r="C13394">
        <v>48082</v>
      </c>
      <c r="D13394" t="str">
        <f>"48082"</f>
        <v>48082</v>
      </c>
      <c r="E13394">
        <v>75.41</v>
      </c>
    </row>
    <row r="13395" spans="1:5" x14ac:dyDescent="0.2">
      <c r="A13395">
        <v>48083</v>
      </c>
      <c r="B13395" t="s">
        <v>28</v>
      </c>
      <c r="C13395">
        <v>48083</v>
      </c>
      <c r="D13395" t="str">
        <f>"48083"</f>
        <v>48083</v>
      </c>
      <c r="E13395">
        <v>75.73</v>
      </c>
    </row>
    <row r="13396" spans="1:5" x14ac:dyDescent="0.2">
      <c r="A13396">
        <v>48084</v>
      </c>
      <c r="B13396" t="s">
        <v>28</v>
      </c>
      <c r="C13396">
        <v>48084</v>
      </c>
      <c r="D13396" t="str">
        <f>"48084"</f>
        <v>48084</v>
      </c>
      <c r="E13396">
        <v>82.99</v>
      </c>
    </row>
    <row r="13397" spans="1:5" x14ac:dyDescent="0.2">
      <c r="A13397">
        <v>48085</v>
      </c>
      <c r="B13397" t="s">
        <v>28</v>
      </c>
      <c r="C13397">
        <v>48085</v>
      </c>
      <c r="D13397" t="str">
        <f>"48085"</f>
        <v>48085</v>
      </c>
      <c r="E13397">
        <v>79.73</v>
      </c>
    </row>
    <row r="13398" spans="1:5" x14ac:dyDescent="0.2">
      <c r="A13398">
        <v>48088</v>
      </c>
      <c r="B13398" t="s">
        <v>28</v>
      </c>
      <c r="C13398">
        <v>48088</v>
      </c>
      <c r="D13398" t="str">
        <f>"48088"</f>
        <v>48088</v>
      </c>
      <c r="E13398">
        <v>74.010000000000005</v>
      </c>
    </row>
    <row r="13399" spans="1:5" x14ac:dyDescent="0.2">
      <c r="A13399">
        <v>48089</v>
      </c>
      <c r="B13399" t="s">
        <v>28</v>
      </c>
      <c r="C13399">
        <v>48089</v>
      </c>
      <c r="D13399" t="str">
        <f>"48089"</f>
        <v>48089</v>
      </c>
      <c r="E13399">
        <v>57.65</v>
      </c>
    </row>
    <row r="13400" spans="1:5" x14ac:dyDescent="0.2">
      <c r="A13400">
        <v>48091</v>
      </c>
      <c r="B13400" t="s">
        <v>28</v>
      </c>
      <c r="C13400">
        <v>48091</v>
      </c>
      <c r="D13400" t="str">
        <f>"48091"</f>
        <v>48091</v>
      </c>
      <c r="E13400">
        <v>58.62</v>
      </c>
    </row>
    <row r="13401" spans="1:5" x14ac:dyDescent="0.2">
      <c r="A13401">
        <v>48092</v>
      </c>
      <c r="B13401" t="s">
        <v>28</v>
      </c>
      <c r="C13401">
        <v>48092</v>
      </c>
      <c r="D13401" t="str">
        <f>"48092"</f>
        <v>48092</v>
      </c>
      <c r="E13401">
        <v>69.959999999999994</v>
      </c>
    </row>
    <row r="13402" spans="1:5" x14ac:dyDescent="0.2">
      <c r="A13402">
        <v>48093</v>
      </c>
      <c r="B13402" t="s">
        <v>28</v>
      </c>
      <c r="C13402">
        <v>48093</v>
      </c>
      <c r="D13402" t="str">
        <f>"48093"</f>
        <v>48093</v>
      </c>
      <c r="E13402">
        <v>70.67</v>
      </c>
    </row>
    <row r="13403" spans="1:5" x14ac:dyDescent="0.2">
      <c r="A13403">
        <v>48094</v>
      </c>
      <c r="B13403" t="s">
        <v>28</v>
      </c>
      <c r="C13403">
        <v>48094</v>
      </c>
      <c r="D13403" t="str">
        <f>"48094"</f>
        <v>48094</v>
      </c>
      <c r="E13403">
        <v>78.62</v>
      </c>
    </row>
    <row r="13404" spans="1:5" x14ac:dyDescent="0.2">
      <c r="A13404">
        <v>48095</v>
      </c>
      <c r="B13404" t="s">
        <v>28</v>
      </c>
      <c r="C13404">
        <v>48095</v>
      </c>
      <c r="D13404" t="str">
        <f>"48095"</f>
        <v>48095</v>
      </c>
      <c r="E13404">
        <v>81.25</v>
      </c>
    </row>
    <row r="13405" spans="1:5" x14ac:dyDescent="0.2">
      <c r="A13405">
        <v>48096</v>
      </c>
      <c r="B13405" t="s">
        <v>28</v>
      </c>
      <c r="C13405">
        <v>48096</v>
      </c>
      <c r="D13405" t="str">
        <f>"48096"</f>
        <v>48096</v>
      </c>
      <c r="E13405">
        <v>78.06</v>
      </c>
    </row>
    <row r="13406" spans="1:5" x14ac:dyDescent="0.2">
      <c r="A13406">
        <v>48097</v>
      </c>
      <c r="B13406" t="s">
        <v>28</v>
      </c>
      <c r="C13406">
        <v>48097</v>
      </c>
      <c r="D13406" t="str">
        <f>"48097"</f>
        <v>48097</v>
      </c>
      <c r="E13406">
        <v>67.22</v>
      </c>
    </row>
    <row r="13407" spans="1:5" x14ac:dyDescent="0.2">
      <c r="A13407">
        <v>48098</v>
      </c>
      <c r="B13407" t="s">
        <v>28</v>
      </c>
      <c r="C13407">
        <v>48098</v>
      </c>
      <c r="D13407" t="str">
        <f>"48098"</f>
        <v>48098</v>
      </c>
      <c r="E13407">
        <v>82.05</v>
      </c>
    </row>
    <row r="13408" spans="1:5" x14ac:dyDescent="0.2">
      <c r="A13408">
        <v>48101</v>
      </c>
      <c r="B13408" t="s">
        <v>28</v>
      </c>
      <c r="C13408">
        <v>48101</v>
      </c>
      <c r="D13408" t="str">
        <f>"48101"</f>
        <v>48101</v>
      </c>
      <c r="E13408">
        <v>76.44</v>
      </c>
    </row>
    <row r="13409" spans="1:5" x14ac:dyDescent="0.2">
      <c r="A13409">
        <v>48103</v>
      </c>
      <c r="B13409" t="s">
        <v>28</v>
      </c>
      <c r="C13409">
        <v>48103</v>
      </c>
      <c r="D13409" t="str">
        <f>"48103"</f>
        <v>48103</v>
      </c>
      <c r="E13409">
        <v>81.680000000000007</v>
      </c>
    </row>
    <row r="13410" spans="1:5" x14ac:dyDescent="0.2">
      <c r="A13410">
        <v>48104</v>
      </c>
      <c r="B13410" t="s">
        <v>28</v>
      </c>
      <c r="C13410">
        <v>48104</v>
      </c>
      <c r="D13410" t="str">
        <f>"48104"</f>
        <v>48104</v>
      </c>
      <c r="E13410">
        <v>78.77</v>
      </c>
    </row>
    <row r="13411" spans="1:5" x14ac:dyDescent="0.2">
      <c r="A13411">
        <v>48105</v>
      </c>
      <c r="B13411" t="s">
        <v>28</v>
      </c>
      <c r="C13411">
        <v>48105</v>
      </c>
      <c r="D13411" t="str">
        <f>"48105"</f>
        <v>48105</v>
      </c>
      <c r="E13411">
        <v>81.36</v>
      </c>
    </row>
    <row r="13412" spans="1:5" x14ac:dyDescent="0.2">
      <c r="A13412">
        <v>48108</v>
      </c>
      <c r="B13412" t="s">
        <v>28</v>
      </c>
      <c r="C13412">
        <v>48108</v>
      </c>
      <c r="D13412" t="str">
        <f>"48108"</f>
        <v>48108</v>
      </c>
      <c r="E13412">
        <v>76.48</v>
      </c>
    </row>
    <row r="13413" spans="1:5" x14ac:dyDescent="0.2">
      <c r="A13413">
        <v>48109</v>
      </c>
      <c r="B13413" t="s">
        <v>28</v>
      </c>
      <c r="C13413">
        <v>48109</v>
      </c>
      <c r="D13413" t="str">
        <f>"48109"</f>
        <v>48109</v>
      </c>
      <c r="E13413">
        <v>50</v>
      </c>
    </row>
    <row r="13414" spans="1:5" x14ac:dyDescent="0.2">
      <c r="A13414">
        <v>48111</v>
      </c>
      <c r="B13414" t="s">
        <v>28</v>
      </c>
      <c r="C13414">
        <v>48111</v>
      </c>
      <c r="D13414" t="str">
        <f>"48111"</f>
        <v>48111</v>
      </c>
      <c r="E13414">
        <v>74.69</v>
      </c>
    </row>
    <row r="13415" spans="1:5" x14ac:dyDescent="0.2">
      <c r="A13415">
        <v>48114</v>
      </c>
      <c r="B13415" t="s">
        <v>28</v>
      </c>
      <c r="C13415">
        <v>48114</v>
      </c>
      <c r="D13415" t="str">
        <f>"48114"</f>
        <v>48114</v>
      </c>
      <c r="E13415">
        <v>79.81</v>
      </c>
    </row>
    <row r="13416" spans="1:5" x14ac:dyDescent="0.2">
      <c r="A13416">
        <v>48116</v>
      </c>
      <c r="B13416" t="s">
        <v>28</v>
      </c>
      <c r="C13416">
        <v>48116</v>
      </c>
      <c r="D13416" t="str">
        <f>"48116"</f>
        <v>48116</v>
      </c>
      <c r="E13416">
        <v>80.53</v>
      </c>
    </row>
    <row r="13417" spans="1:5" x14ac:dyDescent="0.2">
      <c r="A13417">
        <v>48117</v>
      </c>
      <c r="B13417" t="s">
        <v>28</v>
      </c>
      <c r="C13417">
        <v>48117</v>
      </c>
      <c r="D13417" t="str">
        <f>"48117"</f>
        <v>48117</v>
      </c>
      <c r="E13417">
        <v>76.61</v>
      </c>
    </row>
    <row r="13418" spans="1:5" x14ac:dyDescent="0.2">
      <c r="A13418">
        <v>48118</v>
      </c>
      <c r="B13418" t="s">
        <v>28</v>
      </c>
      <c r="C13418">
        <v>48118</v>
      </c>
      <c r="D13418" t="str">
        <f>"48118"</f>
        <v>48118</v>
      </c>
      <c r="E13418">
        <v>80.650000000000006</v>
      </c>
    </row>
    <row r="13419" spans="1:5" x14ac:dyDescent="0.2">
      <c r="A13419">
        <v>48120</v>
      </c>
      <c r="B13419" t="s">
        <v>28</v>
      </c>
      <c r="C13419">
        <v>48120</v>
      </c>
      <c r="D13419" t="str">
        <f>"48120"</f>
        <v>48120</v>
      </c>
      <c r="E13419">
        <v>52.52</v>
      </c>
    </row>
    <row r="13420" spans="1:5" x14ac:dyDescent="0.2">
      <c r="A13420">
        <v>48122</v>
      </c>
      <c r="B13420" t="s">
        <v>28</v>
      </c>
      <c r="C13420">
        <v>48122</v>
      </c>
      <c r="D13420" t="str">
        <f>"48122"</f>
        <v>48122</v>
      </c>
      <c r="E13420">
        <v>53.95</v>
      </c>
    </row>
    <row r="13421" spans="1:5" x14ac:dyDescent="0.2">
      <c r="A13421">
        <v>48124</v>
      </c>
      <c r="B13421" t="s">
        <v>28</v>
      </c>
      <c r="C13421">
        <v>48124</v>
      </c>
      <c r="D13421" t="str">
        <f>"48124"</f>
        <v>48124</v>
      </c>
      <c r="E13421">
        <v>74.709999999999994</v>
      </c>
    </row>
    <row r="13422" spans="1:5" x14ac:dyDescent="0.2">
      <c r="A13422">
        <v>48125</v>
      </c>
      <c r="B13422" t="s">
        <v>28</v>
      </c>
      <c r="C13422">
        <v>48125</v>
      </c>
      <c r="D13422" t="str">
        <f>"48125"</f>
        <v>48125</v>
      </c>
      <c r="E13422">
        <v>63.82</v>
      </c>
    </row>
    <row r="13423" spans="1:5" x14ac:dyDescent="0.2">
      <c r="A13423">
        <v>48126</v>
      </c>
      <c r="B13423" t="s">
        <v>28</v>
      </c>
      <c r="C13423">
        <v>48126</v>
      </c>
      <c r="D13423" t="str">
        <f>"48126"</f>
        <v>48126</v>
      </c>
      <c r="E13423">
        <v>40.119999999999997</v>
      </c>
    </row>
    <row r="13424" spans="1:5" x14ac:dyDescent="0.2">
      <c r="A13424">
        <v>48127</v>
      </c>
      <c r="B13424" t="s">
        <v>28</v>
      </c>
      <c r="C13424">
        <v>48127</v>
      </c>
      <c r="D13424" t="str">
        <f>"48127"</f>
        <v>48127</v>
      </c>
      <c r="E13424">
        <v>59.12</v>
      </c>
    </row>
    <row r="13425" spans="1:5" x14ac:dyDescent="0.2">
      <c r="A13425">
        <v>48128</v>
      </c>
      <c r="B13425" t="s">
        <v>28</v>
      </c>
      <c r="C13425">
        <v>48128</v>
      </c>
      <c r="D13425" t="str">
        <f>"48128"</f>
        <v>48128</v>
      </c>
      <c r="E13425">
        <v>72.349999999999994</v>
      </c>
    </row>
    <row r="13426" spans="1:5" x14ac:dyDescent="0.2">
      <c r="A13426">
        <v>48130</v>
      </c>
      <c r="B13426" t="s">
        <v>28</v>
      </c>
      <c r="C13426">
        <v>48130</v>
      </c>
      <c r="D13426" t="str">
        <f>"48130"</f>
        <v>48130</v>
      </c>
      <c r="E13426">
        <v>81.84</v>
      </c>
    </row>
    <row r="13427" spans="1:5" x14ac:dyDescent="0.2">
      <c r="A13427">
        <v>48131</v>
      </c>
      <c r="B13427" t="s">
        <v>28</v>
      </c>
      <c r="C13427">
        <v>48131</v>
      </c>
      <c r="D13427" t="str">
        <f>"48131"</f>
        <v>48131</v>
      </c>
      <c r="E13427">
        <v>76.760000000000005</v>
      </c>
    </row>
    <row r="13428" spans="1:5" x14ac:dyDescent="0.2">
      <c r="A13428">
        <v>48133</v>
      </c>
      <c r="B13428" t="s">
        <v>28</v>
      </c>
      <c r="C13428">
        <v>48133</v>
      </c>
      <c r="D13428" t="str">
        <f>"48133"</f>
        <v>48133</v>
      </c>
      <c r="E13428">
        <v>76.150000000000006</v>
      </c>
    </row>
    <row r="13429" spans="1:5" x14ac:dyDescent="0.2">
      <c r="A13429">
        <v>48134</v>
      </c>
      <c r="B13429" t="s">
        <v>28</v>
      </c>
      <c r="C13429">
        <v>48134</v>
      </c>
      <c r="D13429" t="str">
        <f>"48134"</f>
        <v>48134</v>
      </c>
      <c r="E13429">
        <v>76.53</v>
      </c>
    </row>
    <row r="13430" spans="1:5" x14ac:dyDescent="0.2">
      <c r="A13430">
        <v>48135</v>
      </c>
      <c r="B13430" t="s">
        <v>28</v>
      </c>
      <c r="C13430">
        <v>48135</v>
      </c>
      <c r="D13430" t="str">
        <f>"48135"</f>
        <v>48135</v>
      </c>
      <c r="E13430">
        <v>72.86</v>
      </c>
    </row>
    <row r="13431" spans="1:5" x14ac:dyDescent="0.2">
      <c r="A13431">
        <v>48137</v>
      </c>
      <c r="B13431" t="s">
        <v>28</v>
      </c>
      <c r="C13431">
        <v>48137</v>
      </c>
      <c r="D13431" t="str">
        <f>"48137"</f>
        <v>48137</v>
      </c>
      <c r="E13431">
        <v>78.33</v>
      </c>
    </row>
    <row r="13432" spans="1:5" x14ac:dyDescent="0.2">
      <c r="A13432">
        <v>48138</v>
      </c>
      <c r="B13432" t="s">
        <v>28</v>
      </c>
      <c r="C13432">
        <v>48138</v>
      </c>
      <c r="D13432" t="str">
        <f>"48138"</f>
        <v>48138</v>
      </c>
      <c r="E13432">
        <v>81.61</v>
      </c>
    </row>
    <row r="13433" spans="1:5" x14ac:dyDescent="0.2">
      <c r="A13433">
        <v>48139</v>
      </c>
      <c r="B13433" t="s">
        <v>28</v>
      </c>
      <c r="C13433">
        <v>48139</v>
      </c>
      <c r="D13433" t="str">
        <f>"48139"</f>
        <v>48139</v>
      </c>
      <c r="E13433" t="s">
        <v>6</v>
      </c>
    </row>
    <row r="13434" spans="1:5" x14ac:dyDescent="0.2">
      <c r="A13434">
        <v>48140</v>
      </c>
      <c r="B13434" t="s">
        <v>28</v>
      </c>
      <c r="C13434">
        <v>48140</v>
      </c>
      <c r="D13434" t="str">
        <f>"48140"</f>
        <v>48140</v>
      </c>
      <c r="E13434">
        <v>77.849999999999994</v>
      </c>
    </row>
    <row r="13435" spans="1:5" x14ac:dyDescent="0.2">
      <c r="A13435">
        <v>48141</v>
      </c>
      <c r="B13435" t="s">
        <v>28</v>
      </c>
      <c r="C13435">
        <v>48141</v>
      </c>
      <c r="D13435" t="str">
        <f>"48141"</f>
        <v>48141</v>
      </c>
      <c r="E13435">
        <v>49.06</v>
      </c>
    </row>
    <row r="13436" spans="1:5" x14ac:dyDescent="0.2">
      <c r="A13436">
        <v>48143</v>
      </c>
      <c r="B13436" t="s">
        <v>28</v>
      </c>
      <c r="C13436">
        <v>48143</v>
      </c>
      <c r="D13436" t="str">
        <f>"48143"</f>
        <v>48143</v>
      </c>
      <c r="E13436" t="s">
        <v>6</v>
      </c>
    </row>
    <row r="13437" spans="1:5" x14ac:dyDescent="0.2">
      <c r="A13437">
        <v>48144</v>
      </c>
      <c r="B13437" t="s">
        <v>28</v>
      </c>
      <c r="C13437">
        <v>48144</v>
      </c>
      <c r="D13437" t="str">
        <f>"48144"</f>
        <v>48144</v>
      </c>
      <c r="E13437">
        <v>79.16</v>
      </c>
    </row>
    <row r="13438" spans="1:5" x14ac:dyDescent="0.2">
      <c r="A13438">
        <v>48145</v>
      </c>
      <c r="B13438" t="s">
        <v>28</v>
      </c>
      <c r="C13438">
        <v>48145</v>
      </c>
      <c r="D13438" t="str">
        <f>"48145"</f>
        <v>48145</v>
      </c>
      <c r="E13438">
        <v>78.09</v>
      </c>
    </row>
    <row r="13439" spans="1:5" x14ac:dyDescent="0.2">
      <c r="A13439">
        <v>48146</v>
      </c>
      <c r="B13439" t="s">
        <v>28</v>
      </c>
      <c r="C13439">
        <v>48146</v>
      </c>
      <c r="D13439" t="str">
        <f>"48146"</f>
        <v>48146</v>
      </c>
      <c r="E13439">
        <v>63.07</v>
      </c>
    </row>
    <row r="13440" spans="1:5" x14ac:dyDescent="0.2">
      <c r="A13440">
        <v>48150</v>
      </c>
      <c r="B13440" t="s">
        <v>28</v>
      </c>
      <c r="C13440">
        <v>48150</v>
      </c>
      <c r="D13440" t="str">
        <f>"48150"</f>
        <v>48150</v>
      </c>
      <c r="E13440">
        <v>79.61</v>
      </c>
    </row>
    <row r="13441" spans="1:5" x14ac:dyDescent="0.2">
      <c r="A13441">
        <v>48152</v>
      </c>
      <c r="B13441" t="s">
        <v>28</v>
      </c>
      <c r="C13441">
        <v>48152</v>
      </c>
      <c r="D13441" t="str">
        <f>"48152"</f>
        <v>48152</v>
      </c>
      <c r="E13441">
        <v>78.73</v>
      </c>
    </row>
    <row r="13442" spans="1:5" x14ac:dyDescent="0.2">
      <c r="A13442">
        <v>48154</v>
      </c>
      <c r="B13442" t="s">
        <v>28</v>
      </c>
      <c r="C13442">
        <v>48154</v>
      </c>
      <c r="D13442" t="str">
        <f>"48154"</f>
        <v>48154</v>
      </c>
      <c r="E13442">
        <v>79.849999999999994</v>
      </c>
    </row>
    <row r="13443" spans="1:5" x14ac:dyDescent="0.2">
      <c r="A13443">
        <v>48157</v>
      </c>
      <c r="B13443" t="s">
        <v>28</v>
      </c>
      <c r="C13443">
        <v>48157</v>
      </c>
      <c r="D13443" t="str">
        <f>"48157"</f>
        <v>48157</v>
      </c>
      <c r="E13443">
        <v>74.19</v>
      </c>
    </row>
    <row r="13444" spans="1:5" x14ac:dyDescent="0.2">
      <c r="A13444">
        <v>48158</v>
      </c>
      <c r="B13444" t="s">
        <v>28</v>
      </c>
      <c r="C13444">
        <v>48158</v>
      </c>
      <c r="D13444" t="str">
        <f>"48158"</f>
        <v>48158</v>
      </c>
      <c r="E13444">
        <v>77.14</v>
      </c>
    </row>
    <row r="13445" spans="1:5" x14ac:dyDescent="0.2">
      <c r="A13445">
        <v>48159</v>
      </c>
      <c r="B13445" t="s">
        <v>28</v>
      </c>
      <c r="C13445">
        <v>48159</v>
      </c>
      <c r="D13445" t="str">
        <f>"48159"</f>
        <v>48159</v>
      </c>
      <c r="E13445">
        <v>76.42</v>
      </c>
    </row>
    <row r="13446" spans="1:5" x14ac:dyDescent="0.2">
      <c r="A13446">
        <v>48160</v>
      </c>
      <c r="B13446" t="s">
        <v>28</v>
      </c>
      <c r="C13446">
        <v>48160</v>
      </c>
      <c r="D13446" t="str">
        <f>"48160"</f>
        <v>48160</v>
      </c>
      <c r="E13446">
        <v>77.94</v>
      </c>
    </row>
    <row r="13447" spans="1:5" x14ac:dyDescent="0.2">
      <c r="A13447">
        <v>48161</v>
      </c>
      <c r="B13447" t="s">
        <v>28</v>
      </c>
      <c r="C13447">
        <v>48161</v>
      </c>
      <c r="D13447" t="str">
        <f>"48161"</f>
        <v>48161</v>
      </c>
      <c r="E13447">
        <v>68.739999999999995</v>
      </c>
    </row>
    <row r="13448" spans="1:5" x14ac:dyDescent="0.2">
      <c r="A13448">
        <v>48162</v>
      </c>
      <c r="B13448" t="s">
        <v>28</v>
      </c>
      <c r="C13448">
        <v>48162</v>
      </c>
      <c r="D13448" t="str">
        <f>"48162"</f>
        <v>48162</v>
      </c>
      <c r="E13448">
        <v>73.040000000000006</v>
      </c>
    </row>
    <row r="13449" spans="1:5" x14ac:dyDescent="0.2">
      <c r="A13449">
        <v>48164</v>
      </c>
      <c r="B13449" t="s">
        <v>28</v>
      </c>
      <c r="C13449">
        <v>48164</v>
      </c>
      <c r="D13449" t="str">
        <f>"48164"</f>
        <v>48164</v>
      </c>
      <c r="E13449">
        <v>78.27</v>
      </c>
    </row>
    <row r="13450" spans="1:5" x14ac:dyDescent="0.2">
      <c r="A13450">
        <v>48165</v>
      </c>
      <c r="B13450" t="s">
        <v>28</v>
      </c>
      <c r="C13450">
        <v>48165</v>
      </c>
      <c r="D13450" t="str">
        <f>"48165"</f>
        <v>48165</v>
      </c>
      <c r="E13450">
        <v>80.3</v>
      </c>
    </row>
    <row r="13451" spans="1:5" x14ac:dyDescent="0.2">
      <c r="A13451">
        <v>48166</v>
      </c>
      <c r="B13451" t="s">
        <v>28</v>
      </c>
      <c r="C13451">
        <v>48166</v>
      </c>
      <c r="D13451" t="str">
        <f>"48166"</f>
        <v>48166</v>
      </c>
      <c r="E13451">
        <v>73.75</v>
      </c>
    </row>
    <row r="13452" spans="1:5" x14ac:dyDescent="0.2">
      <c r="A13452">
        <v>48167</v>
      </c>
      <c r="B13452" t="s">
        <v>28</v>
      </c>
      <c r="C13452">
        <v>48167</v>
      </c>
      <c r="D13452" t="str">
        <f>"48167"</f>
        <v>48167</v>
      </c>
      <c r="E13452">
        <v>81.099999999999994</v>
      </c>
    </row>
    <row r="13453" spans="1:5" x14ac:dyDescent="0.2">
      <c r="A13453">
        <v>48168</v>
      </c>
      <c r="B13453" t="s">
        <v>28</v>
      </c>
      <c r="C13453">
        <v>48168</v>
      </c>
      <c r="D13453" t="str">
        <f>"48168"</f>
        <v>48168</v>
      </c>
      <c r="E13453">
        <v>83.75</v>
      </c>
    </row>
    <row r="13454" spans="1:5" x14ac:dyDescent="0.2">
      <c r="A13454">
        <v>48169</v>
      </c>
      <c r="B13454" t="s">
        <v>28</v>
      </c>
      <c r="C13454">
        <v>48169</v>
      </c>
      <c r="D13454" t="str">
        <f>"48169"</f>
        <v>48169</v>
      </c>
      <c r="E13454">
        <v>80.62</v>
      </c>
    </row>
    <row r="13455" spans="1:5" x14ac:dyDescent="0.2">
      <c r="A13455">
        <v>48170</v>
      </c>
      <c r="B13455" t="s">
        <v>28</v>
      </c>
      <c r="C13455">
        <v>48170</v>
      </c>
      <c r="D13455" t="str">
        <f>"48170"</f>
        <v>48170</v>
      </c>
      <c r="E13455">
        <v>82.17</v>
      </c>
    </row>
    <row r="13456" spans="1:5" x14ac:dyDescent="0.2">
      <c r="A13456">
        <v>48173</v>
      </c>
      <c r="B13456" t="s">
        <v>28</v>
      </c>
      <c r="C13456">
        <v>48173</v>
      </c>
      <c r="D13456" t="str">
        <f>"48173"</f>
        <v>48173</v>
      </c>
      <c r="E13456">
        <v>77.27</v>
      </c>
    </row>
    <row r="13457" spans="1:5" x14ac:dyDescent="0.2">
      <c r="A13457">
        <v>48174</v>
      </c>
      <c r="B13457" t="s">
        <v>28</v>
      </c>
      <c r="C13457">
        <v>48174</v>
      </c>
      <c r="D13457" t="str">
        <f>"48174"</f>
        <v>48174</v>
      </c>
      <c r="E13457">
        <v>65.459999999999994</v>
      </c>
    </row>
    <row r="13458" spans="1:5" x14ac:dyDescent="0.2">
      <c r="A13458">
        <v>48175</v>
      </c>
      <c r="B13458" t="s">
        <v>28</v>
      </c>
      <c r="C13458">
        <v>48175</v>
      </c>
      <c r="D13458" t="str">
        <f>"48175"</f>
        <v>48175</v>
      </c>
      <c r="E13458" t="s">
        <v>6</v>
      </c>
    </row>
    <row r="13459" spans="1:5" x14ac:dyDescent="0.2">
      <c r="A13459">
        <v>48176</v>
      </c>
      <c r="B13459" t="s">
        <v>28</v>
      </c>
      <c r="C13459">
        <v>48176</v>
      </c>
      <c r="D13459" t="str">
        <f>"48176"</f>
        <v>48176</v>
      </c>
      <c r="E13459">
        <v>80.650000000000006</v>
      </c>
    </row>
    <row r="13460" spans="1:5" x14ac:dyDescent="0.2">
      <c r="A13460">
        <v>48178</v>
      </c>
      <c r="B13460" t="s">
        <v>28</v>
      </c>
      <c r="C13460">
        <v>48178</v>
      </c>
      <c r="D13460" t="str">
        <f>"48178"</f>
        <v>48178</v>
      </c>
      <c r="E13460">
        <v>80.569999999999993</v>
      </c>
    </row>
    <row r="13461" spans="1:5" x14ac:dyDescent="0.2">
      <c r="A13461">
        <v>48179</v>
      </c>
      <c r="B13461" t="s">
        <v>28</v>
      </c>
      <c r="C13461">
        <v>48179</v>
      </c>
      <c r="D13461" t="str">
        <f>"48179"</f>
        <v>48179</v>
      </c>
      <c r="E13461">
        <v>77.510000000000005</v>
      </c>
    </row>
    <row r="13462" spans="1:5" x14ac:dyDescent="0.2">
      <c r="A13462">
        <v>48180</v>
      </c>
      <c r="B13462" t="s">
        <v>28</v>
      </c>
      <c r="C13462">
        <v>48180</v>
      </c>
      <c r="D13462" t="str">
        <f>"48180"</f>
        <v>48180</v>
      </c>
      <c r="E13462">
        <v>65.819999999999993</v>
      </c>
    </row>
    <row r="13463" spans="1:5" x14ac:dyDescent="0.2">
      <c r="A13463">
        <v>48182</v>
      </c>
      <c r="B13463" t="s">
        <v>28</v>
      </c>
      <c r="C13463">
        <v>48182</v>
      </c>
      <c r="D13463" t="str">
        <f>"48182"</f>
        <v>48182</v>
      </c>
      <c r="E13463">
        <v>79.09</v>
      </c>
    </row>
    <row r="13464" spans="1:5" x14ac:dyDescent="0.2">
      <c r="A13464">
        <v>48183</v>
      </c>
      <c r="B13464" t="s">
        <v>28</v>
      </c>
      <c r="C13464">
        <v>48183</v>
      </c>
      <c r="D13464" t="str">
        <f>"48183"</f>
        <v>48183</v>
      </c>
      <c r="E13464">
        <v>76.239999999999995</v>
      </c>
    </row>
    <row r="13465" spans="1:5" x14ac:dyDescent="0.2">
      <c r="A13465">
        <v>48184</v>
      </c>
      <c r="B13465" t="s">
        <v>28</v>
      </c>
      <c r="C13465">
        <v>48184</v>
      </c>
      <c r="D13465" t="str">
        <f>"48184"</f>
        <v>48184</v>
      </c>
      <c r="E13465">
        <v>66.239999999999995</v>
      </c>
    </row>
    <row r="13466" spans="1:5" x14ac:dyDescent="0.2">
      <c r="A13466">
        <v>48185</v>
      </c>
      <c r="B13466" t="s">
        <v>28</v>
      </c>
      <c r="C13466">
        <v>48185</v>
      </c>
      <c r="D13466" t="str">
        <f>"48185"</f>
        <v>48185</v>
      </c>
      <c r="E13466">
        <v>71.66</v>
      </c>
    </row>
    <row r="13467" spans="1:5" x14ac:dyDescent="0.2">
      <c r="A13467">
        <v>48186</v>
      </c>
      <c r="B13467" t="s">
        <v>28</v>
      </c>
      <c r="C13467">
        <v>48186</v>
      </c>
      <c r="D13467" t="str">
        <f>"48186"</f>
        <v>48186</v>
      </c>
      <c r="E13467">
        <v>69.06</v>
      </c>
    </row>
    <row r="13468" spans="1:5" x14ac:dyDescent="0.2">
      <c r="A13468">
        <v>48187</v>
      </c>
      <c r="B13468" t="s">
        <v>28</v>
      </c>
      <c r="C13468">
        <v>48187</v>
      </c>
      <c r="D13468" t="str">
        <f>"48187"</f>
        <v>48187</v>
      </c>
      <c r="E13468">
        <v>78.680000000000007</v>
      </c>
    </row>
    <row r="13469" spans="1:5" x14ac:dyDescent="0.2">
      <c r="A13469">
        <v>48188</v>
      </c>
      <c r="B13469" t="s">
        <v>28</v>
      </c>
      <c r="C13469">
        <v>48188</v>
      </c>
      <c r="D13469" t="str">
        <f>"48188"</f>
        <v>48188</v>
      </c>
      <c r="E13469">
        <v>79.87</v>
      </c>
    </row>
    <row r="13470" spans="1:5" x14ac:dyDescent="0.2">
      <c r="A13470">
        <v>48189</v>
      </c>
      <c r="B13470" t="s">
        <v>28</v>
      </c>
      <c r="C13470">
        <v>48189</v>
      </c>
      <c r="D13470" t="str">
        <f>"48189"</f>
        <v>48189</v>
      </c>
      <c r="E13470">
        <v>79.099999999999994</v>
      </c>
    </row>
    <row r="13471" spans="1:5" x14ac:dyDescent="0.2">
      <c r="A13471">
        <v>48190</v>
      </c>
      <c r="B13471" t="s">
        <v>28</v>
      </c>
      <c r="C13471">
        <v>48190</v>
      </c>
      <c r="D13471" t="str">
        <f>"48190"</f>
        <v>48190</v>
      </c>
      <c r="E13471" t="s">
        <v>6</v>
      </c>
    </row>
    <row r="13472" spans="1:5" x14ac:dyDescent="0.2">
      <c r="A13472">
        <v>48191</v>
      </c>
      <c r="B13472" t="s">
        <v>28</v>
      </c>
      <c r="C13472">
        <v>48191</v>
      </c>
      <c r="D13472" t="str">
        <f>"48191"</f>
        <v>48191</v>
      </c>
      <c r="E13472">
        <v>75.28</v>
      </c>
    </row>
    <row r="13473" spans="1:5" x14ac:dyDescent="0.2">
      <c r="A13473">
        <v>48192</v>
      </c>
      <c r="B13473" t="s">
        <v>28</v>
      </c>
      <c r="C13473">
        <v>48192</v>
      </c>
      <c r="D13473" t="str">
        <f>"48192"</f>
        <v>48192</v>
      </c>
      <c r="E13473">
        <v>73.12</v>
      </c>
    </row>
    <row r="13474" spans="1:5" x14ac:dyDescent="0.2">
      <c r="A13474">
        <v>48193</v>
      </c>
      <c r="B13474" t="s">
        <v>28</v>
      </c>
      <c r="C13474">
        <v>48193</v>
      </c>
      <c r="D13474" t="str">
        <f>"48193"</f>
        <v>48193</v>
      </c>
      <c r="E13474">
        <v>72.400000000000006</v>
      </c>
    </row>
    <row r="13475" spans="1:5" x14ac:dyDescent="0.2">
      <c r="A13475">
        <v>48195</v>
      </c>
      <c r="B13475" t="s">
        <v>28</v>
      </c>
      <c r="C13475">
        <v>48195</v>
      </c>
      <c r="D13475" t="str">
        <f>"48195"</f>
        <v>48195</v>
      </c>
      <c r="E13475">
        <v>73.53</v>
      </c>
    </row>
    <row r="13476" spans="1:5" x14ac:dyDescent="0.2">
      <c r="A13476">
        <v>48197</v>
      </c>
      <c r="B13476" t="s">
        <v>28</v>
      </c>
      <c r="C13476">
        <v>48197</v>
      </c>
      <c r="D13476" t="str">
        <f>"48197"</f>
        <v>48197</v>
      </c>
      <c r="E13476">
        <v>72.599999999999994</v>
      </c>
    </row>
    <row r="13477" spans="1:5" x14ac:dyDescent="0.2">
      <c r="A13477">
        <v>48198</v>
      </c>
      <c r="B13477" t="s">
        <v>28</v>
      </c>
      <c r="C13477">
        <v>48198</v>
      </c>
      <c r="D13477" t="str">
        <f>"48198"</f>
        <v>48198</v>
      </c>
      <c r="E13477">
        <v>66.260000000000005</v>
      </c>
    </row>
    <row r="13478" spans="1:5" x14ac:dyDescent="0.2">
      <c r="A13478">
        <v>48201</v>
      </c>
      <c r="B13478" t="s">
        <v>28</v>
      </c>
      <c r="C13478">
        <v>48201</v>
      </c>
      <c r="D13478" t="str">
        <f>"48201"</f>
        <v>48201</v>
      </c>
      <c r="E13478">
        <v>50.44</v>
      </c>
    </row>
    <row r="13479" spans="1:5" x14ac:dyDescent="0.2">
      <c r="A13479">
        <v>48202</v>
      </c>
      <c r="B13479" t="s">
        <v>28</v>
      </c>
      <c r="C13479">
        <v>48202</v>
      </c>
      <c r="D13479" t="str">
        <f>"48202"</f>
        <v>48202</v>
      </c>
      <c r="E13479">
        <v>58.01</v>
      </c>
    </row>
    <row r="13480" spans="1:5" x14ac:dyDescent="0.2">
      <c r="A13480">
        <v>48203</v>
      </c>
      <c r="B13480" t="s">
        <v>28</v>
      </c>
      <c r="C13480">
        <v>48203</v>
      </c>
      <c r="D13480" t="str">
        <f>"48203"</f>
        <v>48203</v>
      </c>
      <c r="E13480">
        <v>45.59</v>
      </c>
    </row>
    <row r="13481" spans="1:5" x14ac:dyDescent="0.2">
      <c r="A13481">
        <v>48204</v>
      </c>
      <c r="B13481" t="s">
        <v>28</v>
      </c>
      <c r="C13481">
        <v>48204</v>
      </c>
      <c r="D13481" t="str">
        <f>"48204"</f>
        <v>48204</v>
      </c>
      <c r="E13481">
        <v>42.14</v>
      </c>
    </row>
    <row r="13482" spans="1:5" x14ac:dyDescent="0.2">
      <c r="A13482">
        <v>48205</v>
      </c>
      <c r="B13482" t="s">
        <v>28</v>
      </c>
      <c r="C13482">
        <v>48205</v>
      </c>
      <c r="D13482" t="str">
        <f>"48205"</f>
        <v>48205</v>
      </c>
      <c r="E13482">
        <v>38.200000000000003</v>
      </c>
    </row>
    <row r="13483" spans="1:5" x14ac:dyDescent="0.2">
      <c r="A13483">
        <v>48206</v>
      </c>
      <c r="B13483" t="s">
        <v>28</v>
      </c>
      <c r="C13483">
        <v>48206</v>
      </c>
      <c r="D13483" t="str">
        <f>"48206"</f>
        <v>48206</v>
      </c>
      <c r="E13483">
        <v>46.35</v>
      </c>
    </row>
    <row r="13484" spans="1:5" x14ac:dyDescent="0.2">
      <c r="A13484">
        <v>48207</v>
      </c>
      <c r="B13484" t="s">
        <v>28</v>
      </c>
      <c r="C13484">
        <v>48207</v>
      </c>
      <c r="D13484" t="str">
        <f>"48207"</f>
        <v>48207</v>
      </c>
      <c r="E13484">
        <v>62.34</v>
      </c>
    </row>
    <row r="13485" spans="1:5" x14ac:dyDescent="0.2">
      <c r="A13485">
        <v>48208</v>
      </c>
      <c r="B13485" t="s">
        <v>28</v>
      </c>
      <c r="C13485">
        <v>48208</v>
      </c>
      <c r="D13485" t="str">
        <f>"48208"</f>
        <v>48208</v>
      </c>
      <c r="E13485">
        <v>46.23</v>
      </c>
    </row>
    <row r="13486" spans="1:5" x14ac:dyDescent="0.2">
      <c r="A13486">
        <v>48209</v>
      </c>
      <c r="B13486" t="s">
        <v>28</v>
      </c>
      <c r="C13486">
        <v>48209</v>
      </c>
      <c r="D13486" t="str">
        <f>"48209"</f>
        <v>48209</v>
      </c>
      <c r="E13486">
        <v>40.450000000000003</v>
      </c>
    </row>
    <row r="13487" spans="1:5" x14ac:dyDescent="0.2">
      <c r="A13487">
        <v>48210</v>
      </c>
      <c r="B13487" t="s">
        <v>28</v>
      </c>
      <c r="C13487">
        <v>48210</v>
      </c>
      <c r="D13487" t="str">
        <f>"48210"</f>
        <v>48210</v>
      </c>
      <c r="E13487">
        <v>36.520000000000003</v>
      </c>
    </row>
    <row r="13488" spans="1:5" x14ac:dyDescent="0.2">
      <c r="A13488">
        <v>48211</v>
      </c>
      <c r="B13488" t="s">
        <v>28</v>
      </c>
      <c r="C13488">
        <v>48211</v>
      </c>
      <c r="D13488" t="str">
        <f>"48211"</f>
        <v>48211</v>
      </c>
      <c r="E13488">
        <v>36.36</v>
      </c>
    </row>
    <row r="13489" spans="1:5" x14ac:dyDescent="0.2">
      <c r="A13489">
        <v>48212</v>
      </c>
      <c r="B13489" t="s">
        <v>28</v>
      </c>
      <c r="C13489">
        <v>48212</v>
      </c>
      <c r="D13489" t="str">
        <f>"48212"</f>
        <v>48212</v>
      </c>
      <c r="E13489">
        <v>36.01</v>
      </c>
    </row>
    <row r="13490" spans="1:5" x14ac:dyDescent="0.2">
      <c r="A13490">
        <v>48213</v>
      </c>
      <c r="B13490" t="s">
        <v>28</v>
      </c>
      <c r="C13490">
        <v>48213</v>
      </c>
      <c r="D13490" t="str">
        <f>"48213"</f>
        <v>48213</v>
      </c>
      <c r="E13490">
        <v>40.17</v>
      </c>
    </row>
    <row r="13491" spans="1:5" x14ac:dyDescent="0.2">
      <c r="A13491">
        <v>48214</v>
      </c>
      <c r="B13491" t="s">
        <v>28</v>
      </c>
      <c r="C13491">
        <v>48214</v>
      </c>
      <c r="D13491" t="str">
        <f>"48214"</f>
        <v>48214</v>
      </c>
      <c r="E13491">
        <v>54.89</v>
      </c>
    </row>
    <row r="13492" spans="1:5" x14ac:dyDescent="0.2">
      <c r="A13492">
        <v>48215</v>
      </c>
      <c r="B13492" t="s">
        <v>28</v>
      </c>
      <c r="C13492">
        <v>48215</v>
      </c>
      <c r="D13492" t="str">
        <f>"48215"</f>
        <v>48215</v>
      </c>
      <c r="E13492">
        <v>45.59</v>
      </c>
    </row>
    <row r="13493" spans="1:5" x14ac:dyDescent="0.2">
      <c r="A13493">
        <v>48216</v>
      </c>
      <c r="B13493" t="s">
        <v>28</v>
      </c>
      <c r="C13493">
        <v>48216</v>
      </c>
      <c r="D13493" t="str">
        <f>"48216"</f>
        <v>48216</v>
      </c>
      <c r="E13493">
        <v>59.24</v>
      </c>
    </row>
    <row r="13494" spans="1:5" x14ac:dyDescent="0.2">
      <c r="A13494">
        <v>48217</v>
      </c>
      <c r="B13494" t="s">
        <v>28</v>
      </c>
      <c r="C13494">
        <v>48217</v>
      </c>
      <c r="D13494" t="str">
        <f>"48217"</f>
        <v>48217</v>
      </c>
      <c r="E13494">
        <v>52.08</v>
      </c>
    </row>
    <row r="13495" spans="1:5" x14ac:dyDescent="0.2">
      <c r="A13495">
        <v>48218</v>
      </c>
      <c r="B13495" t="s">
        <v>28</v>
      </c>
      <c r="C13495">
        <v>48218</v>
      </c>
      <c r="D13495" t="str">
        <f>"48218"</f>
        <v>48218</v>
      </c>
      <c r="E13495">
        <v>47.1</v>
      </c>
    </row>
    <row r="13496" spans="1:5" x14ac:dyDescent="0.2">
      <c r="A13496">
        <v>48219</v>
      </c>
      <c r="B13496" t="s">
        <v>28</v>
      </c>
      <c r="C13496">
        <v>48219</v>
      </c>
      <c r="D13496" t="str">
        <f>"48219"</f>
        <v>48219</v>
      </c>
      <c r="E13496">
        <v>50.24</v>
      </c>
    </row>
    <row r="13497" spans="1:5" x14ac:dyDescent="0.2">
      <c r="A13497">
        <v>48220</v>
      </c>
      <c r="B13497" t="s">
        <v>28</v>
      </c>
      <c r="C13497">
        <v>48220</v>
      </c>
      <c r="D13497" t="str">
        <f>"48220"</f>
        <v>48220</v>
      </c>
      <c r="E13497">
        <v>79.94</v>
      </c>
    </row>
    <row r="13498" spans="1:5" x14ac:dyDescent="0.2">
      <c r="A13498">
        <v>48221</v>
      </c>
      <c r="B13498" t="s">
        <v>28</v>
      </c>
      <c r="C13498">
        <v>48221</v>
      </c>
      <c r="D13498" t="str">
        <f>"48221"</f>
        <v>48221</v>
      </c>
      <c r="E13498">
        <v>56.01</v>
      </c>
    </row>
    <row r="13499" spans="1:5" x14ac:dyDescent="0.2">
      <c r="A13499">
        <v>48223</v>
      </c>
      <c r="B13499" t="s">
        <v>28</v>
      </c>
      <c r="C13499">
        <v>48223</v>
      </c>
      <c r="D13499" t="str">
        <f>"48223"</f>
        <v>48223</v>
      </c>
      <c r="E13499">
        <v>51.99</v>
      </c>
    </row>
    <row r="13500" spans="1:5" x14ac:dyDescent="0.2">
      <c r="A13500">
        <v>48224</v>
      </c>
      <c r="B13500" t="s">
        <v>28</v>
      </c>
      <c r="C13500">
        <v>48224</v>
      </c>
      <c r="D13500" t="str">
        <f>"48224"</f>
        <v>48224</v>
      </c>
      <c r="E13500">
        <v>42.82</v>
      </c>
    </row>
    <row r="13501" spans="1:5" x14ac:dyDescent="0.2">
      <c r="A13501">
        <v>48225</v>
      </c>
      <c r="B13501" t="s">
        <v>28</v>
      </c>
      <c r="C13501">
        <v>48225</v>
      </c>
      <c r="D13501" t="str">
        <f>"48225"</f>
        <v>48225</v>
      </c>
      <c r="E13501">
        <v>59.87</v>
      </c>
    </row>
    <row r="13502" spans="1:5" x14ac:dyDescent="0.2">
      <c r="A13502">
        <v>48226</v>
      </c>
      <c r="B13502" t="s">
        <v>28</v>
      </c>
      <c r="C13502">
        <v>48226</v>
      </c>
      <c r="D13502" t="str">
        <f>"48226"</f>
        <v>48226</v>
      </c>
      <c r="E13502">
        <v>85.27</v>
      </c>
    </row>
    <row r="13503" spans="1:5" x14ac:dyDescent="0.2">
      <c r="A13503">
        <v>48227</v>
      </c>
      <c r="B13503" t="s">
        <v>28</v>
      </c>
      <c r="C13503">
        <v>48227</v>
      </c>
      <c r="D13503" t="str">
        <f>"48227"</f>
        <v>48227</v>
      </c>
      <c r="E13503">
        <v>43.81</v>
      </c>
    </row>
    <row r="13504" spans="1:5" x14ac:dyDescent="0.2">
      <c r="A13504">
        <v>48228</v>
      </c>
      <c r="B13504" t="s">
        <v>28</v>
      </c>
      <c r="C13504">
        <v>48228</v>
      </c>
      <c r="D13504" t="str">
        <f>"48228"</f>
        <v>48228</v>
      </c>
      <c r="E13504">
        <v>38.479999999999997</v>
      </c>
    </row>
    <row r="13505" spans="1:5" x14ac:dyDescent="0.2">
      <c r="A13505">
        <v>48229</v>
      </c>
      <c r="B13505" t="s">
        <v>28</v>
      </c>
      <c r="C13505">
        <v>48229</v>
      </c>
      <c r="D13505" t="str">
        <f>"48229"</f>
        <v>48229</v>
      </c>
      <c r="E13505">
        <v>47.54</v>
      </c>
    </row>
    <row r="13506" spans="1:5" x14ac:dyDescent="0.2">
      <c r="A13506">
        <v>48230</v>
      </c>
      <c r="B13506" t="s">
        <v>28</v>
      </c>
      <c r="C13506">
        <v>48230</v>
      </c>
      <c r="D13506" t="str">
        <f>"48230"</f>
        <v>48230</v>
      </c>
      <c r="E13506">
        <v>79.510000000000005</v>
      </c>
    </row>
    <row r="13507" spans="1:5" x14ac:dyDescent="0.2">
      <c r="A13507">
        <v>48234</v>
      </c>
      <c r="B13507" t="s">
        <v>28</v>
      </c>
      <c r="C13507">
        <v>48234</v>
      </c>
      <c r="D13507" t="str">
        <f>"48234"</f>
        <v>48234</v>
      </c>
      <c r="E13507">
        <v>43.46</v>
      </c>
    </row>
    <row r="13508" spans="1:5" x14ac:dyDescent="0.2">
      <c r="A13508">
        <v>48235</v>
      </c>
      <c r="B13508" t="s">
        <v>28</v>
      </c>
      <c r="C13508">
        <v>48235</v>
      </c>
      <c r="D13508" t="str">
        <f>"48235"</f>
        <v>48235</v>
      </c>
      <c r="E13508">
        <v>49.95</v>
      </c>
    </row>
    <row r="13509" spans="1:5" x14ac:dyDescent="0.2">
      <c r="A13509">
        <v>48236</v>
      </c>
      <c r="B13509" t="s">
        <v>28</v>
      </c>
      <c r="C13509">
        <v>48236</v>
      </c>
      <c r="D13509" t="str">
        <f>"48236"</f>
        <v>48236</v>
      </c>
      <c r="E13509">
        <v>79.739999999999995</v>
      </c>
    </row>
    <row r="13510" spans="1:5" x14ac:dyDescent="0.2">
      <c r="A13510">
        <v>48237</v>
      </c>
      <c r="B13510" t="s">
        <v>28</v>
      </c>
      <c r="C13510">
        <v>48237</v>
      </c>
      <c r="D13510" t="str">
        <f>"48237"</f>
        <v>48237</v>
      </c>
      <c r="E13510">
        <v>66.58</v>
      </c>
    </row>
    <row r="13511" spans="1:5" x14ac:dyDescent="0.2">
      <c r="A13511">
        <v>48238</v>
      </c>
      <c r="B13511" t="s">
        <v>28</v>
      </c>
      <c r="C13511">
        <v>48238</v>
      </c>
      <c r="D13511" t="str">
        <f>"48238"</f>
        <v>48238</v>
      </c>
      <c r="E13511">
        <v>41.41</v>
      </c>
    </row>
    <row r="13512" spans="1:5" x14ac:dyDescent="0.2">
      <c r="A13512">
        <v>48239</v>
      </c>
      <c r="B13512" t="s">
        <v>28</v>
      </c>
      <c r="C13512">
        <v>48239</v>
      </c>
      <c r="D13512" t="str">
        <f>"48239"</f>
        <v>48239</v>
      </c>
      <c r="E13512">
        <v>66.7</v>
      </c>
    </row>
    <row r="13513" spans="1:5" x14ac:dyDescent="0.2">
      <c r="A13513">
        <v>48240</v>
      </c>
      <c r="B13513" t="s">
        <v>28</v>
      </c>
      <c r="C13513">
        <v>48240</v>
      </c>
      <c r="D13513" t="str">
        <f>"48240"</f>
        <v>48240</v>
      </c>
      <c r="E13513">
        <v>65.84</v>
      </c>
    </row>
    <row r="13514" spans="1:5" x14ac:dyDescent="0.2">
      <c r="A13514">
        <v>48242</v>
      </c>
      <c r="B13514" t="s">
        <v>28</v>
      </c>
      <c r="C13514">
        <v>48242</v>
      </c>
      <c r="D13514" t="str">
        <f>"48242"</f>
        <v>48242</v>
      </c>
      <c r="E13514" t="s">
        <v>6</v>
      </c>
    </row>
    <row r="13515" spans="1:5" x14ac:dyDescent="0.2">
      <c r="A13515">
        <v>48243</v>
      </c>
      <c r="B13515" t="s">
        <v>28</v>
      </c>
      <c r="C13515">
        <v>48243</v>
      </c>
      <c r="D13515" t="str">
        <f>"48243"</f>
        <v>48243</v>
      </c>
      <c r="E13515" t="s">
        <v>6</v>
      </c>
    </row>
    <row r="13516" spans="1:5" x14ac:dyDescent="0.2">
      <c r="A13516">
        <v>48288</v>
      </c>
      <c r="B13516" t="s">
        <v>28</v>
      </c>
      <c r="C13516">
        <v>48288</v>
      </c>
      <c r="D13516" t="str">
        <f>"48288"</f>
        <v>48288</v>
      </c>
      <c r="E13516" t="s">
        <v>6</v>
      </c>
    </row>
    <row r="13517" spans="1:5" x14ac:dyDescent="0.2">
      <c r="A13517">
        <v>48301</v>
      </c>
      <c r="B13517" t="s">
        <v>28</v>
      </c>
      <c r="C13517">
        <v>48301</v>
      </c>
      <c r="D13517" t="str">
        <f>"48301"</f>
        <v>48301</v>
      </c>
      <c r="E13517">
        <v>81.37</v>
      </c>
    </row>
    <row r="13518" spans="1:5" x14ac:dyDescent="0.2">
      <c r="A13518">
        <v>48302</v>
      </c>
      <c r="B13518" t="s">
        <v>28</v>
      </c>
      <c r="C13518">
        <v>48302</v>
      </c>
      <c r="D13518" t="str">
        <f>"48302"</f>
        <v>48302</v>
      </c>
      <c r="E13518">
        <v>82.05</v>
      </c>
    </row>
    <row r="13519" spans="1:5" x14ac:dyDescent="0.2">
      <c r="A13519">
        <v>48304</v>
      </c>
      <c r="B13519" t="s">
        <v>28</v>
      </c>
      <c r="C13519">
        <v>48304</v>
      </c>
      <c r="D13519" t="str">
        <f>"48304"</f>
        <v>48304</v>
      </c>
      <c r="E13519">
        <v>80.790000000000006</v>
      </c>
    </row>
    <row r="13520" spans="1:5" x14ac:dyDescent="0.2">
      <c r="A13520">
        <v>48306</v>
      </c>
      <c r="B13520" t="s">
        <v>28</v>
      </c>
      <c r="C13520">
        <v>48306</v>
      </c>
      <c r="D13520" t="str">
        <f>"48306"</f>
        <v>48306</v>
      </c>
      <c r="E13520">
        <v>82.01</v>
      </c>
    </row>
    <row r="13521" spans="1:5" x14ac:dyDescent="0.2">
      <c r="A13521">
        <v>48307</v>
      </c>
      <c r="B13521" t="s">
        <v>28</v>
      </c>
      <c r="C13521">
        <v>48307</v>
      </c>
      <c r="D13521" t="str">
        <f>"48307"</f>
        <v>48307</v>
      </c>
      <c r="E13521">
        <v>79.069999999999993</v>
      </c>
    </row>
    <row r="13522" spans="1:5" x14ac:dyDescent="0.2">
      <c r="A13522">
        <v>48309</v>
      </c>
      <c r="B13522" t="s">
        <v>28</v>
      </c>
      <c r="C13522">
        <v>48309</v>
      </c>
      <c r="D13522" t="str">
        <f>"48309"</f>
        <v>48309</v>
      </c>
      <c r="E13522">
        <v>81.36</v>
      </c>
    </row>
    <row r="13523" spans="1:5" x14ac:dyDescent="0.2">
      <c r="A13523">
        <v>48310</v>
      </c>
      <c r="B13523" t="s">
        <v>28</v>
      </c>
      <c r="C13523">
        <v>48310</v>
      </c>
      <c r="D13523" t="str">
        <f>"48310"</f>
        <v>48310</v>
      </c>
      <c r="E13523">
        <v>63.84</v>
      </c>
    </row>
    <row r="13524" spans="1:5" x14ac:dyDescent="0.2">
      <c r="A13524">
        <v>48312</v>
      </c>
      <c r="B13524" t="s">
        <v>28</v>
      </c>
      <c r="C13524">
        <v>48312</v>
      </c>
      <c r="D13524" t="str">
        <f>"48312"</f>
        <v>48312</v>
      </c>
      <c r="E13524">
        <v>71.97</v>
      </c>
    </row>
    <row r="13525" spans="1:5" x14ac:dyDescent="0.2">
      <c r="A13525">
        <v>48313</v>
      </c>
      <c r="B13525" t="s">
        <v>28</v>
      </c>
      <c r="C13525">
        <v>48313</v>
      </c>
      <c r="D13525" t="str">
        <f>"48313"</f>
        <v>48313</v>
      </c>
      <c r="E13525">
        <v>74.97</v>
      </c>
    </row>
    <row r="13526" spans="1:5" x14ac:dyDescent="0.2">
      <c r="A13526">
        <v>48314</v>
      </c>
      <c r="B13526" t="s">
        <v>28</v>
      </c>
      <c r="C13526">
        <v>48314</v>
      </c>
      <c r="D13526" t="str">
        <f>"48314"</f>
        <v>48314</v>
      </c>
      <c r="E13526">
        <v>72.84</v>
      </c>
    </row>
    <row r="13527" spans="1:5" x14ac:dyDescent="0.2">
      <c r="A13527">
        <v>48315</v>
      </c>
      <c r="B13527" t="s">
        <v>28</v>
      </c>
      <c r="C13527">
        <v>48315</v>
      </c>
      <c r="D13527" t="str">
        <f>"48315"</f>
        <v>48315</v>
      </c>
      <c r="E13527">
        <v>75.28</v>
      </c>
    </row>
    <row r="13528" spans="1:5" x14ac:dyDescent="0.2">
      <c r="A13528">
        <v>48316</v>
      </c>
      <c r="B13528" t="s">
        <v>28</v>
      </c>
      <c r="C13528">
        <v>48316</v>
      </c>
      <c r="D13528" t="str">
        <f>"48316"</f>
        <v>48316</v>
      </c>
      <c r="E13528">
        <v>78.349999999999994</v>
      </c>
    </row>
    <row r="13529" spans="1:5" x14ac:dyDescent="0.2">
      <c r="A13529">
        <v>48317</v>
      </c>
      <c r="B13529" t="s">
        <v>28</v>
      </c>
      <c r="C13529">
        <v>48317</v>
      </c>
      <c r="D13529" t="str">
        <f>"48317"</f>
        <v>48317</v>
      </c>
      <c r="E13529">
        <v>75.42</v>
      </c>
    </row>
    <row r="13530" spans="1:5" x14ac:dyDescent="0.2">
      <c r="A13530">
        <v>48320</v>
      </c>
      <c r="B13530" t="s">
        <v>28</v>
      </c>
      <c r="C13530">
        <v>48320</v>
      </c>
      <c r="D13530" t="str">
        <f>"48320"</f>
        <v>48320</v>
      </c>
      <c r="E13530">
        <v>73.39</v>
      </c>
    </row>
    <row r="13531" spans="1:5" x14ac:dyDescent="0.2">
      <c r="A13531">
        <v>48322</v>
      </c>
      <c r="B13531" t="s">
        <v>28</v>
      </c>
      <c r="C13531">
        <v>48322</v>
      </c>
      <c r="D13531" t="str">
        <f>"48322"</f>
        <v>48322</v>
      </c>
      <c r="E13531">
        <v>76.73</v>
      </c>
    </row>
    <row r="13532" spans="1:5" x14ac:dyDescent="0.2">
      <c r="A13532">
        <v>48323</v>
      </c>
      <c r="B13532" t="s">
        <v>28</v>
      </c>
      <c r="C13532">
        <v>48323</v>
      </c>
      <c r="D13532" t="str">
        <f>"48323"</f>
        <v>48323</v>
      </c>
      <c r="E13532">
        <v>78.98</v>
      </c>
    </row>
    <row r="13533" spans="1:5" x14ac:dyDescent="0.2">
      <c r="A13533">
        <v>48324</v>
      </c>
      <c r="B13533" t="s">
        <v>28</v>
      </c>
      <c r="C13533">
        <v>48324</v>
      </c>
      <c r="D13533" t="str">
        <f>"48324"</f>
        <v>48324</v>
      </c>
      <c r="E13533">
        <v>79.040000000000006</v>
      </c>
    </row>
    <row r="13534" spans="1:5" x14ac:dyDescent="0.2">
      <c r="A13534">
        <v>48326</v>
      </c>
      <c r="B13534" t="s">
        <v>28</v>
      </c>
      <c r="C13534">
        <v>48326</v>
      </c>
      <c r="D13534" t="str">
        <f>"48326"</f>
        <v>48326</v>
      </c>
      <c r="E13534">
        <v>79.319999999999993</v>
      </c>
    </row>
    <row r="13535" spans="1:5" x14ac:dyDescent="0.2">
      <c r="A13535">
        <v>48327</v>
      </c>
      <c r="B13535" t="s">
        <v>28</v>
      </c>
      <c r="C13535">
        <v>48327</v>
      </c>
      <c r="D13535" t="str">
        <f>"48327"</f>
        <v>48327</v>
      </c>
      <c r="E13535">
        <v>75.680000000000007</v>
      </c>
    </row>
    <row r="13536" spans="1:5" x14ac:dyDescent="0.2">
      <c r="A13536">
        <v>48328</v>
      </c>
      <c r="B13536" t="s">
        <v>28</v>
      </c>
      <c r="C13536">
        <v>48328</v>
      </c>
      <c r="D13536" t="str">
        <f>"48328"</f>
        <v>48328</v>
      </c>
      <c r="E13536">
        <v>74.12</v>
      </c>
    </row>
    <row r="13537" spans="1:5" x14ac:dyDescent="0.2">
      <c r="A13537">
        <v>48329</v>
      </c>
      <c r="B13537" t="s">
        <v>28</v>
      </c>
      <c r="C13537">
        <v>48329</v>
      </c>
      <c r="D13537" t="str">
        <f>"48329"</f>
        <v>48329</v>
      </c>
      <c r="E13537">
        <v>78.099999999999994</v>
      </c>
    </row>
    <row r="13538" spans="1:5" x14ac:dyDescent="0.2">
      <c r="A13538">
        <v>48331</v>
      </c>
      <c r="B13538" t="s">
        <v>28</v>
      </c>
      <c r="C13538">
        <v>48331</v>
      </c>
      <c r="D13538" t="str">
        <f>"48331"</f>
        <v>48331</v>
      </c>
      <c r="E13538">
        <v>80.73</v>
      </c>
    </row>
    <row r="13539" spans="1:5" x14ac:dyDescent="0.2">
      <c r="A13539">
        <v>48334</v>
      </c>
      <c r="B13539" t="s">
        <v>28</v>
      </c>
      <c r="C13539">
        <v>48334</v>
      </c>
      <c r="D13539" t="str">
        <f>"48334"</f>
        <v>48334</v>
      </c>
      <c r="E13539">
        <v>77.459999999999994</v>
      </c>
    </row>
    <row r="13540" spans="1:5" x14ac:dyDescent="0.2">
      <c r="A13540">
        <v>48335</v>
      </c>
      <c r="B13540" t="s">
        <v>28</v>
      </c>
      <c r="C13540">
        <v>48335</v>
      </c>
      <c r="D13540" t="str">
        <f>"48335"</f>
        <v>48335</v>
      </c>
      <c r="E13540">
        <v>83.42</v>
      </c>
    </row>
    <row r="13541" spans="1:5" x14ac:dyDescent="0.2">
      <c r="A13541">
        <v>48336</v>
      </c>
      <c r="B13541" t="s">
        <v>28</v>
      </c>
      <c r="C13541">
        <v>48336</v>
      </c>
      <c r="D13541" t="str">
        <f>"48336"</f>
        <v>48336</v>
      </c>
      <c r="E13541">
        <v>75.67</v>
      </c>
    </row>
    <row r="13542" spans="1:5" x14ac:dyDescent="0.2">
      <c r="A13542">
        <v>48340</v>
      </c>
      <c r="B13542" t="s">
        <v>28</v>
      </c>
      <c r="C13542">
        <v>48340</v>
      </c>
      <c r="D13542" t="str">
        <f>"48340"</f>
        <v>48340</v>
      </c>
      <c r="E13542">
        <v>51.03</v>
      </c>
    </row>
    <row r="13543" spans="1:5" x14ac:dyDescent="0.2">
      <c r="A13543">
        <v>48341</v>
      </c>
      <c r="B13543" t="s">
        <v>28</v>
      </c>
      <c r="C13543">
        <v>48341</v>
      </c>
      <c r="D13543" t="str">
        <f>"48341"</f>
        <v>48341</v>
      </c>
      <c r="E13543">
        <v>57.31</v>
      </c>
    </row>
    <row r="13544" spans="1:5" x14ac:dyDescent="0.2">
      <c r="A13544">
        <v>48342</v>
      </c>
      <c r="B13544" t="s">
        <v>28</v>
      </c>
      <c r="C13544">
        <v>48342</v>
      </c>
      <c r="D13544" t="str">
        <f>"48342"</f>
        <v>48342</v>
      </c>
      <c r="E13544">
        <v>44.92</v>
      </c>
    </row>
    <row r="13545" spans="1:5" x14ac:dyDescent="0.2">
      <c r="A13545">
        <v>48346</v>
      </c>
      <c r="B13545" t="s">
        <v>28</v>
      </c>
      <c r="C13545">
        <v>48346</v>
      </c>
      <c r="D13545" t="str">
        <f>"48346"</f>
        <v>48346</v>
      </c>
      <c r="E13545">
        <v>76.45</v>
      </c>
    </row>
    <row r="13546" spans="1:5" x14ac:dyDescent="0.2">
      <c r="A13546">
        <v>48348</v>
      </c>
      <c r="B13546" t="s">
        <v>28</v>
      </c>
      <c r="C13546">
        <v>48348</v>
      </c>
      <c r="D13546" t="str">
        <f>"48348"</f>
        <v>48348</v>
      </c>
      <c r="E13546">
        <v>78.599999999999994</v>
      </c>
    </row>
    <row r="13547" spans="1:5" x14ac:dyDescent="0.2">
      <c r="A13547">
        <v>48350</v>
      </c>
      <c r="B13547" t="s">
        <v>28</v>
      </c>
      <c r="C13547">
        <v>48350</v>
      </c>
      <c r="D13547" t="str">
        <f>"48350"</f>
        <v>48350</v>
      </c>
      <c r="E13547">
        <v>78.650000000000006</v>
      </c>
    </row>
    <row r="13548" spans="1:5" x14ac:dyDescent="0.2">
      <c r="A13548">
        <v>48353</v>
      </c>
      <c r="B13548" t="s">
        <v>28</v>
      </c>
      <c r="C13548">
        <v>48353</v>
      </c>
      <c r="D13548" t="str">
        <f>"48353"</f>
        <v>48353</v>
      </c>
      <c r="E13548">
        <v>75.599999999999994</v>
      </c>
    </row>
    <row r="13549" spans="1:5" x14ac:dyDescent="0.2">
      <c r="A13549">
        <v>48356</v>
      </c>
      <c r="B13549" t="s">
        <v>28</v>
      </c>
      <c r="C13549">
        <v>48356</v>
      </c>
      <c r="D13549" t="str">
        <f>"48356"</f>
        <v>48356</v>
      </c>
      <c r="E13549">
        <v>78.010000000000005</v>
      </c>
    </row>
    <row r="13550" spans="1:5" x14ac:dyDescent="0.2">
      <c r="A13550">
        <v>48357</v>
      </c>
      <c r="B13550" t="s">
        <v>28</v>
      </c>
      <c r="C13550">
        <v>48357</v>
      </c>
      <c r="D13550" t="str">
        <f>"48357"</f>
        <v>48357</v>
      </c>
      <c r="E13550">
        <v>76.010000000000005</v>
      </c>
    </row>
    <row r="13551" spans="1:5" x14ac:dyDescent="0.2">
      <c r="A13551">
        <v>48359</v>
      </c>
      <c r="B13551" t="s">
        <v>28</v>
      </c>
      <c r="C13551">
        <v>48359</v>
      </c>
      <c r="D13551" t="str">
        <f>"48359"</f>
        <v>48359</v>
      </c>
      <c r="E13551">
        <v>78.38</v>
      </c>
    </row>
    <row r="13552" spans="1:5" x14ac:dyDescent="0.2">
      <c r="A13552">
        <v>48360</v>
      </c>
      <c r="B13552" t="s">
        <v>28</v>
      </c>
      <c r="C13552">
        <v>48360</v>
      </c>
      <c r="D13552" t="str">
        <f>"48360"</f>
        <v>48360</v>
      </c>
      <c r="E13552">
        <v>81.02</v>
      </c>
    </row>
    <row r="13553" spans="1:5" x14ac:dyDescent="0.2">
      <c r="A13553">
        <v>48362</v>
      </c>
      <c r="B13553" t="s">
        <v>28</v>
      </c>
      <c r="C13553">
        <v>48362</v>
      </c>
      <c r="D13553" t="str">
        <f>"48362"</f>
        <v>48362</v>
      </c>
      <c r="E13553">
        <v>78.41</v>
      </c>
    </row>
    <row r="13554" spans="1:5" x14ac:dyDescent="0.2">
      <c r="A13554">
        <v>48363</v>
      </c>
      <c r="B13554" t="s">
        <v>28</v>
      </c>
      <c r="C13554">
        <v>48363</v>
      </c>
      <c r="D13554" t="str">
        <f>"48363"</f>
        <v>48363</v>
      </c>
      <c r="E13554">
        <v>80.650000000000006</v>
      </c>
    </row>
    <row r="13555" spans="1:5" x14ac:dyDescent="0.2">
      <c r="A13555">
        <v>48367</v>
      </c>
      <c r="B13555" t="s">
        <v>28</v>
      </c>
      <c r="C13555">
        <v>48367</v>
      </c>
      <c r="D13555" t="str">
        <f>"48367"</f>
        <v>48367</v>
      </c>
      <c r="E13555">
        <v>77.88</v>
      </c>
    </row>
    <row r="13556" spans="1:5" x14ac:dyDescent="0.2">
      <c r="A13556">
        <v>48370</v>
      </c>
      <c r="B13556" t="s">
        <v>28</v>
      </c>
      <c r="C13556">
        <v>48370</v>
      </c>
      <c r="D13556" t="str">
        <f>"48370"</f>
        <v>48370</v>
      </c>
      <c r="E13556">
        <v>82.56</v>
      </c>
    </row>
    <row r="13557" spans="1:5" x14ac:dyDescent="0.2">
      <c r="A13557">
        <v>48371</v>
      </c>
      <c r="B13557" t="s">
        <v>28</v>
      </c>
      <c r="C13557">
        <v>48371</v>
      </c>
      <c r="D13557" t="str">
        <f>"48371"</f>
        <v>48371</v>
      </c>
      <c r="E13557">
        <v>77.3</v>
      </c>
    </row>
    <row r="13558" spans="1:5" x14ac:dyDescent="0.2">
      <c r="A13558">
        <v>48374</v>
      </c>
      <c r="B13558" t="s">
        <v>28</v>
      </c>
      <c r="C13558">
        <v>48374</v>
      </c>
      <c r="D13558" t="str">
        <f>"48374"</f>
        <v>48374</v>
      </c>
      <c r="E13558">
        <v>80.599999999999994</v>
      </c>
    </row>
    <row r="13559" spans="1:5" x14ac:dyDescent="0.2">
      <c r="A13559">
        <v>48375</v>
      </c>
      <c r="B13559" t="s">
        <v>28</v>
      </c>
      <c r="C13559">
        <v>48375</v>
      </c>
      <c r="D13559" t="str">
        <f>"48375"</f>
        <v>48375</v>
      </c>
      <c r="E13559">
        <v>81.19</v>
      </c>
    </row>
    <row r="13560" spans="1:5" x14ac:dyDescent="0.2">
      <c r="A13560">
        <v>48377</v>
      </c>
      <c r="B13560" t="s">
        <v>28</v>
      </c>
      <c r="C13560">
        <v>48377</v>
      </c>
      <c r="D13560" t="str">
        <f>"48377"</f>
        <v>48377</v>
      </c>
      <c r="E13560">
        <v>80.39</v>
      </c>
    </row>
    <row r="13561" spans="1:5" x14ac:dyDescent="0.2">
      <c r="A13561">
        <v>48380</v>
      </c>
      <c r="B13561" t="s">
        <v>28</v>
      </c>
      <c r="C13561">
        <v>48380</v>
      </c>
      <c r="D13561" t="str">
        <f>"48380"</f>
        <v>48380</v>
      </c>
      <c r="E13561">
        <v>79.680000000000007</v>
      </c>
    </row>
    <row r="13562" spans="1:5" x14ac:dyDescent="0.2">
      <c r="A13562">
        <v>48381</v>
      </c>
      <c r="B13562" t="s">
        <v>28</v>
      </c>
      <c r="C13562">
        <v>48381</v>
      </c>
      <c r="D13562" t="str">
        <f>"48381"</f>
        <v>48381</v>
      </c>
      <c r="E13562">
        <v>78.91</v>
      </c>
    </row>
    <row r="13563" spans="1:5" x14ac:dyDescent="0.2">
      <c r="A13563">
        <v>48382</v>
      </c>
      <c r="B13563" t="s">
        <v>28</v>
      </c>
      <c r="C13563">
        <v>48382</v>
      </c>
      <c r="D13563" t="str">
        <f>"48382"</f>
        <v>48382</v>
      </c>
      <c r="E13563">
        <v>79.36</v>
      </c>
    </row>
    <row r="13564" spans="1:5" x14ac:dyDescent="0.2">
      <c r="A13564">
        <v>48383</v>
      </c>
      <c r="B13564" t="s">
        <v>28</v>
      </c>
      <c r="C13564">
        <v>48383</v>
      </c>
      <c r="D13564" t="str">
        <f>"48383"</f>
        <v>48383</v>
      </c>
      <c r="E13564">
        <v>75.75</v>
      </c>
    </row>
    <row r="13565" spans="1:5" x14ac:dyDescent="0.2">
      <c r="A13565">
        <v>48386</v>
      </c>
      <c r="B13565" t="s">
        <v>28</v>
      </c>
      <c r="C13565">
        <v>48386</v>
      </c>
      <c r="D13565" t="str">
        <f>"48386"</f>
        <v>48386</v>
      </c>
      <c r="E13565">
        <v>78.13</v>
      </c>
    </row>
    <row r="13566" spans="1:5" x14ac:dyDescent="0.2">
      <c r="A13566">
        <v>48390</v>
      </c>
      <c r="B13566" t="s">
        <v>28</v>
      </c>
      <c r="C13566">
        <v>48390</v>
      </c>
      <c r="D13566" t="str">
        <f>"48390"</f>
        <v>48390</v>
      </c>
      <c r="E13566">
        <v>77.78</v>
      </c>
    </row>
    <row r="13567" spans="1:5" x14ac:dyDescent="0.2">
      <c r="A13567">
        <v>48393</v>
      </c>
      <c r="B13567" t="s">
        <v>28</v>
      </c>
      <c r="C13567">
        <v>48393</v>
      </c>
      <c r="D13567" t="str">
        <f>"48393"</f>
        <v>48393</v>
      </c>
      <c r="E13567">
        <v>74.06</v>
      </c>
    </row>
    <row r="13568" spans="1:5" x14ac:dyDescent="0.2">
      <c r="A13568">
        <v>48401</v>
      </c>
      <c r="B13568" t="s">
        <v>28</v>
      </c>
      <c r="C13568">
        <v>48401</v>
      </c>
      <c r="D13568" t="str">
        <f>"48401"</f>
        <v>48401</v>
      </c>
      <c r="E13568">
        <v>68.75</v>
      </c>
    </row>
    <row r="13569" spans="1:5" x14ac:dyDescent="0.2">
      <c r="A13569">
        <v>48410</v>
      </c>
      <c r="B13569" t="s">
        <v>28</v>
      </c>
      <c r="C13569">
        <v>48410</v>
      </c>
      <c r="D13569" t="str">
        <f>"48410"</f>
        <v>48410</v>
      </c>
      <c r="E13569" t="s">
        <v>6</v>
      </c>
    </row>
    <row r="13570" spans="1:5" x14ac:dyDescent="0.2">
      <c r="A13570">
        <v>48411</v>
      </c>
      <c r="B13570" t="s">
        <v>28</v>
      </c>
      <c r="C13570">
        <v>48411</v>
      </c>
      <c r="D13570" t="str">
        <f>"48411"</f>
        <v>48411</v>
      </c>
      <c r="E13570" t="s">
        <v>6</v>
      </c>
    </row>
    <row r="13571" spans="1:5" x14ac:dyDescent="0.2">
      <c r="A13571">
        <v>48412</v>
      </c>
      <c r="B13571" t="s">
        <v>28</v>
      </c>
      <c r="C13571">
        <v>48412</v>
      </c>
      <c r="D13571" t="str">
        <f>"48412"</f>
        <v>48412</v>
      </c>
      <c r="E13571">
        <v>74.650000000000006</v>
      </c>
    </row>
    <row r="13572" spans="1:5" x14ac:dyDescent="0.2">
      <c r="A13572">
        <v>48413</v>
      </c>
      <c r="B13572" t="s">
        <v>28</v>
      </c>
      <c r="C13572">
        <v>48413</v>
      </c>
      <c r="D13572" t="str">
        <f>"48413"</f>
        <v>48413</v>
      </c>
      <c r="E13572">
        <v>65.400000000000006</v>
      </c>
    </row>
    <row r="13573" spans="1:5" x14ac:dyDescent="0.2">
      <c r="A13573">
        <v>48414</v>
      </c>
      <c r="B13573" t="s">
        <v>28</v>
      </c>
      <c r="C13573">
        <v>48414</v>
      </c>
      <c r="D13573" t="str">
        <f>"48414"</f>
        <v>48414</v>
      </c>
      <c r="E13573">
        <v>71.55</v>
      </c>
    </row>
    <row r="13574" spans="1:5" x14ac:dyDescent="0.2">
      <c r="A13574">
        <v>48415</v>
      </c>
      <c r="B13574" t="s">
        <v>28</v>
      </c>
      <c r="C13574">
        <v>48415</v>
      </c>
      <c r="D13574" t="str">
        <f>"48415"</f>
        <v>48415</v>
      </c>
      <c r="E13574">
        <v>72.959999999999994</v>
      </c>
    </row>
    <row r="13575" spans="1:5" x14ac:dyDescent="0.2">
      <c r="A13575">
        <v>48416</v>
      </c>
      <c r="B13575" t="s">
        <v>28</v>
      </c>
      <c r="C13575">
        <v>48416</v>
      </c>
      <c r="D13575" t="str">
        <f>"48416"</f>
        <v>48416</v>
      </c>
      <c r="E13575">
        <v>66.819999999999993</v>
      </c>
    </row>
    <row r="13576" spans="1:5" x14ac:dyDescent="0.2">
      <c r="A13576">
        <v>48417</v>
      </c>
      <c r="B13576" t="s">
        <v>28</v>
      </c>
      <c r="C13576">
        <v>48417</v>
      </c>
      <c r="D13576" t="str">
        <f>"48417"</f>
        <v>48417</v>
      </c>
      <c r="E13576">
        <v>69.7</v>
      </c>
    </row>
    <row r="13577" spans="1:5" x14ac:dyDescent="0.2">
      <c r="A13577">
        <v>48418</v>
      </c>
      <c r="B13577" t="s">
        <v>28</v>
      </c>
      <c r="C13577">
        <v>48418</v>
      </c>
      <c r="D13577" t="str">
        <f>"48418"</f>
        <v>48418</v>
      </c>
      <c r="E13577">
        <v>73.11</v>
      </c>
    </row>
    <row r="13578" spans="1:5" x14ac:dyDescent="0.2">
      <c r="A13578">
        <v>48419</v>
      </c>
      <c r="B13578" t="s">
        <v>28</v>
      </c>
      <c r="C13578">
        <v>48419</v>
      </c>
      <c r="D13578" t="str">
        <f>"48419"</f>
        <v>48419</v>
      </c>
      <c r="E13578">
        <v>62.39</v>
      </c>
    </row>
    <row r="13579" spans="1:5" x14ac:dyDescent="0.2">
      <c r="A13579">
        <v>48420</v>
      </c>
      <c r="B13579" t="s">
        <v>28</v>
      </c>
      <c r="C13579">
        <v>48420</v>
      </c>
      <c r="D13579" t="str">
        <f>"48420"</f>
        <v>48420</v>
      </c>
      <c r="E13579">
        <v>71.08</v>
      </c>
    </row>
    <row r="13580" spans="1:5" x14ac:dyDescent="0.2">
      <c r="A13580">
        <v>48421</v>
      </c>
      <c r="B13580" t="s">
        <v>28</v>
      </c>
      <c r="C13580">
        <v>48421</v>
      </c>
      <c r="D13580" t="str">
        <f>"48421"</f>
        <v>48421</v>
      </c>
      <c r="E13580">
        <v>72.38</v>
      </c>
    </row>
    <row r="13581" spans="1:5" x14ac:dyDescent="0.2">
      <c r="A13581">
        <v>48422</v>
      </c>
      <c r="B13581" t="s">
        <v>28</v>
      </c>
      <c r="C13581">
        <v>48422</v>
      </c>
      <c r="D13581" t="str">
        <f>"48422"</f>
        <v>48422</v>
      </c>
      <c r="E13581">
        <v>65.599999999999994</v>
      </c>
    </row>
    <row r="13582" spans="1:5" x14ac:dyDescent="0.2">
      <c r="A13582">
        <v>48423</v>
      </c>
      <c r="B13582" t="s">
        <v>28</v>
      </c>
      <c r="C13582">
        <v>48423</v>
      </c>
      <c r="D13582" t="str">
        <f>"48423"</f>
        <v>48423</v>
      </c>
      <c r="E13582">
        <v>72.64</v>
      </c>
    </row>
    <row r="13583" spans="1:5" x14ac:dyDescent="0.2">
      <c r="A13583">
        <v>48426</v>
      </c>
      <c r="B13583" t="s">
        <v>28</v>
      </c>
      <c r="C13583">
        <v>48426</v>
      </c>
      <c r="D13583" t="str">
        <f>"48426"</f>
        <v>48426</v>
      </c>
      <c r="E13583">
        <v>64.86</v>
      </c>
    </row>
    <row r="13584" spans="1:5" x14ac:dyDescent="0.2">
      <c r="A13584">
        <v>48427</v>
      </c>
      <c r="B13584" t="s">
        <v>28</v>
      </c>
      <c r="C13584">
        <v>48427</v>
      </c>
      <c r="D13584" t="str">
        <f>"48427"</f>
        <v>48427</v>
      </c>
      <c r="E13584">
        <v>60</v>
      </c>
    </row>
    <row r="13585" spans="1:5" x14ac:dyDescent="0.2">
      <c r="A13585">
        <v>48428</v>
      </c>
      <c r="B13585" t="s">
        <v>28</v>
      </c>
      <c r="C13585">
        <v>48428</v>
      </c>
      <c r="D13585" t="str">
        <f>"48428"</f>
        <v>48428</v>
      </c>
      <c r="E13585">
        <v>78.09</v>
      </c>
    </row>
    <row r="13586" spans="1:5" x14ac:dyDescent="0.2">
      <c r="A13586">
        <v>48429</v>
      </c>
      <c r="B13586" t="s">
        <v>28</v>
      </c>
      <c r="C13586">
        <v>48429</v>
      </c>
      <c r="D13586" t="str">
        <f>"48429"</f>
        <v>48429</v>
      </c>
      <c r="E13586">
        <v>70.73</v>
      </c>
    </row>
    <row r="13587" spans="1:5" x14ac:dyDescent="0.2">
      <c r="A13587">
        <v>48430</v>
      </c>
      <c r="B13587" t="s">
        <v>28</v>
      </c>
      <c r="C13587">
        <v>48430</v>
      </c>
      <c r="D13587" t="str">
        <f>"48430"</f>
        <v>48430</v>
      </c>
      <c r="E13587">
        <v>76.81</v>
      </c>
    </row>
    <row r="13588" spans="1:5" x14ac:dyDescent="0.2">
      <c r="A13588">
        <v>48432</v>
      </c>
      <c r="B13588" t="s">
        <v>28</v>
      </c>
      <c r="C13588">
        <v>48432</v>
      </c>
      <c r="D13588" t="str">
        <f>"48432"</f>
        <v>48432</v>
      </c>
      <c r="E13588">
        <v>65.63</v>
      </c>
    </row>
    <row r="13589" spans="1:5" x14ac:dyDescent="0.2">
      <c r="A13589">
        <v>48433</v>
      </c>
      <c r="B13589" t="s">
        <v>28</v>
      </c>
      <c r="C13589">
        <v>48433</v>
      </c>
      <c r="D13589" t="str">
        <f>"48433"</f>
        <v>48433</v>
      </c>
      <c r="E13589">
        <v>73.31</v>
      </c>
    </row>
    <row r="13590" spans="1:5" x14ac:dyDescent="0.2">
      <c r="A13590">
        <v>48434</v>
      </c>
      <c r="B13590" t="s">
        <v>28</v>
      </c>
      <c r="C13590">
        <v>48434</v>
      </c>
      <c r="D13590" t="str">
        <f>"48434"</f>
        <v>48434</v>
      </c>
      <c r="E13590" t="s">
        <v>6</v>
      </c>
    </row>
    <row r="13591" spans="1:5" x14ac:dyDescent="0.2">
      <c r="A13591">
        <v>48435</v>
      </c>
      <c r="B13591" t="s">
        <v>28</v>
      </c>
      <c r="C13591">
        <v>48435</v>
      </c>
      <c r="D13591" t="str">
        <f>"48435"</f>
        <v>48435</v>
      </c>
      <c r="E13591">
        <v>68.09</v>
      </c>
    </row>
    <row r="13592" spans="1:5" x14ac:dyDescent="0.2">
      <c r="A13592">
        <v>48436</v>
      </c>
      <c r="B13592" t="s">
        <v>28</v>
      </c>
      <c r="C13592">
        <v>48436</v>
      </c>
      <c r="D13592" t="str">
        <f>"48436"</f>
        <v>48436</v>
      </c>
      <c r="E13592">
        <v>77.89</v>
      </c>
    </row>
    <row r="13593" spans="1:5" x14ac:dyDescent="0.2">
      <c r="A13593">
        <v>48437</v>
      </c>
      <c r="B13593" t="s">
        <v>28</v>
      </c>
      <c r="C13593">
        <v>48437</v>
      </c>
      <c r="D13593" t="str">
        <f>"48437"</f>
        <v>48437</v>
      </c>
      <c r="E13593" t="s">
        <v>6</v>
      </c>
    </row>
    <row r="13594" spans="1:5" x14ac:dyDescent="0.2">
      <c r="A13594">
        <v>48438</v>
      </c>
      <c r="B13594" t="s">
        <v>28</v>
      </c>
      <c r="C13594">
        <v>48438</v>
      </c>
      <c r="D13594" t="str">
        <f>"48438"</f>
        <v>48438</v>
      </c>
      <c r="E13594">
        <v>79.260000000000005</v>
      </c>
    </row>
    <row r="13595" spans="1:5" x14ac:dyDescent="0.2">
      <c r="A13595">
        <v>48439</v>
      </c>
      <c r="B13595" t="s">
        <v>28</v>
      </c>
      <c r="C13595">
        <v>48439</v>
      </c>
      <c r="D13595" t="str">
        <f>"48439"</f>
        <v>48439</v>
      </c>
      <c r="E13595">
        <v>76.510000000000005</v>
      </c>
    </row>
    <row r="13596" spans="1:5" x14ac:dyDescent="0.2">
      <c r="A13596">
        <v>48440</v>
      </c>
      <c r="B13596" t="s">
        <v>28</v>
      </c>
      <c r="C13596">
        <v>48440</v>
      </c>
      <c r="D13596" t="str">
        <f>"48440"</f>
        <v>48440</v>
      </c>
      <c r="E13596" t="s">
        <v>6</v>
      </c>
    </row>
    <row r="13597" spans="1:5" x14ac:dyDescent="0.2">
      <c r="A13597">
        <v>48441</v>
      </c>
      <c r="B13597" t="s">
        <v>28</v>
      </c>
      <c r="C13597">
        <v>48441</v>
      </c>
      <c r="D13597" t="str">
        <f>"48441"</f>
        <v>48441</v>
      </c>
      <c r="E13597">
        <v>65.98</v>
      </c>
    </row>
    <row r="13598" spans="1:5" x14ac:dyDescent="0.2">
      <c r="A13598">
        <v>48442</v>
      </c>
      <c r="B13598" t="s">
        <v>28</v>
      </c>
      <c r="C13598">
        <v>48442</v>
      </c>
      <c r="D13598" t="str">
        <f>"48442"</f>
        <v>48442</v>
      </c>
      <c r="E13598">
        <v>75.28</v>
      </c>
    </row>
    <row r="13599" spans="1:5" x14ac:dyDescent="0.2">
      <c r="A13599">
        <v>48444</v>
      </c>
      <c r="B13599" t="s">
        <v>28</v>
      </c>
      <c r="C13599">
        <v>48444</v>
      </c>
      <c r="D13599" t="str">
        <f>"48444"</f>
        <v>48444</v>
      </c>
      <c r="E13599">
        <v>68.930000000000007</v>
      </c>
    </row>
    <row r="13600" spans="1:5" x14ac:dyDescent="0.2">
      <c r="A13600">
        <v>48445</v>
      </c>
      <c r="B13600" t="s">
        <v>28</v>
      </c>
      <c r="C13600">
        <v>48445</v>
      </c>
      <c r="D13600" t="str">
        <f>"48445"</f>
        <v>48445</v>
      </c>
      <c r="E13600">
        <v>64.180000000000007</v>
      </c>
    </row>
    <row r="13601" spans="1:5" x14ac:dyDescent="0.2">
      <c r="A13601">
        <v>48446</v>
      </c>
      <c r="B13601" t="s">
        <v>28</v>
      </c>
      <c r="C13601">
        <v>48446</v>
      </c>
      <c r="D13601" t="str">
        <f>"48446"</f>
        <v>48446</v>
      </c>
      <c r="E13601">
        <v>71.75</v>
      </c>
    </row>
    <row r="13602" spans="1:5" x14ac:dyDescent="0.2">
      <c r="A13602">
        <v>48449</v>
      </c>
      <c r="B13602" t="s">
        <v>28</v>
      </c>
      <c r="C13602">
        <v>48449</v>
      </c>
      <c r="D13602" t="str">
        <f>"48449"</f>
        <v>48449</v>
      </c>
      <c r="E13602">
        <v>67.650000000000006</v>
      </c>
    </row>
    <row r="13603" spans="1:5" x14ac:dyDescent="0.2">
      <c r="A13603">
        <v>48450</v>
      </c>
      <c r="B13603" t="s">
        <v>28</v>
      </c>
      <c r="C13603">
        <v>48450</v>
      </c>
      <c r="D13603" t="str">
        <f>"48450"</f>
        <v>48450</v>
      </c>
      <c r="E13603">
        <v>67.87</v>
      </c>
    </row>
    <row r="13604" spans="1:5" x14ac:dyDescent="0.2">
      <c r="A13604">
        <v>48451</v>
      </c>
      <c r="B13604" t="s">
        <v>28</v>
      </c>
      <c r="C13604">
        <v>48451</v>
      </c>
      <c r="D13604" t="str">
        <f>"48451"</f>
        <v>48451</v>
      </c>
      <c r="E13604">
        <v>77.180000000000007</v>
      </c>
    </row>
    <row r="13605" spans="1:5" x14ac:dyDescent="0.2">
      <c r="A13605">
        <v>48453</v>
      </c>
      <c r="B13605" t="s">
        <v>28</v>
      </c>
      <c r="C13605">
        <v>48453</v>
      </c>
      <c r="D13605" t="str">
        <f>"48453"</f>
        <v>48453</v>
      </c>
      <c r="E13605">
        <v>64.02</v>
      </c>
    </row>
    <row r="13606" spans="1:5" x14ac:dyDescent="0.2">
      <c r="A13606">
        <v>48454</v>
      </c>
      <c r="B13606" t="s">
        <v>28</v>
      </c>
      <c r="C13606">
        <v>48454</v>
      </c>
      <c r="D13606" t="str">
        <f>"48454"</f>
        <v>48454</v>
      </c>
      <c r="E13606">
        <v>72.13</v>
      </c>
    </row>
    <row r="13607" spans="1:5" x14ac:dyDescent="0.2">
      <c r="A13607">
        <v>48455</v>
      </c>
      <c r="B13607" t="s">
        <v>28</v>
      </c>
      <c r="C13607">
        <v>48455</v>
      </c>
      <c r="D13607" t="str">
        <f>"48455"</f>
        <v>48455</v>
      </c>
      <c r="E13607">
        <v>77.61</v>
      </c>
    </row>
    <row r="13608" spans="1:5" x14ac:dyDescent="0.2">
      <c r="A13608">
        <v>48456</v>
      </c>
      <c r="B13608" t="s">
        <v>28</v>
      </c>
      <c r="C13608">
        <v>48456</v>
      </c>
      <c r="D13608" t="str">
        <f>"48456"</f>
        <v>48456</v>
      </c>
      <c r="E13608">
        <v>65.790000000000006</v>
      </c>
    </row>
    <row r="13609" spans="1:5" x14ac:dyDescent="0.2">
      <c r="A13609">
        <v>48457</v>
      </c>
      <c r="B13609" t="s">
        <v>28</v>
      </c>
      <c r="C13609">
        <v>48457</v>
      </c>
      <c r="D13609" t="str">
        <f>"48457"</f>
        <v>48457</v>
      </c>
      <c r="E13609">
        <v>66.05</v>
      </c>
    </row>
    <row r="13610" spans="1:5" x14ac:dyDescent="0.2">
      <c r="A13610">
        <v>48458</v>
      </c>
      <c r="B13610" t="s">
        <v>28</v>
      </c>
      <c r="C13610">
        <v>48458</v>
      </c>
      <c r="D13610" t="str">
        <f>"48458"</f>
        <v>48458</v>
      </c>
      <c r="E13610">
        <v>56.76</v>
      </c>
    </row>
    <row r="13611" spans="1:5" x14ac:dyDescent="0.2">
      <c r="A13611">
        <v>48460</v>
      </c>
      <c r="B13611" t="s">
        <v>28</v>
      </c>
      <c r="C13611">
        <v>48460</v>
      </c>
      <c r="D13611" t="str">
        <f>"48460"</f>
        <v>48460</v>
      </c>
      <c r="E13611">
        <v>74.31</v>
      </c>
    </row>
    <row r="13612" spans="1:5" x14ac:dyDescent="0.2">
      <c r="A13612">
        <v>48461</v>
      </c>
      <c r="B13612" t="s">
        <v>28</v>
      </c>
      <c r="C13612">
        <v>48461</v>
      </c>
      <c r="D13612" t="str">
        <f>"48461"</f>
        <v>48461</v>
      </c>
      <c r="E13612">
        <v>70.56</v>
      </c>
    </row>
    <row r="13613" spans="1:5" x14ac:dyDescent="0.2">
      <c r="A13613">
        <v>48462</v>
      </c>
      <c r="B13613" t="s">
        <v>28</v>
      </c>
      <c r="C13613">
        <v>48462</v>
      </c>
      <c r="D13613" t="str">
        <f>"48462"</f>
        <v>48462</v>
      </c>
      <c r="E13613">
        <v>78.81</v>
      </c>
    </row>
    <row r="13614" spans="1:5" x14ac:dyDescent="0.2">
      <c r="A13614">
        <v>48463</v>
      </c>
      <c r="B13614" t="s">
        <v>28</v>
      </c>
      <c r="C13614">
        <v>48463</v>
      </c>
      <c r="D13614" t="str">
        <f>"48463"</f>
        <v>48463</v>
      </c>
      <c r="E13614">
        <v>72.400000000000006</v>
      </c>
    </row>
    <row r="13615" spans="1:5" x14ac:dyDescent="0.2">
      <c r="A13615">
        <v>48464</v>
      </c>
      <c r="B13615" t="s">
        <v>28</v>
      </c>
      <c r="C13615">
        <v>48464</v>
      </c>
      <c r="D13615" t="str">
        <f>"48464"</f>
        <v>48464</v>
      </c>
      <c r="E13615">
        <v>70.53</v>
      </c>
    </row>
    <row r="13616" spans="1:5" x14ac:dyDescent="0.2">
      <c r="A13616">
        <v>48465</v>
      </c>
      <c r="B13616" t="s">
        <v>28</v>
      </c>
      <c r="C13616">
        <v>48465</v>
      </c>
      <c r="D13616" t="str">
        <f>"48465"</f>
        <v>48465</v>
      </c>
      <c r="E13616">
        <v>65.52</v>
      </c>
    </row>
    <row r="13617" spans="1:5" x14ac:dyDescent="0.2">
      <c r="A13617">
        <v>48466</v>
      </c>
      <c r="B13617" t="s">
        <v>28</v>
      </c>
      <c r="C13617">
        <v>48466</v>
      </c>
      <c r="D13617" t="str">
        <f>"48466"</f>
        <v>48466</v>
      </c>
      <c r="E13617">
        <v>68</v>
      </c>
    </row>
    <row r="13618" spans="1:5" x14ac:dyDescent="0.2">
      <c r="A13618">
        <v>48467</v>
      </c>
      <c r="B13618" t="s">
        <v>28</v>
      </c>
      <c r="C13618">
        <v>48467</v>
      </c>
      <c r="D13618" t="str">
        <f>"48467"</f>
        <v>48467</v>
      </c>
      <c r="E13618">
        <v>69.3</v>
      </c>
    </row>
    <row r="13619" spans="1:5" x14ac:dyDescent="0.2">
      <c r="A13619">
        <v>48468</v>
      </c>
      <c r="B13619" t="s">
        <v>28</v>
      </c>
      <c r="C13619">
        <v>48468</v>
      </c>
      <c r="D13619" t="str">
        <f>"48468"</f>
        <v>48468</v>
      </c>
      <c r="E13619">
        <v>66.13</v>
      </c>
    </row>
    <row r="13620" spans="1:5" x14ac:dyDescent="0.2">
      <c r="A13620">
        <v>48469</v>
      </c>
      <c r="B13620" t="s">
        <v>28</v>
      </c>
      <c r="C13620">
        <v>48469</v>
      </c>
      <c r="D13620" t="str">
        <f>"48469"</f>
        <v>48469</v>
      </c>
      <c r="E13620">
        <v>73.02</v>
      </c>
    </row>
    <row r="13621" spans="1:5" x14ac:dyDescent="0.2">
      <c r="A13621">
        <v>48470</v>
      </c>
      <c r="B13621" t="s">
        <v>28</v>
      </c>
      <c r="C13621">
        <v>48470</v>
      </c>
      <c r="D13621" t="str">
        <f>"48470"</f>
        <v>48470</v>
      </c>
      <c r="E13621">
        <v>69.44</v>
      </c>
    </row>
    <row r="13622" spans="1:5" x14ac:dyDescent="0.2">
      <c r="A13622">
        <v>48471</v>
      </c>
      <c r="B13622" t="s">
        <v>28</v>
      </c>
      <c r="C13622">
        <v>48471</v>
      </c>
      <c r="D13622" t="str">
        <f>"48471"</f>
        <v>48471</v>
      </c>
      <c r="E13622">
        <v>63.92</v>
      </c>
    </row>
    <row r="13623" spans="1:5" x14ac:dyDescent="0.2">
      <c r="A13623">
        <v>48472</v>
      </c>
      <c r="B13623" t="s">
        <v>28</v>
      </c>
      <c r="C13623">
        <v>48472</v>
      </c>
      <c r="D13623" t="str">
        <f>"48472"</f>
        <v>48472</v>
      </c>
      <c r="E13623">
        <v>63.16</v>
      </c>
    </row>
    <row r="13624" spans="1:5" x14ac:dyDescent="0.2">
      <c r="A13624">
        <v>48473</v>
      </c>
      <c r="B13624" t="s">
        <v>28</v>
      </c>
      <c r="C13624">
        <v>48473</v>
      </c>
      <c r="D13624" t="str">
        <f>"48473"</f>
        <v>48473</v>
      </c>
      <c r="E13624">
        <v>74.459999999999994</v>
      </c>
    </row>
    <row r="13625" spans="1:5" x14ac:dyDescent="0.2">
      <c r="A13625">
        <v>48475</v>
      </c>
      <c r="B13625" t="s">
        <v>28</v>
      </c>
      <c r="C13625">
        <v>48475</v>
      </c>
      <c r="D13625" t="str">
        <f>"48475"</f>
        <v>48475</v>
      </c>
      <c r="E13625">
        <v>70.900000000000006</v>
      </c>
    </row>
    <row r="13626" spans="1:5" x14ac:dyDescent="0.2">
      <c r="A13626">
        <v>48476</v>
      </c>
      <c r="B13626" t="s">
        <v>28</v>
      </c>
      <c r="C13626">
        <v>48476</v>
      </c>
      <c r="D13626" t="str">
        <f>"48476"</f>
        <v>48476</v>
      </c>
      <c r="E13626" t="s">
        <v>6</v>
      </c>
    </row>
    <row r="13627" spans="1:5" x14ac:dyDescent="0.2">
      <c r="A13627">
        <v>48502</v>
      </c>
      <c r="B13627" t="s">
        <v>28</v>
      </c>
      <c r="C13627">
        <v>48502</v>
      </c>
      <c r="D13627" t="str">
        <f>"48502"</f>
        <v>48502</v>
      </c>
      <c r="E13627">
        <v>62.22</v>
      </c>
    </row>
    <row r="13628" spans="1:5" x14ac:dyDescent="0.2">
      <c r="A13628">
        <v>48503</v>
      </c>
      <c r="B13628" t="s">
        <v>28</v>
      </c>
      <c r="C13628">
        <v>48503</v>
      </c>
      <c r="D13628" t="str">
        <f>"48503"</f>
        <v>48503</v>
      </c>
      <c r="E13628">
        <v>52.51</v>
      </c>
    </row>
    <row r="13629" spans="1:5" x14ac:dyDescent="0.2">
      <c r="A13629">
        <v>48504</v>
      </c>
      <c r="B13629" t="s">
        <v>28</v>
      </c>
      <c r="C13629">
        <v>48504</v>
      </c>
      <c r="D13629" t="str">
        <f>"48504"</f>
        <v>48504</v>
      </c>
      <c r="E13629">
        <v>47.85</v>
      </c>
    </row>
    <row r="13630" spans="1:5" x14ac:dyDescent="0.2">
      <c r="A13630">
        <v>48505</v>
      </c>
      <c r="B13630" t="s">
        <v>28</v>
      </c>
      <c r="C13630">
        <v>48505</v>
      </c>
      <c r="D13630" t="str">
        <f>"48505"</f>
        <v>48505</v>
      </c>
      <c r="E13630">
        <v>41.26</v>
      </c>
    </row>
    <row r="13631" spans="1:5" x14ac:dyDescent="0.2">
      <c r="A13631">
        <v>48506</v>
      </c>
      <c r="B13631" t="s">
        <v>28</v>
      </c>
      <c r="C13631">
        <v>48506</v>
      </c>
      <c r="D13631" t="str">
        <f>"48506"</f>
        <v>48506</v>
      </c>
      <c r="E13631">
        <v>57.47</v>
      </c>
    </row>
    <row r="13632" spans="1:5" x14ac:dyDescent="0.2">
      <c r="A13632">
        <v>48507</v>
      </c>
      <c r="B13632" t="s">
        <v>28</v>
      </c>
      <c r="C13632">
        <v>48507</v>
      </c>
      <c r="D13632" t="str">
        <f>"48507"</f>
        <v>48507</v>
      </c>
      <c r="E13632">
        <v>58.71</v>
      </c>
    </row>
    <row r="13633" spans="1:5" x14ac:dyDescent="0.2">
      <c r="A13633">
        <v>48509</v>
      </c>
      <c r="B13633" t="s">
        <v>28</v>
      </c>
      <c r="C13633">
        <v>48509</v>
      </c>
      <c r="D13633" t="str">
        <f>"48509"</f>
        <v>48509</v>
      </c>
      <c r="E13633">
        <v>70.41</v>
      </c>
    </row>
    <row r="13634" spans="1:5" x14ac:dyDescent="0.2">
      <c r="A13634">
        <v>48519</v>
      </c>
      <c r="B13634" t="s">
        <v>28</v>
      </c>
      <c r="C13634">
        <v>48519</v>
      </c>
      <c r="D13634" t="str">
        <f>"48519"</f>
        <v>48519</v>
      </c>
      <c r="E13634">
        <v>67.78</v>
      </c>
    </row>
    <row r="13635" spans="1:5" x14ac:dyDescent="0.2">
      <c r="A13635">
        <v>48529</v>
      </c>
      <c r="B13635" t="s">
        <v>28</v>
      </c>
      <c r="C13635">
        <v>48529</v>
      </c>
      <c r="D13635" t="str">
        <f>"48529"</f>
        <v>48529</v>
      </c>
      <c r="E13635">
        <v>55.91</v>
      </c>
    </row>
    <row r="13636" spans="1:5" x14ac:dyDescent="0.2">
      <c r="A13636">
        <v>48532</v>
      </c>
      <c r="B13636" t="s">
        <v>28</v>
      </c>
      <c r="C13636">
        <v>48532</v>
      </c>
      <c r="D13636" t="str">
        <f>"48532"</f>
        <v>48532</v>
      </c>
      <c r="E13636">
        <v>63.15</v>
      </c>
    </row>
    <row r="13637" spans="1:5" x14ac:dyDescent="0.2">
      <c r="A13637">
        <v>48550</v>
      </c>
      <c r="B13637" t="s">
        <v>28</v>
      </c>
      <c r="C13637">
        <v>48550</v>
      </c>
      <c r="D13637" t="str">
        <f>"48550"</f>
        <v>48550</v>
      </c>
      <c r="E13637" t="s">
        <v>6</v>
      </c>
    </row>
    <row r="13638" spans="1:5" x14ac:dyDescent="0.2">
      <c r="A13638">
        <v>48551</v>
      </c>
      <c r="B13638" t="s">
        <v>28</v>
      </c>
      <c r="C13638">
        <v>48551</v>
      </c>
      <c r="D13638" t="str">
        <f>"48551"</f>
        <v>48551</v>
      </c>
      <c r="E13638" t="s">
        <v>6</v>
      </c>
    </row>
    <row r="13639" spans="1:5" x14ac:dyDescent="0.2">
      <c r="A13639">
        <v>48552</v>
      </c>
      <c r="B13639" t="s">
        <v>28</v>
      </c>
      <c r="C13639">
        <v>48552</v>
      </c>
      <c r="D13639" t="str">
        <f>"48552"</f>
        <v>48552</v>
      </c>
      <c r="E13639" t="s">
        <v>6</v>
      </c>
    </row>
    <row r="13640" spans="1:5" x14ac:dyDescent="0.2">
      <c r="A13640">
        <v>48553</v>
      </c>
      <c r="B13640" t="s">
        <v>28</v>
      </c>
      <c r="C13640">
        <v>48553</v>
      </c>
      <c r="D13640" t="str">
        <f>"48553"</f>
        <v>48553</v>
      </c>
      <c r="E13640" t="s">
        <v>6</v>
      </c>
    </row>
    <row r="13641" spans="1:5" x14ac:dyDescent="0.2">
      <c r="A13641">
        <v>48554</v>
      </c>
      <c r="B13641" t="s">
        <v>28</v>
      </c>
      <c r="C13641">
        <v>48554</v>
      </c>
      <c r="D13641" t="str">
        <f>"48554"</f>
        <v>48554</v>
      </c>
      <c r="E13641" t="s">
        <v>6</v>
      </c>
    </row>
    <row r="13642" spans="1:5" x14ac:dyDescent="0.2">
      <c r="A13642">
        <v>48601</v>
      </c>
      <c r="B13642" t="s">
        <v>28</v>
      </c>
      <c r="C13642">
        <v>48601</v>
      </c>
      <c r="D13642" t="str">
        <f>"48601"</f>
        <v>48601</v>
      </c>
      <c r="E13642">
        <v>48.14</v>
      </c>
    </row>
    <row r="13643" spans="1:5" x14ac:dyDescent="0.2">
      <c r="A13643">
        <v>48602</v>
      </c>
      <c r="B13643" t="s">
        <v>28</v>
      </c>
      <c r="C13643">
        <v>48602</v>
      </c>
      <c r="D13643" t="str">
        <f>"48602"</f>
        <v>48602</v>
      </c>
      <c r="E13643">
        <v>54.38</v>
      </c>
    </row>
    <row r="13644" spans="1:5" x14ac:dyDescent="0.2">
      <c r="A13644">
        <v>48603</v>
      </c>
      <c r="B13644" t="s">
        <v>28</v>
      </c>
      <c r="C13644">
        <v>48603</v>
      </c>
      <c r="D13644" t="str">
        <f>"48603"</f>
        <v>48603</v>
      </c>
      <c r="E13644">
        <v>73.23</v>
      </c>
    </row>
    <row r="13645" spans="1:5" x14ac:dyDescent="0.2">
      <c r="A13645">
        <v>48604</v>
      </c>
      <c r="B13645" t="s">
        <v>28</v>
      </c>
      <c r="C13645">
        <v>48604</v>
      </c>
      <c r="D13645" t="str">
        <f>"48604"</f>
        <v>48604</v>
      </c>
      <c r="E13645">
        <v>67.28</v>
      </c>
    </row>
    <row r="13646" spans="1:5" x14ac:dyDescent="0.2">
      <c r="A13646">
        <v>48607</v>
      </c>
      <c r="B13646" t="s">
        <v>28</v>
      </c>
      <c r="C13646">
        <v>48607</v>
      </c>
      <c r="D13646" t="str">
        <f>"48607"</f>
        <v>48607</v>
      </c>
      <c r="E13646">
        <v>48.15</v>
      </c>
    </row>
    <row r="13647" spans="1:5" x14ac:dyDescent="0.2">
      <c r="A13647">
        <v>48609</v>
      </c>
      <c r="B13647" t="s">
        <v>28</v>
      </c>
      <c r="C13647">
        <v>48609</v>
      </c>
      <c r="D13647" t="str">
        <f>"48609"</f>
        <v>48609</v>
      </c>
      <c r="E13647">
        <v>74.760000000000005</v>
      </c>
    </row>
    <row r="13648" spans="1:5" x14ac:dyDescent="0.2">
      <c r="A13648">
        <v>48610</v>
      </c>
      <c r="B13648" t="s">
        <v>28</v>
      </c>
      <c r="C13648">
        <v>48610</v>
      </c>
      <c r="D13648" t="str">
        <f>"48610"</f>
        <v>48610</v>
      </c>
      <c r="E13648">
        <v>64.08</v>
      </c>
    </row>
    <row r="13649" spans="1:5" x14ac:dyDescent="0.2">
      <c r="A13649">
        <v>48611</v>
      </c>
      <c r="B13649" t="s">
        <v>28</v>
      </c>
      <c r="C13649">
        <v>48611</v>
      </c>
      <c r="D13649" t="str">
        <f>"48611"</f>
        <v>48611</v>
      </c>
      <c r="E13649">
        <v>75.23</v>
      </c>
    </row>
    <row r="13650" spans="1:5" x14ac:dyDescent="0.2">
      <c r="A13650">
        <v>48612</v>
      </c>
      <c r="B13650" t="s">
        <v>28</v>
      </c>
      <c r="C13650">
        <v>48612</v>
      </c>
      <c r="D13650" t="str">
        <f>"48612"</f>
        <v>48612</v>
      </c>
      <c r="E13650">
        <v>67.650000000000006</v>
      </c>
    </row>
    <row r="13651" spans="1:5" x14ac:dyDescent="0.2">
      <c r="A13651">
        <v>48613</v>
      </c>
      <c r="B13651" t="s">
        <v>28</v>
      </c>
      <c r="C13651">
        <v>48613</v>
      </c>
      <c r="D13651" t="str">
        <f>"48613"</f>
        <v>48613</v>
      </c>
      <c r="E13651">
        <v>68.75</v>
      </c>
    </row>
    <row r="13652" spans="1:5" x14ac:dyDescent="0.2">
      <c r="A13652">
        <v>48614</v>
      </c>
      <c r="B13652" t="s">
        <v>28</v>
      </c>
      <c r="C13652">
        <v>48614</v>
      </c>
      <c r="D13652" t="str">
        <f>"48614"</f>
        <v>48614</v>
      </c>
      <c r="E13652">
        <v>70.180000000000007</v>
      </c>
    </row>
    <row r="13653" spans="1:5" x14ac:dyDescent="0.2">
      <c r="A13653">
        <v>48615</v>
      </c>
      <c r="B13653" t="s">
        <v>28</v>
      </c>
      <c r="C13653">
        <v>48615</v>
      </c>
      <c r="D13653" t="str">
        <f>"48615"</f>
        <v>48615</v>
      </c>
      <c r="E13653">
        <v>69.400000000000006</v>
      </c>
    </row>
    <row r="13654" spans="1:5" x14ac:dyDescent="0.2">
      <c r="A13654">
        <v>48616</v>
      </c>
      <c r="B13654" t="s">
        <v>28</v>
      </c>
      <c r="C13654">
        <v>48616</v>
      </c>
      <c r="D13654" t="str">
        <f>"48616"</f>
        <v>48616</v>
      </c>
      <c r="E13654">
        <v>70.400000000000006</v>
      </c>
    </row>
    <row r="13655" spans="1:5" x14ac:dyDescent="0.2">
      <c r="A13655">
        <v>48617</v>
      </c>
      <c r="B13655" t="s">
        <v>28</v>
      </c>
      <c r="C13655">
        <v>48617</v>
      </c>
      <c r="D13655" t="str">
        <f>"48617"</f>
        <v>48617</v>
      </c>
      <c r="E13655">
        <v>65.88</v>
      </c>
    </row>
    <row r="13656" spans="1:5" x14ac:dyDescent="0.2">
      <c r="A13656">
        <v>48618</v>
      </c>
      <c r="B13656" t="s">
        <v>28</v>
      </c>
      <c r="C13656">
        <v>48618</v>
      </c>
      <c r="D13656" t="str">
        <f>"48618"</f>
        <v>48618</v>
      </c>
      <c r="E13656">
        <v>69.290000000000006</v>
      </c>
    </row>
    <row r="13657" spans="1:5" x14ac:dyDescent="0.2">
      <c r="A13657">
        <v>48619</v>
      </c>
      <c r="B13657" t="s">
        <v>28</v>
      </c>
      <c r="C13657">
        <v>48619</v>
      </c>
      <c r="D13657" t="str">
        <f>"48619"</f>
        <v>48619</v>
      </c>
      <c r="E13657">
        <v>71.430000000000007</v>
      </c>
    </row>
    <row r="13658" spans="1:5" x14ac:dyDescent="0.2">
      <c r="A13658">
        <v>48621</v>
      </c>
      <c r="B13658" t="s">
        <v>28</v>
      </c>
      <c r="C13658">
        <v>48621</v>
      </c>
      <c r="D13658" t="str">
        <f>"48621"</f>
        <v>48621</v>
      </c>
      <c r="E13658">
        <v>62.07</v>
      </c>
    </row>
    <row r="13659" spans="1:5" x14ac:dyDescent="0.2">
      <c r="A13659">
        <v>48622</v>
      </c>
      <c r="B13659" t="s">
        <v>28</v>
      </c>
      <c r="C13659">
        <v>48622</v>
      </c>
      <c r="D13659" t="str">
        <f>"48622"</f>
        <v>48622</v>
      </c>
      <c r="E13659">
        <v>68.53</v>
      </c>
    </row>
    <row r="13660" spans="1:5" x14ac:dyDescent="0.2">
      <c r="A13660">
        <v>48623</v>
      </c>
      <c r="B13660" t="s">
        <v>28</v>
      </c>
      <c r="C13660">
        <v>48623</v>
      </c>
      <c r="D13660" t="str">
        <f>"48623"</f>
        <v>48623</v>
      </c>
      <c r="E13660">
        <v>78.23</v>
      </c>
    </row>
    <row r="13661" spans="1:5" x14ac:dyDescent="0.2">
      <c r="A13661">
        <v>48624</v>
      </c>
      <c r="B13661" t="s">
        <v>28</v>
      </c>
      <c r="C13661">
        <v>48624</v>
      </c>
      <c r="D13661" t="str">
        <f>"48624"</f>
        <v>48624</v>
      </c>
      <c r="E13661">
        <v>65.33</v>
      </c>
    </row>
    <row r="13662" spans="1:5" x14ac:dyDescent="0.2">
      <c r="A13662">
        <v>48625</v>
      </c>
      <c r="B13662" t="s">
        <v>28</v>
      </c>
      <c r="C13662">
        <v>48625</v>
      </c>
      <c r="D13662" t="str">
        <f>"48625"</f>
        <v>48625</v>
      </c>
      <c r="E13662">
        <v>60.54</v>
      </c>
    </row>
    <row r="13663" spans="1:5" x14ac:dyDescent="0.2">
      <c r="A13663">
        <v>48626</v>
      </c>
      <c r="B13663" t="s">
        <v>28</v>
      </c>
      <c r="C13663">
        <v>48626</v>
      </c>
      <c r="D13663" t="str">
        <f>"48626"</f>
        <v>48626</v>
      </c>
      <c r="E13663">
        <v>73.930000000000007</v>
      </c>
    </row>
    <row r="13664" spans="1:5" x14ac:dyDescent="0.2">
      <c r="A13664">
        <v>48628</v>
      </c>
      <c r="B13664" t="s">
        <v>28</v>
      </c>
      <c r="C13664">
        <v>48628</v>
      </c>
      <c r="D13664" t="str">
        <f>"48628"</f>
        <v>48628</v>
      </c>
      <c r="E13664">
        <v>69.47</v>
      </c>
    </row>
    <row r="13665" spans="1:5" x14ac:dyDescent="0.2">
      <c r="A13665">
        <v>48629</v>
      </c>
      <c r="B13665" t="s">
        <v>28</v>
      </c>
      <c r="C13665">
        <v>48629</v>
      </c>
      <c r="D13665" t="str">
        <f>"48629"</f>
        <v>48629</v>
      </c>
      <c r="E13665">
        <v>64.22</v>
      </c>
    </row>
    <row r="13666" spans="1:5" x14ac:dyDescent="0.2">
      <c r="A13666">
        <v>48630</v>
      </c>
      <c r="B13666" t="s">
        <v>28</v>
      </c>
      <c r="C13666">
        <v>48630</v>
      </c>
      <c r="D13666" t="str">
        <f>"48630"</f>
        <v>48630</v>
      </c>
      <c r="E13666" t="s">
        <v>6</v>
      </c>
    </row>
    <row r="13667" spans="1:5" x14ac:dyDescent="0.2">
      <c r="A13667">
        <v>48631</v>
      </c>
      <c r="B13667" t="s">
        <v>28</v>
      </c>
      <c r="C13667">
        <v>48631</v>
      </c>
      <c r="D13667" t="str">
        <f>"48631"</f>
        <v>48631</v>
      </c>
      <c r="E13667">
        <v>74.77</v>
      </c>
    </row>
    <row r="13668" spans="1:5" x14ac:dyDescent="0.2">
      <c r="A13668">
        <v>48632</v>
      </c>
      <c r="B13668" t="s">
        <v>28</v>
      </c>
      <c r="C13668">
        <v>48632</v>
      </c>
      <c r="D13668" t="str">
        <f>"48632"</f>
        <v>48632</v>
      </c>
      <c r="E13668">
        <v>63.94</v>
      </c>
    </row>
    <row r="13669" spans="1:5" x14ac:dyDescent="0.2">
      <c r="A13669">
        <v>48634</v>
      </c>
      <c r="B13669" t="s">
        <v>28</v>
      </c>
      <c r="C13669">
        <v>48634</v>
      </c>
      <c r="D13669" t="str">
        <f>"48634"</f>
        <v>48634</v>
      </c>
      <c r="E13669">
        <v>75.69</v>
      </c>
    </row>
    <row r="13670" spans="1:5" x14ac:dyDescent="0.2">
      <c r="A13670">
        <v>48635</v>
      </c>
      <c r="B13670" t="s">
        <v>28</v>
      </c>
      <c r="C13670">
        <v>48635</v>
      </c>
      <c r="D13670" t="str">
        <f>"48635"</f>
        <v>48635</v>
      </c>
      <c r="E13670">
        <v>66.150000000000006</v>
      </c>
    </row>
    <row r="13671" spans="1:5" x14ac:dyDescent="0.2">
      <c r="A13671">
        <v>48636</v>
      </c>
      <c r="B13671" t="s">
        <v>28</v>
      </c>
      <c r="C13671">
        <v>48636</v>
      </c>
      <c r="D13671" t="str">
        <f>"48636"</f>
        <v>48636</v>
      </c>
      <c r="E13671">
        <v>60.53</v>
      </c>
    </row>
    <row r="13672" spans="1:5" x14ac:dyDescent="0.2">
      <c r="A13672">
        <v>48637</v>
      </c>
      <c r="B13672" t="s">
        <v>28</v>
      </c>
      <c r="C13672">
        <v>48637</v>
      </c>
      <c r="D13672" t="str">
        <f>"48637"</f>
        <v>48637</v>
      </c>
      <c r="E13672">
        <v>70.19</v>
      </c>
    </row>
    <row r="13673" spans="1:5" x14ac:dyDescent="0.2">
      <c r="A13673">
        <v>48638</v>
      </c>
      <c r="B13673" t="s">
        <v>28</v>
      </c>
      <c r="C13673">
        <v>48638</v>
      </c>
      <c r="D13673" t="str">
        <f>"48638"</f>
        <v>48638</v>
      </c>
      <c r="E13673">
        <v>71.39</v>
      </c>
    </row>
    <row r="13674" spans="1:5" x14ac:dyDescent="0.2">
      <c r="A13674">
        <v>48640</v>
      </c>
      <c r="B13674" t="s">
        <v>28</v>
      </c>
      <c r="C13674">
        <v>48640</v>
      </c>
      <c r="D13674" t="str">
        <f>"48640"</f>
        <v>48640</v>
      </c>
      <c r="E13674">
        <v>72.52</v>
      </c>
    </row>
    <row r="13675" spans="1:5" x14ac:dyDescent="0.2">
      <c r="A13675">
        <v>48642</v>
      </c>
      <c r="B13675" t="s">
        <v>28</v>
      </c>
      <c r="C13675">
        <v>48642</v>
      </c>
      <c r="D13675" t="str">
        <f>"48642"</f>
        <v>48642</v>
      </c>
      <c r="E13675">
        <v>75.239999999999995</v>
      </c>
    </row>
    <row r="13676" spans="1:5" x14ac:dyDescent="0.2">
      <c r="A13676">
        <v>48647</v>
      </c>
      <c r="B13676" t="s">
        <v>28</v>
      </c>
      <c r="C13676">
        <v>48647</v>
      </c>
      <c r="D13676" t="str">
        <f>"48647"</f>
        <v>48647</v>
      </c>
      <c r="E13676">
        <v>59.89</v>
      </c>
    </row>
    <row r="13677" spans="1:5" x14ac:dyDescent="0.2">
      <c r="A13677">
        <v>48649</v>
      </c>
      <c r="B13677" t="s">
        <v>28</v>
      </c>
      <c r="C13677">
        <v>48649</v>
      </c>
      <c r="D13677" t="str">
        <f>"48649"</f>
        <v>48649</v>
      </c>
      <c r="E13677">
        <v>69.88</v>
      </c>
    </row>
    <row r="13678" spans="1:5" x14ac:dyDescent="0.2">
      <c r="A13678">
        <v>48650</v>
      </c>
      <c r="B13678" t="s">
        <v>28</v>
      </c>
      <c r="C13678">
        <v>48650</v>
      </c>
      <c r="D13678" t="str">
        <f>"48650"</f>
        <v>48650</v>
      </c>
      <c r="E13678">
        <v>69.790000000000006</v>
      </c>
    </row>
    <row r="13679" spans="1:5" x14ac:dyDescent="0.2">
      <c r="A13679">
        <v>48651</v>
      </c>
      <c r="B13679" t="s">
        <v>28</v>
      </c>
      <c r="C13679">
        <v>48651</v>
      </c>
      <c r="D13679" t="str">
        <f>"48651"</f>
        <v>48651</v>
      </c>
      <c r="E13679">
        <v>63.72</v>
      </c>
    </row>
    <row r="13680" spans="1:5" x14ac:dyDescent="0.2">
      <c r="A13680">
        <v>48652</v>
      </c>
      <c r="B13680" t="s">
        <v>28</v>
      </c>
      <c r="C13680">
        <v>48652</v>
      </c>
      <c r="D13680" t="str">
        <f>"48652"</f>
        <v>48652</v>
      </c>
      <c r="E13680">
        <v>67.95</v>
      </c>
    </row>
    <row r="13681" spans="1:5" x14ac:dyDescent="0.2">
      <c r="A13681">
        <v>48653</v>
      </c>
      <c r="B13681" t="s">
        <v>28</v>
      </c>
      <c r="C13681">
        <v>48653</v>
      </c>
      <c r="D13681" t="str">
        <f>"48653"</f>
        <v>48653</v>
      </c>
      <c r="E13681">
        <v>68.56</v>
      </c>
    </row>
    <row r="13682" spans="1:5" x14ac:dyDescent="0.2">
      <c r="A13682">
        <v>48654</v>
      </c>
      <c r="B13682" t="s">
        <v>28</v>
      </c>
      <c r="C13682">
        <v>48654</v>
      </c>
      <c r="D13682" t="str">
        <f>"48654"</f>
        <v>48654</v>
      </c>
      <c r="E13682">
        <v>63.37</v>
      </c>
    </row>
    <row r="13683" spans="1:5" x14ac:dyDescent="0.2">
      <c r="A13683">
        <v>48655</v>
      </c>
      <c r="B13683" t="s">
        <v>28</v>
      </c>
      <c r="C13683">
        <v>48655</v>
      </c>
      <c r="D13683" t="str">
        <f>"48655"</f>
        <v>48655</v>
      </c>
      <c r="E13683">
        <v>72.39</v>
      </c>
    </row>
    <row r="13684" spans="1:5" x14ac:dyDescent="0.2">
      <c r="A13684">
        <v>48656</v>
      </c>
      <c r="B13684" t="s">
        <v>28</v>
      </c>
      <c r="C13684">
        <v>48656</v>
      </c>
      <c r="D13684" t="str">
        <f>"48656"</f>
        <v>48656</v>
      </c>
      <c r="E13684">
        <v>63.47</v>
      </c>
    </row>
    <row r="13685" spans="1:5" x14ac:dyDescent="0.2">
      <c r="A13685">
        <v>48657</v>
      </c>
      <c r="B13685" t="s">
        <v>28</v>
      </c>
      <c r="C13685">
        <v>48657</v>
      </c>
      <c r="D13685" t="str">
        <f>"48657"</f>
        <v>48657</v>
      </c>
      <c r="E13685">
        <v>73.180000000000007</v>
      </c>
    </row>
    <row r="13686" spans="1:5" x14ac:dyDescent="0.2">
      <c r="A13686">
        <v>48658</v>
      </c>
      <c r="B13686" t="s">
        <v>28</v>
      </c>
      <c r="C13686">
        <v>48658</v>
      </c>
      <c r="D13686" t="str">
        <f>"48658"</f>
        <v>48658</v>
      </c>
      <c r="E13686">
        <v>66.09</v>
      </c>
    </row>
    <row r="13687" spans="1:5" x14ac:dyDescent="0.2">
      <c r="A13687">
        <v>48659</v>
      </c>
      <c r="B13687" t="s">
        <v>28</v>
      </c>
      <c r="C13687">
        <v>48659</v>
      </c>
      <c r="D13687" t="str">
        <f>"48659"</f>
        <v>48659</v>
      </c>
      <c r="E13687">
        <v>66.67</v>
      </c>
    </row>
    <row r="13688" spans="1:5" x14ac:dyDescent="0.2">
      <c r="A13688">
        <v>48661</v>
      </c>
      <c r="B13688" t="s">
        <v>28</v>
      </c>
      <c r="C13688">
        <v>48661</v>
      </c>
      <c r="D13688" t="str">
        <f>"48661"</f>
        <v>48661</v>
      </c>
      <c r="E13688">
        <v>66.400000000000006</v>
      </c>
    </row>
    <row r="13689" spans="1:5" x14ac:dyDescent="0.2">
      <c r="A13689">
        <v>48662</v>
      </c>
      <c r="B13689" t="s">
        <v>28</v>
      </c>
      <c r="C13689">
        <v>48662</v>
      </c>
      <c r="D13689" t="str">
        <f>"48662"</f>
        <v>48662</v>
      </c>
      <c r="E13689">
        <v>68.75</v>
      </c>
    </row>
    <row r="13690" spans="1:5" x14ac:dyDescent="0.2">
      <c r="A13690">
        <v>48667</v>
      </c>
      <c r="B13690" t="s">
        <v>28</v>
      </c>
      <c r="C13690">
        <v>48667</v>
      </c>
      <c r="D13690" t="str">
        <f>"48667"</f>
        <v>48667</v>
      </c>
      <c r="E13690" t="s">
        <v>6</v>
      </c>
    </row>
    <row r="13691" spans="1:5" x14ac:dyDescent="0.2">
      <c r="A13691">
        <v>48674</v>
      </c>
      <c r="B13691" t="s">
        <v>28</v>
      </c>
      <c r="C13691">
        <v>48674</v>
      </c>
      <c r="D13691" t="str">
        <f>"48674"</f>
        <v>48674</v>
      </c>
      <c r="E13691" t="s">
        <v>6</v>
      </c>
    </row>
    <row r="13692" spans="1:5" x14ac:dyDescent="0.2">
      <c r="A13692">
        <v>48701</v>
      </c>
      <c r="B13692" t="s">
        <v>28</v>
      </c>
      <c r="C13692">
        <v>48701</v>
      </c>
      <c r="D13692" t="str">
        <f>"48701"</f>
        <v>48701</v>
      </c>
      <c r="E13692">
        <v>68.849999999999994</v>
      </c>
    </row>
    <row r="13693" spans="1:5" x14ac:dyDescent="0.2">
      <c r="A13693">
        <v>48703</v>
      </c>
      <c r="B13693" t="s">
        <v>28</v>
      </c>
      <c r="C13693">
        <v>48703</v>
      </c>
      <c r="D13693" t="str">
        <f>"48703"</f>
        <v>48703</v>
      </c>
      <c r="E13693">
        <v>69.66</v>
      </c>
    </row>
    <row r="13694" spans="1:5" x14ac:dyDescent="0.2">
      <c r="A13694">
        <v>48705</v>
      </c>
      <c r="B13694" t="s">
        <v>28</v>
      </c>
      <c r="C13694">
        <v>48705</v>
      </c>
      <c r="D13694" t="str">
        <f>"48705"</f>
        <v>48705</v>
      </c>
      <c r="E13694">
        <v>63.64</v>
      </c>
    </row>
    <row r="13695" spans="1:5" x14ac:dyDescent="0.2">
      <c r="A13695">
        <v>48706</v>
      </c>
      <c r="B13695" t="s">
        <v>28</v>
      </c>
      <c r="C13695">
        <v>48706</v>
      </c>
      <c r="D13695" t="str">
        <f>"48706"</f>
        <v>48706</v>
      </c>
      <c r="E13695">
        <v>70.61</v>
      </c>
    </row>
    <row r="13696" spans="1:5" x14ac:dyDescent="0.2">
      <c r="A13696">
        <v>48708</v>
      </c>
      <c r="B13696" t="s">
        <v>28</v>
      </c>
      <c r="C13696">
        <v>48708</v>
      </c>
      <c r="D13696" t="str">
        <f>"48708"</f>
        <v>48708</v>
      </c>
      <c r="E13696">
        <v>65.5</v>
      </c>
    </row>
    <row r="13697" spans="1:5" x14ac:dyDescent="0.2">
      <c r="A13697">
        <v>48710</v>
      </c>
      <c r="B13697" t="s">
        <v>28</v>
      </c>
      <c r="C13697">
        <v>48710</v>
      </c>
      <c r="D13697" t="str">
        <f>"48710"</f>
        <v>48710</v>
      </c>
      <c r="E13697" t="s">
        <v>6</v>
      </c>
    </row>
    <row r="13698" spans="1:5" x14ac:dyDescent="0.2">
      <c r="A13698">
        <v>48720</v>
      </c>
      <c r="B13698" t="s">
        <v>28</v>
      </c>
      <c r="C13698">
        <v>48720</v>
      </c>
      <c r="D13698" t="str">
        <f>"48720"</f>
        <v>48720</v>
      </c>
      <c r="E13698">
        <v>66.67</v>
      </c>
    </row>
    <row r="13699" spans="1:5" x14ac:dyDescent="0.2">
      <c r="A13699">
        <v>48721</v>
      </c>
      <c r="B13699" t="s">
        <v>28</v>
      </c>
      <c r="C13699">
        <v>48721</v>
      </c>
      <c r="D13699" t="str">
        <f>"48721"</f>
        <v>48721</v>
      </c>
      <c r="E13699">
        <v>70</v>
      </c>
    </row>
    <row r="13700" spans="1:5" x14ac:dyDescent="0.2">
      <c r="A13700">
        <v>48722</v>
      </c>
      <c r="B13700" t="s">
        <v>28</v>
      </c>
      <c r="C13700">
        <v>48722</v>
      </c>
      <c r="D13700" t="str">
        <f>"48722"</f>
        <v>48722</v>
      </c>
      <c r="E13700">
        <v>72.73</v>
      </c>
    </row>
    <row r="13701" spans="1:5" x14ac:dyDescent="0.2">
      <c r="A13701">
        <v>48723</v>
      </c>
      <c r="B13701" t="s">
        <v>28</v>
      </c>
      <c r="C13701">
        <v>48723</v>
      </c>
      <c r="D13701" t="str">
        <f>"48723"</f>
        <v>48723</v>
      </c>
      <c r="E13701">
        <v>68.72</v>
      </c>
    </row>
    <row r="13702" spans="1:5" x14ac:dyDescent="0.2">
      <c r="A13702">
        <v>48724</v>
      </c>
      <c r="B13702" t="s">
        <v>28</v>
      </c>
      <c r="C13702">
        <v>48724</v>
      </c>
      <c r="D13702" t="str">
        <f>"48724"</f>
        <v>48724</v>
      </c>
      <c r="E13702" t="s">
        <v>6</v>
      </c>
    </row>
    <row r="13703" spans="1:5" x14ac:dyDescent="0.2">
      <c r="A13703">
        <v>48725</v>
      </c>
      <c r="B13703" t="s">
        <v>28</v>
      </c>
      <c r="C13703">
        <v>48725</v>
      </c>
      <c r="D13703" t="str">
        <f>"48725"</f>
        <v>48725</v>
      </c>
      <c r="E13703">
        <v>66.37</v>
      </c>
    </row>
    <row r="13704" spans="1:5" x14ac:dyDescent="0.2">
      <c r="A13704">
        <v>48726</v>
      </c>
      <c r="B13704" t="s">
        <v>28</v>
      </c>
      <c r="C13704">
        <v>48726</v>
      </c>
      <c r="D13704" t="str">
        <f>"48726"</f>
        <v>48726</v>
      </c>
      <c r="E13704">
        <v>65.819999999999993</v>
      </c>
    </row>
    <row r="13705" spans="1:5" x14ac:dyDescent="0.2">
      <c r="A13705">
        <v>48727</v>
      </c>
      <c r="B13705" t="s">
        <v>28</v>
      </c>
      <c r="C13705">
        <v>48727</v>
      </c>
      <c r="D13705" t="str">
        <f>"48727"</f>
        <v>48727</v>
      </c>
      <c r="E13705">
        <v>67.27</v>
      </c>
    </row>
    <row r="13706" spans="1:5" x14ac:dyDescent="0.2">
      <c r="A13706">
        <v>48728</v>
      </c>
      <c r="B13706" t="s">
        <v>28</v>
      </c>
      <c r="C13706">
        <v>48728</v>
      </c>
      <c r="D13706" t="str">
        <f>"48728"</f>
        <v>48728</v>
      </c>
      <c r="E13706">
        <v>53.33</v>
      </c>
    </row>
    <row r="13707" spans="1:5" x14ac:dyDescent="0.2">
      <c r="A13707">
        <v>48729</v>
      </c>
      <c r="B13707" t="s">
        <v>28</v>
      </c>
      <c r="C13707">
        <v>48729</v>
      </c>
      <c r="D13707" t="str">
        <f>"48729"</f>
        <v>48729</v>
      </c>
      <c r="E13707">
        <v>64.62</v>
      </c>
    </row>
    <row r="13708" spans="1:5" x14ac:dyDescent="0.2">
      <c r="A13708">
        <v>48730</v>
      </c>
      <c r="B13708" t="s">
        <v>28</v>
      </c>
      <c r="C13708">
        <v>48730</v>
      </c>
      <c r="D13708" t="str">
        <f>"48730"</f>
        <v>48730</v>
      </c>
      <c r="E13708">
        <v>67.86</v>
      </c>
    </row>
    <row r="13709" spans="1:5" x14ac:dyDescent="0.2">
      <c r="A13709">
        <v>48731</v>
      </c>
      <c r="B13709" t="s">
        <v>28</v>
      </c>
      <c r="C13709">
        <v>48731</v>
      </c>
      <c r="D13709" t="str">
        <f>"48731"</f>
        <v>48731</v>
      </c>
      <c r="E13709">
        <v>65.819999999999993</v>
      </c>
    </row>
    <row r="13710" spans="1:5" x14ac:dyDescent="0.2">
      <c r="A13710">
        <v>48732</v>
      </c>
      <c r="B13710" t="s">
        <v>28</v>
      </c>
      <c r="C13710">
        <v>48732</v>
      </c>
      <c r="D13710" t="str">
        <f>"48732"</f>
        <v>48732</v>
      </c>
      <c r="E13710">
        <v>71.900000000000006</v>
      </c>
    </row>
    <row r="13711" spans="1:5" x14ac:dyDescent="0.2">
      <c r="A13711">
        <v>48733</v>
      </c>
      <c r="B13711" t="s">
        <v>28</v>
      </c>
      <c r="C13711">
        <v>48733</v>
      </c>
      <c r="D13711" t="str">
        <f>"48733"</f>
        <v>48733</v>
      </c>
      <c r="E13711">
        <v>72.150000000000006</v>
      </c>
    </row>
    <row r="13712" spans="1:5" x14ac:dyDescent="0.2">
      <c r="A13712">
        <v>48734</v>
      </c>
      <c r="B13712" t="s">
        <v>28</v>
      </c>
      <c r="C13712">
        <v>48734</v>
      </c>
      <c r="D13712" t="str">
        <f>"48734"</f>
        <v>48734</v>
      </c>
      <c r="E13712">
        <v>77.239999999999995</v>
      </c>
    </row>
    <row r="13713" spans="1:5" x14ac:dyDescent="0.2">
      <c r="A13713">
        <v>48735</v>
      </c>
      <c r="B13713" t="s">
        <v>28</v>
      </c>
      <c r="C13713">
        <v>48735</v>
      </c>
      <c r="D13713" t="str">
        <f>"48735"</f>
        <v>48735</v>
      </c>
      <c r="E13713">
        <v>70</v>
      </c>
    </row>
    <row r="13714" spans="1:5" x14ac:dyDescent="0.2">
      <c r="A13714">
        <v>48737</v>
      </c>
      <c r="B13714" t="s">
        <v>28</v>
      </c>
      <c r="C13714">
        <v>48737</v>
      </c>
      <c r="D13714" t="str">
        <f>"48737"</f>
        <v>48737</v>
      </c>
      <c r="E13714">
        <v>62</v>
      </c>
    </row>
    <row r="13715" spans="1:5" x14ac:dyDescent="0.2">
      <c r="A13715">
        <v>48738</v>
      </c>
      <c r="B13715" t="s">
        <v>28</v>
      </c>
      <c r="C13715">
        <v>48738</v>
      </c>
      <c r="D13715" t="str">
        <f>"48738"</f>
        <v>48738</v>
      </c>
      <c r="E13715">
        <v>68.42</v>
      </c>
    </row>
    <row r="13716" spans="1:5" x14ac:dyDescent="0.2">
      <c r="A13716">
        <v>48739</v>
      </c>
      <c r="B13716" t="s">
        <v>28</v>
      </c>
      <c r="C13716">
        <v>48739</v>
      </c>
      <c r="D13716" t="str">
        <f>"48739"</f>
        <v>48739</v>
      </c>
      <c r="E13716">
        <v>63.95</v>
      </c>
    </row>
    <row r="13717" spans="1:5" x14ac:dyDescent="0.2">
      <c r="A13717">
        <v>48740</v>
      </c>
      <c r="B13717" t="s">
        <v>28</v>
      </c>
      <c r="C13717">
        <v>48740</v>
      </c>
      <c r="D13717" t="str">
        <f>"48740"</f>
        <v>48740</v>
      </c>
      <c r="E13717">
        <v>62.26</v>
      </c>
    </row>
    <row r="13718" spans="1:5" x14ac:dyDescent="0.2">
      <c r="A13718">
        <v>48741</v>
      </c>
      <c r="B13718" t="s">
        <v>28</v>
      </c>
      <c r="C13718">
        <v>48741</v>
      </c>
      <c r="D13718" t="str">
        <f>"48741"</f>
        <v>48741</v>
      </c>
      <c r="E13718">
        <v>65.17</v>
      </c>
    </row>
    <row r="13719" spans="1:5" x14ac:dyDescent="0.2">
      <c r="A13719">
        <v>48742</v>
      </c>
      <c r="B13719" t="s">
        <v>28</v>
      </c>
      <c r="C13719">
        <v>48742</v>
      </c>
      <c r="D13719" t="str">
        <f>"48742"</f>
        <v>48742</v>
      </c>
      <c r="E13719">
        <v>67.86</v>
      </c>
    </row>
    <row r="13720" spans="1:5" x14ac:dyDescent="0.2">
      <c r="A13720">
        <v>48743</v>
      </c>
      <c r="B13720" t="s">
        <v>28</v>
      </c>
      <c r="C13720">
        <v>48743</v>
      </c>
      <c r="D13720" t="str">
        <f>"48743"</f>
        <v>48743</v>
      </c>
      <c r="E13720" t="s">
        <v>6</v>
      </c>
    </row>
    <row r="13721" spans="1:5" x14ac:dyDescent="0.2">
      <c r="A13721">
        <v>48744</v>
      </c>
      <c r="B13721" t="s">
        <v>28</v>
      </c>
      <c r="C13721">
        <v>48744</v>
      </c>
      <c r="D13721" t="str">
        <f>"48744"</f>
        <v>48744</v>
      </c>
      <c r="E13721">
        <v>67.14</v>
      </c>
    </row>
    <row r="13722" spans="1:5" x14ac:dyDescent="0.2">
      <c r="A13722">
        <v>48745</v>
      </c>
      <c r="B13722" t="s">
        <v>28</v>
      </c>
      <c r="C13722">
        <v>48745</v>
      </c>
      <c r="D13722" t="str">
        <f>"48745"</f>
        <v>48745</v>
      </c>
      <c r="E13722">
        <v>67.86</v>
      </c>
    </row>
    <row r="13723" spans="1:5" x14ac:dyDescent="0.2">
      <c r="A13723">
        <v>48746</v>
      </c>
      <c r="B13723" t="s">
        <v>28</v>
      </c>
      <c r="C13723">
        <v>48746</v>
      </c>
      <c r="D13723" t="str">
        <f>"48746"</f>
        <v>48746</v>
      </c>
      <c r="E13723">
        <v>68.97</v>
      </c>
    </row>
    <row r="13724" spans="1:5" x14ac:dyDescent="0.2">
      <c r="A13724">
        <v>48747</v>
      </c>
      <c r="B13724" t="s">
        <v>28</v>
      </c>
      <c r="C13724">
        <v>48747</v>
      </c>
      <c r="D13724" t="str">
        <f>"48747"</f>
        <v>48747</v>
      </c>
      <c r="E13724">
        <v>76.709999999999994</v>
      </c>
    </row>
    <row r="13725" spans="1:5" x14ac:dyDescent="0.2">
      <c r="A13725">
        <v>48748</v>
      </c>
      <c r="B13725" t="s">
        <v>28</v>
      </c>
      <c r="C13725">
        <v>48748</v>
      </c>
      <c r="D13725" t="str">
        <f>"48748"</f>
        <v>48748</v>
      </c>
      <c r="E13725">
        <v>67.53</v>
      </c>
    </row>
    <row r="13726" spans="1:5" x14ac:dyDescent="0.2">
      <c r="A13726">
        <v>48749</v>
      </c>
      <c r="B13726" t="s">
        <v>28</v>
      </c>
      <c r="C13726">
        <v>48749</v>
      </c>
      <c r="D13726" t="str">
        <f>"48749"</f>
        <v>48749</v>
      </c>
      <c r="E13726">
        <v>65.31</v>
      </c>
    </row>
    <row r="13727" spans="1:5" x14ac:dyDescent="0.2">
      <c r="A13727">
        <v>48750</v>
      </c>
      <c r="B13727" t="s">
        <v>28</v>
      </c>
      <c r="C13727">
        <v>48750</v>
      </c>
      <c r="D13727" t="str">
        <f>"48750"</f>
        <v>48750</v>
      </c>
      <c r="E13727">
        <v>66.03</v>
      </c>
    </row>
    <row r="13728" spans="1:5" x14ac:dyDescent="0.2">
      <c r="A13728">
        <v>48754</v>
      </c>
      <c r="B13728" t="s">
        <v>28</v>
      </c>
      <c r="C13728">
        <v>48754</v>
      </c>
      <c r="D13728" t="str">
        <f>"48754"</f>
        <v>48754</v>
      </c>
      <c r="E13728">
        <v>70.45</v>
      </c>
    </row>
    <row r="13729" spans="1:5" x14ac:dyDescent="0.2">
      <c r="A13729">
        <v>48755</v>
      </c>
      <c r="B13729" t="s">
        <v>28</v>
      </c>
      <c r="C13729">
        <v>48755</v>
      </c>
      <c r="D13729" t="str">
        <f>"48755"</f>
        <v>48755</v>
      </c>
      <c r="E13729">
        <v>72.150000000000006</v>
      </c>
    </row>
    <row r="13730" spans="1:5" x14ac:dyDescent="0.2">
      <c r="A13730">
        <v>48756</v>
      </c>
      <c r="B13730" t="s">
        <v>28</v>
      </c>
      <c r="C13730">
        <v>48756</v>
      </c>
      <c r="D13730" t="str">
        <f>"48756"</f>
        <v>48756</v>
      </c>
      <c r="E13730">
        <v>52.87</v>
      </c>
    </row>
    <row r="13731" spans="1:5" x14ac:dyDescent="0.2">
      <c r="A13731">
        <v>48757</v>
      </c>
      <c r="B13731" t="s">
        <v>28</v>
      </c>
      <c r="C13731">
        <v>48757</v>
      </c>
      <c r="D13731" t="str">
        <f>"48757"</f>
        <v>48757</v>
      </c>
      <c r="E13731">
        <v>72.88</v>
      </c>
    </row>
    <row r="13732" spans="1:5" x14ac:dyDescent="0.2">
      <c r="A13732">
        <v>48759</v>
      </c>
      <c r="B13732" t="s">
        <v>28</v>
      </c>
      <c r="C13732">
        <v>48759</v>
      </c>
      <c r="D13732" t="str">
        <f>"48759"</f>
        <v>48759</v>
      </c>
      <c r="E13732">
        <v>69.75</v>
      </c>
    </row>
    <row r="13733" spans="1:5" x14ac:dyDescent="0.2">
      <c r="A13733">
        <v>48760</v>
      </c>
      <c r="B13733" t="s">
        <v>28</v>
      </c>
      <c r="C13733">
        <v>48760</v>
      </c>
      <c r="D13733" t="str">
        <f>"48760"</f>
        <v>48760</v>
      </c>
      <c r="E13733">
        <v>63.64</v>
      </c>
    </row>
    <row r="13734" spans="1:5" x14ac:dyDescent="0.2">
      <c r="A13734">
        <v>48761</v>
      </c>
      <c r="B13734" t="s">
        <v>28</v>
      </c>
      <c r="C13734">
        <v>48761</v>
      </c>
      <c r="D13734" t="str">
        <f>"48761"</f>
        <v>48761</v>
      </c>
      <c r="E13734">
        <v>62.86</v>
      </c>
    </row>
    <row r="13735" spans="1:5" x14ac:dyDescent="0.2">
      <c r="A13735">
        <v>48762</v>
      </c>
      <c r="B13735" t="s">
        <v>28</v>
      </c>
      <c r="C13735">
        <v>48762</v>
      </c>
      <c r="D13735" t="str">
        <f>"48762"</f>
        <v>48762</v>
      </c>
      <c r="E13735">
        <v>67.86</v>
      </c>
    </row>
    <row r="13736" spans="1:5" x14ac:dyDescent="0.2">
      <c r="A13736">
        <v>48763</v>
      </c>
      <c r="B13736" t="s">
        <v>28</v>
      </c>
      <c r="C13736">
        <v>48763</v>
      </c>
      <c r="D13736" t="str">
        <f>"48763"</f>
        <v>48763</v>
      </c>
      <c r="E13736">
        <v>67.540000000000006</v>
      </c>
    </row>
    <row r="13737" spans="1:5" x14ac:dyDescent="0.2">
      <c r="A13737">
        <v>48765</v>
      </c>
      <c r="B13737" t="s">
        <v>28</v>
      </c>
      <c r="C13737">
        <v>48765</v>
      </c>
      <c r="D13737" t="str">
        <f>"48765"</f>
        <v>48765</v>
      </c>
      <c r="E13737">
        <v>65.63</v>
      </c>
    </row>
    <row r="13738" spans="1:5" x14ac:dyDescent="0.2">
      <c r="A13738">
        <v>48766</v>
      </c>
      <c r="B13738" t="s">
        <v>28</v>
      </c>
      <c r="C13738">
        <v>48766</v>
      </c>
      <c r="D13738" t="str">
        <f>"48766"</f>
        <v>48766</v>
      </c>
      <c r="E13738">
        <v>60.78</v>
      </c>
    </row>
    <row r="13739" spans="1:5" x14ac:dyDescent="0.2">
      <c r="A13739">
        <v>48767</v>
      </c>
      <c r="B13739" t="s">
        <v>28</v>
      </c>
      <c r="C13739">
        <v>48767</v>
      </c>
      <c r="D13739" t="str">
        <f>"48767"</f>
        <v>48767</v>
      </c>
      <c r="E13739">
        <v>75.260000000000005</v>
      </c>
    </row>
    <row r="13740" spans="1:5" x14ac:dyDescent="0.2">
      <c r="A13740">
        <v>48768</v>
      </c>
      <c r="B13740" t="s">
        <v>28</v>
      </c>
      <c r="C13740">
        <v>48768</v>
      </c>
      <c r="D13740" t="str">
        <f>"48768"</f>
        <v>48768</v>
      </c>
      <c r="E13740">
        <v>68.27</v>
      </c>
    </row>
    <row r="13741" spans="1:5" x14ac:dyDescent="0.2">
      <c r="A13741">
        <v>48770</v>
      </c>
      <c r="B13741" t="s">
        <v>28</v>
      </c>
      <c r="C13741">
        <v>48770</v>
      </c>
      <c r="D13741" t="str">
        <f>"48770"</f>
        <v>48770</v>
      </c>
      <c r="E13741">
        <v>58.9</v>
      </c>
    </row>
    <row r="13742" spans="1:5" x14ac:dyDescent="0.2">
      <c r="A13742">
        <v>48801</v>
      </c>
      <c r="B13742" t="s">
        <v>28</v>
      </c>
      <c r="C13742">
        <v>48801</v>
      </c>
      <c r="D13742" t="str">
        <f>"48801"</f>
        <v>48801</v>
      </c>
      <c r="E13742">
        <v>65.83</v>
      </c>
    </row>
    <row r="13743" spans="1:5" x14ac:dyDescent="0.2">
      <c r="A13743">
        <v>48806</v>
      </c>
      <c r="B13743" t="s">
        <v>28</v>
      </c>
      <c r="C13743">
        <v>48806</v>
      </c>
      <c r="D13743" t="str">
        <f>"48806"</f>
        <v>48806</v>
      </c>
      <c r="E13743">
        <v>68.489999999999995</v>
      </c>
    </row>
    <row r="13744" spans="1:5" x14ac:dyDescent="0.2">
      <c r="A13744">
        <v>48807</v>
      </c>
      <c r="B13744" t="s">
        <v>28</v>
      </c>
      <c r="C13744">
        <v>48807</v>
      </c>
      <c r="D13744" t="str">
        <f>"48807"</f>
        <v>48807</v>
      </c>
      <c r="E13744">
        <v>68.569999999999993</v>
      </c>
    </row>
    <row r="13745" spans="1:5" x14ac:dyDescent="0.2">
      <c r="A13745">
        <v>48808</v>
      </c>
      <c r="B13745" t="s">
        <v>28</v>
      </c>
      <c r="C13745">
        <v>48808</v>
      </c>
      <c r="D13745" t="str">
        <f>"48808"</f>
        <v>48808</v>
      </c>
      <c r="E13745">
        <v>77.819999999999993</v>
      </c>
    </row>
    <row r="13746" spans="1:5" x14ac:dyDescent="0.2">
      <c r="A13746">
        <v>48809</v>
      </c>
      <c r="B13746" t="s">
        <v>28</v>
      </c>
      <c r="C13746">
        <v>48809</v>
      </c>
      <c r="D13746" t="str">
        <f>"48809"</f>
        <v>48809</v>
      </c>
      <c r="E13746">
        <v>70.31</v>
      </c>
    </row>
    <row r="13747" spans="1:5" x14ac:dyDescent="0.2">
      <c r="A13747">
        <v>48811</v>
      </c>
      <c r="B13747" t="s">
        <v>28</v>
      </c>
      <c r="C13747">
        <v>48811</v>
      </c>
      <c r="D13747" t="str">
        <f>"48811"</f>
        <v>48811</v>
      </c>
      <c r="E13747">
        <v>66.67</v>
      </c>
    </row>
    <row r="13748" spans="1:5" x14ac:dyDescent="0.2">
      <c r="A13748">
        <v>48812</v>
      </c>
      <c r="B13748" t="s">
        <v>28</v>
      </c>
      <c r="C13748">
        <v>48812</v>
      </c>
      <c r="D13748" t="str">
        <f>"48812"</f>
        <v>48812</v>
      </c>
      <c r="E13748" t="s">
        <v>6</v>
      </c>
    </row>
    <row r="13749" spans="1:5" x14ac:dyDescent="0.2">
      <c r="A13749">
        <v>48813</v>
      </c>
      <c r="B13749" t="s">
        <v>28</v>
      </c>
      <c r="C13749">
        <v>48813</v>
      </c>
      <c r="D13749" t="str">
        <f>"48813"</f>
        <v>48813</v>
      </c>
      <c r="E13749">
        <v>73.459999999999994</v>
      </c>
    </row>
    <row r="13750" spans="1:5" x14ac:dyDescent="0.2">
      <c r="A13750">
        <v>48815</v>
      </c>
      <c r="B13750" t="s">
        <v>28</v>
      </c>
      <c r="C13750">
        <v>48815</v>
      </c>
      <c r="D13750" t="str">
        <f>"48815"</f>
        <v>48815</v>
      </c>
      <c r="E13750">
        <v>78.180000000000007</v>
      </c>
    </row>
    <row r="13751" spans="1:5" x14ac:dyDescent="0.2">
      <c r="A13751">
        <v>48817</v>
      </c>
      <c r="B13751" t="s">
        <v>28</v>
      </c>
      <c r="C13751">
        <v>48817</v>
      </c>
      <c r="D13751" t="str">
        <f>"48817"</f>
        <v>48817</v>
      </c>
      <c r="E13751">
        <v>69.040000000000006</v>
      </c>
    </row>
    <row r="13752" spans="1:5" x14ac:dyDescent="0.2">
      <c r="A13752">
        <v>48818</v>
      </c>
      <c r="B13752" t="s">
        <v>28</v>
      </c>
      <c r="C13752">
        <v>48818</v>
      </c>
      <c r="D13752" t="str">
        <f>"48818"</f>
        <v>48818</v>
      </c>
      <c r="E13752">
        <v>68.319999999999993</v>
      </c>
    </row>
    <row r="13753" spans="1:5" x14ac:dyDescent="0.2">
      <c r="A13753">
        <v>48819</v>
      </c>
      <c r="B13753" t="s">
        <v>28</v>
      </c>
      <c r="C13753">
        <v>48819</v>
      </c>
      <c r="D13753" t="str">
        <f>"48819"</f>
        <v>48819</v>
      </c>
      <c r="E13753">
        <v>74.05</v>
      </c>
    </row>
    <row r="13754" spans="1:5" x14ac:dyDescent="0.2">
      <c r="A13754">
        <v>48820</v>
      </c>
      <c r="B13754" t="s">
        <v>28</v>
      </c>
      <c r="C13754">
        <v>48820</v>
      </c>
      <c r="D13754" t="str">
        <f>"48820"</f>
        <v>48820</v>
      </c>
      <c r="E13754">
        <v>80.069999999999993</v>
      </c>
    </row>
    <row r="13755" spans="1:5" x14ac:dyDescent="0.2">
      <c r="A13755">
        <v>48821</v>
      </c>
      <c r="B13755" t="s">
        <v>28</v>
      </c>
      <c r="C13755">
        <v>48821</v>
      </c>
      <c r="D13755" t="str">
        <f>"48821"</f>
        <v>48821</v>
      </c>
      <c r="E13755">
        <v>79.22</v>
      </c>
    </row>
    <row r="13756" spans="1:5" x14ac:dyDescent="0.2">
      <c r="A13756">
        <v>48822</v>
      </c>
      <c r="B13756" t="s">
        <v>28</v>
      </c>
      <c r="C13756">
        <v>48822</v>
      </c>
      <c r="D13756" t="str">
        <f>"48822"</f>
        <v>48822</v>
      </c>
      <c r="E13756">
        <v>80.989999999999995</v>
      </c>
    </row>
    <row r="13757" spans="1:5" x14ac:dyDescent="0.2">
      <c r="A13757">
        <v>48823</v>
      </c>
      <c r="B13757" t="s">
        <v>28</v>
      </c>
      <c r="C13757">
        <v>48823</v>
      </c>
      <c r="D13757" t="str">
        <f>"48823"</f>
        <v>48823</v>
      </c>
      <c r="E13757">
        <v>74.7</v>
      </c>
    </row>
    <row r="13758" spans="1:5" x14ac:dyDescent="0.2">
      <c r="A13758">
        <v>48824</v>
      </c>
      <c r="B13758" t="s">
        <v>28</v>
      </c>
      <c r="C13758">
        <v>48824</v>
      </c>
      <c r="D13758" t="str">
        <f>"48824"</f>
        <v>48824</v>
      </c>
      <c r="E13758" t="s">
        <v>6</v>
      </c>
    </row>
    <row r="13759" spans="1:5" x14ac:dyDescent="0.2">
      <c r="A13759">
        <v>48825</v>
      </c>
      <c r="B13759" t="s">
        <v>28</v>
      </c>
      <c r="C13759">
        <v>48825</v>
      </c>
      <c r="D13759" t="str">
        <f>"48825"</f>
        <v>48825</v>
      </c>
      <c r="E13759" t="s">
        <v>6</v>
      </c>
    </row>
    <row r="13760" spans="1:5" x14ac:dyDescent="0.2">
      <c r="A13760">
        <v>48826</v>
      </c>
      <c r="B13760" t="s">
        <v>28</v>
      </c>
      <c r="C13760">
        <v>48826</v>
      </c>
      <c r="D13760" t="str">
        <f>"48826"</f>
        <v>48826</v>
      </c>
      <c r="E13760" t="s">
        <v>6</v>
      </c>
    </row>
    <row r="13761" spans="1:5" x14ac:dyDescent="0.2">
      <c r="A13761">
        <v>48827</v>
      </c>
      <c r="B13761" t="s">
        <v>28</v>
      </c>
      <c r="C13761">
        <v>48827</v>
      </c>
      <c r="D13761" t="str">
        <f>"48827"</f>
        <v>48827</v>
      </c>
      <c r="E13761">
        <v>75.2</v>
      </c>
    </row>
    <row r="13762" spans="1:5" x14ac:dyDescent="0.2">
      <c r="A13762">
        <v>48829</v>
      </c>
      <c r="B13762" t="s">
        <v>28</v>
      </c>
      <c r="C13762">
        <v>48829</v>
      </c>
      <c r="D13762" t="str">
        <f>"48829"</f>
        <v>48829</v>
      </c>
      <c r="E13762">
        <v>60.58</v>
      </c>
    </row>
    <row r="13763" spans="1:5" x14ac:dyDescent="0.2">
      <c r="A13763">
        <v>48830</v>
      </c>
      <c r="B13763" t="s">
        <v>28</v>
      </c>
      <c r="C13763">
        <v>48830</v>
      </c>
      <c r="D13763" t="str">
        <f>"48830"</f>
        <v>48830</v>
      </c>
      <c r="E13763" t="s">
        <v>6</v>
      </c>
    </row>
    <row r="13764" spans="1:5" x14ac:dyDescent="0.2">
      <c r="A13764">
        <v>48831</v>
      </c>
      <c r="B13764" t="s">
        <v>28</v>
      </c>
      <c r="C13764">
        <v>48831</v>
      </c>
      <c r="D13764" t="str">
        <f>"48831"</f>
        <v>48831</v>
      </c>
      <c r="E13764">
        <v>65.81</v>
      </c>
    </row>
    <row r="13765" spans="1:5" x14ac:dyDescent="0.2">
      <c r="A13765">
        <v>48832</v>
      </c>
      <c r="B13765" t="s">
        <v>28</v>
      </c>
      <c r="C13765">
        <v>48832</v>
      </c>
      <c r="D13765" t="str">
        <f>"48832"</f>
        <v>48832</v>
      </c>
      <c r="E13765">
        <v>70.77</v>
      </c>
    </row>
    <row r="13766" spans="1:5" x14ac:dyDescent="0.2">
      <c r="A13766">
        <v>48834</v>
      </c>
      <c r="B13766" t="s">
        <v>28</v>
      </c>
      <c r="C13766">
        <v>48834</v>
      </c>
      <c r="D13766" t="str">
        <f>"48834"</f>
        <v>48834</v>
      </c>
      <c r="E13766">
        <v>65.69</v>
      </c>
    </row>
    <row r="13767" spans="1:5" x14ac:dyDescent="0.2">
      <c r="A13767">
        <v>48835</v>
      </c>
      <c r="B13767" t="s">
        <v>28</v>
      </c>
      <c r="C13767">
        <v>48835</v>
      </c>
      <c r="D13767" t="str">
        <f>"48835"</f>
        <v>48835</v>
      </c>
      <c r="E13767">
        <v>76.56</v>
      </c>
    </row>
    <row r="13768" spans="1:5" x14ac:dyDescent="0.2">
      <c r="A13768">
        <v>48836</v>
      </c>
      <c r="B13768" t="s">
        <v>28</v>
      </c>
      <c r="C13768">
        <v>48836</v>
      </c>
      <c r="D13768" t="str">
        <f>"48836"</f>
        <v>48836</v>
      </c>
      <c r="E13768">
        <v>74.66</v>
      </c>
    </row>
    <row r="13769" spans="1:5" x14ac:dyDescent="0.2">
      <c r="A13769">
        <v>48837</v>
      </c>
      <c r="B13769" t="s">
        <v>28</v>
      </c>
      <c r="C13769">
        <v>48837</v>
      </c>
      <c r="D13769" t="str">
        <f>"48837"</f>
        <v>48837</v>
      </c>
      <c r="E13769">
        <v>78.98</v>
      </c>
    </row>
    <row r="13770" spans="1:5" x14ac:dyDescent="0.2">
      <c r="A13770">
        <v>48838</v>
      </c>
      <c r="B13770" t="s">
        <v>28</v>
      </c>
      <c r="C13770">
        <v>48838</v>
      </c>
      <c r="D13770" t="str">
        <f>"48838"</f>
        <v>48838</v>
      </c>
      <c r="E13770">
        <v>67.790000000000006</v>
      </c>
    </row>
    <row r="13771" spans="1:5" x14ac:dyDescent="0.2">
      <c r="A13771">
        <v>48840</v>
      </c>
      <c r="B13771" t="s">
        <v>28</v>
      </c>
      <c r="C13771">
        <v>48840</v>
      </c>
      <c r="D13771" t="str">
        <f>"48840"</f>
        <v>48840</v>
      </c>
      <c r="E13771">
        <v>78.33</v>
      </c>
    </row>
    <row r="13772" spans="1:5" x14ac:dyDescent="0.2">
      <c r="A13772">
        <v>48841</v>
      </c>
      <c r="B13772" t="s">
        <v>28</v>
      </c>
      <c r="C13772">
        <v>48841</v>
      </c>
      <c r="D13772" t="str">
        <f>"48841"</f>
        <v>48841</v>
      </c>
      <c r="E13772">
        <v>68.42</v>
      </c>
    </row>
    <row r="13773" spans="1:5" x14ac:dyDescent="0.2">
      <c r="A13773">
        <v>48842</v>
      </c>
      <c r="B13773" t="s">
        <v>28</v>
      </c>
      <c r="C13773">
        <v>48842</v>
      </c>
      <c r="D13773" t="str">
        <f>"48842"</f>
        <v>48842</v>
      </c>
      <c r="E13773">
        <v>75.7</v>
      </c>
    </row>
    <row r="13774" spans="1:5" x14ac:dyDescent="0.2">
      <c r="A13774">
        <v>48843</v>
      </c>
      <c r="B13774" t="s">
        <v>28</v>
      </c>
      <c r="C13774">
        <v>48843</v>
      </c>
      <c r="D13774" t="str">
        <f>"48843"</f>
        <v>48843</v>
      </c>
      <c r="E13774">
        <v>77.72</v>
      </c>
    </row>
    <row r="13775" spans="1:5" x14ac:dyDescent="0.2">
      <c r="A13775">
        <v>48845</v>
      </c>
      <c r="B13775" t="s">
        <v>28</v>
      </c>
      <c r="C13775">
        <v>48845</v>
      </c>
      <c r="D13775" t="str">
        <f>"48845"</f>
        <v>48845</v>
      </c>
      <c r="E13775">
        <v>69.05</v>
      </c>
    </row>
    <row r="13776" spans="1:5" x14ac:dyDescent="0.2">
      <c r="A13776">
        <v>48846</v>
      </c>
      <c r="B13776" t="s">
        <v>28</v>
      </c>
      <c r="C13776">
        <v>48846</v>
      </c>
      <c r="D13776" t="str">
        <f>"48846"</f>
        <v>48846</v>
      </c>
      <c r="E13776">
        <v>68.42</v>
      </c>
    </row>
    <row r="13777" spans="1:5" x14ac:dyDescent="0.2">
      <c r="A13777">
        <v>48847</v>
      </c>
      <c r="B13777" t="s">
        <v>28</v>
      </c>
      <c r="C13777">
        <v>48847</v>
      </c>
      <c r="D13777" t="str">
        <f>"48847"</f>
        <v>48847</v>
      </c>
      <c r="E13777">
        <v>70.25</v>
      </c>
    </row>
    <row r="13778" spans="1:5" x14ac:dyDescent="0.2">
      <c r="A13778">
        <v>48848</v>
      </c>
      <c r="B13778" t="s">
        <v>28</v>
      </c>
      <c r="C13778">
        <v>48848</v>
      </c>
      <c r="D13778" t="str">
        <f>"48848"</f>
        <v>48848</v>
      </c>
      <c r="E13778">
        <v>77.02</v>
      </c>
    </row>
    <row r="13779" spans="1:5" x14ac:dyDescent="0.2">
      <c r="A13779">
        <v>48849</v>
      </c>
      <c r="B13779" t="s">
        <v>28</v>
      </c>
      <c r="C13779">
        <v>48849</v>
      </c>
      <c r="D13779" t="str">
        <f>"48849"</f>
        <v>48849</v>
      </c>
      <c r="E13779">
        <v>73.31</v>
      </c>
    </row>
    <row r="13780" spans="1:5" x14ac:dyDescent="0.2">
      <c r="A13780">
        <v>48850</v>
      </c>
      <c r="B13780" t="s">
        <v>28</v>
      </c>
      <c r="C13780">
        <v>48850</v>
      </c>
      <c r="D13780" t="str">
        <f>"48850"</f>
        <v>48850</v>
      </c>
      <c r="E13780">
        <v>63.64</v>
      </c>
    </row>
    <row r="13781" spans="1:5" x14ac:dyDescent="0.2">
      <c r="A13781">
        <v>48851</v>
      </c>
      <c r="B13781" t="s">
        <v>28</v>
      </c>
      <c r="C13781">
        <v>48851</v>
      </c>
      <c r="D13781" t="str">
        <f>"48851"</f>
        <v>48851</v>
      </c>
      <c r="E13781">
        <v>75.45</v>
      </c>
    </row>
    <row r="13782" spans="1:5" x14ac:dyDescent="0.2">
      <c r="A13782">
        <v>48852</v>
      </c>
      <c r="B13782" t="s">
        <v>28</v>
      </c>
      <c r="C13782">
        <v>48852</v>
      </c>
      <c r="D13782" t="str">
        <f>"48852"</f>
        <v>48852</v>
      </c>
      <c r="E13782" t="s">
        <v>6</v>
      </c>
    </row>
    <row r="13783" spans="1:5" x14ac:dyDescent="0.2">
      <c r="A13783">
        <v>48853</v>
      </c>
      <c r="B13783" t="s">
        <v>28</v>
      </c>
      <c r="C13783">
        <v>48853</v>
      </c>
      <c r="D13783" t="str">
        <f>"48853"</f>
        <v>48853</v>
      </c>
      <c r="E13783" t="s">
        <v>6</v>
      </c>
    </row>
    <row r="13784" spans="1:5" x14ac:dyDescent="0.2">
      <c r="A13784">
        <v>48854</v>
      </c>
      <c r="B13784" t="s">
        <v>28</v>
      </c>
      <c r="C13784">
        <v>48854</v>
      </c>
      <c r="D13784" t="str">
        <f>"48854"</f>
        <v>48854</v>
      </c>
      <c r="E13784">
        <v>76.72</v>
      </c>
    </row>
    <row r="13785" spans="1:5" x14ac:dyDescent="0.2">
      <c r="A13785">
        <v>48855</v>
      </c>
      <c r="B13785" t="s">
        <v>28</v>
      </c>
      <c r="C13785">
        <v>48855</v>
      </c>
      <c r="D13785" t="str">
        <f>"48855"</f>
        <v>48855</v>
      </c>
      <c r="E13785">
        <v>78.44</v>
      </c>
    </row>
    <row r="13786" spans="1:5" x14ac:dyDescent="0.2">
      <c r="A13786">
        <v>48856</v>
      </c>
      <c r="B13786" t="s">
        <v>28</v>
      </c>
      <c r="C13786">
        <v>48856</v>
      </c>
      <c r="D13786" t="str">
        <f>"48856"</f>
        <v>48856</v>
      </c>
      <c r="E13786">
        <v>62.5</v>
      </c>
    </row>
    <row r="13787" spans="1:5" x14ac:dyDescent="0.2">
      <c r="A13787">
        <v>48857</v>
      </c>
      <c r="B13787" t="s">
        <v>28</v>
      </c>
      <c r="C13787">
        <v>48857</v>
      </c>
      <c r="D13787" t="str">
        <f>"48857"</f>
        <v>48857</v>
      </c>
      <c r="E13787">
        <v>73.95</v>
      </c>
    </row>
    <row r="13788" spans="1:5" x14ac:dyDescent="0.2">
      <c r="A13788">
        <v>48858</v>
      </c>
      <c r="B13788" t="s">
        <v>28</v>
      </c>
      <c r="C13788">
        <v>48858</v>
      </c>
      <c r="D13788" t="str">
        <f>"48858"</f>
        <v>48858</v>
      </c>
      <c r="E13788">
        <v>68.64</v>
      </c>
    </row>
    <row r="13789" spans="1:5" x14ac:dyDescent="0.2">
      <c r="A13789">
        <v>48859</v>
      </c>
      <c r="B13789" t="s">
        <v>28</v>
      </c>
      <c r="C13789">
        <v>48859</v>
      </c>
      <c r="D13789" t="str">
        <f>"48859"</f>
        <v>48859</v>
      </c>
      <c r="E13789" t="s">
        <v>6</v>
      </c>
    </row>
    <row r="13790" spans="1:5" x14ac:dyDescent="0.2">
      <c r="A13790">
        <v>48860</v>
      </c>
      <c r="B13790" t="s">
        <v>28</v>
      </c>
      <c r="C13790">
        <v>48860</v>
      </c>
      <c r="D13790" t="str">
        <f>"48860"</f>
        <v>48860</v>
      </c>
      <c r="E13790">
        <v>69.349999999999994</v>
      </c>
    </row>
    <row r="13791" spans="1:5" x14ac:dyDescent="0.2">
      <c r="A13791">
        <v>48861</v>
      </c>
      <c r="B13791" t="s">
        <v>28</v>
      </c>
      <c r="C13791">
        <v>48861</v>
      </c>
      <c r="D13791" t="str">
        <f>"48861"</f>
        <v>48861</v>
      </c>
      <c r="E13791">
        <v>73.75</v>
      </c>
    </row>
    <row r="13792" spans="1:5" x14ac:dyDescent="0.2">
      <c r="A13792">
        <v>48862</v>
      </c>
      <c r="B13792" t="s">
        <v>28</v>
      </c>
      <c r="C13792">
        <v>48862</v>
      </c>
      <c r="D13792" t="str">
        <f>"48862"</f>
        <v>48862</v>
      </c>
      <c r="E13792" t="s">
        <v>6</v>
      </c>
    </row>
    <row r="13793" spans="1:5" x14ac:dyDescent="0.2">
      <c r="A13793">
        <v>48864</v>
      </c>
      <c r="B13793" t="s">
        <v>28</v>
      </c>
      <c r="C13793">
        <v>48864</v>
      </c>
      <c r="D13793" t="str">
        <f>"48864"</f>
        <v>48864</v>
      </c>
      <c r="E13793">
        <v>80.88</v>
      </c>
    </row>
    <row r="13794" spans="1:5" x14ac:dyDescent="0.2">
      <c r="A13794">
        <v>48865</v>
      </c>
      <c r="B13794" t="s">
        <v>28</v>
      </c>
      <c r="C13794">
        <v>48865</v>
      </c>
      <c r="D13794" t="str">
        <f>"48865"</f>
        <v>48865</v>
      </c>
      <c r="E13794">
        <v>65.849999999999994</v>
      </c>
    </row>
    <row r="13795" spans="1:5" x14ac:dyDescent="0.2">
      <c r="A13795">
        <v>48866</v>
      </c>
      <c r="B13795" t="s">
        <v>28</v>
      </c>
      <c r="C13795">
        <v>48866</v>
      </c>
      <c r="D13795" t="str">
        <f>"48866"</f>
        <v>48866</v>
      </c>
      <c r="E13795">
        <v>69.86</v>
      </c>
    </row>
    <row r="13796" spans="1:5" x14ac:dyDescent="0.2">
      <c r="A13796">
        <v>48867</v>
      </c>
      <c r="B13796" t="s">
        <v>28</v>
      </c>
      <c r="C13796">
        <v>48867</v>
      </c>
      <c r="D13796" t="str">
        <f>"48867"</f>
        <v>48867</v>
      </c>
      <c r="E13796">
        <v>66.64</v>
      </c>
    </row>
    <row r="13797" spans="1:5" x14ac:dyDescent="0.2">
      <c r="A13797">
        <v>48871</v>
      </c>
      <c r="B13797" t="s">
        <v>28</v>
      </c>
      <c r="C13797">
        <v>48871</v>
      </c>
      <c r="D13797" t="str">
        <f>"48871"</f>
        <v>48871</v>
      </c>
      <c r="E13797">
        <v>75.27</v>
      </c>
    </row>
    <row r="13798" spans="1:5" x14ac:dyDescent="0.2">
      <c r="A13798">
        <v>48872</v>
      </c>
      <c r="B13798" t="s">
        <v>28</v>
      </c>
      <c r="C13798">
        <v>48872</v>
      </c>
      <c r="D13798" t="str">
        <f>"48872"</f>
        <v>48872</v>
      </c>
      <c r="E13798">
        <v>72.959999999999994</v>
      </c>
    </row>
    <row r="13799" spans="1:5" x14ac:dyDescent="0.2">
      <c r="A13799">
        <v>48873</v>
      </c>
      <c r="B13799" t="s">
        <v>28</v>
      </c>
      <c r="C13799">
        <v>48873</v>
      </c>
      <c r="D13799" t="str">
        <f>"48873"</f>
        <v>48873</v>
      </c>
      <c r="E13799">
        <v>80</v>
      </c>
    </row>
    <row r="13800" spans="1:5" x14ac:dyDescent="0.2">
      <c r="A13800">
        <v>48874</v>
      </c>
      <c r="B13800" t="s">
        <v>28</v>
      </c>
      <c r="C13800">
        <v>48874</v>
      </c>
      <c r="D13800" t="str">
        <f>"48874"</f>
        <v>48874</v>
      </c>
      <c r="E13800" t="s">
        <v>6</v>
      </c>
    </row>
    <row r="13801" spans="1:5" x14ac:dyDescent="0.2">
      <c r="A13801">
        <v>48875</v>
      </c>
      <c r="B13801" t="s">
        <v>28</v>
      </c>
      <c r="C13801">
        <v>48875</v>
      </c>
      <c r="D13801" t="str">
        <f>"48875"</f>
        <v>48875</v>
      </c>
      <c r="E13801">
        <v>76.510000000000005</v>
      </c>
    </row>
    <row r="13802" spans="1:5" x14ac:dyDescent="0.2">
      <c r="A13802">
        <v>48876</v>
      </c>
      <c r="B13802" t="s">
        <v>28</v>
      </c>
      <c r="C13802">
        <v>48876</v>
      </c>
      <c r="D13802" t="str">
        <f>"48876"</f>
        <v>48876</v>
      </c>
      <c r="E13802">
        <v>72.599999999999994</v>
      </c>
    </row>
    <row r="13803" spans="1:5" x14ac:dyDescent="0.2">
      <c r="A13803">
        <v>48877</v>
      </c>
      <c r="B13803" t="s">
        <v>28</v>
      </c>
      <c r="C13803">
        <v>48877</v>
      </c>
      <c r="D13803" t="str">
        <f>"48877"</f>
        <v>48877</v>
      </c>
      <c r="E13803">
        <v>64.650000000000006</v>
      </c>
    </row>
    <row r="13804" spans="1:5" x14ac:dyDescent="0.2">
      <c r="A13804">
        <v>48878</v>
      </c>
      <c r="B13804" t="s">
        <v>28</v>
      </c>
      <c r="C13804">
        <v>48878</v>
      </c>
      <c r="D13804" t="str">
        <f>"48878"</f>
        <v>48878</v>
      </c>
      <c r="E13804">
        <v>74.319999999999993</v>
      </c>
    </row>
    <row r="13805" spans="1:5" x14ac:dyDescent="0.2">
      <c r="A13805">
        <v>48879</v>
      </c>
      <c r="B13805" t="s">
        <v>28</v>
      </c>
      <c r="C13805">
        <v>48879</v>
      </c>
      <c r="D13805" t="str">
        <f>"48879"</f>
        <v>48879</v>
      </c>
      <c r="E13805">
        <v>73.540000000000006</v>
      </c>
    </row>
    <row r="13806" spans="1:5" x14ac:dyDescent="0.2">
      <c r="A13806">
        <v>48880</v>
      </c>
      <c r="B13806" t="s">
        <v>28</v>
      </c>
      <c r="C13806">
        <v>48880</v>
      </c>
      <c r="D13806" t="str">
        <f>"48880"</f>
        <v>48880</v>
      </c>
      <c r="E13806">
        <v>65.47</v>
      </c>
    </row>
    <row r="13807" spans="1:5" x14ac:dyDescent="0.2">
      <c r="A13807">
        <v>48881</v>
      </c>
      <c r="B13807" t="s">
        <v>28</v>
      </c>
      <c r="C13807">
        <v>48881</v>
      </c>
      <c r="D13807" t="str">
        <f>"48881"</f>
        <v>48881</v>
      </c>
      <c r="E13807">
        <v>73.83</v>
      </c>
    </row>
    <row r="13808" spans="1:5" x14ac:dyDescent="0.2">
      <c r="A13808">
        <v>48883</v>
      </c>
      <c r="B13808" t="s">
        <v>28</v>
      </c>
      <c r="C13808">
        <v>48883</v>
      </c>
      <c r="D13808" t="str">
        <f>"48883"</f>
        <v>48883</v>
      </c>
      <c r="E13808">
        <v>70.12</v>
      </c>
    </row>
    <row r="13809" spans="1:5" x14ac:dyDescent="0.2">
      <c r="A13809">
        <v>48884</v>
      </c>
      <c r="B13809" t="s">
        <v>28</v>
      </c>
      <c r="C13809">
        <v>48884</v>
      </c>
      <c r="D13809" t="str">
        <f>"48884"</f>
        <v>48884</v>
      </c>
      <c r="E13809">
        <v>64.400000000000006</v>
      </c>
    </row>
    <row r="13810" spans="1:5" x14ac:dyDescent="0.2">
      <c r="A13810">
        <v>48885</v>
      </c>
      <c r="B13810" t="s">
        <v>28</v>
      </c>
      <c r="C13810">
        <v>48885</v>
      </c>
      <c r="D13810" t="str">
        <f>"48885"</f>
        <v>48885</v>
      </c>
      <c r="E13810">
        <v>66.67</v>
      </c>
    </row>
    <row r="13811" spans="1:5" x14ac:dyDescent="0.2">
      <c r="A13811">
        <v>48886</v>
      </c>
      <c r="B13811" t="s">
        <v>28</v>
      </c>
      <c r="C13811">
        <v>48886</v>
      </c>
      <c r="D13811" t="str">
        <f>"48886"</f>
        <v>48886</v>
      </c>
      <c r="E13811">
        <v>68.09</v>
      </c>
    </row>
    <row r="13812" spans="1:5" x14ac:dyDescent="0.2">
      <c r="A13812">
        <v>48888</v>
      </c>
      <c r="B13812" t="s">
        <v>28</v>
      </c>
      <c r="C13812">
        <v>48888</v>
      </c>
      <c r="D13812" t="str">
        <f>"48888"</f>
        <v>48888</v>
      </c>
      <c r="E13812">
        <v>65.569999999999993</v>
      </c>
    </row>
    <row r="13813" spans="1:5" x14ac:dyDescent="0.2">
      <c r="A13813">
        <v>48889</v>
      </c>
      <c r="B13813" t="s">
        <v>28</v>
      </c>
      <c r="C13813">
        <v>48889</v>
      </c>
      <c r="D13813" t="str">
        <f>"48889"</f>
        <v>48889</v>
      </c>
      <c r="E13813">
        <v>70</v>
      </c>
    </row>
    <row r="13814" spans="1:5" x14ac:dyDescent="0.2">
      <c r="A13814">
        <v>48890</v>
      </c>
      <c r="B13814" t="s">
        <v>28</v>
      </c>
      <c r="C13814">
        <v>48890</v>
      </c>
      <c r="D13814" t="str">
        <f>"48890"</f>
        <v>48890</v>
      </c>
      <c r="E13814">
        <v>75</v>
      </c>
    </row>
    <row r="13815" spans="1:5" x14ac:dyDescent="0.2">
      <c r="A13815">
        <v>48891</v>
      </c>
      <c r="B13815" t="s">
        <v>28</v>
      </c>
      <c r="C13815">
        <v>48891</v>
      </c>
      <c r="D13815" t="str">
        <f>"48891"</f>
        <v>48891</v>
      </c>
      <c r="E13815">
        <v>62.4</v>
      </c>
    </row>
    <row r="13816" spans="1:5" x14ac:dyDescent="0.2">
      <c r="A13816">
        <v>48892</v>
      </c>
      <c r="B13816" t="s">
        <v>28</v>
      </c>
      <c r="C13816">
        <v>48892</v>
      </c>
      <c r="D13816" t="str">
        <f>"48892"</f>
        <v>48892</v>
      </c>
      <c r="E13816">
        <v>73.97</v>
      </c>
    </row>
    <row r="13817" spans="1:5" x14ac:dyDescent="0.2">
      <c r="A13817">
        <v>48893</v>
      </c>
      <c r="B13817" t="s">
        <v>28</v>
      </c>
      <c r="C13817">
        <v>48893</v>
      </c>
      <c r="D13817" t="str">
        <f>"48893"</f>
        <v>48893</v>
      </c>
      <c r="E13817">
        <v>69.84</v>
      </c>
    </row>
    <row r="13818" spans="1:5" x14ac:dyDescent="0.2">
      <c r="A13818">
        <v>48894</v>
      </c>
      <c r="B13818" t="s">
        <v>28</v>
      </c>
      <c r="C13818">
        <v>48894</v>
      </c>
      <c r="D13818" t="str">
        <f>"48894"</f>
        <v>48894</v>
      </c>
      <c r="E13818">
        <v>78.38</v>
      </c>
    </row>
    <row r="13819" spans="1:5" x14ac:dyDescent="0.2">
      <c r="A13819">
        <v>48895</v>
      </c>
      <c r="B13819" t="s">
        <v>28</v>
      </c>
      <c r="C13819">
        <v>48895</v>
      </c>
      <c r="D13819" t="str">
        <f>"48895"</f>
        <v>48895</v>
      </c>
      <c r="E13819">
        <v>78.13</v>
      </c>
    </row>
    <row r="13820" spans="1:5" x14ac:dyDescent="0.2">
      <c r="A13820">
        <v>48896</v>
      </c>
      <c r="B13820" t="s">
        <v>28</v>
      </c>
      <c r="C13820">
        <v>48896</v>
      </c>
      <c r="D13820" t="str">
        <f>"48896"</f>
        <v>48896</v>
      </c>
      <c r="E13820" t="s">
        <v>6</v>
      </c>
    </row>
    <row r="13821" spans="1:5" x14ac:dyDescent="0.2">
      <c r="A13821">
        <v>48897</v>
      </c>
      <c r="B13821" t="s">
        <v>28</v>
      </c>
      <c r="C13821">
        <v>48897</v>
      </c>
      <c r="D13821" t="str">
        <f>"48897"</f>
        <v>48897</v>
      </c>
      <c r="E13821">
        <v>74.650000000000006</v>
      </c>
    </row>
    <row r="13822" spans="1:5" x14ac:dyDescent="0.2">
      <c r="A13822">
        <v>48906</v>
      </c>
      <c r="B13822" t="s">
        <v>28</v>
      </c>
      <c r="C13822">
        <v>48906</v>
      </c>
      <c r="D13822" t="str">
        <f>"48906"</f>
        <v>48906</v>
      </c>
      <c r="E13822">
        <v>65.47</v>
      </c>
    </row>
    <row r="13823" spans="1:5" x14ac:dyDescent="0.2">
      <c r="A13823">
        <v>48910</v>
      </c>
      <c r="B13823" t="s">
        <v>28</v>
      </c>
      <c r="C13823">
        <v>48910</v>
      </c>
      <c r="D13823" t="str">
        <f>"48910"</f>
        <v>48910</v>
      </c>
      <c r="E13823">
        <v>66.56</v>
      </c>
    </row>
    <row r="13824" spans="1:5" x14ac:dyDescent="0.2">
      <c r="A13824">
        <v>48911</v>
      </c>
      <c r="B13824" t="s">
        <v>28</v>
      </c>
      <c r="C13824">
        <v>48911</v>
      </c>
      <c r="D13824" t="str">
        <f>"48911"</f>
        <v>48911</v>
      </c>
      <c r="E13824">
        <v>62.47</v>
      </c>
    </row>
    <row r="13825" spans="1:5" x14ac:dyDescent="0.2">
      <c r="A13825">
        <v>48912</v>
      </c>
      <c r="B13825" t="s">
        <v>28</v>
      </c>
      <c r="C13825">
        <v>48912</v>
      </c>
      <c r="D13825" t="str">
        <f>"48912"</f>
        <v>48912</v>
      </c>
      <c r="E13825">
        <v>69.03</v>
      </c>
    </row>
    <row r="13826" spans="1:5" x14ac:dyDescent="0.2">
      <c r="A13826">
        <v>48915</v>
      </c>
      <c r="B13826" t="s">
        <v>28</v>
      </c>
      <c r="C13826">
        <v>48915</v>
      </c>
      <c r="D13826" t="str">
        <f>"48915"</f>
        <v>48915</v>
      </c>
      <c r="E13826">
        <v>63.06</v>
      </c>
    </row>
    <row r="13827" spans="1:5" x14ac:dyDescent="0.2">
      <c r="A13827">
        <v>48917</v>
      </c>
      <c r="B13827" t="s">
        <v>28</v>
      </c>
      <c r="C13827">
        <v>48917</v>
      </c>
      <c r="D13827" t="str">
        <f>"48917"</f>
        <v>48917</v>
      </c>
      <c r="E13827">
        <v>76</v>
      </c>
    </row>
    <row r="13828" spans="1:5" x14ac:dyDescent="0.2">
      <c r="A13828">
        <v>48933</v>
      </c>
      <c r="B13828" t="s">
        <v>28</v>
      </c>
      <c r="C13828">
        <v>48933</v>
      </c>
      <c r="D13828" t="str">
        <f>"48933"</f>
        <v>48933</v>
      </c>
      <c r="E13828">
        <v>67.52</v>
      </c>
    </row>
    <row r="13829" spans="1:5" x14ac:dyDescent="0.2">
      <c r="A13829">
        <v>49001</v>
      </c>
      <c r="B13829" t="s">
        <v>28</v>
      </c>
      <c r="C13829">
        <v>49001</v>
      </c>
      <c r="D13829" t="str">
        <f>"49001"</f>
        <v>49001</v>
      </c>
      <c r="E13829">
        <v>62.97</v>
      </c>
    </row>
    <row r="13830" spans="1:5" x14ac:dyDescent="0.2">
      <c r="A13830">
        <v>49002</v>
      </c>
      <c r="B13830" t="s">
        <v>28</v>
      </c>
      <c r="C13830">
        <v>49002</v>
      </c>
      <c r="D13830" t="str">
        <f>"49002"</f>
        <v>49002</v>
      </c>
      <c r="E13830">
        <v>75.28</v>
      </c>
    </row>
    <row r="13831" spans="1:5" x14ac:dyDescent="0.2">
      <c r="A13831">
        <v>49004</v>
      </c>
      <c r="B13831" t="s">
        <v>28</v>
      </c>
      <c r="C13831">
        <v>49004</v>
      </c>
      <c r="D13831" t="str">
        <f>"49004"</f>
        <v>49004</v>
      </c>
      <c r="E13831">
        <v>71.739999999999995</v>
      </c>
    </row>
    <row r="13832" spans="1:5" x14ac:dyDescent="0.2">
      <c r="A13832">
        <v>49006</v>
      </c>
      <c r="B13832" t="s">
        <v>28</v>
      </c>
      <c r="C13832">
        <v>49006</v>
      </c>
      <c r="D13832" t="str">
        <f>"49006"</f>
        <v>49006</v>
      </c>
      <c r="E13832">
        <v>66.36</v>
      </c>
    </row>
    <row r="13833" spans="1:5" x14ac:dyDescent="0.2">
      <c r="A13833">
        <v>49007</v>
      </c>
      <c r="B13833" t="s">
        <v>28</v>
      </c>
      <c r="C13833">
        <v>49007</v>
      </c>
      <c r="D13833" t="str">
        <f>"49007"</f>
        <v>49007</v>
      </c>
      <c r="E13833">
        <v>53.21</v>
      </c>
    </row>
    <row r="13834" spans="1:5" x14ac:dyDescent="0.2">
      <c r="A13834">
        <v>49008</v>
      </c>
      <c r="B13834" t="s">
        <v>28</v>
      </c>
      <c r="C13834">
        <v>49008</v>
      </c>
      <c r="D13834" t="str">
        <f>"49008"</f>
        <v>49008</v>
      </c>
      <c r="E13834">
        <v>73.08</v>
      </c>
    </row>
    <row r="13835" spans="1:5" x14ac:dyDescent="0.2">
      <c r="A13835">
        <v>49009</v>
      </c>
      <c r="B13835" t="s">
        <v>28</v>
      </c>
      <c r="C13835">
        <v>49009</v>
      </c>
      <c r="D13835" t="str">
        <f>"49009"</f>
        <v>49009</v>
      </c>
      <c r="E13835">
        <v>74.75</v>
      </c>
    </row>
    <row r="13836" spans="1:5" x14ac:dyDescent="0.2">
      <c r="A13836">
        <v>49010</v>
      </c>
      <c r="B13836" t="s">
        <v>28</v>
      </c>
      <c r="C13836">
        <v>49010</v>
      </c>
      <c r="D13836" t="str">
        <f>"49010"</f>
        <v>49010</v>
      </c>
      <c r="E13836">
        <v>70.760000000000005</v>
      </c>
    </row>
    <row r="13837" spans="1:5" x14ac:dyDescent="0.2">
      <c r="A13837">
        <v>49011</v>
      </c>
      <c r="B13837" t="s">
        <v>28</v>
      </c>
      <c r="C13837">
        <v>49011</v>
      </c>
      <c r="D13837" t="str">
        <f>"49011"</f>
        <v>49011</v>
      </c>
      <c r="E13837">
        <v>71.290000000000006</v>
      </c>
    </row>
    <row r="13838" spans="1:5" x14ac:dyDescent="0.2">
      <c r="A13838">
        <v>49012</v>
      </c>
      <c r="B13838" t="s">
        <v>28</v>
      </c>
      <c r="C13838">
        <v>49012</v>
      </c>
      <c r="D13838" t="str">
        <f>"49012"</f>
        <v>49012</v>
      </c>
      <c r="E13838">
        <v>76.84</v>
      </c>
    </row>
    <row r="13839" spans="1:5" x14ac:dyDescent="0.2">
      <c r="A13839">
        <v>49013</v>
      </c>
      <c r="B13839" t="s">
        <v>28</v>
      </c>
      <c r="C13839">
        <v>49013</v>
      </c>
      <c r="D13839" t="str">
        <f>"49013"</f>
        <v>49013</v>
      </c>
      <c r="E13839">
        <v>57.27</v>
      </c>
    </row>
    <row r="13840" spans="1:5" x14ac:dyDescent="0.2">
      <c r="A13840">
        <v>49014</v>
      </c>
      <c r="B13840" t="s">
        <v>28</v>
      </c>
      <c r="C13840">
        <v>49014</v>
      </c>
      <c r="D13840" t="str">
        <f>"49014"</f>
        <v>49014</v>
      </c>
      <c r="E13840">
        <v>68.61</v>
      </c>
    </row>
    <row r="13841" spans="1:5" x14ac:dyDescent="0.2">
      <c r="A13841">
        <v>49015</v>
      </c>
      <c r="B13841" t="s">
        <v>28</v>
      </c>
      <c r="C13841">
        <v>49015</v>
      </c>
      <c r="D13841" t="str">
        <f>"49015"</f>
        <v>49015</v>
      </c>
      <c r="E13841">
        <v>70.89</v>
      </c>
    </row>
    <row r="13842" spans="1:5" x14ac:dyDescent="0.2">
      <c r="A13842">
        <v>49017</v>
      </c>
      <c r="B13842" t="s">
        <v>28</v>
      </c>
      <c r="C13842">
        <v>49017</v>
      </c>
      <c r="D13842" t="str">
        <f>"49017"</f>
        <v>49017</v>
      </c>
      <c r="E13842">
        <v>69.5</v>
      </c>
    </row>
    <row r="13843" spans="1:5" x14ac:dyDescent="0.2">
      <c r="A13843">
        <v>49021</v>
      </c>
      <c r="B13843" t="s">
        <v>28</v>
      </c>
      <c r="C13843">
        <v>49021</v>
      </c>
      <c r="D13843" t="str">
        <f>"49021"</f>
        <v>49021</v>
      </c>
      <c r="E13843">
        <v>73.760000000000005</v>
      </c>
    </row>
    <row r="13844" spans="1:5" x14ac:dyDescent="0.2">
      <c r="A13844">
        <v>49022</v>
      </c>
      <c r="B13844" t="s">
        <v>28</v>
      </c>
      <c r="C13844">
        <v>49022</v>
      </c>
      <c r="D13844" t="str">
        <f>"49022"</f>
        <v>49022</v>
      </c>
      <c r="E13844">
        <v>51.53</v>
      </c>
    </row>
    <row r="13845" spans="1:5" x14ac:dyDescent="0.2">
      <c r="A13845">
        <v>49024</v>
      </c>
      <c r="B13845" t="s">
        <v>28</v>
      </c>
      <c r="C13845">
        <v>49024</v>
      </c>
      <c r="D13845" t="str">
        <f>"49024"</f>
        <v>49024</v>
      </c>
      <c r="E13845">
        <v>77.17</v>
      </c>
    </row>
    <row r="13846" spans="1:5" x14ac:dyDescent="0.2">
      <c r="A13846">
        <v>49026</v>
      </c>
      <c r="B13846" t="s">
        <v>28</v>
      </c>
      <c r="C13846">
        <v>49026</v>
      </c>
      <c r="D13846" t="str">
        <f>"49026"</f>
        <v>49026</v>
      </c>
      <c r="E13846">
        <v>64.58</v>
      </c>
    </row>
    <row r="13847" spans="1:5" x14ac:dyDescent="0.2">
      <c r="A13847">
        <v>49027</v>
      </c>
      <c r="B13847" t="s">
        <v>28</v>
      </c>
      <c r="C13847">
        <v>49027</v>
      </c>
      <c r="D13847" t="str">
        <f>"49027"</f>
        <v>49027</v>
      </c>
      <c r="E13847" t="s">
        <v>6</v>
      </c>
    </row>
    <row r="13848" spans="1:5" x14ac:dyDescent="0.2">
      <c r="A13848">
        <v>49028</v>
      </c>
      <c r="B13848" t="s">
        <v>28</v>
      </c>
      <c r="C13848">
        <v>49028</v>
      </c>
      <c r="D13848" t="str">
        <f>"49028"</f>
        <v>49028</v>
      </c>
      <c r="E13848">
        <v>67.27</v>
      </c>
    </row>
    <row r="13849" spans="1:5" x14ac:dyDescent="0.2">
      <c r="A13849">
        <v>49029</v>
      </c>
      <c r="B13849" t="s">
        <v>28</v>
      </c>
      <c r="C13849">
        <v>49029</v>
      </c>
      <c r="D13849" t="str">
        <f>"49029"</f>
        <v>49029</v>
      </c>
      <c r="E13849">
        <v>70.83</v>
      </c>
    </row>
    <row r="13850" spans="1:5" x14ac:dyDescent="0.2">
      <c r="A13850">
        <v>49030</v>
      </c>
      <c r="B13850" t="s">
        <v>28</v>
      </c>
      <c r="C13850">
        <v>49030</v>
      </c>
      <c r="D13850" t="str">
        <f>"49030"</f>
        <v>49030</v>
      </c>
      <c r="E13850">
        <v>68.42</v>
      </c>
    </row>
    <row r="13851" spans="1:5" x14ac:dyDescent="0.2">
      <c r="A13851">
        <v>49031</v>
      </c>
      <c r="B13851" t="s">
        <v>28</v>
      </c>
      <c r="C13851">
        <v>49031</v>
      </c>
      <c r="D13851" t="str">
        <f>"49031"</f>
        <v>49031</v>
      </c>
      <c r="E13851">
        <v>70.8</v>
      </c>
    </row>
    <row r="13852" spans="1:5" x14ac:dyDescent="0.2">
      <c r="A13852">
        <v>49032</v>
      </c>
      <c r="B13852" t="s">
        <v>28</v>
      </c>
      <c r="C13852">
        <v>49032</v>
      </c>
      <c r="D13852" t="str">
        <f>"49032"</f>
        <v>49032</v>
      </c>
      <c r="E13852">
        <v>66.19</v>
      </c>
    </row>
    <row r="13853" spans="1:5" x14ac:dyDescent="0.2">
      <c r="A13853">
        <v>49033</v>
      </c>
      <c r="B13853" t="s">
        <v>28</v>
      </c>
      <c r="C13853">
        <v>49033</v>
      </c>
      <c r="D13853" t="str">
        <f>"49033"</f>
        <v>49033</v>
      </c>
      <c r="E13853">
        <v>78.260000000000005</v>
      </c>
    </row>
    <row r="13854" spans="1:5" x14ac:dyDescent="0.2">
      <c r="A13854">
        <v>49034</v>
      </c>
      <c r="B13854" t="s">
        <v>28</v>
      </c>
      <c r="C13854">
        <v>49034</v>
      </c>
      <c r="D13854" t="str">
        <f>"49034"</f>
        <v>49034</v>
      </c>
      <c r="E13854">
        <v>75.23</v>
      </c>
    </row>
    <row r="13855" spans="1:5" x14ac:dyDescent="0.2">
      <c r="A13855">
        <v>49036</v>
      </c>
      <c r="B13855" t="s">
        <v>28</v>
      </c>
      <c r="C13855">
        <v>49036</v>
      </c>
      <c r="D13855" t="str">
        <f>"49036"</f>
        <v>49036</v>
      </c>
      <c r="E13855">
        <v>68.06</v>
      </c>
    </row>
    <row r="13856" spans="1:5" x14ac:dyDescent="0.2">
      <c r="A13856">
        <v>49037</v>
      </c>
      <c r="B13856" t="s">
        <v>28</v>
      </c>
      <c r="C13856">
        <v>49037</v>
      </c>
      <c r="D13856" t="str">
        <f>"49037"</f>
        <v>49037</v>
      </c>
      <c r="E13856">
        <v>58.53</v>
      </c>
    </row>
    <row r="13857" spans="1:5" x14ac:dyDescent="0.2">
      <c r="A13857">
        <v>49038</v>
      </c>
      <c r="B13857" t="s">
        <v>28</v>
      </c>
      <c r="C13857">
        <v>49038</v>
      </c>
      <c r="D13857" t="str">
        <f>"49038"</f>
        <v>49038</v>
      </c>
      <c r="E13857">
        <v>69.040000000000006</v>
      </c>
    </row>
    <row r="13858" spans="1:5" x14ac:dyDescent="0.2">
      <c r="A13858">
        <v>49040</v>
      </c>
      <c r="B13858" t="s">
        <v>28</v>
      </c>
      <c r="C13858">
        <v>49040</v>
      </c>
      <c r="D13858" t="str">
        <f>"49040"</f>
        <v>49040</v>
      </c>
      <c r="E13858">
        <v>71.61</v>
      </c>
    </row>
    <row r="13859" spans="1:5" x14ac:dyDescent="0.2">
      <c r="A13859">
        <v>49042</v>
      </c>
      <c r="B13859" t="s">
        <v>28</v>
      </c>
      <c r="C13859">
        <v>49042</v>
      </c>
      <c r="D13859" t="str">
        <f>"49042"</f>
        <v>49042</v>
      </c>
      <c r="E13859">
        <v>70.56</v>
      </c>
    </row>
    <row r="13860" spans="1:5" x14ac:dyDescent="0.2">
      <c r="A13860">
        <v>49043</v>
      </c>
      <c r="B13860" t="s">
        <v>28</v>
      </c>
      <c r="C13860">
        <v>49043</v>
      </c>
      <c r="D13860" t="str">
        <f>"49043"</f>
        <v>49043</v>
      </c>
      <c r="E13860">
        <v>50</v>
      </c>
    </row>
    <row r="13861" spans="1:5" x14ac:dyDescent="0.2">
      <c r="A13861">
        <v>49045</v>
      </c>
      <c r="B13861" t="s">
        <v>28</v>
      </c>
      <c r="C13861">
        <v>49045</v>
      </c>
      <c r="D13861" t="str">
        <f>"49045"</f>
        <v>49045</v>
      </c>
      <c r="E13861">
        <v>64.14</v>
      </c>
    </row>
    <row r="13862" spans="1:5" x14ac:dyDescent="0.2">
      <c r="A13862">
        <v>49046</v>
      </c>
      <c r="B13862" t="s">
        <v>28</v>
      </c>
      <c r="C13862">
        <v>49046</v>
      </c>
      <c r="D13862" t="str">
        <f>"49046"</f>
        <v>49046</v>
      </c>
      <c r="E13862">
        <v>74.239999999999995</v>
      </c>
    </row>
    <row r="13863" spans="1:5" x14ac:dyDescent="0.2">
      <c r="A13863">
        <v>49047</v>
      </c>
      <c r="B13863" t="s">
        <v>28</v>
      </c>
      <c r="C13863">
        <v>49047</v>
      </c>
      <c r="D13863" t="str">
        <f>"49047"</f>
        <v>49047</v>
      </c>
      <c r="E13863">
        <v>64.56</v>
      </c>
    </row>
    <row r="13864" spans="1:5" x14ac:dyDescent="0.2">
      <c r="A13864">
        <v>49048</v>
      </c>
      <c r="B13864" t="s">
        <v>28</v>
      </c>
      <c r="C13864">
        <v>49048</v>
      </c>
      <c r="D13864" t="str">
        <f>"49048"</f>
        <v>49048</v>
      </c>
      <c r="E13864">
        <v>64.42</v>
      </c>
    </row>
    <row r="13865" spans="1:5" x14ac:dyDescent="0.2">
      <c r="A13865">
        <v>49050</v>
      </c>
      <c r="B13865" t="s">
        <v>28</v>
      </c>
      <c r="C13865">
        <v>49050</v>
      </c>
      <c r="D13865" t="str">
        <f>"49050"</f>
        <v>49050</v>
      </c>
      <c r="E13865">
        <v>70.67</v>
      </c>
    </row>
    <row r="13866" spans="1:5" x14ac:dyDescent="0.2">
      <c r="A13866">
        <v>49051</v>
      </c>
      <c r="B13866" t="s">
        <v>28</v>
      </c>
      <c r="C13866">
        <v>49051</v>
      </c>
      <c r="D13866" t="str">
        <f>"49051"</f>
        <v>49051</v>
      </c>
      <c r="E13866">
        <v>77.97</v>
      </c>
    </row>
    <row r="13867" spans="1:5" x14ac:dyDescent="0.2">
      <c r="A13867">
        <v>49052</v>
      </c>
      <c r="B13867" t="s">
        <v>28</v>
      </c>
      <c r="C13867">
        <v>49052</v>
      </c>
      <c r="D13867" t="str">
        <f>"49052"</f>
        <v>49052</v>
      </c>
      <c r="E13867">
        <v>68.89</v>
      </c>
    </row>
    <row r="13868" spans="1:5" x14ac:dyDescent="0.2">
      <c r="A13868">
        <v>49053</v>
      </c>
      <c r="B13868" t="s">
        <v>28</v>
      </c>
      <c r="C13868">
        <v>49053</v>
      </c>
      <c r="D13868" t="str">
        <f>"49053"</f>
        <v>49053</v>
      </c>
      <c r="E13868">
        <v>74.319999999999993</v>
      </c>
    </row>
    <row r="13869" spans="1:5" x14ac:dyDescent="0.2">
      <c r="A13869">
        <v>49055</v>
      </c>
      <c r="B13869" t="s">
        <v>28</v>
      </c>
      <c r="C13869">
        <v>49055</v>
      </c>
      <c r="D13869" t="str">
        <f>"49055"</f>
        <v>49055</v>
      </c>
      <c r="E13869">
        <v>70.77</v>
      </c>
    </row>
    <row r="13870" spans="1:5" x14ac:dyDescent="0.2">
      <c r="A13870">
        <v>49056</v>
      </c>
      <c r="B13870" t="s">
        <v>28</v>
      </c>
      <c r="C13870">
        <v>49056</v>
      </c>
      <c r="D13870" t="str">
        <f>"49056"</f>
        <v>49056</v>
      </c>
      <c r="E13870">
        <v>57.93</v>
      </c>
    </row>
    <row r="13871" spans="1:5" x14ac:dyDescent="0.2">
      <c r="A13871">
        <v>49057</v>
      </c>
      <c r="B13871" t="s">
        <v>28</v>
      </c>
      <c r="C13871">
        <v>49057</v>
      </c>
      <c r="D13871" t="str">
        <f>"49057"</f>
        <v>49057</v>
      </c>
      <c r="E13871">
        <v>55.09</v>
      </c>
    </row>
    <row r="13872" spans="1:5" x14ac:dyDescent="0.2">
      <c r="A13872">
        <v>49058</v>
      </c>
      <c r="B13872" t="s">
        <v>28</v>
      </c>
      <c r="C13872">
        <v>49058</v>
      </c>
      <c r="D13872" t="str">
        <f>"49058"</f>
        <v>49058</v>
      </c>
      <c r="E13872">
        <v>70.819999999999993</v>
      </c>
    </row>
    <row r="13873" spans="1:5" x14ac:dyDescent="0.2">
      <c r="A13873">
        <v>49060</v>
      </c>
      <c r="B13873" t="s">
        <v>28</v>
      </c>
      <c r="C13873">
        <v>49060</v>
      </c>
      <c r="D13873" t="str">
        <f>"49060"</f>
        <v>49060</v>
      </c>
      <c r="E13873">
        <v>77.53</v>
      </c>
    </row>
    <row r="13874" spans="1:5" x14ac:dyDescent="0.2">
      <c r="A13874">
        <v>49061</v>
      </c>
      <c r="B13874" t="s">
        <v>28</v>
      </c>
      <c r="C13874">
        <v>49061</v>
      </c>
      <c r="D13874" t="str">
        <f>"49061"</f>
        <v>49061</v>
      </c>
      <c r="E13874">
        <v>72</v>
      </c>
    </row>
    <row r="13875" spans="1:5" x14ac:dyDescent="0.2">
      <c r="A13875">
        <v>49064</v>
      </c>
      <c r="B13875" t="s">
        <v>28</v>
      </c>
      <c r="C13875">
        <v>49064</v>
      </c>
      <c r="D13875" t="str">
        <f>"49064"</f>
        <v>49064</v>
      </c>
      <c r="E13875">
        <v>66.27</v>
      </c>
    </row>
    <row r="13876" spans="1:5" x14ac:dyDescent="0.2">
      <c r="A13876">
        <v>49065</v>
      </c>
      <c r="B13876" t="s">
        <v>28</v>
      </c>
      <c r="C13876">
        <v>49065</v>
      </c>
      <c r="D13876" t="str">
        <f>"49065"</f>
        <v>49065</v>
      </c>
      <c r="E13876">
        <v>70.72</v>
      </c>
    </row>
    <row r="13877" spans="1:5" x14ac:dyDescent="0.2">
      <c r="A13877">
        <v>49066</v>
      </c>
      <c r="B13877" t="s">
        <v>28</v>
      </c>
      <c r="C13877">
        <v>49066</v>
      </c>
      <c r="D13877" t="str">
        <f>"49066"</f>
        <v>49066</v>
      </c>
      <c r="E13877">
        <v>66.67</v>
      </c>
    </row>
    <row r="13878" spans="1:5" x14ac:dyDescent="0.2">
      <c r="A13878">
        <v>49067</v>
      </c>
      <c r="B13878" t="s">
        <v>28</v>
      </c>
      <c r="C13878">
        <v>49067</v>
      </c>
      <c r="D13878" t="str">
        <f>"49067"</f>
        <v>49067</v>
      </c>
      <c r="E13878">
        <v>69.05</v>
      </c>
    </row>
    <row r="13879" spans="1:5" x14ac:dyDescent="0.2">
      <c r="A13879">
        <v>49068</v>
      </c>
      <c r="B13879" t="s">
        <v>28</v>
      </c>
      <c r="C13879">
        <v>49068</v>
      </c>
      <c r="D13879" t="str">
        <f>"49068"</f>
        <v>49068</v>
      </c>
      <c r="E13879">
        <v>74.06</v>
      </c>
    </row>
    <row r="13880" spans="1:5" x14ac:dyDescent="0.2">
      <c r="A13880">
        <v>49070</v>
      </c>
      <c r="B13880" t="s">
        <v>28</v>
      </c>
      <c r="C13880">
        <v>49070</v>
      </c>
      <c r="D13880" t="str">
        <f>"49070"</f>
        <v>49070</v>
      </c>
      <c r="E13880">
        <v>70.489999999999995</v>
      </c>
    </row>
    <row r="13881" spans="1:5" x14ac:dyDescent="0.2">
      <c r="A13881">
        <v>49071</v>
      </c>
      <c r="B13881" t="s">
        <v>28</v>
      </c>
      <c r="C13881">
        <v>49071</v>
      </c>
      <c r="D13881" t="str">
        <f>"49071"</f>
        <v>49071</v>
      </c>
      <c r="E13881">
        <v>77.66</v>
      </c>
    </row>
    <row r="13882" spans="1:5" x14ac:dyDescent="0.2">
      <c r="A13882">
        <v>49072</v>
      </c>
      <c r="B13882" t="s">
        <v>28</v>
      </c>
      <c r="C13882">
        <v>49072</v>
      </c>
      <c r="D13882" t="str">
        <f>"49072"</f>
        <v>49072</v>
      </c>
      <c r="E13882">
        <v>71.81</v>
      </c>
    </row>
    <row r="13883" spans="1:5" x14ac:dyDescent="0.2">
      <c r="A13883">
        <v>49073</v>
      </c>
      <c r="B13883" t="s">
        <v>28</v>
      </c>
      <c r="C13883">
        <v>49073</v>
      </c>
      <c r="D13883" t="str">
        <f>"49073"</f>
        <v>49073</v>
      </c>
      <c r="E13883">
        <v>66.989999999999995</v>
      </c>
    </row>
    <row r="13884" spans="1:5" x14ac:dyDescent="0.2">
      <c r="A13884">
        <v>49074</v>
      </c>
      <c r="B13884" t="s">
        <v>28</v>
      </c>
      <c r="C13884">
        <v>49074</v>
      </c>
      <c r="D13884" t="str">
        <f>"49074"</f>
        <v>49074</v>
      </c>
      <c r="E13884" t="s">
        <v>6</v>
      </c>
    </row>
    <row r="13885" spans="1:5" x14ac:dyDescent="0.2">
      <c r="A13885">
        <v>49076</v>
      </c>
      <c r="B13885" t="s">
        <v>28</v>
      </c>
      <c r="C13885">
        <v>49076</v>
      </c>
      <c r="D13885" t="str">
        <f>"49076"</f>
        <v>49076</v>
      </c>
      <c r="E13885">
        <v>69.73</v>
      </c>
    </row>
    <row r="13886" spans="1:5" x14ac:dyDescent="0.2">
      <c r="A13886">
        <v>49078</v>
      </c>
      <c r="B13886" t="s">
        <v>28</v>
      </c>
      <c r="C13886">
        <v>49078</v>
      </c>
      <c r="D13886" t="str">
        <f>"49078"</f>
        <v>49078</v>
      </c>
      <c r="E13886">
        <v>72.69</v>
      </c>
    </row>
    <row r="13887" spans="1:5" x14ac:dyDescent="0.2">
      <c r="A13887">
        <v>49079</v>
      </c>
      <c r="B13887" t="s">
        <v>28</v>
      </c>
      <c r="C13887">
        <v>49079</v>
      </c>
      <c r="D13887" t="str">
        <f>"49079"</f>
        <v>49079</v>
      </c>
      <c r="E13887">
        <v>71.41</v>
      </c>
    </row>
    <row r="13888" spans="1:5" x14ac:dyDescent="0.2">
      <c r="A13888">
        <v>49080</v>
      </c>
      <c r="B13888" t="s">
        <v>28</v>
      </c>
      <c r="C13888">
        <v>49080</v>
      </c>
      <c r="D13888" t="str">
        <f>"49080"</f>
        <v>49080</v>
      </c>
      <c r="E13888">
        <v>72.5</v>
      </c>
    </row>
    <row r="13889" spans="1:5" x14ac:dyDescent="0.2">
      <c r="A13889">
        <v>49082</v>
      </c>
      <c r="B13889" t="s">
        <v>28</v>
      </c>
      <c r="C13889">
        <v>49082</v>
      </c>
      <c r="D13889" t="str">
        <f>"49082"</f>
        <v>49082</v>
      </c>
      <c r="E13889">
        <v>68.63</v>
      </c>
    </row>
    <row r="13890" spans="1:5" x14ac:dyDescent="0.2">
      <c r="A13890">
        <v>49083</v>
      </c>
      <c r="B13890" t="s">
        <v>28</v>
      </c>
      <c r="C13890">
        <v>49083</v>
      </c>
      <c r="D13890" t="str">
        <f>"49083"</f>
        <v>49083</v>
      </c>
      <c r="E13890">
        <v>78.069999999999993</v>
      </c>
    </row>
    <row r="13891" spans="1:5" x14ac:dyDescent="0.2">
      <c r="A13891">
        <v>49085</v>
      </c>
      <c r="B13891" t="s">
        <v>28</v>
      </c>
      <c r="C13891">
        <v>49085</v>
      </c>
      <c r="D13891" t="str">
        <f>"49085"</f>
        <v>49085</v>
      </c>
      <c r="E13891">
        <v>77.7</v>
      </c>
    </row>
    <row r="13892" spans="1:5" x14ac:dyDescent="0.2">
      <c r="A13892">
        <v>49087</v>
      </c>
      <c r="B13892" t="s">
        <v>28</v>
      </c>
      <c r="C13892">
        <v>49087</v>
      </c>
      <c r="D13892" t="str">
        <f>"49087"</f>
        <v>49087</v>
      </c>
      <c r="E13892">
        <v>77.27</v>
      </c>
    </row>
    <row r="13893" spans="1:5" x14ac:dyDescent="0.2">
      <c r="A13893">
        <v>49088</v>
      </c>
      <c r="B13893" t="s">
        <v>28</v>
      </c>
      <c r="C13893">
        <v>49088</v>
      </c>
      <c r="D13893" t="str">
        <f>"49088"</f>
        <v>49088</v>
      </c>
      <c r="E13893">
        <v>77.05</v>
      </c>
    </row>
    <row r="13894" spans="1:5" x14ac:dyDescent="0.2">
      <c r="A13894">
        <v>49089</v>
      </c>
      <c r="B13894" t="s">
        <v>28</v>
      </c>
      <c r="C13894">
        <v>49089</v>
      </c>
      <c r="D13894" t="str">
        <f>"49089"</f>
        <v>49089</v>
      </c>
      <c r="E13894">
        <v>65.75</v>
      </c>
    </row>
    <row r="13895" spans="1:5" x14ac:dyDescent="0.2">
      <c r="A13895">
        <v>49090</v>
      </c>
      <c r="B13895" t="s">
        <v>28</v>
      </c>
      <c r="C13895">
        <v>49090</v>
      </c>
      <c r="D13895" t="str">
        <f>"49090"</f>
        <v>49090</v>
      </c>
      <c r="E13895">
        <v>67.239999999999995</v>
      </c>
    </row>
    <row r="13896" spans="1:5" x14ac:dyDescent="0.2">
      <c r="A13896">
        <v>49091</v>
      </c>
      <c r="B13896" t="s">
        <v>28</v>
      </c>
      <c r="C13896">
        <v>49091</v>
      </c>
      <c r="D13896" t="str">
        <f>"49091"</f>
        <v>49091</v>
      </c>
      <c r="E13896">
        <v>66.7</v>
      </c>
    </row>
    <row r="13897" spans="1:5" x14ac:dyDescent="0.2">
      <c r="A13897">
        <v>49092</v>
      </c>
      <c r="B13897" t="s">
        <v>28</v>
      </c>
      <c r="C13897">
        <v>49092</v>
      </c>
      <c r="D13897" t="str">
        <f>"49092"</f>
        <v>49092</v>
      </c>
      <c r="E13897">
        <v>71.569999999999993</v>
      </c>
    </row>
    <row r="13898" spans="1:5" x14ac:dyDescent="0.2">
      <c r="A13898">
        <v>49093</v>
      </c>
      <c r="B13898" t="s">
        <v>28</v>
      </c>
      <c r="C13898">
        <v>49093</v>
      </c>
      <c r="D13898" t="str">
        <f>"49093"</f>
        <v>49093</v>
      </c>
      <c r="E13898">
        <v>69.459999999999994</v>
      </c>
    </row>
    <row r="13899" spans="1:5" x14ac:dyDescent="0.2">
      <c r="A13899">
        <v>49094</v>
      </c>
      <c r="B13899" t="s">
        <v>28</v>
      </c>
      <c r="C13899">
        <v>49094</v>
      </c>
      <c r="D13899" t="str">
        <f>"49094"</f>
        <v>49094</v>
      </c>
      <c r="E13899">
        <v>67.22</v>
      </c>
    </row>
    <row r="13900" spans="1:5" x14ac:dyDescent="0.2">
      <c r="A13900">
        <v>49095</v>
      </c>
      <c r="B13900" t="s">
        <v>28</v>
      </c>
      <c r="C13900">
        <v>49095</v>
      </c>
      <c r="D13900" t="str">
        <f>"49095"</f>
        <v>49095</v>
      </c>
      <c r="E13900">
        <v>72.040000000000006</v>
      </c>
    </row>
    <row r="13901" spans="1:5" x14ac:dyDescent="0.2">
      <c r="A13901">
        <v>49096</v>
      </c>
      <c r="B13901" t="s">
        <v>28</v>
      </c>
      <c r="C13901">
        <v>49096</v>
      </c>
      <c r="D13901" t="str">
        <f>"49096"</f>
        <v>49096</v>
      </c>
      <c r="E13901">
        <v>73.05</v>
      </c>
    </row>
    <row r="13902" spans="1:5" x14ac:dyDescent="0.2">
      <c r="A13902">
        <v>49097</v>
      </c>
      <c r="B13902" t="s">
        <v>28</v>
      </c>
      <c r="C13902">
        <v>49097</v>
      </c>
      <c r="D13902" t="str">
        <f>"49097"</f>
        <v>49097</v>
      </c>
      <c r="E13902">
        <v>76.16</v>
      </c>
    </row>
    <row r="13903" spans="1:5" x14ac:dyDescent="0.2">
      <c r="A13903">
        <v>49098</v>
      </c>
      <c r="B13903" t="s">
        <v>28</v>
      </c>
      <c r="C13903">
        <v>49098</v>
      </c>
      <c r="D13903" t="str">
        <f>"49098"</f>
        <v>49098</v>
      </c>
      <c r="E13903">
        <v>64.52</v>
      </c>
    </row>
    <row r="13904" spans="1:5" x14ac:dyDescent="0.2">
      <c r="A13904">
        <v>49099</v>
      </c>
      <c r="B13904" t="s">
        <v>28</v>
      </c>
      <c r="C13904">
        <v>49099</v>
      </c>
      <c r="D13904" t="str">
        <f>"49099"</f>
        <v>49099</v>
      </c>
      <c r="E13904">
        <v>74.62</v>
      </c>
    </row>
    <row r="13905" spans="1:5" x14ac:dyDescent="0.2">
      <c r="A13905">
        <v>49101</v>
      </c>
      <c r="B13905" t="s">
        <v>28</v>
      </c>
      <c r="C13905">
        <v>49101</v>
      </c>
      <c r="D13905" t="str">
        <f>"49101"</f>
        <v>49101</v>
      </c>
      <c r="E13905">
        <v>72.61</v>
      </c>
    </row>
    <row r="13906" spans="1:5" x14ac:dyDescent="0.2">
      <c r="A13906">
        <v>49102</v>
      </c>
      <c r="B13906" t="s">
        <v>28</v>
      </c>
      <c r="C13906">
        <v>49102</v>
      </c>
      <c r="D13906" t="str">
        <f>"49102"</f>
        <v>49102</v>
      </c>
      <c r="E13906">
        <v>69.349999999999994</v>
      </c>
    </row>
    <row r="13907" spans="1:5" x14ac:dyDescent="0.2">
      <c r="A13907">
        <v>49103</v>
      </c>
      <c r="B13907" t="s">
        <v>28</v>
      </c>
      <c r="C13907">
        <v>49103</v>
      </c>
      <c r="D13907" t="str">
        <f>"49103"</f>
        <v>49103</v>
      </c>
      <c r="E13907">
        <v>62.35</v>
      </c>
    </row>
    <row r="13908" spans="1:5" x14ac:dyDescent="0.2">
      <c r="A13908">
        <v>49104</v>
      </c>
      <c r="B13908" t="s">
        <v>28</v>
      </c>
      <c r="C13908">
        <v>49104</v>
      </c>
      <c r="D13908" t="str">
        <f>"49104"</f>
        <v>49104</v>
      </c>
      <c r="E13908" t="s">
        <v>6</v>
      </c>
    </row>
    <row r="13909" spans="1:5" x14ac:dyDescent="0.2">
      <c r="A13909">
        <v>49106</v>
      </c>
      <c r="B13909" t="s">
        <v>28</v>
      </c>
      <c r="C13909">
        <v>49106</v>
      </c>
      <c r="D13909" t="str">
        <f>"49106"</f>
        <v>49106</v>
      </c>
      <c r="E13909">
        <v>72.150000000000006</v>
      </c>
    </row>
    <row r="13910" spans="1:5" x14ac:dyDescent="0.2">
      <c r="A13910">
        <v>49107</v>
      </c>
      <c r="B13910" t="s">
        <v>28</v>
      </c>
      <c r="C13910">
        <v>49107</v>
      </c>
      <c r="D13910" t="str">
        <f>"49107"</f>
        <v>49107</v>
      </c>
      <c r="E13910">
        <v>71.27</v>
      </c>
    </row>
    <row r="13911" spans="1:5" x14ac:dyDescent="0.2">
      <c r="A13911">
        <v>49111</v>
      </c>
      <c r="B13911" t="s">
        <v>28</v>
      </c>
      <c r="C13911">
        <v>49111</v>
      </c>
      <c r="D13911" t="str">
        <f>"49111"</f>
        <v>49111</v>
      </c>
      <c r="E13911">
        <v>64.069999999999993</v>
      </c>
    </row>
    <row r="13912" spans="1:5" x14ac:dyDescent="0.2">
      <c r="A13912">
        <v>49112</v>
      </c>
      <c r="B13912" t="s">
        <v>28</v>
      </c>
      <c r="C13912">
        <v>49112</v>
      </c>
      <c r="D13912" t="str">
        <f>"49112"</f>
        <v>49112</v>
      </c>
      <c r="E13912">
        <v>74.900000000000006</v>
      </c>
    </row>
    <row r="13913" spans="1:5" x14ac:dyDescent="0.2">
      <c r="A13913">
        <v>49113</v>
      </c>
      <c r="B13913" t="s">
        <v>28</v>
      </c>
      <c r="C13913">
        <v>49113</v>
      </c>
      <c r="D13913" t="str">
        <f>"49113"</f>
        <v>49113</v>
      </c>
      <c r="E13913">
        <v>71.760000000000005</v>
      </c>
    </row>
    <row r="13914" spans="1:5" x14ac:dyDescent="0.2">
      <c r="A13914">
        <v>49115</v>
      </c>
      <c r="B13914" t="s">
        <v>28</v>
      </c>
      <c r="C13914">
        <v>49115</v>
      </c>
      <c r="D13914" t="str">
        <f>"49115"</f>
        <v>49115</v>
      </c>
      <c r="E13914" t="s">
        <v>6</v>
      </c>
    </row>
    <row r="13915" spans="1:5" x14ac:dyDescent="0.2">
      <c r="A13915">
        <v>49116</v>
      </c>
      <c r="B13915" t="s">
        <v>28</v>
      </c>
      <c r="C13915">
        <v>49116</v>
      </c>
      <c r="D13915" t="str">
        <f>"49116"</f>
        <v>49116</v>
      </c>
      <c r="E13915" t="s">
        <v>6</v>
      </c>
    </row>
    <row r="13916" spans="1:5" x14ac:dyDescent="0.2">
      <c r="A13916">
        <v>49117</v>
      </c>
      <c r="B13916" t="s">
        <v>28</v>
      </c>
      <c r="C13916">
        <v>49117</v>
      </c>
      <c r="D13916" t="str">
        <f>"49117"</f>
        <v>49117</v>
      </c>
      <c r="E13916">
        <v>69.19</v>
      </c>
    </row>
    <row r="13917" spans="1:5" x14ac:dyDescent="0.2">
      <c r="A13917">
        <v>49119</v>
      </c>
      <c r="B13917" t="s">
        <v>28</v>
      </c>
      <c r="C13917">
        <v>49119</v>
      </c>
      <c r="D13917" t="str">
        <f>"49119"</f>
        <v>49119</v>
      </c>
      <c r="E13917" t="s">
        <v>6</v>
      </c>
    </row>
    <row r="13918" spans="1:5" x14ac:dyDescent="0.2">
      <c r="A13918">
        <v>49120</v>
      </c>
      <c r="B13918" t="s">
        <v>28</v>
      </c>
      <c r="C13918">
        <v>49120</v>
      </c>
      <c r="D13918" t="str">
        <f>"49120"</f>
        <v>49120</v>
      </c>
      <c r="E13918">
        <v>69.23</v>
      </c>
    </row>
    <row r="13919" spans="1:5" x14ac:dyDescent="0.2">
      <c r="A13919">
        <v>49125</v>
      </c>
      <c r="B13919" t="s">
        <v>28</v>
      </c>
      <c r="C13919">
        <v>49125</v>
      </c>
      <c r="D13919" t="str">
        <f>"49125"</f>
        <v>49125</v>
      </c>
      <c r="E13919">
        <v>74.510000000000005</v>
      </c>
    </row>
    <row r="13920" spans="1:5" x14ac:dyDescent="0.2">
      <c r="A13920">
        <v>49126</v>
      </c>
      <c r="B13920" t="s">
        <v>28</v>
      </c>
      <c r="C13920">
        <v>49126</v>
      </c>
      <c r="D13920" t="str">
        <f>"49126"</f>
        <v>49126</v>
      </c>
      <c r="E13920">
        <v>62.32</v>
      </c>
    </row>
    <row r="13921" spans="1:5" x14ac:dyDescent="0.2">
      <c r="A13921">
        <v>49127</v>
      </c>
      <c r="B13921" t="s">
        <v>28</v>
      </c>
      <c r="C13921">
        <v>49127</v>
      </c>
      <c r="D13921" t="str">
        <f>"49127"</f>
        <v>49127</v>
      </c>
      <c r="E13921">
        <v>74.489999999999995</v>
      </c>
    </row>
    <row r="13922" spans="1:5" x14ac:dyDescent="0.2">
      <c r="A13922">
        <v>49128</v>
      </c>
      <c r="B13922" t="s">
        <v>28</v>
      </c>
      <c r="C13922">
        <v>49128</v>
      </c>
      <c r="D13922" t="str">
        <f>"49128"</f>
        <v>49128</v>
      </c>
      <c r="E13922">
        <v>71.599999999999994</v>
      </c>
    </row>
    <row r="13923" spans="1:5" x14ac:dyDescent="0.2">
      <c r="A13923">
        <v>49129</v>
      </c>
      <c r="B13923" t="s">
        <v>28</v>
      </c>
      <c r="C13923">
        <v>49129</v>
      </c>
      <c r="D13923" t="str">
        <f>"49129"</f>
        <v>49129</v>
      </c>
      <c r="E13923">
        <v>76.47</v>
      </c>
    </row>
    <row r="13924" spans="1:5" x14ac:dyDescent="0.2">
      <c r="A13924">
        <v>49130</v>
      </c>
      <c r="B13924" t="s">
        <v>28</v>
      </c>
      <c r="C13924">
        <v>49130</v>
      </c>
      <c r="D13924" t="str">
        <f>"49130"</f>
        <v>49130</v>
      </c>
      <c r="E13924">
        <v>74.709999999999994</v>
      </c>
    </row>
    <row r="13925" spans="1:5" x14ac:dyDescent="0.2">
      <c r="A13925">
        <v>49201</v>
      </c>
      <c r="B13925" t="s">
        <v>28</v>
      </c>
      <c r="C13925">
        <v>49201</v>
      </c>
      <c r="D13925" t="str">
        <f>"49201"</f>
        <v>49201</v>
      </c>
      <c r="E13925">
        <v>71.84</v>
      </c>
    </row>
    <row r="13926" spans="1:5" x14ac:dyDescent="0.2">
      <c r="A13926">
        <v>49202</v>
      </c>
      <c r="B13926" t="s">
        <v>28</v>
      </c>
      <c r="C13926">
        <v>49202</v>
      </c>
      <c r="D13926" t="str">
        <f>"49202"</f>
        <v>49202</v>
      </c>
      <c r="E13926">
        <v>62.89</v>
      </c>
    </row>
    <row r="13927" spans="1:5" x14ac:dyDescent="0.2">
      <c r="A13927">
        <v>49203</v>
      </c>
      <c r="B13927" t="s">
        <v>28</v>
      </c>
      <c r="C13927">
        <v>49203</v>
      </c>
      <c r="D13927" t="str">
        <f>"49203"</f>
        <v>49203</v>
      </c>
      <c r="E13927">
        <v>66.09</v>
      </c>
    </row>
    <row r="13928" spans="1:5" x14ac:dyDescent="0.2">
      <c r="A13928">
        <v>49220</v>
      </c>
      <c r="B13928" t="s">
        <v>28</v>
      </c>
      <c r="C13928">
        <v>49220</v>
      </c>
      <c r="D13928" t="str">
        <f>"49220"</f>
        <v>49220</v>
      </c>
      <c r="E13928">
        <v>68.180000000000007</v>
      </c>
    </row>
    <row r="13929" spans="1:5" x14ac:dyDescent="0.2">
      <c r="A13929">
        <v>49221</v>
      </c>
      <c r="B13929" t="s">
        <v>28</v>
      </c>
      <c r="C13929">
        <v>49221</v>
      </c>
      <c r="D13929" t="str">
        <f>"49221"</f>
        <v>49221</v>
      </c>
      <c r="E13929">
        <v>66.569999999999993</v>
      </c>
    </row>
    <row r="13930" spans="1:5" x14ac:dyDescent="0.2">
      <c r="A13930">
        <v>49224</v>
      </c>
      <c r="B13930" t="s">
        <v>28</v>
      </c>
      <c r="C13930">
        <v>49224</v>
      </c>
      <c r="D13930" t="str">
        <f>"49224"</f>
        <v>49224</v>
      </c>
      <c r="E13930">
        <v>61.26</v>
      </c>
    </row>
    <row r="13931" spans="1:5" x14ac:dyDescent="0.2">
      <c r="A13931">
        <v>49227</v>
      </c>
      <c r="B13931" t="s">
        <v>28</v>
      </c>
      <c r="C13931">
        <v>49227</v>
      </c>
      <c r="D13931" t="str">
        <f>"49227"</f>
        <v>49227</v>
      </c>
      <c r="E13931">
        <v>66.67</v>
      </c>
    </row>
    <row r="13932" spans="1:5" x14ac:dyDescent="0.2">
      <c r="A13932">
        <v>49228</v>
      </c>
      <c r="B13932" t="s">
        <v>28</v>
      </c>
      <c r="C13932">
        <v>49228</v>
      </c>
      <c r="D13932" t="str">
        <f>"49228"</f>
        <v>49228</v>
      </c>
      <c r="E13932">
        <v>74.540000000000006</v>
      </c>
    </row>
    <row r="13933" spans="1:5" x14ac:dyDescent="0.2">
      <c r="A13933">
        <v>49229</v>
      </c>
      <c r="B13933" t="s">
        <v>28</v>
      </c>
      <c r="C13933">
        <v>49229</v>
      </c>
      <c r="D13933" t="str">
        <f>"49229"</f>
        <v>49229</v>
      </c>
      <c r="E13933">
        <v>78.48</v>
      </c>
    </row>
    <row r="13934" spans="1:5" x14ac:dyDescent="0.2">
      <c r="A13934">
        <v>49230</v>
      </c>
      <c r="B13934" t="s">
        <v>28</v>
      </c>
      <c r="C13934">
        <v>49230</v>
      </c>
      <c r="D13934" t="str">
        <f>"49230"</f>
        <v>49230</v>
      </c>
      <c r="E13934">
        <v>74.290000000000006</v>
      </c>
    </row>
    <row r="13935" spans="1:5" x14ac:dyDescent="0.2">
      <c r="A13935">
        <v>49232</v>
      </c>
      <c r="B13935" t="s">
        <v>28</v>
      </c>
      <c r="C13935">
        <v>49232</v>
      </c>
      <c r="D13935" t="str">
        <f>"49232"</f>
        <v>49232</v>
      </c>
      <c r="E13935">
        <v>63.89</v>
      </c>
    </row>
    <row r="13936" spans="1:5" x14ac:dyDescent="0.2">
      <c r="A13936">
        <v>49233</v>
      </c>
      <c r="B13936" t="s">
        <v>28</v>
      </c>
      <c r="C13936">
        <v>49233</v>
      </c>
      <c r="D13936" t="str">
        <f>"49233"</f>
        <v>49233</v>
      </c>
      <c r="E13936">
        <v>74.069999999999993</v>
      </c>
    </row>
    <row r="13937" spans="1:5" x14ac:dyDescent="0.2">
      <c r="A13937">
        <v>49234</v>
      </c>
      <c r="B13937" t="s">
        <v>28</v>
      </c>
      <c r="C13937">
        <v>49234</v>
      </c>
      <c r="D13937" t="str">
        <f>"49234"</f>
        <v>49234</v>
      </c>
      <c r="E13937">
        <v>78.83</v>
      </c>
    </row>
    <row r="13938" spans="1:5" x14ac:dyDescent="0.2">
      <c r="A13938">
        <v>49235</v>
      </c>
      <c r="B13938" t="s">
        <v>28</v>
      </c>
      <c r="C13938">
        <v>49235</v>
      </c>
      <c r="D13938" t="str">
        <f>"49235"</f>
        <v>49235</v>
      </c>
      <c r="E13938">
        <v>69.89</v>
      </c>
    </row>
    <row r="13939" spans="1:5" x14ac:dyDescent="0.2">
      <c r="A13939">
        <v>49236</v>
      </c>
      <c r="B13939" t="s">
        <v>28</v>
      </c>
      <c r="C13939">
        <v>49236</v>
      </c>
      <c r="D13939" t="str">
        <f>"49236"</f>
        <v>49236</v>
      </c>
      <c r="E13939">
        <v>75.42</v>
      </c>
    </row>
    <row r="13940" spans="1:5" x14ac:dyDescent="0.2">
      <c r="A13940">
        <v>49237</v>
      </c>
      <c r="B13940" t="s">
        <v>28</v>
      </c>
      <c r="C13940">
        <v>49237</v>
      </c>
      <c r="D13940" t="str">
        <f>"49237"</f>
        <v>49237</v>
      </c>
      <c r="E13940">
        <v>71.010000000000005</v>
      </c>
    </row>
    <row r="13941" spans="1:5" x14ac:dyDescent="0.2">
      <c r="A13941">
        <v>49238</v>
      </c>
      <c r="B13941" t="s">
        <v>28</v>
      </c>
      <c r="C13941">
        <v>49238</v>
      </c>
      <c r="D13941" t="str">
        <f>"49238"</f>
        <v>49238</v>
      </c>
      <c r="E13941">
        <v>75.31</v>
      </c>
    </row>
    <row r="13942" spans="1:5" x14ac:dyDescent="0.2">
      <c r="A13942">
        <v>49240</v>
      </c>
      <c r="B13942" t="s">
        <v>28</v>
      </c>
      <c r="C13942">
        <v>49240</v>
      </c>
      <c r="D13942" t="str">
        <f>"49240"</f>
        <v>49240</v>
      </c>
      <c r="E13942">
        <v>79.23</v>
      </c>
    </row>
    <row r="13943" spans="1:5" x14ac:dyDescent="0.2">
      <c r="A13943">
        <v>49241</v>
      </c>
      <c r="B13943" t="s">
        <v>28</v>
      </c>
      <c r="C13943">
        <v>49241</v>
      </c>
      <c r="D13943" t="str">
        <f>"49241"</f>
        <v>49241</v>
      </c>
      <c r="E13943">
        <v>70.09</v>
      </c>
    </row>
    <row r="13944" spans="1:5" x14ac:dyDescent="0.2">
      <c r="A13944">
        <v>49242</v>
      </c>
      <c r="B13944" t="s">
        <v>28</v>
      </c>
      <c r="C13944">
        <v>49242</v>
      </c>
      <c r="D13944" t="str">
        <f>"49242"</f>
        <v>49242</v>
      </c>
      <c r="E13944">
        <v>65.989999999999995</v>
      </c>
    </row>
    <row r="13945" spans="1:5" x14ac:dyDescent="0.2">
      <c r="A13945">
        <v>49245</v>
      </c>
      <c r="B13945" t="s">
        <v>28</v>
      </c>
      <c r="C13945">
        <v>49245</v>
      </c>
      <c r="D13945" t="str">
        <f>"49245"</f>
        <v>49245</v>
      </c>
      <c r="E13945">
        <v>68.72</v>
      </c>
    </row>
    <row r="13946" spans="1:5" x14ac:dyDescent="0.2">
      <c r="A13946">
        <v>49246</v>
      </c>
      <c r="B13946" t="s">
        <v>28</v>
      </c>
      <c r="C13946">
        <v>49246</v>
      </c>
      <c r="D13946" t="str">
        <f>"49246"</f>
        <v>49246</v>
      </c>
      <c r="E13946">
        <v>77.989999999999995</v>
      </c>
    </row>
    <row r="13947" spans="1:5" x14ac:dyDescent="0.2">
      <c r="A13947">
        <v>49247</v>
      </c>
      <c r="B13947" t="s">
        <v>28</v>
      </c>
      <c r="C13947">
        <v>49247</v>
      </c>
      <c r="D13947" t="str">
        <f>"49247"</f>
        <v>49247</v>
      </c>
      <c r="E13947">
        <v>66.94</v>
      </c>
    </row>
    <row r="13948" spans="1:5" x14ac:dyDescent="0.2">
      <c r="A13948">
        <v>49248</v>
      </c>
      <c r="B13948" t="s">
        <v>28</v>
      </c>
      <c r="C13948">
        <v>49248</v>
      </c>
      <c r="D13948" t="str">
        <f>"49248"</f>
        <v>49248</v>
      </c>
      <c r="E13948">
        <v>73.81</v>
      </c>
    </row>
    <row r="13949" spans="1:5" x14ac:dyDescent="0.2">
      <c r="A13949">
        <v>49249</v>
      </c>
      <c r="B13949" t="s">
        <v>28</v>
      </c>
      <c r="C13949">
        <v>49249</v>
      </c>
      <c r="D13949" t="str">
        <f>"49249"</f>
        <v>49249</v>
      </c>
      <c r="E13949">
        <v>74.680000000000007</v>
      </c>
    </row>
    <row r="13950" spans="1:5" x14ac:dyDescent="0.2">
      <c r="A13950">
        <v>49250</v>
      </c>
      <c r="B13950" t="s">
        <v>28</v>
      </c>
      <c r="C13950">
        <v>49250</v>
      </c>
      <c r="D13950" t="str">
        <f>"49250"</f>
        <v>49250</v>
      </c>
      <c r="E13950">
        <v>67.66</v>
      </c>
    </row>
    <row r="13951" spans="1:5" x14ac:dyDescent="0.2">
      <c r="A13951">
        <v>49251</v>
      </c>
      <c r="B13951" t="s">
        <v>28</v>
      </c>
      <c r="C13951">
        <v>49251</v>
      </c>
      <c r="D13951" t="str">
        <f>"49251"</f>
        <v>49251</v>
      </c>
      <c r="E13951">
        <v>74.5</v>
      </c>
    </row>
    <row r="13952" spans="1:5" x14ac:dyDescent="0.2">
      <c r="A13952">
        <v>49252</v>
      </c>
      <c r="B13952" t="s">
        <v>28</v>
      </c>
      <c r="C13952">
        <v>49252</v>
      </c>
      <c r="D13952" t="str">
        <f>"49252"</f>
        <v>49252</v>
      </c>
      <c r="E13952">
        <v>66.95</v>
      </c>
    </row>
    <row r="13953" spans="1:5" x14ac:dyDescent="0.2">
      <c r="A13953">
        <v>49253</v>
      </c>
      <c r="B13953" t="s">
        <v>28</v>
      </c>
      <c r="C13953">
        <v>49253</v>
      </c>
      <c r="D13953" t="str">
        <f>"49253"</f>
        <v>49253</v>
      </c>
      <c r="E13953">
        <v>72.849999999999994</v>
      </c>
    </row>
    <row r="13954" spans="1:5" x14ac:dyDescent="0.2">
      <c r="A13954">
        <v>49254</v>
      </c>
      <c r="B13954" t="s">
        <v>28</v>
      </c>
      <c r="C13954">
        <v>49254</v>
      </c>
      <c r="D13954" t="str">
        <f>"49254"</f>
        <v>49254</v>
      </c>
      <c r="E13954">
        <v>71.78</v>
      </c>
    </row>
    <row r="13955" spans="1:5" x14ac:dyDescent="0.2">
      <c r="A13955">
        <v>49255</v>
      </c>
      <c r="B13955" t="s">
        <v>28</v>
      </c>
      <c r="C13955">
        <v>49255</v>
      </c>
      <c r="D13955" t="str">
        <f>"49255"</f>
        <v>49255</v>
      </c>
      <c r="E13955">
        <v>67.239999999999995</v>
      </c>
    </row>
    <row r="13956" spans="1:5" x14ac:dyDescent="0.2">
      <c r="A13956">
        <v>49256</v>
      </c>
      <c r="B13956" t="s">
        <v>28</v>
      </c>
      <c r="C13956">
        <v>49256</v>
      </c>
      <c r="D13956" t="str">
        <f>"49256"</f>
        <v>49256</v>
      </c>
      <c r="E13956">
        <v>66.87</v>
      </c>
    </row>
    <row r="13957" spans="1:5" x14ac:dyDescent="0.2">
      <c r="A13957">
        <v>49258</v>
      </c>
      <c r="B13957" t="s">
        <v>28</v>
      </c>
      <c r="C13957">
        <v>49258</v>
      </c>
      <c r="D13957" t="str">
        <f>"49258"</f>
        <v>49258</v>
      </c>
      <c r="E13957" t="s">
        <v>6</v>
      </c>
    </row>
    <row r="13958" spans="1:5" x14ac:dyDescent="0.2">
      <c r="A13958">
        <v>49259</v>
      </c>
      <c r="B13958" t="s">
        <v>28</v>
      </c>
      <c r="C13958">
        <v>49259</v>
      </c>
      <c r="D13958" t="str">
        <f>"49259"</f>
        <v>49259</v>
      </c>
      <c r="E13958">
        <v>72.73</v>
      </c>
    </row>
    <row r="13959" spans="1:5" x14ac:dyDescent="0.2">
      <c r="A13959">
        <v>49261</v>
      </c>
      <c r="B13959" t="s">
        <v>28</v>
      </c>
      <c r="C13959">
        <v>49261</v>
      </c>
      <c r="D13959" t="str">
        <f>"49261"</f>
        <v>49261</v>
      </c>
      <c r="E13959" t="s">
        <v>6</v>
      </c>
    </row>
    <row r="13960" spans="1:5" x14ac:dyDescent="0.2">
      <c r="A13960">
        <v>49262</v>
      </c>
      <c r="B13960" t="s">
        <v>28</v>
      </c>
      <c r="C13960">
        <v>49262</v>
      </c>
      <c r="D13960" t="str">
        <f>"49262"</f>
        <v>49262</v>
      </c>
      <c r="E13960">
        <v>63.16</v>
      </c>
    </row>
    <row r="13961" spans="1:5" x14ac:dyDescent="0.2">
      <c r="A13961">
        <v>49263</v>
      </c>
      <c r="B13961" t="s">
        <v>28</v>
      </c>
      <c r="C13961">
        <v>49263</v>
      </c>
      <c r="D13961" t="str">
        <f>"49263"</f>
        <v>49263</v>
      </c>
      <c r="E13961" t="s">
        <v>6</v>
      </c>
    </row>
    <row r="13962" spans="1:5" x14ac:dyDescent="0.2">
      <c r="A13962">
        <v>49264</v>
      </c>
      <c r="B13962" t="s">
        <v>28</v>
      </c>
      <c r="C13962">
        <v>49264</v>
      </c>
      <c r="D13962" t="str">
        <f>"49264"</f>
        <v>49264</v>
      </c>
      <c r="E13962">
        <v>72.41</v>
      </c>
    </row>
    <row r="13963" spans="1:5" x14ac:dyDescent="0.2">
      <c r="A13963">
        <v>49265</v>
      </c>
      <c r="B13963" t="s">
        <v>28</v>
      </c>
      <c r="C13963">
        <v>49265</v>
      </c>
      <c r="D13963" t="str">
        <f>"49265"</f>
        <v>49265</v>
      </c>
      <c r="E13963">
        <v>73.900000000000006</v>
      </c>
    </row>
    <row r="13964" spans="1:5" x14ac:dyDescent="0.2">
      <c r="A13964">
        <v>49266</v>
      </c>
      <c r="B13964" t="s">
        <v>28</v>
      </c>
      <c r="C13964">
        <v>49266</v>
      </c>
      <c r="D13964" t="str">
        <f>"49266"</f>
        <v>49266</v>
      </c>
      <c r="E13964">
        <v>66.92</v>
      </c>
    </row>
    <row r="13965" spans="1:5" x14ac:dyDescent="0.2">
      <c r="A13965">
        <v>49267</v>
      </c>
      <c r="B13965" t="s">
        <v>28</v>
      </c>
      <c r="C13965">
        <v>49267</v>
      </c>
      <c r="D13965" t="str">
        <f>"49267"</f>
        <v>49267</v>
      </c>
      <c r="E13965">
        <v>75.739999999999995</v>
      </c>
    </row>
    <row r="13966" spans="1:5" x14ac:dyDescent="0.2">
      <c r="A13966">
        <v>49268</v>
      </c>
      <c r="B13966" t="s">
        <v>28</v>
      </c>
      <c r="C13966">
        <v>49268</v>
      </c>
      <c r="D13966" t="str">
        <f>"49268"</f>
        <v>49268</v>
      </c>
      <c r="E13966">
        <v>73.47</v>
      </c>
    </row>
    <row r="13967" spans="1:5" x14ac:dyDescent="0.2">
      <c r="A13967">
        <v>49269</v>
      </c>
      <c r="B13967" t="s">
        <v>28</v>
      </c>
      <c r="C13967">
        <v>49269</v>
      </c>
      <c r="D13967" t="str">
        <f>"49269"</f>
        <v>49269</v>
      </c>
      <c r="E13967">
        <v>71.900000000000006</v>
      </c>
    </row>
    <row r="13968" spans="1:5" x14ac:dyDescent="0.2">
      <c r="A13968">
        <v>49270</v>
      </c>
      <c r="B13968" t="s">
        <v>28</v>
      </c>
      <c r="C13968">
        <v>49270</v>
      </c>
      <c r="D13968" t="str">
        <f>"49270"</f>
        <v>49270</v>
      </c>
      <c r="E13968">
        <v>78.5</v>
      </c>
    </row>
    <row r="13969" spans="1:5" x14ac:dyDescent="0.2">
      <c r="A13969">
        <v>49271</v>
      </c>
      <c r="B13969" t="s">
        <v>28</v>
      </c>
      <c r="C13969">
        <v>49271</v>
      </c>
      <c r="D13969" t="str">
        <f>"49271"</f>
        <v>49271</v>
      </c>
      <c r="E13969">
        <v>67.78</v>
      </c>
    </row>
    <row r="13970" spans="1:5" x14ac:dyDescent="0.2">
      <c r="A13970">
        <v>49272</v>
      </c>
      <c r="B13970" t="s">
        <v>28</v>
      </c>
      <c r="C13970">
        <v>49272</v>
      </c>
      <c r="D13970" t="str">
        <f>"49272"</f>
        <v>49272</v>
      </c>
      <c r="E13970">
        <v>76.98</v>
      </c>
    </row>
    <row r="13971" spans="1:5" x14ac:dyDescent="0.2">
      <c r="A13971">
        <v>49274</v>
      </c>
      <c r="B13971" t="s">
        <v>28</v>
      </c>
      <c r="C13971">
        <v>49274</v>
      </c>
      <c r="D13971" t="str">
        <f>"49274"</f>
        <v>49274</v>
      </c>
      <c r="E13971">
        <v>69.44</v>
      </c>
    </row>
    <row r="13972" spans="1:5" x14ac:dyDescent="0.2">
      <c r="A13972">
        <v>49276</v>
      </c>
      <c r="B13972" t="s">
        <v>28</v>
      </c>
      <c r="C13972">
        <v>49276</v>
      </c>
      <c r="D13972" t="str">
        <f>"49276"</f>
        <v>49276</v>
      </c>
      <c r="E13972">
        <v>73.91</v>
      </c>
    </row>
    <row r="13973" spans="1:5" x14ac:dyDescent="0.2">
      <c r="A13973">
        <v>49277</v>
      </c>
      <c r="B13973" t="s">
        <v>28</v>
      </c>
      <c r="C13973">
        <v>49277</v>
      </c>
      <c r="D13973" t="str">
        <f>"49277"</f>
        <v>49277</v>
      </c>
      <c r="E13973">
        <v>74.83</v>
      </c>
    </row>
    <row r="13974" spans="1:5" x14ac:dyDescent="0.2">
      <c r="A13974">
        <v>49279</v>
      </c>
      <c r="B13974" t="s">
        <v>28</v>
      </c>
      <c r="C13974">
        <v>49279</v>
      </c>
      <c r="D13974" t="str">
        <f>"49279"</f>
        <v>49279</v>
      </c>
      <c r="E13974">
        <v>73.81</v>
      </c>
    </row>
    <row r="13975" spans="1:5" x14ac:dyDescent="0.2">
      <c r="A13975">
        <v>49282</v>
      </c>
      <c r="B13975" t="s">
        <v>28</v>
      </c>
      <c r="C13975">
        <v>49282</v>
      </c>
      <c r="D13975" t="str">
        <f>"49282"</f>
        <v>49282</v>
      </c>
      <c r="E13975">
        <v>66.67</v>
      </c>
    </row>
    <row r="13976" spans="1:5" x14ac:dyDescent="0.2">
      <c r="A13976">
        <v>49283</v>
      </c>
      <c r="B13976" t="s">
        <v>28</v>
      </c>
      <c r="C13976">
        <v>49283</v>
      </c>
      <c r="D13976" t="str">
        <f>"49283"</f>
        <v>49283</v>
      </c>
      <c r="E13976">
        <v>73.97</v>
      </c>
    </row>
    <row r="13977" spans="1:5" x14ac:dyDescent="0.2">
      <c r="A13977">
        <v>49284</v>
      </c>
      <c r="B13977" t="s">
        <v>28</v>
      </c>
      <c r="C13977">
        <v>49284</v>
      </c>
      <c r="D13977" t="str">
        <f>"49284"</f>
        <v>49284</v>
      </c>
      <c r="E13977">
        <v>68.75</v>
      </c>
    </row>
    <row r="13978" spans="1:5" x14ac:dyDescent="0.2">
      <c r="A13978">
        <v>49285</v>
      </c>
      <c r="B13978" t="s">
        <v>28</v>
      </c>
      <c r="C13978">
        <v>49285</v>
      </c>
      <c r="D13978" t="str">
        <f>"49285"</f>
        <v>49285</v>
      </c>
      <c r="E13978">
        <v>74.540000000000006</v>
      </c>
    </row>
    <row r="13979" spans="1:5" x14ac:dyDescent="0.2">
      <c r="A13979">
        <v>49286</v>
      </c>
      <c r="B13979" t="s">
        <v>28</v>
      </c>
      <c r="C13979">
        <v>49286</v>
      </c>
      <c r="D13979" t="str">
        <f>"49286"</f>
        <v>49286</v>
      </c>
      <c r="E13979">
        <v>75.23</v>
      </c>
    </row>
    <row r="13980" spans="1:5" x14ac:dyDescent="0.2">
      <c r="A13980">
        <v>49287</v>
      </c>
      <c r="B13980" t="s">
        <v>28</v>
      </c>
      <c r="C13980">
        <v>49287</v>
      </c>
      <c r="D13980" t="str">
        <f>"49287"</f>
        <v>49287</v>
      </c>
      <c r="E13980">
        <v>75.73</v>
      </c>
    </row>
    <row r="13981" spans="1:5" x14ac:dyDescent="0.2">
      <c r="A13981">
        <v>49288</v>
      </c>
      <c r="B13981" t="s">
        <v>28</v>
      </c>
      <c r="C13981">
        <v>49288</v>
      </c>
      <c r="D13981" t="str">
        <f>"49288"</f>
        <v>49288</v>
      </c>
      <c r="E13981">
        <v>64.290000000000006</v>
      </c>
    </row>
    <row r="13982" spans="1:5" x14ac:dyDescent="0.2">
      <c r="A13982">
        <v>49301</v>
      </c>
      <c r="B13982" t="s">
        <v>28</v>
      </c>
      <c r="C13982">
        <v>49301</v>
      </c>
      <c r="D13982" t="str">
        <f>"49301"</f>
        <v>49301</v>
      </c>
      <c r="E13982">
        <v>80.23</v>
      </c>
    </row>
    <row r="13983" spans="1:5" x14ac:dyDescent="0.2">
      <c r="A13983">
        <v>49302</v>
      </c>
      <c r="B13983" t="s">
        <v>28</v>
      </c>
      <c r="C13983">
        <v>49302</v>
      </c>
      <c r="D13983" t="str">
        <f>"49302"</f>
        <v>49302</v>
      </c>
      <c r="E13983">
        <v>78.400000000000006</v>
      </c>
    </row>
    <row r="13984" spans="1:5" x14ac:dyDescent="0.2">
      <c r="A13984">
        <v>49303</v>
      </c>
      <c r="B13984" t="s">
        <v>28</v>
      </c>
      <c r="C13984">
        <v>49303</v>
      </c>
      <c r="D13984" t="str">
        <f>"49303"</f>
        <v>49303</v>
      </c>
      <c r="E13984">
        <v>71.150000000000006</v>
      </c>
    </row>
    <row r="13985" spans="1:5" x14ac:dyDescent="0.2">
      <c r="A13985">
        <v>49304</v>
      </c>
      <c r="B13985" t="s">
        <v>28</v>
      </c>
      <c r="C13985">
        <v>49304</v>
      </c>
      <c r="D13985" t="str">
        <f>"49304"</f>
        <v>49304</v>
      </c>
      <c r="E13985">
        <v>54.36</v>
      </c>
    </row>
    <row r="13986" spans="1:5" x14ac:dyDescent="0.2">
      <c r="A13986">
        <v>49305</v>
      </c>
      <c r="B13986" t="s">
        <v>28</v>
      </c>
      <c r="C13986">
        <v>49305</v>
      </c>
      <c r="D13986" t="str">
        <f>"49305"</f>
        <v>49305</v>
      </c>
      <c r="E13986">
        <v>58.51</v>
      </c>
    </row>
    <row r="13987" spans="1:5" x14ac:dyDescent="0.2">
      <c r="A13987">
        <v>49306</v>
      </c>
      <c r="B13987" t="s">
        <v>28</v>
      </c>
      <c r="C13987">
        <v>49306</v>
      </c>
      <c r="D13987" t="str">
        <f>"49306"</f>
        <v>49306</v>
      </c>
      <c r="E13987">
        <v>77.56</v>
      </c>
    </row>
    <row r="13988" spans="1:5" x14ac:dyDescent="0.2">
      <c r="A13988">
        <v>49307</v>
      </c>
      <c r="B13988" t="s">
        <v>28</v>
      </c>
      <c r="C13988">
        <v>49307</v>
      </c>
      <c r="D13988" t="str">
        <f>"49307"</f>
        <v>49307</v>
      </c>
      <c r="E13988">
        <v>65.41</v>
      </c>
    </row>
    <row r="13989" spans="1:5" x14ac:dyDescent="0.2">
      <c r="A13989">
        <v>49309</v>
      </c>
      <c r="B13989" t="s">
        <v>28</v>
      </c>
      <c r="C13989">
        <v>49309</v>
      </c>
      <c r="D13989" t="str">
        <f>"49309"</f>
        <v>49309</v>
      </c>
      <c r="E13989">
        <v>58.33</v>
      </c>
    </row>
    <row r="13990" spans="1:5" x14ac:dyDescent="0.2">
      <c r="A13990">
        <v>49310</v>
      </c>
      <c r="B13990" t="s">
        <v>28</v>
      </c>
      <c r="C13990">
        <v>49310</v>
      </c>
      <c r="D13990" t="str">
        <f>"49310"</f>
        <v>49310</v>
      </c>
      <c r="E13990">
        <v>67.8</v>
      </c>
    </row>
    <row r="13991" spans="1:5" x14ac:dyDescent="0.2">
      <c r="A13991">
        <v>49312</v>
      </c>
      <c r="B13991" t="s">
        <v>28</v>
      </c>
      <c r="C13991">
        <v>49312</v>
      </c>
      <c r="D13991" t="str">
        <f>"49312"</f>
        <v>49312</v>
      </c>
      <c r="E13991" t="s">
        <v>6</v>
      </c>
    </row>
    <row r="13992" spans="1:5" x14ac:dyDescent="0.2">
      <c r="A13992">
        <v>49315</v>
      </c>
      <c r="B13992" t="s">
        <v>28</v>
      </c>
      <c r="C13992">
        <v>49315</v>
      </c>
      <c r="D13992" t="str">
        <f>"49315"</f>
        <v>49315</v>
      </c>
      <c r="E13992">
        <v>78.16</v>
      </c>
    </row>
    <row r="13993" spans="1:5" x14ac:dyDescent="0.2">
      <c r="A13993">
        <v>49316</v>
      </c>
      <c r="B13993" t="s">
        <v>28</v>
      </c>
      <c r="C13993">
        <v>49316</v>
      </c>
      <c r="D13993" t="str">
        <f>"49316"</f>
        <v>49316</v>
      </c>
      <c r="E13993">
        <v>78.709999999999994</v>
      </c>
    </row>
    <row r="13994" spans="1:5" x14ac:dyDescent="0.2">
      <c r="A13994">
        <v>49318</v>
      </c>
      <c r="B13994" t="s">
        <v>28</v>
      </c>
      <c r="C13994">
        <v>49318</v>
      </c>
      <c r="D13994" t="str">
        <f>"49318"</f>
        <v>49318</v>
      </c>
      <c r="E13994">
        <v>69.569999999999993</v>
      </c>
    </row>
    <row r="13995" spans="1:5" x14ac:dyDescent="0.2">
      <c r="A13995">
        <v>49319</v>
      </c>
      <c r="B13995" t="s">
        <v>28</v>
      </c>
      <c r="C13995">
        <v>49319</v>
      </c>
      <c r="D13995" t="str">
        <f>"49319"</f>
        <v>49319</v>
      </c>
      <c r="E13995">
        <v>72.17</v>
      </c>
    </row>
    <row r="13996" spans="1:5" x14ac:dyDescent="0.2">
      <c r="A13996">
        <v>49320</v>
      </c>
      <c r="B13996" t="s">
        <v>28</v>
      </c>
      <c r="C13996">
        <v>49320</v>
      </c>
      <c r="D13996" t="str">
        <f>"49320"</f>
        <v>49320</v>
      </c>
      <c r="E13996" t="s">
        <v>6</v>
      </c>
    </row>
    <row r="13997" spans="1:5" x14ac:dyDescent="0.2">
      <c r="A13997">
        <v>49321</v>
      </c>
      <c r="B13997" t="s">
        <v>28</v>
      </c>
      <c r="C13997">
        <v>49321</v>
      </c>
      <c r="D13997" t="str">
        <f>"49321"</f>
        <v>49321</v>
      </c>
      <c r="E13997">
        <v>73.25</v>
      </c>
    </row>
    <row r="13998" spans="1:5" x14ac:dyDescent="0.2">
      <c r="A13998">
        <v>49322</v>
      </c>
      <c r="B13998" t="s">
        <v>28</v>
      </c>
      <c r="C13998">
        <v>49322</v>
      </c>
      <c r="D13998" t="str">
        <f>"49322"</f>
        <v>49322</v>
      </c>
      <c r="E13998">
        <v>68.09</v>
      </c>
    </row>
    <row r="13999" spans="1:5" x14ac:dyDescent="0.2">
      <c r="A13999">
        <v>49323</v>
      </c>
      <c r="B13999" t="s">
        <v>28</v>
      </c>
      <c r="C13999">
        <v>49323</v>
      </c>
      <c r="D13999" t="str">
        <f>"49323"</f>
        <v>49323</v>
      </c>
      <c r="E13999">
        <v>78.53</v>
      </c>
    </row>
    <row r="14000" spans="1:5" x14ac:dyDescent="0.2">
      <c r="A14000">
        <v>49325</v>
      </c>
      <c r="B14000" t="s">
        <v>28</v>
      </c>
      <c r="C14000">
        <v>49325</v>
      </c>
      <c r="D14000" t="str">
        <f>"49325"</f>
        <v>49325</v>
      </c>
      <c r="E14000">
        <v>75.28</v>
      </c>
    </row>
    <row r="14001" spans="1:5" x14ac:dyDescent="0.2">
      <c r="A14001">
        <v>49326</v>
      </c>
      <c r="B14001" t="s">
        <v>28</v>
      </c>
      <c r="C14001">
        <v>49326</v>
      </c>
      <c r="D14001" t="str">
        <f>"49326"</f>
        <v>49326</v>
      </c>
      <c r="E14001">
        <v>72.040000000000006</v>
      </c>
    </row>
    <row r="14002" spans="1:5" x14ac:dyDescent="0.2">
      <c r="A14002">
        <v>49327</v>
      </c>
      <c r="B14002" t="s">
        <v>28</v>
      </c>
      <c r="C14002">
        <v>49327</v>
      </c>
      <c r="D14002" t="str">
        <f>"49327"</f>
        <v>49327</v>
      </c>
      <c r="E14002">
        <v>67.12</v>
      </c>
    </row>
    <row r="14003" spans="1:5" x14ac:dyDescent="0.2">
      <c r="A14003">
        <v>49328</v>
      </c>
      <c r="B14003" t="s">
        <v>28</v>
      </c>
      <c r="C14003">
        <v>49328</v>
      </c>
      <c r="D14003" t="str">
        <f>"49328"</f>
        <v>49328</v>
      </c>
      <c r="E14003">
        <v>73.37</v>
      </c>
    </row>
    <row r="14004" spans="1:5" x14ac:dyDescent="0.2">
      <c r="A14004">
        <v>49329</v>
      </c>
      <c r="B14004" t="s">
        <v>28</v>
      </c>
      <c r="C14004">
        <v>49329</v>
      </c>
      <c r="D14004" t="str">
        <f>"49329"</f>
        <v>49329</v>
      </c>
      <c r="E14004">
        <v>69.41</v>
      </c>
    </row>
    <row r="14005" spans="1:5" x14ac:dyDescent="0.2">
      <c r="A14005">
        <v>49330</v>
      </c>
      <c r="B14005" t="s">
        <v>28</v>
      </c>
      <c r="C14005">
        <v>49330</v>
      </c>
      <c r="D14005" t="str">
        <f>"49330"</f>
        <v>49330</v>
      </c>
      <c r="E14005">
        <v>68.8</v>
      </c>
    </row>
    <row r="14006" spans="1:5" x14ac:dyDescent="0.2">
      <c r="A14006">
        <v>49331</v>
      </c>
      <c r="B14006" t="s">
        <v>28</v>
      </c>
      <c r="C14006">
        <v>49331</v>
      </c>
      <c r="D14006" t="str">
        <f>"49331"</f>
        <v>49331</v>
      </c>
      <c r="E14006">
        <v>77.209999999999994</v>
      </c>
    </row>
    <row r="14007" spans="1:5" x14ac:dyDescent="0.2">
      <c r="A14007">
        <v>49332</v>
      </c>
      <c r="B14007" t="s">
        <v>28</v>
      </c>
      <c r="C14007">
        <v>49332</v>
      </c>
      <c r="D14007" t="str">
        <f>"49332"</f>
        <v>49332</v>
      </c>
      <c r="E14007">
        <v>66.67</v>
      </c>
    </row>
    <row r="14008" spans="1:5" x14ac:dyDescent="0.2">
      <c r="A14008">
        <v>49333</v>
      </c>
      <c r="B14008" t="s">
        <v>28</v>
      </c>
      <c r="C14008">
        <v>49333</v>
      </c>
      <c r="D14008" t="str">
        <f>"49333"</f>
        <v>49333</v>
      </c>
      <c r="E14008">
        <v>76.72</v>
      </c>
    </row>
    <row r="14009" spans="1:5" x14ac:dyDescent="0.2">
      <c r="A14009">
        <v>49336</v>
      </c>
      <c r="B14009" t="s">
        <v>28</v>
      </c>
      <c r="C14009">
        <v>49336</v>
      </c>
      <c r="D14009" t="str">
        <f>"49336"</f>
        <v>49336</v>
      </c>
      <c r="E14009">
        <v>64.739999999999995</v>
      </c>
    </row>
    <row r="14010" spans="1:5" x14ac:dyDescent="0.2">
      <c r="A14010">
        <v>49337</v>
      </c>
      <c r="B14010" t="s">
        <v>28</v>
      </c>
      <c r="C14010">
        <v>49337</v>
      </c>
      <c r="D14010" t="str">
        <f>"49337"</f>
        <v>49337</v>
      </c>
      <c r="E14010">
        <v>66.900000000000006</v>
      </c>
    </row>
    <row r="14011" spans="1:5" x14ac:dyDescent="0.2">
      <c r="A14011">
        <v>49338</v>
      </c>
      <c r="B14011" t="s">
        <v>28</v>
      </c>
      <c r="C14011">
        <v>49338</v>
      </c>
      <c r="D14011" t="str">
        <f>"49338"</f>
        <v>49338</v>
      </c>
      <c r="E14011">
        <v>71.260000000000005</v>
      </c>
    </row>
    <row r="14012" spans="1:5" x14ac:dyDescent="0.2">
      <c r="A14012">
        <v>49339</v>
      </c>
      <c r="B14012" t="s">
        <v>28</v>
      </c>
      <c r="C14012">
        <v>49339</v>
      </c>
      <c r="D14012" t="str">
        <f>"49339"</f>
        <v>49339</v>
      </c>
      <c r="E14012">
        <v>73.680000000000007</v>
      </c>
    </row>
    <row r="14013" spans="1:5" x14ac:dyDescent="0.2">
      <c r="A14013">
        <v>49340</v>
      </c>
      <c r="B14013" t="s">
        <v>28</v>
      </c>
      <c r="C14013">
        <v>49340</v>
      </c>
      <c r="D14013" t="str">
        <f>"49340"</f>
        <v>49340</v>
      </c>
      <c r="E14013">
        <v>65.41</v>
      </c>
    </row>
    <row r="14014" spans="1:5" x14ac:dyDescent="0.2">
      <c r="A14014">
        <v>49341</v>
      </c>
      <c r="B14014" t="s">
        <v>28</v>
      </c>
      <c r="C14014">
        <v>49341</v>
      </c>
      <c r="D14014" t="str">
        <f>"49341"</f>
        <v>49341</v>
      </c>
      <c r="E14014">
        <v>77.709999999999994</v>
      </c>
    </row>
    <row r="14015" spans="1:5" x14ac:dyDescent="0.2">
      <c r="A14015">
        <v>49342</v>
      </c>
      <c r="B14015" t="s">
        <v>28</v>
      </c>
      <c r="C14015">
        <v>49342</v>
      </c>
      <c r="D14015" t="str">
        <f>"49342"</f>
        <v>49342</v>
      </c>
      <c r="E14015">
        <v>65.75</v>
      </c>
    </row>
    <row r="14016" spans="1:5" x14ac:dyDescent="0.2">
      <c r="A14016">
        <v>49343</v>
      </c>
      <c r="B14016" t="s">
        <v>28</v>
      </c>
      <c r="C14016">
        <v>49343</v>
      </c>
      <c r="D14016" t="str">
        <f>"49343"</f>
        <v>49343</v>
      </c>
      <c r="E14016">
        <v>70.849999999999994</v>
      </c>
    </row>
    <row r="14017" spans="1:5" x14ac:dyDescent="0.2">
      <c r="A14017">
        <v>49344</v>
      </c>
      <c r="B14017" t="s">
        <v>28</v>
      </c>
      <c r="C14017">
        <v>49344</v>
      </c>
      <c r="D14017" t="str">
        <f>"49344"</f>
        <v>49344</v>
      </c>
      <c r="E14017">
        <v>72.47</v>
      </c>
    </row>
    <row r="14018" spans="1:5" x14ac:dyDescent="0.2">
      <c r="A14018">
        <v>49345</v>
      </c>
      <c r="B14018" t="s">
        <v>28</v>
      </c>
      <c r="C14018">
        <v>49345</v>
      </c>
      <c r="D14018" t="str">
        <f>"49345"</f>
        <v>49345</v>
      </c>
      <c r="E14018">
        <v>72.38</v>
      </c>
    </row>
    <row r="14019" spans="1:5" x14ac:dyDescent="0.2">
      <c r="A14019">
        <v>49346</v>
      </c>
      <c r="B14019" t="s">
        <v>28</v>
      </c>
      <c r="C14019">
        <v>49346</v>
      </c>
      <c r="D14019" t="str">
        <f>"49346"</f>
        <v>49346</v>
      </c>
      <c r="E14019">
        <v>72.400000000000006</v>
      </c>
    </row>
    <row r="14020" spans="1:5" x14ac:dyDescent="0.2">
      <c r="A14020">
        <v>49347</v>
      </c>
      <c r="B14020" t="s">
        <v>28</v>
      </c>
      <c r="C14020">
        <v>49347</v>
      </c>
      <c r="D14020" t="str">
        <f>"49347"</f>
        <v>49347</v>
      </c>
      <c r="E14020">
        <v>73.849999999999994</v>
      </c>
    </row>
    <row r="14021" spans="1:5" x14ac:dyDescent="0.2">
      <c r="A14021">
        <v>49348</v>
      </c>
      <c r="B14021" t="s">
        <v>28</v>
      </c>
      <c r="C14021">
        <v>49348</v>
      </c>
      <c r="D14021" t="str">
        <f>"49348"</f>
        <v>49348</v>
      </c>
      <c r="E14021">
        <v>72.62</v>
      </c>
    </row>
    <row r="14022" spans="1:5" x14ac:dyDescent="0.2">
      <c r="A14022">
        <v>49349</v>
      </c>
      <c r="B14022" t="s">
        <v>28</v>
      </c>
      <c r="C14022">
        <v>49349</v>
      </c>
      <c r="D14022" t="str">
        <f>"49349"</f>
        <v>49349</v>
      </c>
      <c r="E14022">
        <v>61.73</v>
      </c>
    </row>
    <row r="14023" spans="1:5" x14ac:dyDescent="0.2">
      <c r="A14023">
        <v>49351</v>
      </c>
      <c r="B14023" t="s">
        <v>28</v>
      </c>
      <c r="C14023">
        <v>49351</v>
      </c>
      <c r="D14023" t="str">
        <f>"49351"</f>
        <v>49351</v>
      </c>
      <c r="E14023" t="s">
        <v>6</v>
      </c>
    </row>
    <row r="14024" spans="1:5" x14ac:dyDescent="0.2">
      <c r="A14024">
        <v>49401</v>
      </c>
      <c r="B14024" t="s">
        <v>28</v>
      </c>
      <c r="C14024">
        <v>49401</v>
      </c>
      <c r="D14024" t="str">
        <f>"49401"</f>
        <v>49401</v>
      </c>
      <c r="E14024">
        <v>71.89</v>
      </c>
    </row>
    <row r="14025" spans="1:5" x14ac:dyDescent="0.2">
      <c r="A14025">
        <v>49402</v>
      </c>
      <c r="B14025" t="s">
        <v>28</v>
      </c>
      <c r="C14025">
        <v>49402</v>
      </c>
      <c r="D14025" t="str">
        <f>"49402"</f>
        <v>49402</v>
      </c>
      <c r="E14025">
        <v>63.93</v>
      </c>
    </row>
    <row r="14026" spans="1:5" x14ac:dyDescent="0.2">
      <c r="A14026">
        <v>49403</v>
      </c>
      <c r="B14026" t="s">
        <v>28</v>
      </c>
      <c r="C14026">
        <v>49403</v>
      </c>
      <c r="D14026" t="str">
        <f>"49403"</f>
        <v>49403</v>
      </c>
      <c r="E14026">
        <v>72.73</v>
      </c>
    </row>
    <row r="14027" spans="1:5" x14ac:dyDescent="0.2">
      <c r="A14027">
        <v>49404</v>
      </c>
      <c r="B14027" t="s">
        <v>28</v>
      </c>
      <c r="C14027">
        <v>49404</v>
      </c>
      <c r="D14027" t="str">
        <f>"49404"</f>
        <v>49404</v>
      </c>
      <c r="E14027">
        <v>72.13</v>
      </c>
    </row>
    <row r="14028" spans="1:5" x14ac:dyDescent="0.2">
      <c r="A14028">
        <v>49405</v>
      </c>
      <c r="B14028" t="s">
        <v>28</v>
      </c>
      <c r="C14028">
        <v>49405</v>
      </c>
      <c r="D14028" t="str">
        <f>"49405"</f>
        <v>49405</v>
      </c>
      <c r="E14028">
        <v>68.06</v>
      </c>
    </row>
    <row r="14029" spans="1:5" x14ac:dyDescent="0.2">
      <c r="A14029">
        <v>49406</v>
      </c>
      <c r="B14029" t="s">
        <v>28</v>
      </c>
      <c r="C14029">
        <v>49406</v>
      </c>
      <c r="D14029" t="str">
        <f>"49406"</f>
        <v>49406</v>
      </c>
      <c r="E14029" t="s">
        <v>6</v>
      </c>
    </row>
    <row r="14030" spans="1:5" x14ac:dyDescent="0.2">
      <c r="A14030">
        <v>49408</v>
      </c>
      <c r="B14030" t="s">
        <v>28</v>
      </c>
      <c r="C14030">
        <v>49408</v>
      </c>
      <c r="D14030" t="str">
        <f>"49408"</f>
        <v>49408</v>
      </c>
      <c r="E14030">
        <v>66.37</v>
      </c>
    </row>
    <row r="14031" spans="1:5" x14ac:dyDescent="0.2">
      <c r="A14031">
        <v>49409</v>
      </c>
      <c r="B14031" t="s">
        <v>28</v>
      </c>
      <c r="C14031">
        <v>49409</v>
      </c>
      <c r="D14031" t="str">
        <f>"49409"</f>
        <v>49409</v>
      </c>
      <c r="E14031" t="s">
        <v>6</v>
      </c>
    </row>
    <row r="14032" spans="1:5" x14ac:dyDescent="0.2">
      <c r="A14032">
        <v>49410</v>
      </c>
      <c r="B14032" t="s">
        <v>28</v>
      </c>
      <c r="C14032">
        <v>49410</v>
      </c>
      <c r="D14032" t="str">
        <f>"49410"</f>
        <v>49410</v>
      </c>
      <c r="E14032">
        <v>63.75</v>
      </c>
    </row>
    <row r="14033" spans="1:5" x14ac:dyDescent="0.2">
      <c r="A14033">
        <v>49411</v>
      </c>
      <c r="B14033" t="s">
        <v>28</v>
      </c>
      <c r="C14033">
        <v>49411</v>
      </c>
      <c r="D14033" t="str">
        <f>"49411"</f>
        <v>49411</v>
      </c>
      <c r="E14033">
        <v>69.33</v>
      </c>
    </row>
    <row r="14034" spans="1:5" x14ac:dyDescent="0.2">
      <c r="A14034">
        <v>49412</v>
      </c>
      <c r="B14034" t="s">
        <v>28</v>
      </c>
      <c r="C14034">
        <v>49412</v>
      </c>
      <c r="D14034" t="str">
        <f>"49412"</f>
        <v>49412</v>
      </c>
      <c r="E14034">
        <v>68.45</v>
      </c>
    </row>
    <row r="14035" spans="1:5" x14ac:dyDescent="0.2">
      <c r="A14035">
        <v>49415</v>
      </c>
      <c r="B14035" t="s">
        <v>28</v>
      </c>
      <c r="C14035">
        <v>49415</v>
      </c>
      <c r="D14035" t="str">
        <f>"49415"</f>
        <v>49415</v>
      </c>
      <c r="E14035">
        <v>73.77</v>
      </c>
    </row>
    <row r="14036" spans="1:5" x14ac:dyDescent="0.2">
      <c r="A14036">
        <v>49417</v>
      </c>
      <c r="B14036" t="s">
        <v>28</v>
      </c>
      <c r="C14036">
        <v>49417</v>
      </c>
      <c r="D14036" t="str">
        <f>"49417"</f>
        <v>49417</v>
      </c>
      <c r="E14036">
        <v>74.8</v>
      </c>
    </row>
    <row r="14037" spans="1:5" x14ac:dyDescent="0.2">
      <c r="A14037">
        <v>49418</v>
      </c>
      <c r="B14037" t="s">
        <v>28</v>
      </c>
      <c r="C14037">
        <v>49418</v>
      </c>
      <c r="D14037" t="str">
        <f>"49418"</f>
        <v>49418</v>
      </c>
      <c r="E14037">
        <v>76.319999999999993</v>
      </c>
    </row>
    <row r="14038" spans="1:5" x14ac:dyDescent="0.2">
      <c r="A14038">
        <v>49419</v>
      </c>
      <c r="B14038" t="s">
        <v>28</v>
      </c>
      <c r="C14038">
        <v>49419</v>
      </c>
      <c r="D14038" t="str">
        <f>"49419"</f>
        <v>49419</v>
      </c>
      <c r="E14038">
        <v>74.94</v>
      </c>
    </row>
    <row r="14039" spans="1:5" x14ac:dyDescent="0.2">
      <c r="A14039">
        <v>49420</v>
      </c>
      <c r="B14039" t="s">
        <v>28</v>
      </c>
      <c r="C14039">
        <v>49420</v>
      </c>
      <c r="D14039" t="str">
        <f>"49420"</f>
        <v>49420</v>
      </c>
      <c r="E14039">
        <v>58.39</v>
      </c>
    </row>
    <row r="14040" spans="1:5" x14ac:dyDescent="0.2">
      <c r="A14040">
        <v>49421</v>
      </c>
      <c r="B14040" t="s">
        <v>28</v>
      </c>
      <c r="C14040">
        <v>49421</v>
      </c>
      <c r="D14040" t="str">
        <f>"49421"</f>
        <v>49421</v>
      </c>
      <c r="E14040">
        <v>63.28</v>
      </c>
    </row>
    <row r="14041" spans="1:5" x14ac:dyDescent="0.2">
      <c r="A14041">
        <v>49423</v>
      </c>
      <c r="B14041" t="s">
        <v>28</v>
      </c>
      <c r="C14041">
        <v>49423</v>
      </c>
      <c r="D14041" t="str">
        <f>"49423"</f>
        <v>49423</v>
      </c>
      <c r="E14041">
        <v>71.239999999999995</v>
      </c>
    </row>
    <row r="14042" spans="1:5" x14ac:dyDescent="0.2">
      <c r="A14042">
        <v>49424</v>
      </c>
      <c r="B14042" t="s">
        <v>28</v>
      </c>
      <c r="C14042">
        <v>49424</v>
      </c>
      <c r="D14042" t="str">
        <f>"49424"</f>
        <v>49424</v>
      </c>
      <c r="E14042">
        <v>72.95</v>
      </c>
    </row>
    <row r="14043" spans="1:5" x14ac:dyDescent="0.2">
      <c r="A14043">
        <v>49425</v>
      </c>
      <c r="B14043" t="s">
        <v>28</v>
      </c>
      <c r="C14043">
        <v>49425</v>
      </c>
      <c r="D14043" t="str">
        <f>"49425"</f>
        <v>49425</v>
      </c>
      <c r="E14043">
        <v>62.91</v>
      </c>
    </row>
    <row r="14044" spans="1:5" x14ac:dyDescent="0.2">
      <c r="A14044">
        <v>49426</v>
      </c>
      <c r="B14044" t="s">
        <v>28</v>
      </c>
      <c r="C14044">
        <v>49426</v>
      </c>
      <c r="D14044" t="str">
        <f>"49426"</f>
        <v>49426</v>
      </c>
      <c r="E14044">
        <v>77.81</v>
      </c>
    </row>
    <row r="14045" spans="1:5" x14ac:dyDescent="0.2">
      <c r="A14045">
        <v>49428</v>
      </c>
      <c r="B14045" t="s">
        <v>28</v>
      </c>
      <c r="C14045">
        <v>49428</v>
      </c>
      <c r="D14045" t="str">
        <f>"49428"</f>
        <v>49428</v>
      </c>
      <c r="E14045">
        <v>75.84</v>
      </c>
    </row>
    <row r="14046" spans="1:5" x14ac:dyDescent="0.2">
      <c r="A14046">
        <v>49431</v>
      </c>
      <c r="B14046" t="s">
        <v>28</v>
      </c>
      <c r="C14046">
        <v>49431</v>
      </c>
      <c r="D14046" t="str">
        <f>"49431"</f>
        <v>49431</v>
      </c>
      <c r="E14046">
        <v>67.44</v>
      </c>
    </row>
    <row r="14047" spans="1:5" x14ac:dyDescent="0.2">
      <c r="A14047">
        <v>49434</v>
      </c>
      <c r="B14047" t="s">
        <v>28</v>
      </c>
      <c r="C14047">
        <v>49434</v>
      </c>
      <c r="D14047" t="str">
        <f>"49434"</f>
        <v>49434</v>
      </c>
      <c r="E14047" t="s">
        <v>6</v>
      </c>
    </row>
    <row r="14048" spans="1:5" x14ac:dyDescent="0.2">
      <c r="A14048">
        <v>49435</v>
      </c>
      <c r="B14048" t="s">
        <v>28</v>
      </c>
      <c r="C14048">
        <v>49435</v>
      </c>
      <c r="D14048" t="str">
        <f>"49435"</f>
        <v>49435</v>
      </c>
      <c r="E14048">
        <v>79.12</v>
      </c>
    </row>
    <row r="14049" spans="1:5" x14ac:dyDescent="0.2">
      <c r="A14049">
        <v>49436</v>
      </c>
      <c r="B14049" t="s">
        <v>28</v>
      </c>
      <c r="C14049">
        <v>49436</v>
      </c>
      <c r="D14049" t="str">
        <f>"49436"</f>
        <v>49436</v>
      </c>
      <c r="E14049">
        <v>67.900000000000006</v>
      </c>
    </row>
    <row r="14050" spans="1:5" x14ac:dyDescent="0.2">
      <c r="A14050">
        <v>49437</v>
      </c>
      <c r="B14050" t="s">
        <v>28</v>
      </c>
      <c r="C14050">
        <v>49437</v>
      </c>
      <c r="D14050" t="str">
        <f>"49437"</f>
        <v>49437</v>
      </c>
      <c r="E14050">
        <v>68.930000000000007</v>
      </c>
    </row>
    <row r="14051" spans="1:5" x14ac:dyDescent="0.2">
      <c r="A14051">
        <v>49440</v>
      </c>
      <c r="B14051" t="s">
        <v>28</v>
      </c>
      <c r="C14051">
        <v>49440</v>
      </c>
      <c r="D14051" t="str">
        <f>"49440"</f>
        <v>49440</v>
      </c>
      <c r="E14051">
        <v>58.33</v>
      </c>
    </row>
    <row r="14052" spans="1:5" x14ac:dyDescent="0.2">
      <c r="A14052">
        <v>49441</v>
      </c>
      <c r="B14052" t="s">
        <v>28</v>
      </c>
      <c r="C14052">
        <v>49441</v>
      </c>
      <c r="D14052" t="str">
        <f>"49441"</f>
        <v>49441</v>
      </c>
      <c r="E14052">
        <v>69.58</v>
      </c>
    </row>
    <row r="14053" spans="1:5" x14ac:dyDescent="0.2">
      <c r="A14053">
        <v>49442</v>
      </c>
      <c r="B14053" t="s">
        <v>28</v>
      </c>
      <c r="C14053">
        <v>49442</v>
      </c>
      <c r="D14053" t="str">
        <f>"49442"</f>
        <v>49442</v>
      </c>
      <c r="E14053">
        <v>57.83</v>
      </c>
    </row>
    <row r="14054" spans="1:5" x14ac:dyDescent="0.2">
      <c r="A14054">
        <v>49444</v>
      </c>
      <c r="B14054" t="s">
        <v>28</v>
      </c>
      <c r="C14054">
        <v>49444</v>
      </c>
      <c r="D14054" t="str">
        <f>"49444"</f>
        <v>49444</v>
      </c>
      <c r="E14054">
        <v>58.1</v>
      </c>
    </row>
    <row r="14055" spans="1:5" x14ac:dyDescent="0.2">
      <c r="A14055">
        <v>49445</v>
      </c>
      <c r="B14055" t="s">
        <v>28</v>
      </c>
      <c r="C14055">
        <v>49445</v>
      </c>
      <c r="D14055" t="str">
        <f>"49445"</f>
        <v>49445</v>
      </c>
      <c r="E14055">
        <v>73.11</v>
      </c>
    </row>
    <row r="14056" spans="1:5" x14ac:dyDescent="0.2">
      <c r="A14056">
        <v>49446</v>
      </c>
      <c r="B14056" t="s">
        <v>28</v>
      </c>
      <c r="C14056">
        <v>49446</v>
      </c>
      <c r="D14056" t="str">
        <f>"49446"</f>
        <v>49446</v>
      </c>
      <c r="E14056">
        <v>67.290000000000006</v>
      </c>
    </row>
    <row r="14057" spans="1:5" x14ac:dyDescent="0.2">
      <c r="A14057">
        <v>49448</v>
      </c>
      <c r="B14057" t="s">
        <v>28</v>
      </c>
      <c r="C14057">
        <v>49448</v>
      </c>
      <c r="D14057" t="str">
        <f>"49448"</f>
        <v>49448</v>
      </c>
      <c r="E14057">
        <v>74.59</v>
      </c>
    </row>
    <row r="14058" spans="1:5" x14ac:dyDescent="0.2">
      <c r="A14058">
        <v>49449</v>
      </c>
      <c r="B14058" t="s">
        <v>28</v>
      </c>
      <c r="C14058">
        <v>49449</v>
      </c>
      <c r="D14058" t="str">
        <f>"49449"</f>
        <v>49449</v>
      </c>
      <c r="E14058">
        <v>70.069999999999993</v>
      </c>
    </row>
    <row r="14059" spans="1:5" x14ac:dyDescent="0.2">
      <c r="A14059">
        <v>49450</v>
      </c>
      <c r="B14059" t="s">
        <v>28</v>
      </c>
      <c r="C14059">
        <v>49450</v>
      </c>
      <c r="D14059" t="str">
        <f>"49450"</f>
        <v>49450</v>
      </c>
      <c r="E14059">
        <v>55.37</v>
      </c>
    </row>
    <row r="14060" spans="1:5" x14ac:dyDescent="0.2">
      <c r="A14060">
        <v>49451</v>
      </c>
      <c r="B14060" t="s">
        <v>28</v>
      </c>
      <c r="C14060">
        <v>49451</v>
      </c>
      <c r="D14060" t="str">
        <f>"49451"</f>
        <v>49451</v>
      </c>
      <c r="E14060">
        <v>71.94</v>
      </c>
    </row>
    <row r="14061" spans="1:5" x14ac:dyDescent="0.2">
      <c r="A14061">
        <v>49452</v>
      </c>
      <c r="B14061" t="s">
        <v>28</v>
      </c>
      <c r="C14061">
        <v>49452</v>
      </c>
      <c r="D14061" t="str">
        <f>"49452"</f>
        <v>49452</v>
      </c>
      <c r="E14061">
        <v>65.52</v>
      </c>
    </row>
    <row r="14062" spans="1:5" x14ac:dyDescent="0.2">
      <c r="A14062">
        <v>49453</v>
      </c>
      <c r="B14062" t="s">
        <v>28</v>
      </c>
      <c r="C14062">
        <v>49453</v>
      </c>
      <c r="D14062" t="str">
        <f>"49453"</f>
        <v>49453</v>
      </c>
      <c r="E14062">
        <v>72.459999999999994</v>
      </c>
    </row>
    <row r="14063" spans="1:5" x14ac:dyDescent="0.2">
      <c r="A14063">
        <v>49454</v>
      </c>
      <c r="B14063" t="s">
        <v>28</v>
      </c>
      <c r="C14063">
        <v>49454</v>
      </c>
      <c r="D14063" t="str">
        <f>"49454"</f>
        <v>49454</v>
      </c>
      <c r="E14063">
        <v>65.42</v>
      </c>
    </row>
    <row r="14064" spans="1:5" x14ac:dyDescent="0.2">
      <c r="A14064">
        <v>49455</v>
      </c>
      <c r="B14064" t="s">
        <v>28</v>
      </c>
      <c r="C14064">
        <v>49455</v>
      </c>
      <c r="D14064" t="str">
        <f>"49455"</f>
        <v>49455</v>
      </c>
      <c r="E14064">
        <v>61.02</v>
      </c>
    </row>
    <row r="14065" spans="1:5" x14ac:dyDescent="0.2">
      <c r="A14065">
        <v>49456</v>
      </c>
      <c r="B14065" t="s">
        <v>28</v>
      </c>
      <c r="C14065">
        <v>49456</v>
      </c>
      <c r="D14065" t="str">
        <f>"49456"</f>
        <v>49456</v>
      </c>
      <c r="E14065">
        <v>75.959999999999994</v>
      </c>
    </row>
    <row r="14066" spans="1:5" x14ac:dyDescent="0.2">
      <c r="A14066">
        <v>49457</v>
      </c>
      <c r="B14066" t="s">
        <v>28</v>
      </c>
      <c r="C14066">
        <v>49457</v>
      </c>
      <c r="D14066" t="str">
        <f>"49457"</f>
        <v>49457</v>
      </c>
      <c r="E14066">
        <v>68.709999999999994</v>
      </c>
    </row>
    <row r="14067" spans="1:5" x14ac:dyDescent="0.2">
      <c r="A14067">
        <v>49458</v>
      </c>
      <c r="B14067" t="s">
        <v>28</v>
      </c>
      <c r="C14067">
        <v>49458</v>
      </c>
      <c r="D14067" t="str">
        <f>"49458"</f>
        <v>49458</v>
      </c>
      <c r="E14067" t="s">
        <v>6</v>
      </c>
    </row>
    <row r="14068" spans="1:5" x14ac:dyDescent="0.2">
      <c r="A14068">
        <v>49459</v>
      </c>
      <c r="B14068" t="s">
        <v>28</v>
      </c>
      <c r="C14068">
        <v>49459</v>
      </c>
      <c r="D14068" t="str">
        <f>"49459"</f>
        <v>49459</v>
      </c>
      <c r="E14068">
        <v>55.56</v>
      </c>
    </row>
    <row r="14069" spans="1:5" x14ac:dyDescent="0.2">
      <c r="A14069">
        <v>49460</v>
      </c>
      <c r="B14069" t="s">
        <v>28</v>
      </c>
      <c r="C14069">
        <v>49460</v>
      </c>
      <c r="D14069" t="str">
        <f>"49460"</f>
        <v>49460</v>
      </c>
      <c r="E14069">
        <v>76.89</v>
      </c>
    </row>
    <row r="14070" spans="1:5" x14ac:dyDescent="0.2">
      <c r="A14070">
        <v>49461</v>
      </c>
      <c r="B14070" t="s">
        <v>28</v>
      </c>
      <c r="C14070">
        <v>49461</v>
      </c>
      <c r="D14070" t="str">
        <f>"49461"</f>
        <v>49461</v>
      </c>
      <c r="E14070">
        <v>71.650000000000006</v>
      </c>
    </row>
    <row r="14071" spans="1:5" x14ac:dyDescent="0.2">
      <c r="A14071">
        <v>49464</v>
      </c>
      <c r="B14071" t="s">
        <v>28</v>
      </c>
      <c r="C14071">
        <v>49464</v>
      </c>
      <c r="D14071" t="str">
        <f>"49464"</f>
        <v>49464</v>
      </c>
      <c r="E14071">
        <v>75.599999999999994</v>
      </c>
    </row>
    <row r="14072" spans="1:5" x14ac:dyDescent="0.2">
      <c r="A14072">
        <v>49503</v>
      </c>
      <c r="B14072" t="s">
        <v>28</v>
      </c>
      <c r="C14072">
        <v>49503</v>
      </c>
      <c r="D14072" t="str">
        <f>"49503"</f>
        <v>49503</v>
      </c>
      <c r="E14072">
        <v>70.16</v>
      </c>
    </row>
    <row r="14073" spans="1:5" x14ac:dyDescent="0.2">
      <c r="A14073">
        <v>49504</v>
      </c>
      <c r="B14073" t="s">
        <v>28</v>
      </c>
      <c r="C14073">
        <v>49504</v>
      </c>
      <c r="D14073" t="str">
        <f>"49504"</f>
        <v>49504</v>
      </c>
      <c r="E14073">
        <v>69.97</v>
      </c>
    </row>
    <row r="14074" spans="1:5" x14ac:dyDescent="0.2">
      <c r="A14074">
        <v>49505</v>
      </c>
      <c r="B14074" t="s">
        <v>28</v>
      </c>
      <c r="C14074">
        <v>49505</v>
      </c>
      <c r="D14074" t="str">
        <f>"49505"</f>
        <v>49505</v>
      </c>
      <c r="E14074">
        <v>73.209999999999994</v>
      </c>
    </row>
    <row r="14075" spans="1:5" x14ac:dyDescent="0.2">
      <c r="A14075">
        <v>49506</v>
      </c>
      <c r="B14075" t="s">
        <v>28</v>
      </c>
      <c r="C14075">
        <v>49506</v>
      </c>
      <c r="D14075" t="str">
        <f>"49506"</f>
        <v>49506</v>
      </c>
      <c r="E14075">
        <v>76.83</v>
      </c>
    </row>
    <row r="14076" spans="1:5" x14ac:dyDescent="0.2">
      <c r="A14076">
        <v>49507</v>
      </c>
      <c r="B14076" t="s">
        <v>28</v>
      </c>
      <c r="C14076">
        <v>49507</v>
      </c>
      <c r="D14076" t="str">
        <f>"49507"</f>
        <v>49507</v>
      </c>
      <c r="E14076">
        <v>56.47</v>
      </c>
    </row>
    <row r="14077" spans="1:5" x14ac:dyDescent="0.2">
      <c r="A14077">
        <v>49508</v>
      </c>
      <c r="B14077" t="s">
        <v>28</v>
      </c>
      <c r="C14077">
        <v>49508</v>
      </c>
      <c r="D14077" t="str">
        <f>"49508"</f>
        <v>49508</v>
      </c>
      <c r="E14077">
        <v>68.349999999999994</v>
      </c>
    </row>
    <row r="14078" spans="1:5" x14ac:dyDescent="0.2">
      <c r="A14078">
        <v>49509</v>
      </c>
      <c r="B14078" t="s">
        <v>28</v>
      </c>
      <c r="C14078">
        <v>49509</v>
      </c>
      <c r="D14078" t="str">
        <f>"49509"</f>
        <v>49509</v>
      </c>
      <c r="E14078">
        <v>64.790000000000006</v>
      </c>
    </row>
    <row r="14079" spans="1:5" x14ac:dyDescent="0.2">
      <c r="A14079">
        <v>49512</v>
      </c>
      <c r="B14079" t="s">
        <v>28</v>
      </c>
      <c r="C14079">
        <v>49512</v>
      </c>
      <c r="D14079" t="str">
        <f>"49512"</f>
        <v>49512</v>
      </c>
      <c r="E14079">
        <v>74.36</v>
      </c>
    </row>
    <row r="14080" spans="1:5" x14ac:dyDescent="0.2">
      <c r="A14080">
        <v>49519</v>
      </c>
      <c r="B14080" t="s">
        <v>28</v>
      </c>
      <c r="C14080">
        <v>49519</v>
      </c>
      <c r="D14080" t="str">
        <f>"49519"</f>
        <v>49519</v>
      </c>
      <c r="E14080">
        <v>71.540000000000006</v>
      </c>
    </row>
    <row r="14081" spans="1:5" x14ac:dyDescent="0.2">
      <c r="A14081">
        <v>49525</v>
      </c>
      <c r="B14081" t="s">
        <v>28</v>
      </c>
      <c r="C14081">
        <v>49525</v>
      </c>
      <c r="D14081" t="str">
        <f>"49525"</f>
        <v>49525</v>
      </c>
      <c r="E14081">
        <v>76.48</v>
      </c>
    </row>
    <row r="14082" spans="1:5" x14ac:dyDescent="0.2">
      <c r="A14082">
        <v>49534</v>
      </c>
      <c r="B14082" t="s">
        <v>28</v>
      </c>
      <c r="C14082">
        <v>49534</v>
      </c>
      <c r="D14082" t="str">
        <f>"49534"</f>
        <v>49534</v>
      </c>
      <c r="E14082">
        <v>76.02</v>
      </c>
    </row>
    <row r="14083" spans="1:5" x14ac:dyDescent="0.2">
      <c r="A14083">
        <v>49544</v>
      </c>
      <c r="B14083" t="s">
        <v>28</v>
      </c>
      <c r="C14083">
        <v>49544</v>
      </c>
      <c r="D14083" t="str">
        <f>"49544"</f>
        <v>49544</v>
      </c>
      <c r="E14083">
        <v>74.27</v>
      </c>
    </row>
    <row r="14084" spans="1:5" x14ac:dyDescent="0.2">
      <c r="A14084">
        <v>49546</v>
      </c>
      <c r="B14084" t="s">
        <v>28</v>
      </c>
      <c r="C14084">
        <v>49546</v>
      </c>
      <c r="D14084" t="str">
        <f>"49546"</f>
        <v>49546</v>
      </c>
      <c r="E14084">
        <v>75.599999999999994</v>
      </c>
    </row>
    <row r="14085" spans="1:5" x14ac:dyDescent="0.2">
      <c r="A14085">
        <v>49548</v>
      </c>
      <c r="B14085" t="s">
        <v>28</v>
      </c>
      <c r="C14085">
        <v>49548</v>
      </c>
      <c r="D14085" t="str">
        <f>"49548"</f>
        <v>49548</v>
      </c>
      <c r="E14085">
        <v>63.78</v>
      </c>
    </row>
    <row r="14086" spans="1:5" x14ac:dyDescent="0.2">
      <c r="A14086">
        <v>49560</v>
      </c>
      <c r="B14086" t="s">
        <v>28</v>
      </c>
      <c r="C14086">
        <v>49560</v>
      </c>
      <c r="D14086" t="str">
        <f>"49560"</f>
        <v>49560</v>
      </c>
      <c r="E14086" t="s">
        <v>6</v>
      </c>
    </row>
    <row r="14087" spans="1:5" x14ac:dyDescent="0.2">
      <c r="A14087">
        <v>49601</v>
      </c>
      <c r="B14087" t="s">
        <v>28</v>
      </c>
      <c r="C14087">
        <v>49601</v>
      </c>
      <c r="D14087" t="str">
        <f>"49601"</f>
        <v>49601</v>
      </c>
      <c r="E14087">
        <v>65.900000000000006</v>
      </c>
    </row>
    <row r="14088" spans="1:5" x14ac:dyDescent="0.2">
      <c r="A14088">
        <v>49611</v>
      </c>
      <c r="B14088" t="s">
        <v>28</v>
      </c>
      <c r="C14088">
        <v>49611</v>
      </c>
      <c r="D14088" t="str">
        <f>"49611"</f>
        <v>49611</v>
      </c>
      <c r="E14088" t="s">
        <v>6</v>
      </c>
    </row>
    <row r="14089" spans="1:5" x14ac:dyDescent="0.2">
      <c r="A14089">
        <v>49612</v>
      </c>
      <c r="B14089" t="s">
        <v>28</v>
      </c>
      <c r="C14089">
        <v>49612</v>
      </c>
      <c r="D14089" t="str">
        <f>"49612"</f>
        <v>49612</v>
      </c>
      <c r="E14089">
        <v>72.22</v>
      </c>
    </row>
    <row r="14090" spans="1:5" x14ac:dyDescent="0.2">
      <c r="A14090">
        <v>49613</v>
      </c>
      <c r="B14090" t="s">
        <v>28</v>
      </c>
      <c r="C14090">
        <v>49613</v>
      </c>
      <c r="D14090" t="str">
        <f>"49613"</f>
        <v>49613</v>
      </c>
      <c r="E14090">
        <v>71.05</v>
      </c>
    </row>
    <row r="14091" spans="1:5" x14ac:dyDescent="0.2">
      <c r="A14091">
        <v>49614</v>
      </c>
      <c r="B14091" t="s">
        <v>28</v>
      </c>
      <c r="C14091">
        <v>49614</v>
      </c>
      <c r="D14091" t="str">
        <f>"49614"</f>
        <v>49614</v>
      </c>
      <c r="E14091">
        <v>64.540000000000006</v>
      </c>
    </row>
    <row r="14092" spans="1:5" x14ac:dyDescent="0.2">
      <c r="A14092">
        <v>49615</v>
      </c>
      <c r="B14092" t="s">
        <v>28</v>
      </c>
      <c r="C14092">
        <v>49615</v>
      </c>
      <c r="D14092" t="str">
        <f>"49615"</f>
        <v>49615</v>
      </c>
      <c r="E14092">
        <v>69.59</v>
      </c>
    </row>
    <row r="14093" spans="1:5" x14ac:dyDescent="0.2">
      <c r="A14093">
        <v>49616</v>
      </c>
      <c r="B14093" t="s">
        <v>28</v>
      </c>
      <c r="C14093">
        <v>49616</v>
      </c>
      <c r="D14093" t="str">
        <f>"49616"</f>
        <v>49616</v>
      </c>
      <c r="E14093">
        <v>60</v>
      </c>
    </row>
    <row r="14094" spans="1:5" x14ac:dyDescent="0.2">
      <c r="A14094">
        <v>49617</v>
      </c>
      <c r="B14094" t="s">
        <v>28</v>
      </c>
      <c r="C14094">
        <v>49617</v>
      </c>
      <c r="D14094" t="str">
        <f>"49617"</f>
        <v>49617</v>
      </c>
      <c r="E14094">
        <v>69.09</v>
      </c>
    </row>
    <row r="14095" spans="1:5" x14ac:dyDescent="0.2">
      <c r="A14095">
        <v>49618</v>
      </c>
      <c r="B14095" t="s">
        <v>28</v>
      </c>
      <c r="C14095">
        <v>49618</v>
      </c>
      <c r="D14095" t="str">
        <f>"49618"</f>
        <v>49618</v>
      </c>
      <c r="E14095">
        <v>65.709999999999994</v>
      </c>
    </row>
    <row r="14096" spans="1:5" x14ac:dyDescent="0.2">
      <c r="A14096">
        <v>49619</v>
      </c>
      <c r="B14096" t="s">
        <v>28</v>
      </c>
      <c r="C14096">
        <v>49619</v>
      </c>
      <c r="D14096" t="str">
        <f>"49619"</f>
        <v>49619</v>
      </c>
      <c r="E14096">
        <v>68</v>
      </c>
    </row>
    <row r="14097" spans="1:5" x14ac:dyDescent="0.2">
      <c r="A14097">
        <v>49620</v>
      </c>
      <c r="B14097" t="s">
        <v>28</v>
      </c>
      <c r="C14097">
        <v>49620</v>
      </c>
      <c r="D14097" t="str">
        <f>"49620"</f>
        <v>49620</v>
      </c>
      <c r="E14097">
        <v>68.42</v>
      </c>
    </row>
    <row r="14098" spans="1:5" x14ac:dyDescent="0.2">
      <c r="A14098">
        <v>49621</v>
      </c>
      <c r="B14098" t="s">
        <v>28</v>
      </c>
      <c r="C14098">
        <v>49621</v>
      </c>
      <c r="D14098" t="str">
        <f>"49621"</f>
        <v>49621</v>
      </c>
      <c r="E14098">
        <v>75</v>
      </c>
    </row>
    <row r="14099" spans="1:5" x14ac:dyDescent="0.2">
      <c r="A14099">
        <v>49622</v>
      </c>
      <c r="B14099" t="s">
        <v>28</v>
      </c>
      <c r="C14099">
        <v>49622</v>
      </c>
      <c r="D14099" t="str">
        <f>"49622"</f>
        <v>49622</v>
      </c>
      <c r="E14099">
        <v>70.16</v>
      </c>
    </row>
    <row r="14100" spans="1:5" x14ac:dyDescent="0.2">
      <c r="A14100">
        <v>49623</v>
      </c>
      <c r="B14100" t="s">
        <v>28</v>
      </c>
      <c r="C14100">
        <v>49623</v>
      </c>
      <c r="D14100" t="str">
        <f>"49623"</f>
        <v>49623</v>
      </c>
      <c r="E14100">
        <v>64.58</v>
      </c>
    </row>
    <row r="14101" spans="1:5" x14ac:dyDescent="0.2">
      <c r="A14101">
        <v>49625</v>
      </c>
      <c r="B14101" t="s">
        <v>28</v>
      </c>
      <c r="C14101">
        <v>49625</v>
      </c>
      <c r="D14101" t="str">
        <f>"49625"</f>
        <v>49625</v>
      </c>
      <c r="E14101">
        <v>64.290000000000006</v>
      </c>
    </row>
    <row r="14102" spans="1:5" x14ac:dyDescent="0.2">
      <c r="A14102">
        <v>49626</v>
      </c>
      <c r="B14102" t="s">
        <v>28</v>
      </c>
      <c r="C14102">
        <v>49626</v>
      </c>
      <c r="D14102" t="str">
        <f>"49626"</f>
        <v>49626</v>
      </c>
      <c r="E14102" t="s">
        <v>6</v>
      </c>
    </row>
    <row r="14103" spans="1:5" x14ac:dyDescent="0.2">
      <c r="A14103">
        <v>49628</v>
      </c>
      <c r="B14103" t="s">
        <v>28</v>
      </c>
      <c r="C14103">
        <v>49628</v>
      </c>
      <c r="D14103" t="str">
        <f>"49628"</f>
        <v>49628</v>
      </c>
      <c r="E14103" t="s">
        <v>6</v>
      </c>
    </row>
    <row r="14104" spans="1:5" x14ac:dyDescent="0.2">
      <c r="A14104">
        <v>49629</v>
      </c>
      <c r="B14104" t="s">
        <v>28</v>
      </c>
      <c r="C14104">
        <v>49629</v>
      </c>
      <c r="D14104" t="str">
        <f>"49629"</f>
        <v>49629</v>
      </c>
      <c r="E14104">
        <v>75.61</v>
      </c>
    </row>
    <row r="14105" spans="1:5" x14ac:dyDescent="0.2">
      <c r="A14105">
        <v>49630</v>
      </c>
      <c r="B14105" t="s">
        <v>28</v>
      </c>
      <c r="C14105">
        <v>49630</v>
      </c>
      <c r="D14105" t="str">
        <f>"49630"</f>
        <v>49630</v>
      </c>
      <c r="E14105">
        <v>77.22</v>
      </c>
    </row>
    <row r="14106" spans="1:5" x14ac:dyDescent="0.2">
      <c r="A14106">
        <v>49631</v>
      </c>
      <c r="B14106" t="s">
        <v>28</v>
      </c>
      <c r="C14106">
        <v>49631</v>
      </c>
      <c r="D14106" t="str">
        <f>"49631"</f>
        <v>49631</v>
      </c>
      <c r="E14106">
        <v>62.45</v>
      </c>
    </row>
    <row r="14107" spans="1:5" x14ac:dyDescent="0.2">
      <c r="A14107">
        <v>49632</v>
      </c>
      <c r="B14107" t="s">
        <v>28</v>
      </c>
      <c r="C14107">
        <v>49632</v>
      </c>
      <c r="D14107" t="str">
        <f>"49632"</f>
        <v>49632</v>
      </c>
      <c r="E14107">
        <v>63.27</v>
      </c>
    </row>
    <row r="14108" spans="1:5" x14ac:dyDescent="0.2">
      <c r="A14108">
        <v>49633</v>
      </c>
      <c r="B14108" t="s">
        <v>28</v>
      </c>
      <c r="C14108">
        <v>49633</v>
      </c>
      <c r="D14108" t="str">
        <f>"49633"</f>
        <v>49633</v>
      </c>
      <c r="E14108">
        <v>68</v>
      </c>
    </row>
    <row r="14109" spans="1:5" x14ac:dyDescent="0.2">
      <c r="A14109">
        <v>49634</v>
      </c>
      <c r="B14109" t="s">
        <v>28</v>
      </c>
      <c r="C14109">
        <v>49634</v>
      </c>
      <c r="D14109" t="str">
        <f>"49634"</f>
        <v>49634</v>
      </c>
      <c r="E14109" t="s">
        <v>6</v>
      </c>
    </row>
    <row r="14110" spans="1:5" x14ac:dyDescent="0.2">
      <c r="A14110">
        <v>49635</v>
      </c>
      <c r="B14110" t="s">
        <v>28</v>
      </c>
      <c r="C14110">
        <v>49635</v>
      </c>
      <c r="D14110" t="str">
        <f>"49635"</f>
        <v>49635</v>
      </c>
      <c r="E14110">
        <v>69.23</v>
      </c>
    </row>
    <row r="14111" spans="1:5" x14ac:dyDescent="0.2">
      <c r="A14111">
        <v>49636</v>
      </c>
      <c r="B14111" t="s">
        <v>28</v>
      </c>
      <c r="C14111">
        <v>49636</v>
      </c>
      <c r="D14111" t="str">
        <f>"49636"</f>
        <v>49636</v>
      </c>
      <c r="E14111">
        <v>76.92</v>
      </c>
    </row>
    <row r="14112" spans="1:5" x14ac:dyDescent="0.2">
      <c r="A14112">
        <v>49637</v>
      </c>
      <c r="B14112" t="s">
        <v>28</v>
      </c>
      <c r="C14112">
        <v>49637</v>
      </c>
      <c r="D14112" t="str">
        <f>"49637"</f>
        <v>49637</v>
      </c>
      <c r="E14112">
        <v>70.97</v>
      </c>
    </row>
    <row r="14113" spans="1:5" x14ac:dyDescent="0.2">
      <c r="A14113">
        <v>49638</v>
      </c>
      <c r="B14113" t="s">
        <v>28</v>
      </c>
      <c r="C14113">
        <v>49638</v>
      </c>
      <c r="D14113" t="str">
        <f>"49638"</f>
        <v>49638</v>
      </c>
      <c r="E14113">
        <v>60.53</v>
      </c>
    </row>
    <row r="14114" spans="1:5" x14ac:dyDescent="0.2">
      <c r="A14114">
        <v>49639</v>
      </c>
      <c r="B14114" t="s">
        <v>28</v>
      </c>
      <c r="C14114">
        <v>49639</v>
      </c>
      <c r="D14114" t="str">
        <f>"49639"</f>
        <v>49639</v>
      </c>
      <c r="E14114">
        <v>68.099999999999994</v>
      </c>
    </row>
    <row r="14115" spans="1:5" x14ac:dyDescent="0.2">
      <c r="A14115">
        <v>49640</v>
      </c>
      <c r="B14115" t="s">
        <v>28</v>
      </c>
      <c r="C14115">
        <v>49640</v>
      </c>
      <c r="D14115" t="str">
        <f>"49640"</f>
        <v>49640</v>
      </c>
      <c r="E14115">
        <v>67.900000000000006</v>
      </c>
    </row>
    <row r="14116" spans="1:5" x14ac:dyDescent="0.2">
      <c r="A14116">
        <v>49642</v>
      </c>
      <c r="B14116" t="s">
        <v>28</v>
      </c>
      <c r="C14116">
        <v>49642</v>
      </c>
      <c r="D14116" t="str">
        <f>"49642"</f>
        <v>49642</v>
      </c>
      <c r="E14116">
        <v>48.28</v>
      </c>
    </row>
    <row r="14117" spans="1:5" x14ac:dyDescent="0.2">
      <c r="A14117">
        <v>49643</v>
      </c>
      <c r="B14117" t="s">
        <v>28</v>
      </c>
      <c r="C14117">
        <v>49643</v>
      </c>
      <c r="D14117" t="str">
        <f>"49643"</f>
        <v>49643</v>
      </c>
      <c r="E14117">
        <v>72.83</v>
      </c>
    </row>
    <row r="14118" spans="1:5" x14ac:dyDescent="0.2">
      <c r="A14118">
        <v>49644</v>
      </c>
      <c r="B14118" t="s">
        <v>28</v>
      </c>
      <c r="C14118">
        <v>49644</v>
      </c>
      <c r="D14118" t="str">
        <f>"49644"</f>
        <v>49644</v>
      </c>
      <c r="E14118">
        <v>68.67</v>
      </c>
    </row>
    <row r="14119" spans="1:5" x14ac:dyDescent="0.2">
      <c r="A14119">
        <v>49645</v>
      </c>
      <c r="B14119" t="s">
        <v>28</v>
      </c>
      <c r="C14119">
        <v>49645</v>
      </c>
      <c r="D14119" t="str">
        <f>"49645"</f>
        <v>49645</v>
      </c>
      <c r="E14119">
        <v>62.96</v>
      </c>
    </row>
    <row r="14120" spans="1:5" x14ac:dyDescent="0.2">
      <c r="A14120">
        <v>49646</v>
      </c>
      <c r="B14120" t="s">
        <v>28</v>
      </c>
      <c r="C14120">
        <v>49646</v>
      </c>
      <c r="D14120" t="str">
        <f>"49646"</f>
        <v>49646</v>
      </c>
      <c r="E14120">
        <v>66.59</v>
      </c>
    </row>
    <row r="14121" spans="1:5" x14ac:dyDescent="0.2">
      <c r="A14121">
        <v>49648</v>
      </c>
      <c r="B14121" t="s">
        <v>28</v>
      </c>
      <c r="C14121">
        <v>49648</v>
      </c>
      <c r="D14121" t="str">
        <f>"49648"</f>
        <v>49648</v>
      </c>
      <c r="E14121">
        <v>72.650000000000006</v>
      </c>
    </row>
    <row r="14122" spans="1:5" x14ac:dyDescent="0.2">
      <c r="A14122">
        <v>49649</v>
      </c>
      <c r="B14122" t="s">
        <v>28</v>
      </c>
      <c r="C14122">
        <v>49649</v>
      </c>
      <c r="D14122" t="str">
        <f>"49649"</f>
        <v>49649</v>
      </c>
      <c r="E14122">
        <v>69.81</v>
      </c>
    </row>
    <row r="14123" spans="1:5" x14ac:dyDescent="0.2">
      <c r="A14123">
        <v>49650</v>
      </c>
      <c r="B14123" t="s">
        <v>28</v>
      </c>
      <c r="C14123">
        <v>49650</v>
      </c>
      <c r="D14123" t="str">
        <f>"49650"</f>
        <v>49650</v>
      </c>
      <c r="E14123">
        <v>75.16</v>
      </c>
    </row>
    <row r="14124" spans="1:5" x14ac:dyDescent="0.2">
      <c r="A14124">
        <v>49651</v>
      </c>
      <c r="B14124" t="s">
        <v>28</v>
      </c>
      <c r="C14124">
        <v>49651</v>
      </c>
      <c r="D14124" t="str">
        <f>"49651"</f>
        <v>49651</v>
      </c>
      <c r="E14124">
        <v>62.75</v>
      </c>
    </row>
    <row r="14125" spans="1:5" x14ac:dyDescent="0.2">
      <c r="A14125">
        <v>49653</v>
      </c>
      <c r="B14125" t="s">
        <v>28</v>
      </c>
      <c r="C14125">
        <v>49653</v>
      </c>
      <c r="D14125" t="str">
        <f>"49653"</f>
        <v>49653</v>
      </c>
      <c r="E14125">
        <v>70.3</v>
      </c>
    </row>
    <row r="14126" spans="1:5" x14ac:dyDescent="0.2">
      <c r="A14126">
        <v>49654</v>
      </c>
      <c r="B14126" t="s">
        <v>28</v>
      </c>
      <c r="C14126">
        <v>49654</v>
      </c>
      <c r="D14126" t="str">
        <f>"49654"</f>
        <v>49654</v>
      </c>
      <c r="E14126">
        <v>73.91</v>
      </c>
    </row>
    <row r="14127" spans="1:5" x14ac:dyDescent="0.2">
      <c r="A14127">
        <v>49655</v>
      </c>
      <c r="B14127" t="s">
        <v>28</v>
      </c>
      <c r="C14127">
        <v>49655</v>
      </c>
      <c r="D14127" t="str">
        <f>"49655"</f>
        <v>49655</v>
      </c>
      <c r="E14127">
        <v>64.58</v>
      </c>
    </row>
    <row r="14128" spans="1:5" x14ac:dyDescent="0.2">
      <c r="A14128">
        <v>49656</v>
      </c>
      <c r="B14128" t="s">
        <v>28</v>
      </c>
      <c r="C14128">
        <v>49656</v>
      </c>
      <c r="D14128" t="str">
        <f>"49656"</f>
        <v>49656</v>
      </c>
      <c r="E14128">
        <v>59.68</v>
      </c>
    </row>
    <row r="14129" spans="1:5" x14ac:dyDescent="0.2">
      <c r="A14129">
        <v>49657</v>
      </c>
      <c r="B14129" t="s">
        <v>28</v>
      </c>
      <c r="C14129">
        <v>49657</v>
      </c>
      <c r="D14129" t="str">
        <f>"49657"</f>
        <v>49657</v>
      </c>
      <c r="E14129">
        <v>64.78</v>
      </c>
    </row>
    <row r="14130" spans="1:5" x14ac:dyDescent="0.2">
      <c r="A14130">
        <v>49659</v>
      </c>
      <c r="B14130" t="s">
        <v>28</v>
      </c>
      <c r="C14130">
        <v>49659</v>
      </c>
      <c r="D14130" t="str">
        <f>"49659"</f>
        <v>49659</v>
      </c>
      <c r="E14130">
        <v>60.8</v>
      </c>
    </row>
    <row r="14131" spans="1:5" x14ac:dyDescent="0.2">
      <c r="A14131">
        <v>49660</v>
      </c>
      <c r="B14131" t="s">
        <v>28</v>
      </c>
      <c r="C14131">
        <v>49660</v>
      </c>
      <c r="D14131" t="str">
        <f>"49660"</f>
        <v>49660</v>
      </c>
      <c r="E14131">
        <v>69.78</v>
      </c>
    </row>
    <row r="14132" spans="1:5" x14ac:dyDescent="0.2">
      <c r="A14132">
        <v>49663</v>
      </c>
      <c r="B14132" t="s">
        <v>28</v>
      </c>
      <c r="C14132">
        <v>49663</v>
      </c>
      <c r="D14132" t="str">
        <f>"49663"</f>
        <v>49663</v>
      </c>
      <c r="E14132">
        <v>62.31</v>
      </c>
    </row>
    <row r="14133" spans="1:5" x14ac:dyDescent="0.2">
      <c r="A14133">
        <v>49664</v>
      </c>
      <c r="B14133" t="s">
        <v>28</v>
      </c>
      <c r="C14133">
        <v>49664</v>
      </c>
      <c r="D14133" t="str">
        <f>"49664"</f>
        <v>49664</v>
      </c>
      <c r="E14133">
        <v>72.97</v>
      </c>
    </row>
    <row r="14134" spans="1:5" x14ac:dyDescent="0.2">
      <c r="A14134">
        <v>49665</v>
      </c>
      <c r="B14134" t="s">
        <v>28</v>
      </c>
      <c r="C14134">
        <v>49665</v>
      </c>
      <c r="D14134" t="str">
        <f>"49665"</f>
        <v>49665</v>
      </c>
      <c r="E14134">
        <v>64</v>
      </c>
    </row>
    <row r="14135" spans="1:5" x14ac:dyDescent="0.2">
      <c r="A14135">
        <v>49667</v>
      </c>
      <c r="B14135" t="s">
        <v>28</v>
      </c>
      <c r="C14135">
        <v>49667</v>
      </c>
      <c r="D14135" t="str">
        <f>"49667"</f>
        <v>49667</v>
      </c>
      <c r="E14135">
        <v>64</v>
      </c>
    </row>
    <row r="14136" spans="1:5" x14ac:dyDescent="0.2">
      <c r="A14136">
        <v>49668</v>
      </c>
      <c r="B14136" t="s">
        <v>28</v>
      </c>
      <c r="C14136">
        <v>49668</v>
      </c>
      <c r="D14136" t="str">
        <f>"49668"</f>
        <v>49668</v>
      </c>
      <c r="E14136">
        <v>63.58</v>
      </c>
    </row>
    <row r="14137" spans="1:5" x14ac:dyDescent="0.2">
      <c r="A14137">
        <v>49670</v>
      </c>
      <c r="B14137" t="s">
        <v>28</v>
      </c>
      <c r="C14137">
        <v>49670</v>
      </c>
      <c r="D14137" t="str">
        <f>"49670"</f>
        <v>49670</v>
      </c>
      <c r="E14137">
        <v>73.2</v>
      </c>
    </row>
    <row r="14138" spans="1:5" x14ac:dyDescent="0.2">
      <c r="A14138">
        <v>49674</v>
      </c>
      <c r="B14138" t="s">
        <v>28</v>
      </c>
      <c r="C14138">
        <v>49674</v>
      </c>
      <c r="D14138" t="str">
        <f>"49674"</f>
        <v>49674</v>
      </c>
      <c r="E14138" t="s">
        <v>6</v>
      </c>
    </row>
    <row r="14139" spans="1:5" x14ac:dyDescent="0.2">
      <c r="A14139">
        <v>49675</v>
      </c>
      <c r="B14139" t="s">
        <v>28</v>
      </c>
      <c r="C14139">
        <v>49675</v>
      </c>
      <c r="D14139" t="str">
        <f>"49675"</f>
        <v>49675</v>
      </c>
      <c r="E14139">
        <v>71.19</v>
      </c>
    </row>
    <row r="14140" spans="1:5" x14ac:dyDescent="0.2">
      <c r="A14140">
        <v>49676</v>
      </c>
      <c r="B14140" t="s">
        <v>28</v>
      </c>
      <c r="C14140">
        <v>49676</v>
      </c>
      <c r="D14140" t="str">
        <f>"49676"</f>
        <v>49676</v>
      </c>
      <c r="E14140">
        <v>70.06</v>
      </c>
    </row>
    <row r="14141" spans="1:5" x14ac:dyDescent="0.2">
      <c r="A14141">
        <v>49677</v>
      </c>
      <c r="B14141" t="s">
        <v>28</v>
      </c>
      <c r="C14141">
        <v>49677</v>
      </c>
      <c r="D14141" t="str">
        <f>"49677"</f>
        <v>49677</v>
      </c>
      <c r="E14141">
        <v>65.989999999999995</v>
      </c>
    </row>
    <row r="14142" spans="1:5" x14ac:dyDescent="0.2">
      <c r="A14142">
        <v>49679</v>
      </c>
      <c r="B14142" t="s">
        <v>28</v>
      </c>
      <c r="C14142">
        <v>49679</v>
      </c>
      <c r="D14142" t="str">
        <f>"49679"</f>
        <v>49679</v>
      </c>
      <c r="E14142">
        <v>64.290000000000006</v>
      </c>
    </row>
    <row r="14143" spans="1:5" x14ac:dyDescent="0.2">
      <c r="A14143">
        <v>49680</v>
      </c>
      <c r="B14143" t="s">
        <v>28</v>
      </c>
      <c r="C14143">
        <v>49680</v>
      </c>
      <c r="D14143" t="str">
        <f>"49680"</f>
        <v>49680</v>
      </c>
      <c r="E14143">
        <v>66.67</v>
      </c>
    </row>
    <row r="14144" spans="1:5" x14ac:dyDescent="0.2">
      <c r="A14144">
        <v>49682</v>
      </c>
      <c r="B14144" t="s">
        <v>28</v>
      </c>
      <c r="C14144">
        <v>49682</v>
      </c>
      <c r="D14144" t="str">
        <f>"49682"</f>
        <v>49682</v>
      </c>
      <c r="E14144">
        <v>73.78</v>
      </c>
    </row>
    <row r="14145" spans="1:5" x14ac:dyDescent="0.2">
      <c r="A14145">
        <v>49683</v>
      </c>
      <c r="B14145" t="s">
        <v>28</v>
      </c>
      <c r="C14145">
        <v>49683</v>
      </c>
      <c r="D14145" t="str">
        <f>"49683"</f>
        <v>49683</v>
      </c>
      <c r="E14145">
        <v>67.650000000000006</v>
      </c>
    </row>
    <row r="14146" spans="1:5" x14ac:dyDescent="0.2">
      <c r="A14146">
        <v>49684</v>
      </c>
      <c r="B14146" t="s">
        <v>28</v>
      </c>
      <c r="C14146">
        <v>49684</v>
      </c>
      <c r="D14146" t="str">
        <f>"49684"</f>
        <v>49684</v>
      </c>
      <c r="E14146">
        <v>75.75</v>
      </c>
    </row>
    <row r="14147" spans="1:5" x14ac:dyDescent="0.2">
      <c r="A14147">
        <v>49685</v>
      </c>
      <c r="B14147" t="s">
        <v>28</v>
      </c>
      <c r="C14147">
        <v>49685</v>
      </c>
      <c r="D14147" t="str">
        <f>"49685"</f>
        <v>49685</v>
      </c>
      <c r="E14147" t="s">
        <v>6</v>
      </c>
    </row>
    <row r="14148" spans="1:5" x14ac:dyDescent="0.2">
      <c r="A14148">
        <v>49686</v>
      </c>
      <c r="B14148" t="s">
        <v>28</v>
      </c>
      <c r="C14148">
        <v>49686</v>
      </c>
      <c r="D14148" t="str">
        <f>"49686"</f>
        <v>49686</v>
      </c>
      <c r="E14148">
        <v>73.569999999999993</v>
      </c>
    </row>
    <row r="14149" spans="1:5" x14ac:dyDescent="0.2">
      <c r="A14149">
        <v>49688</v>
      </c>
      <c r="B14149" t="s">
        <v>28</v>
      </c>
      <c r="C14149">
        <v>49688</v>
      </c>
      <c r="D14149" t="str">
        <f>"49688"</f>
        <v>49688</v>
      </c>
      <c r="E14149">
        <v>68.069999999999993</v>
      </c>
    </row>
    <row r="14150" spans="1:5" x14ac:dyDescent="0.2">
      <c r="A14150">
        <v>49689</v>
      </c>
      <c r="B14150" t="s">
        <v>28</v>
      </c>
      <c r="C14150">
        <v>49689</v>
      </c>
      <c r="D14150" t="str">
        <f>"49689"</f>
        <v>49689</v>
      </c>
      <c r="E14150">
        <v>63.24</v>
      </c>
    </row>
    <row r="14151" spans="1:5" x14ac:dyDescent="0.2">
      <c r="A14151">
        <v>49690</v>
      </c>
      <c r="B14151" t="s">
        <v>28</v>
      </c>
      <c r="C14151">
        <v>49690</v>
      </c>
      <c r="D14151" t="str">
        <f>"49690"</f>
        <v>49690</v>
      </c>
      <c r="E14151">
        <v>76.150000000000006</v>
      </c>
    </row>
    <row r="14152" spans="1:5" x14ac:dyDescent="0.2">
      <c r="A14152">
        <v>49696</v>
      </c>
      <c r="B14152" t="s">
        <v>28</v>
      </c>
      <c r="C14152">
        <v>49696</v>
      </c>
      <c r="D14152" t="str">
        <f>"49696"</f>
        <v>49696</v>
      </c>
      <c r="E14152" t="s">
        <v>6</v>
      </c>
    </row>
    <row r="14153" spans="1:5" x14ac:dyDescent="0.2">
      <c r="A14153">
        <v>49701</v>
      </c>
      <c r="B14153" t="s">
        <v>28</v>
      </c>
      <c r="C14153">
        <v>49701</v>
      </c>
      <c r="D14153" t="str">
        <f>"49701"</f>
        <v>49701</v>
      </c>
      <c r="E14153">
        <v>71.209999999999994</v>
      </c>
    </row>
    <row r="14154" spans="1:5" x14ac:dyDescent="0.2">
      <c r="A14154">
        <v>49705</v>
      </c>
      <c r="B14154" t="s">
        <v>28</v>
      </c>
      <c r="C14154">
        <v>49705</v>
      </c>
      <c r="D14154" t="str">
        <f>"49705"</f>
        <v>49705</v>
      </c>
      <c r="E14154">
        <v>57.14</v>
      </c>
    </row>
    <row r="14155" spans="1:5" x14ac:dyDescent="0.2">
      <c r="A14155">
        <v>49706</v>
      </c>
      <c r="B14155" t="s">
        <v>28</v>
      </c>
      <c r="C14155">
        <v>49706</v>
      </c>
      <c r="D14155" t="str">
        <f>"49706"</f>
        <v>49706</v>
      </c>
      <c r="E14155">
        <v>67.81</v>
      </c>
    </row>
    <row r="14156" spans="1:5" x14ac:dyDescent="0.2">
      <c r="A14156">
        <v>49707</v>
      </c>
      <c r="B14156" t="s">
        <v>28</v>
      </c>
      <c r="C14156">
        <v>49707</v>
      </c>
      <c r="D14156" t="str">
        <f>"49707"</f>
        <v>49707</v>
      </c>
      <c r="E14156">
        <v>66.540000000000006</v>
      </c>
    </row>
    <row r="14157" spans="1:5" x14ac:dyDescent="0.2">
      <c r="A14157">
        <v>49709</v>
      </c>
      <c r="B14157" t="s">
        <v>28</v>
      </c>
      <c r="C14157">
        <v>49709</v>
      </c>
      <c r="D14157" t="str">
        <f>"49709"</f>
        <v>49709</v>
      </c>
      <c r="E14157">
        <v>63.4</v>
      </c>
    </row>
    <row r="14158" spans="1:5" x14ac:dyDescent="0.2">
      <c r="A14158">
        <v>49710</v>
      </c>
      <c r="B14158" t="s">
        <v>28</v>
      </c>
      <c r="C14158">
        <v>49710</v>
      </c>
      <c r="D14158" t="str">
        <f>"49710"</f>
        <v>49710</v>
      </c>
      <c r="E14158">
        <v>68.42</v>
      </c>
    </row>
    <row r="14159" spans="1:5" x14ac:dyDescent="0.2">
      <c r="A14159">
        <v>49712</v>
      </c>
      <c r="B14159" t="s">
        <v>28</v>
      </c>
      <c r="C14159">
        <v>49712</v>
      </c>
      <c r="D14159" t="str">
        <f>"49712"</f>
        <v>49712</v>
      </c>
      <c r="E14159">
        <v>71.12</v>
      </c>
    </row>
    <row r="14160" spans="1:5" x14ac:dyDescent="0.2">
      <c r="A14160">
        <v>49713</v>
      </c>
      <c r="B14160" t="s">
        <v>28</v>
      </c>
      <c r="C14160">
        <v>49713</v>
      </c>
      <c r="D14160" t="str">
        <f>"49713"</f>
        <v>49713</v>
      </c>
      <c r="E14160">
        <v>68.22</v>
      </c>
    </row>
    <row r="14161" spans="1:5" x14ac:dyDescent="0.2">
      <c r="A14161">
        <v>49715</v>
      </c>
      <c r="B14161" t="s">
        <v>28</v>
      </c>
      <c r="C14161">
        <v>49715</v>
      </c>
      <c r="D14161" t="str">
        <f>"49715"</f>
        <v>49715</v>
      </c>
      <c r="E14161">
        <v>69.62</v>
      </c>
    </row>
    <row r="14162" spans="1:5" x14ac:dyDescent="0.2">
      <c r="A14162">
        <v>49716</v>
      </c>
      <c r="B14162" t="s">
        <v>28</v>
      </c>
      <c r="C14162">
        <v>49716</v>
      </c>
      <c r="D14162" t="str">
        <f>"49716"</f>
        <v>49716</v>
      </c>
      <c r="E14162">
        <v>76.319999999999993</v>
      </c>
    </row>
    <row r="14163" spans="1:5" x14ac:dyDescent="0.2">
      <c r="A14163">
        <v>49718</v>
      </c>
      <c r="B14163" t="s">
        <v>28</v>
      </c>
      <c r="C14163">
        <v>49718</v>
      </c>
      <c r="D14163" t="str">
        <f>"49718"</f>
        <v>49718</v>
      </c>
      <c r="E14163">
        <v>67.650000000000006</v>
      </c>
    </row>
    <row r="14164" spans="1:5" x14ac:dyDescent="0.2">
      <c r="A14164">
        <v>49719</v>
      </c>
      <c r="B14164" t="s">
        <v>28</v>
      </c>
      <c r="C14164">
        <v>49719</v>
      </c>
      <c r="D14164" t="str">
        <f>"49719"</f>
        <v>49719</v>
      </c>
      <c r="E14164">
        <v>69.569999999999993</v>
      </c>
    </row>
    <row r="14165" spans="1:5" x14ac:dyDescent="0.2">
      <c r="A14165">
        <v>49720</v>
      </c>
      <c r="B14165" t="s">
        <v>28</v>
      </c>
      <c r="C14165">
        <v>49720</v>
      </c>
      <c r="D14165" t="str">
        <f>"49720"</f>
        <v>49720</v>
      </c>
      <c r="E14165">
        <v>70.36</v>
      </c>
    </row>
    <row r="14166" spans="1:5" x14ac:dyDescent="0.2">
      <c r="A14166">
        <v>49721</v>
      </c>
      <c r="B14166" t="s">
        <v>28</v>
      </c>
      <c r="C14166">
        <v>49721</v>
      </c>
      <c r="D14166" t="str">
        <f>"49721"</f>
        <v>49721</v>
      </c>
      <c r="E14166">
        <v>64.319999999999993</v>
      </c>
    </row>
    <row r="14167" spans="1:5" x14ac:dyDescent="0.2">
      <c r="A14167">
        <v>49724</v>
      </c>
      <c r="B14167" t="s">
        <v>28</v>
      </c>
      <c r="C14167">
        <v>49724</v>
      </c>
      <c r="D14167" t="str">
        <f>"49724"</f>
        <v>49724</v>
      </c>
      <c r="E14167">
        <v>72.22</v>
      </c>
    </row>
    <row r="14168" spans="1:5" x14ac:dyDescent="0.2">
      <c r="A14168">
        <v>49725</v>
      </c>
      <c r="B14168" t="s">
        <v>28</v>
      </c>
      <c r="C14168">
        <v>49725</v>
      </c>
      <c r="D14168" t="str">
        <f>"49725"</f>
        <v>49725</v>
      </c>
      <c r="E14168">
        <v>66.67</v>
      </c>
    </row>
    <row r="14169" spans="1:5" x14ac:dyDescent="0.2">
      <c r="A14169">
        <v>49726</v>
      </c>
      <c r="B14169" t="s">
        <v>28</v>
      </c>
      <c r="C14169">
        <v>49726</v>
      </c>
      <c r="D14169" t="str">
        <f>"49726"</f>
        <v>49726</v>
      </c>
      <c r="E14169">
        <v>69.23</v>
      </c>
    </row>
    <row r="14170" spans="1:5" x14ac:dyDescent="0.2">
      <c r="A14170">
        <v>49727</v>
      </c>
      <c r="B14170" t="s">
        <v>28</v>
      </c>
      <c r="C14170">
        <v>49727</v>
      </c>
      <c r="D14170" t="str">
        <f>"49727"</f>
        <v>49727</v>
      </c>
      <c r="E14170">
        <v>65.28</v>
      </c>
    </row>
    <row r="14171" spans="1:5" x14ac:dyDescent="0.2">
      <c r="A14171">
        <v>49728</v>
      </c>
      <c r="B14171" t="s">
        <v>28</v>
      </c>
      <c r="C14171">
        <v>49728</v>
      </c>
      <c r="D14171" t="str">
        <f>"49728"</f>
        <v>49728</v>
      </c>
      <c r="E14171">
        <v>64.290000000000006</v>
      </c>
    </row>
    <row r="14172" spans="1:5" x14ac:dyDescent="0.2">
      <c r="A14172">
        <v>49729</v>
      </c>
      <c r="B14172" t="s">
        <v>28</v>
      </c>
      <c r="C14172">
        <v>49729</v>
      </c>
      <c r="D14172" t="str">
        <f>"49729"</f>
        <v>49729</v>
      </c>
      <c r="E14172">
        <v>71.430000000000007</v>
      </c>
    </row>
    <row r="14173" spans="1:5" x14ac:dyDescent="0.2">
      <c r="A14173">
        <v>49730</v>
      </c>
      <c r="B14173" t="s">
        <v>28</v>
      </c>
      <c r="C14173">
        <v>49730</v>
      </c>
      <c r="D14173" t="str">
        <f>"49730"</f>
        <v>49730</v>
      </c>
      <c r="E14173">
        <v>70.87</v>
      </c>
    </row>
    <row r="14174" spans="1:5" x14ac:dyDescent="0.2">
      <c r="A14174">
        <v>49733</v>
      </c>
      <c r="B14174" t="s">
        <v>28</v>
      </c>
      <c r="C14174">
        <v>49733</v>
      </c>
      <c r="D14174" t="str">
        <f>"49733"</f>
        <v>49733</v>
      </c>
      <c r="E14174">
        <v>69.33</v>
      </c>
    </row>
    <row r="14175" spans="1:5" x14ac:dyDescent="0.2">
      <c r="A14175">
        <v>49735</v>
      </c>
      <c r="B14175" t="s">
        <v>28</v>
      </c>
      <c r="C14175">
        <v>49735</v>
      </c>
      <c r="D14175" t="str">
        <f>"49735"</f>
        <v>49735</v>
      </c>
      <c r="E14175">
        <v>67.900000000000006</v>
      </c>
    </row>
    <row r="14176" spans="1:5" x14ac:dyDescent="0.2">
      <c r="A14176">
        <v>49736</v>
      </c>
      <c r="B14176" t="s">
        <v>28</v>
      </c>
      <c r="C14176">
        <v>49736</v>
      </c>
      <c r="D14176" t="str">
        <f>"49736"</f>
        <v>49736</v>
      </c>
      <c r="E14176">
        <v>65.22</v>
      </c>
    </row>
    <row r="14177" spans="1:5" x14ac:dyDescent="0.2">
      <c r="A14177">
        <v>49738</v>
      </c>
      <c r="B14177" t="s">
        <v>28</v>
      </c>
      <c r="C14177">
        <v>49738</v>
      </c>
      <c r="D14177" t="str">
        <f>"49738"</f>
        <v>49738</v>
      </c>
      <c r="E14177">
        <v>65.63</v>
      </c>
    </row>
    <row r="14178" spans="1:5" x14ac:dyDescent="0.2">
      <c r="A14178">
        <v>49740</v>
      </c>
      <c r="B14178" t="s">
        <v>28</v>
      </c>
      <c r="C14178">
        <v>49740</v>
      </c>
      <c r="D14178" t="str">
        <f>"49740"</f>
        <v>49740</v>
      </c>
      <c r="E14178">
        <v>74.62</v>
      </c>
    </row>
    <row r="14179" spans="1:5" x14ac:dyDescent="0.2">
      <c r="A14179">
        <v>49743</v>
      </c>
      <c r="B14179" t="s">
        <v>28</v>
      </c>
      <c r="C14179">
        <v>49743</v>
      </c>
      <c r="D14179" t="str">
        <f>"49743"</f>
        <v>49743</v>
      </c>
      <c r="E14179">
        <v>63.89</v>
      </c>
    </row>
    <row r="14180" spans="1:5" x14ac:dyDescent="0.2">
      <c r="A14180">
        <v>49744</v>
      </c>
      <c r="B14180" t="s">
        <v>28</v>
      </c>
      <c r="C14180">
        <v>49744</v>
      </c>
      <c r="D14180" t="str">
        <f>"49744"</f>
        <v>49744</v>
      </c>
      <c r="E14180">
        <v>69.23</v>
      </c>
    </row>
    <row r="14181" spans="1:5" x14ac:dyDescent="0.2">
      <c r="A14181">
        <v>49745</v>
      </c>
      <c r="B14181" t="s">
        <v>28</v>
      </c>
      <c r="C14181">
        <v>49745</v>
      </c>
      <c r="D14181" t="str">
        <f>"49745"</f>
        <v>49745</v>
      </c>
      <c r="E14181">
        <v>70</v>
      </c>
    </row>
    <row r="14182" spans="1:5" x14ac:dyDescent="0.2">
      <c r="A14182">
        <v>49746</v>
      </c>
      <c r="B14182" t="s">
        <v>28</v>
      </c>
      <c r="C14182">
        <v>49746</v>
      </c>
      <c r="D14182" t="str">
        <f>"49746"</f>
        <v>49746</v>
      </c>
      <c r="E14182">
        <v>64.900000000000006</v>
      </c>
    </row>
    <row r="14183" spans="1:5" x14ac:dyDescent="0.2">
      <c r="A14183">
        <v>49747</v>
      </c>
      <c r="B14183" t="s">
        <v>28</v>
      </c>
      <c r="C14183">
        <v>49747</v>
      </c>
      <c r="D14183" t="str">
        <f>"49747"</f>
        <v>49747</v>
      </c>
      <c r="E14183">
        <v>69.510000000000005</v>
      </c>
    </row>
    <row r="14184" spans="1:5" x14ac:dyDescent="0.2">
      <c r="A14184">
        <v>49748</v>
      </c>
      <c r="B14184" t="s">
        <v>28</v>
      </c>
      <c r="C14184">
        <v>49748</v>
      </c>
      <c r="D14184" t="str">
        <f>"49748"</f>
        <v>49748</v>
      </c>
      <c r="E14184" t="s">
        <v>6</v>
      </c>
    </row>
    <row r="14185" spans="1:5" x14ac:dyDescent="0.2">
      <c r="A14185">
        <v>49749</v>
      </c>
      <c r="B14185" t="s">
        <v>28</v>
      </c>
      <c r="C14185">
        <v>49749</v>
      </c>
      <c r="D14185" t="str">
        <f>"49749"</f>
        <v>49749</v>
      </c>
      <c r="E14185">
        <v>70.05</v>
      </c>
    </row>
    <row r="14186" spans="1:5" x14ac:dyDescent="0.2">
      <c r="A14186">
        <v>49751</v>
      </c>
      <c r="B14186" t="s">
        <v>28</v>
      </c>
      <c r="C14186">
        <v>49751</v>
      </c>
      <c r="D14186" t="str">
        <f>"49751"</f>
        <v>49751</v>
      </c>
      <c r="E14186">
        <v>67.349999999999994</v>
      </c>
    </row>
    <row r="14187" spans="1:5" x14ac:dyDescent="0.2">
      <c r="A14187">
        <v>49752</v>
      </c>
      <c r="B14187" t="s">
        <v>28</v>
      </c>
      <c r="C14187">
        <v>49752</v>
      </c>
      <c r="D14187" t="str">
        <f>"49752"</f>
        <v>49752</v>
      </c>
      <c r="E14187">
        <v>71.430000000000007</v>
      </c>
    </row>
    <row r="14188" spans="1:5" x14ac:dyDescent="0.2">
      <c r="A14188">
        <v>49753</v>
      </c>
      <c r="B14188" t="s">
        <v>28</v>
      </c>
      <c r="C14188">
        <v>49753</v>
      </c>
      <c r="D14188" t="str">
        <f>"49753"</f>
        <v>49753</v>
      </c>
      <c r="E14188">
        <v>72.41</v>
      </c>
    </row>
    <row r="14189" spans="1:5" x14ac:dyDescent="0.2">
      <c r="A14189">
        <v>49755</v>
      </c>
      <c r="B14189" t="s">
        <v>28</v>
      </c>
      <c r="C14189">
        <v>49755</v>
      </c>
      <c r="D14189" t="str">
        <f>"49755"</f>
        <v>49755</v>
      </c>
      <c r="E14189">
        <v>68.819999999999993</v>
      </c>
    </row>
    <row r="14190" spans="1:5" x14ac:dyDescent="0.2">
      <c r="A14190">
        <v>49756</v>
      </c>
      <c r="B14190" t="s">
        <v>28</v>
      </c>
      <c r="C14190">
        <v>49756</v>
      </c>
      <c r="D14190" t="str">
        <f>"49756"</f>
        <v>49756</v>
      </c>
      <c r="E14190">
        <v>66.3</v>
      </c>
    </row>
    <row r="14191" spans="1:5" x14ac:dyDescent="0.2">
      <c r="A14191">
        <v>49757</v>
      </c>
      <c r="B14191" t="s">
        <v>28</v>
      </c>
      <c r="C14191">
        <v>49757</v>
      </c>
      <c r="D14191" t="str">
        <f>"49757"</f>
        <v>49757</v>
      </c>
      <c r="E14191" t="s">
        <v>6</v>
      </c>
    </row>
    <row r="14192" spans="1:5" x14ac:dyDescent="0.2">
      <c r="A14192">
        <v>49759</v>
      </c>
      <c r="B14192" t="s">
        <v>28</v>
      </c>
      <c r="C14192">
        <v>49759</v>
      </c>
      <c r="D14192" t="str">
        <f>"49759"</f>
        <v>49759</v>
      </c>
      <c r="E14192">
        <v>66.67</v>
      </c>
    </row>
    <row r="14193" spans="1:5" x14ac:dyDescent="0.2">
      <c r="A14193">
        <v>49760</v>
      </c>
      <c r="B14193" t="s">
        <v>28</v>
      </c>
      <c r="C14193">
        <v>49760</v>
      </c>
      <c r="D14193" t="str">
        <f>"49760"</f>
        <v>49760</v>
      </c>
      <c r="E14193">
        <v>69.7</v>
      </c>
    </row>
    <row r="14194" spans="1:5" x14ac:dyDescent="0.2">
      <c r="A14194">
        <v>49762</v>
      </c>
      <c r="B14194" t="s">
        <v>28</v>
      </c>
      <c r="C14194">
        <v>49762</v>
      </c>
      <c r="D14194" t="str">
        <f>"49762"</f>
        <v>49762</v>
      </c>
      <c r="E14194">
        <v>66.67</v>
      </c>
    </row>
    <row r="14195" spans="1:5" x14ac:dyDescent="0.2">
      <c r="A14195">
        <v>49765</v>
      </c>
      <c r="B14195" t="s">
        <v>28</v>
      </c>
      <c r="C14195">
        <v>49765</v>
      </c>
      <c r="D14195" t="str">
        <f>"49765"</f>
        <v>49765</v>
      </c>
      <c r="E14195">
        <v>65.52</v>
      </c>
    </row>
    <row r="14196" spans="1:5" x14ac:dyDescent="0.2">
      <c r="A14196">
        <v>49766</v>
      </c>
      <c r="B14196" t="s">
        <v>28</v>
      </c>
      <c r="C14196">
        <v>49766</v>
      </c>
      <c r="D14196" t="str">
        <f>"49766"</f>
        <v>49766</v>
      </c>
      <c r="E14196">
        <v>69.37</v>
      </c>
    </row>
    <row r="14197" spans="1:5" x14ac:dyDescent="0.2">
      <c r="A14197">
        <v>49768</v>
      </c>
      <c r="B14197" t="s">
        <v>28</v>
      </c>
      <c r="C14197">
        <v>49768</v>
      </c>
      <c r="D14197" t="str">
        <f>"49768"</f>
        <v>49768</v>
      </c>
      <c r="E14197">
        <v>65</v>
      </c>
    </row>
    <row r="14198" spans="1:5" x14ac:dyDescent="0.2">
      <c r="A14198">
        <v>49769</v>
      </c>
      <c r="B14198" t="s">
        <v>28</v>
      </c>
      <c r="C14198">
        <v>49769</v>
      </c>
      <c r="D14198" t="str">
        <f>"49769"</f>
        <v>49769</v>
      </c>
      <c r="E14198">
        <v>64.56</v>
      </c>
    </row>
    <row r="14199" spans="1:5" x14ac:dyDescent="0.2">
      <c r="A14199">
        <v>49770</v>
      </c>
      <c r="B14199" t="s">
        <v>28</v>
      </c>
      <c r="C14199">
        <v>49770</v>
      </c>
      <c r="D14199" t="str">
        <f>"49770"</f>
        <v>49770</v>
      </c>
      <c r="E14199">
        <v>72.88</v>
      </c>
    </row>
    <row r="14200" spans="1:5" x14ac:dyDescent="0.2">
      <c r="A14200">
        <v>49774</v>
      </c>
      <c r="B14200" t="s">
        <v>28</v>
      </c>
      <c r="C14200">
        <v>49774</v>
      </c>
      <c r="D14200" t="str">
        <f>"49774"</f>
        <v>49774</v>
      </c>
      <c r="E14200">
        <v>70.790000000000006</v>
      </c>
    </row>
    <row r="14201" spans="1:5" x14ac:dyDescent="0.2">
      <c r="A14201">
        <v>49775</v>
      </c>
      <c r="B14201" t="s">
        <v>28</v>
      </c>
      <c r="C14201">
        <v>49775</v>
      </c>
      <c r="D14201" t="str">
        <f>"49775"</f>
        <v>49775</v>
      </c>
      <c r="E14201" t="s">
        <v>6</v>
      </c>
    </row>
    <row r="14202" spans="1:5" x14ac:dyDescent="0.2">
      <c r="A14202">
        <v>49776</v>
      </c>
      <c r="B14202" t="s">
        <v>28</v>
      </c>
      <c r="C14202">
        <v>49776</v>
      </c>
      <c r="D14202" t="str">
        <f>"49776"</f>
        <v>49776</v>
      </c>
      <c r="E14202">
        <v>65.849999999999994</v>
      </c>
    </row>
    <row r="14203" spans="1:5" x14ac:dyDescent="0.2">
      <c r="A14203">
        <v>49777</v>
      </c>
      <c r="B14203" t="s">
        <v>28</v>
      </c>
      <c r="C14203">
        <v>49777</v>
      </c>
      <c r="D14203" t="str">
        <f>"49777"</f>
        <v>49777</v>
      </c>
      <c r="E14203">
        <v>76.14</v>
      </c>
    </row>
    <row r="14204" spans="1:5" x14ac:dyDescent="0.2">
      <c r="A14204">
        <v>49779</v>
      </c>
      <c r="B14204" t="s">
        <v>28</v>
      </c>
      <c r="C14204">
        <v>49779</v>
      </c>
      <c r="D14204" t="str">
        <f>"49779"</f>
        <v>49779</v>
      </c>
      <c r="E14204">
        <v>66.209999999999994</v>
      </c>
    </row>
    <row r="14205" spans="1:5" x14ac:dyDescent="0.2">
      <c r="A14205">
        <v>49780</v>
      </c>
      <c r="B14205" t="s">
        <v>28</v>
      </c>
      <c r="C14205">
        <v>49780</v>
      </c>
      <c r="D14205" t="str">
        <f>"49780"</f>
        <v>49780</v>
      </c>
      <c r="E14205">
        <v>70.89</v>
      </c>
    </row>
    <row r="14206" spans="1:5" x14ac:dyDescent="0.2">
      <c r="A14206">
        <v>49781</v>
      </c>
      <c r="B14206" t="s">
        <v>28</v>
      </c>
      <c r="C14206">
        <v>49781</v>
      </c>
      <c r="D14206" t="str">
        <f>"49781"</f>
        <v>49781</v>
      </c>
      <c r="E14206">
        <v>68</v>
      </c>
    </row>
    <row r="14207" spans="1:5" x14ac:dyDescent="0.2">
      <c r="A14207">
        <v>49782</v>
      </c>
      <c r="B14207" t="s">
        <v>28</v>
      </c>
      <c r="C14207">
        <v>49782</v>
      </c>
      <c r="D14207" t="str">
        <f>"49782"</f>
        <v>49782</v>
      </c>
      <c r="E14207">
        <v>64.709999999999994</v>
      </c>
    </row>
    <row r="14208" spans="1:5" x14ac:dyDescent="0.2">
      <c r="A14208">
        <v>49783</v>
      </c>
      <c r="B14208" t="s">
        <v>28</v>
      </c>
      <c r="C14208">
        <v>49783</v>
      </c>
      <c r="D14208" t="str">
        <f>"49783"</f>
        <v>49783</v>
      </c>
      <c r="E14208">
        <v>69.069999999999993</v>
      </c>
    </row>
    <row r="14209" spans="1:5" x14ac:dyDescent="0.2">
      <c r="A14209">
        <v>49784</v>
      </c>
      <c r="B14209" t="s">
        <v>28</v>
      </c>
      <c r="C14209">
        <v>49784</v>
      </c>
      <c r="D14209" t="str">
        <f>"49784"</f>
        <v>49784</v>
      </c>
      <c r="E14209" t="s">
        <v>6</v>
      </c>
    </row>
    <row r="14210" spans="1:5" x14ac:dyDescent="0.2">
      <c r="A14210">
        <v>49788</v>
      </c>
      <c r="B14210" t="s">
        <v>28</v>
      </c>
      <c r="C14210">
        <v>49788</v>
      </c>
      <c r="D14210" t="str">
        <f>"49788"</f>
        <v>49788</v>
      </c>
      <c r="E14210">
        <v>53.47</v>
      </c>
    </row>
    <row r="14211" spans="1:5" x14ac:dyDescent="0.2">
      <c r="A14211">
        <v>49791</v>
      </c>
      <c r="B14211" t="s">
        <v>28</v>
      </c>
      <c r="C14211">
        <v>49791</v>
      </c>
      <c r="D14211" t="str">
        <f>"49791"</f>
        <v>49791</v>
      </c>
      <c r="E14211" t="s">
        <v>6</v>
      </c>
    </row>
    <row r="14212" spans="1:5" x14ac:dyDescent="0.2">
      <c r="A14212">
        <v>49793</v>
      </c>
      <c r="B14212" t="s">
        <v>28</v>
      </c>
      <c r="C14212">
        <v>49793</v>
      </c>
      <c r="D14212" t="str">
        <f>"49793"</f>
        <v>49793</v>
      </c>
      <c r="E14212" t="s">
        <v>6</v>
      </c>
    </row>
    <row r="14213" spans="1:5" x14ac:dyDescent="0.2">
      <c r="A14213">
        <v>49795</v>
      </c>
      <c r="B14213" t="s">
        <v>28</v>
      </c>
      <c r="C14213">
        <v>49795</v>
      </c>
      <c r="D14213" t="str">
        <f>"49795"</f>
        <v>49795</v>
      </c>
      <c r="E14213">
        <v>63.44</v>
      </c>
    </row>
    <row r="14214" spans="1:5" x14ac:dyDescent="0.2">
      <c r="A14214">
        <v>49796</v>
      </c>
      <c r="B14214" t="s">
        <v>28</v>
      </c>
      <c r="C14214">
        <v>49796</v>
      </c>
      <c r="D14214" t="str">
        <f>"49796"</f>
        <v>49796</v>
      </c>
      <c r="E14214" t="s">
        <v>6</v>
      </c>
    </row>
    <row r="14215" spans="1:5" x14ac:dyDescent="0.2">
      <c r="A14215">
        <v>49799</v>
      </c>
      <c r="B14215" t="s">
        <v>28</v>
      </c>
      <c r="C14215">
        <v>49799</v>
      </c>
      <c r="D14215" t="str">
        <f>"49799"</f>
        <v>49799</v>
      </c>
      <c r="E14215">
        <v>60.19</v>
      </c>
    </row>
    <row r="14216" spans="1:5" x14ac:dyDescent="0.2">
      <c r="A14216">
        <v>49801</v>
      </c>
      <c r="B14216" t="s">
        <v>28</v>
      </c>
      <c r="C14216">
        <v>49801</v>
      </c>
      <c r="D14216" t="str">
        <f>"49801"</f>
        <v>49801</v>
      </c>
      <c r="E14216">
        <v>71.66</v>
      </c>
    </row>
    <row r="14217" spans="1:5" x14ac:dyDescent="0.2">
      <c r="A14217">
        <v>49802</v>
      </c>
      <c r="B14217" t="s">
        <v>28</v>
      </c>
      <c r="C14217">
        <v>49802</v>
      </c>
      <c r="D14217" t="str">
        <f>"49802"</f>
        <v>49802</v>
      </c>
      <c r="E14217">
        <v>69.180000000000007</v>
      </c>
    </row>
    <row r="14218" spans="1:5" x14ac:dyDescent="0.2">
      <c r="A14218">
        <v>49805</v>
      </c>
      <c r="B14218" t="s">
        <v>28</v>
      </c>
      <c r="C14218">
        <v>49805</v>
      </c>
      <c r="D14218" t="str">
        <f>"49805"</f>
        <v>49805</v>
      </c>
      <c r="E14218">
        <v>68.75</v>
      </c>
    </row>
    <row r="14219" spans="1:5" x14ac:dyDescent="0.2">
      <c r="A14219">
        <v>49806</v>
      </c>
      <c r="B14219" t="s">
        <v>28</v>
      </c>
      <c r="C14219">
        <v>49806</v>
      </c>
      <c r="D14219" t="str">
        <f>"49806"</f>
        <v>49806</v>
      </c>
      <c r="E14219">
        <v>76.92</v>
      </c>
    </row>
    <row r="14220" spans="1:5" x14ac:dyDescent="0.2">
      <c r="A14220">
        <v>49807</v>
      </c>
      <c r="B14220" t="s">
        <v>28</v>
      </c>
      <c r="C14220">
        <v>49807</v>
      </c>
      <c r="D14220" t="str">
        <f>"49807"</f>
        <v>49807</v>
      </c>
      <c r="E14220">
        <v>71.03</v>
      </c>
    </row>
    <row r="14221" spans="1:5" x14ac:dyDescent="0.2">
      <c r="A14221">
        <v>49808</v>
      </c>
      <c r="B14221" t="s">
        <v>28</v>
      </c>
      <c r="C14221">
        <v>49808</v>
      </c>
      <c r="D14221" t="str">
        <f>"49808"</f>
        <v>49808</v>
      </c>
      <c r="E14221" t="s">
        <v>6</v>
      </c>
    </row>
    <row r="14222" spans="1:5" x14ac:dyDescent="0.2">
      <c r="A14222">
        <v>49812</v>
      </c>
      <c r="B14222" t="s">
        <v>28</v>
      </c>
      <c r="C14222">
        <v>49812</v>
      </c>
      <c r="D14222" t="str">
        <f>"49812"</f>
        <v>49812</v>
      </c>
      <c r="E14222">
        <v>70.45</v>
      </c>
    </row>
    <row r="14223" spans="1:5" x14ac:dyDescent="0.2">
      <c r="A14223">
        <v>49814</v>
      </c>
      <c r="B14223" t="s">
        <v>28</v>
      </c>
      <c r="C14223">
        <v>49814</v>
      </c>
      <c r="D14223" t="str">
        <f>"49814"</f>
        <v>49814</v>
      </c>
      <c r="E14223">
        <v>77.59</v>
      </c>
    </row>
    <row r="14224" spans="1:5" x14ac:dyDescent="0.2">
      <c r="A14224">
        <v>49815</v>
      </c>
      <c r="B14224" t="s">
        <v>28</v>
      </c>
      <c r="C14224">
        <v>49815</v>
      </c>
      <c r="D14224" t="str">
        <f>"49815"</f>
        <v>49815</v>
      </c>
      <c r="E14224">
        <v>71.430000000000007</v>
      </c>
    </row>
    <row r="14225" spans="1:5" x14ac:dyDescent="0.2">
      <c r="A14225">
        <v>49816</v>
      </c>
      <c r="B14225" t="s">
        <v>28</v>
      </c>
      <c r="C14225">
        <v>49816</v>
      </c>
      <c r="D14225" t="str">
        <f>"49816"</f>
        <v>49816</v>
      </c>
      <c r="E14225">
        <v>72.73</v>
      </c>
    </row>
    <row r="14226" spans="1:5" x14ac:dyDescent="0.2">
      <c r="A14226">
        <v>49817</v>
      </c>
      <c r="B14226" t="s">
        <v>28</v>
      </c>
      <c r="C14226">
        <v>49817</v>
      </c>
      <c r="D14226" t="str">
        <f>"49817"</f>
        <v>49817</v>
      </c>
      <c r="E14226">
        <v>73.08</v>
      </c>
    </row>
    <row r="14227" spans="1:5" x14ac:dyDescent="0.2">
      <c r="A14227">
        <v>49818</v>
      </c>
      <c r="B14227" t="s">
        <v>28</v>
      </c>
      <c r="C14227">
        <v>49818</v>
      </c>
      <c r="D14227" t="str">
        <f>"49818"</f>
        <v>49818</v>
      </c>
      <c r="E14227">
        <v>74.42</v>
      </c>
    </row>
    <row r="14228" spans="1:5" x14ac:dyDescent="0.2">
      <c r="A14228">
        <v>49819</v>
      </c>
      <c r="B14228" t="s">
        <v>28</v>
      </c>
      <c r="C14228">
        <v>49819</v>
      </c>
      <c r="D14228" t="str">
        <f>"49819"</f>
        <v>49819</v>
      </c>
      <c r="E14228" t="s">
        <v>6</v>
      </c>
    </row>
    <row r="14229" spans="1:5" x14ac:dyDescent="0.2">
      <c r="A14229">
        <v>49820</v>
      </c>
      <c r="B14229" t="s">
        <v>28</v>
      </c>
      <c r="C14229">
        <v>49820</v>
      </c>
      <c r="D14229" t="str">
        <f>"49820"</f>
        <v>49820</v>
      </c>
      <c r="E14229">
        <v>68</v>
      </c>
    </row>
    <row r="14230" spans="1:5" x14ac:dyDescent="0.2">
      <c r="A14230">
        <v>49821</v>
      </c>
      <c r="B14230" t="s">
        <v>28</v>
      </c>
      <c r="C14230">
        <v>49821</v>
      </c>
      <c r="D14230" t="str">
        <f>"49821"</f>
        <v>49821</v>
      </c>
      <c r="E14230">
        <v>69.09</v>
      </c>
    </row>
    <row r="14231" spans="1:5" x14ac:dyDescent="0.2">
      <c r="A14231">
        <v>49822</v>
      </c>
      <c r="B14231" t="s">
        <v>28</v>
      </c>
      <c r="C14231">
        <v>49822</v>
      </c>
      <c r="D14231" t="str">
        <f>"49822"</f>
        <v>49822</v>
      </c>
      <c r="E14231" t="s">
        <v>6</v>
      </c>
    </row>
    <row r="14232" spans="1:5" x14ac:dyDescent="0.2">
      <c r="A14232">
        <v>49825</v>
      </c>
      <c r="B14232" t="s">
        <v>28</v>
      </c>
      <c r="C14232">
        <v>49825</v>
      </c>
      <c r="D14232" t="str">
        <f>"49825"</f>
        <v>49825</v>
      </c>
      <c r="E14232" t="s">
        <v>6</v>
      </c>
    </row>
    <row r="14233" spans="1:5" x14ac:dyDescent="0.2">
      <c r="A14233">
        <v>49827</v>
      </c>
      <c r="B14233" t="s">
        <v>28</v>
      </c>
      <c r="C14233">
        <v>49827</v>
      </c>
      <c r="D14233" t="str">
        <f>"49827"</f>
        <v>49827</v>
      </c>
      <c r="E14233">
        <v>61.9</v>
      </c>
    </row>
    <row r="14234" spans="1:5" x14ac:dyDescent="0.2">
      <c r="A14234">
        <v>49829</v>
      </c>
      <c r="B14234" t="s">
        <v>28</v>
      </c>
      <c r="C14234">
        <v>49829</v>
      </c>
      <c r="D14234" t="str">
        <f>"49829"</f>
        <v>49829</v>
      </c>
      <c r="E14234">
        <v>67.34</v>
      </c>
    </row>
    <row r="14235" spans="1:5" x14ac:dyDescent="0.2">
      <c r="A14235">
        <v>49831</v>
      </c>
      <c r="B14235" t="s">
        <v>28</v>
      </c>
      <c r="C14235">
        <v>49831</v>
      </c>
      <c r="D14235" t="str">
        <f>"49831"</f>
        <v>49831</v>
      </c>
      <c r="E14235">
        <v>80</v>
      </c>
    </row>
    <row r="14236" spans="1:5" x14ac:dyDescent="0.2">
      <c r="A14236">
        <v>49833</v>
      </c>
      <c r="B14236" t="s">
        <v>28</v>
      </c>
      <c r="C14236">
        <v>49833</v>
      </c>
      <c r="D14236" t="str">
        <f>"49833"</f>
        <v>49833</v>
      </c>
      <c r="E14236" t="s">
        <v>6</v>
      </c>
    </row>
    <row r="14237" spans="1:5" x14ac:dyDescent="0.2">
      <c r="A14237">
        <v>49834</v>
      </c>
      <c r="B14237" t="s">
        <v>28</v>
      </c>
      <c r="C14237">
        <v>49834</v>
      </c>
      <c r="D14237" t="str">
        <f>"49834"</f>
        <v>49834</v>
      </c>
      <c r="E14237">
        <v>72.22</v>
      </c>
    </row>
    <row r="14238" spans="1:5" x14ac:dyDescent="0.2">
      <c r="A14238">
        <v>49835</v>
      </c>
      <c r="B14238" t="s">
        <v>28</v>
      </c>
      <c r="C14238">
        <v>49835</v>
      </c>
      <c r="D14238" t="str">
        <f>"49835"</f>
        <v>49835</v>
      </c>
      <c r="E14238">
        <v>63.41</v>
      </c>
    </row>
    <row r="14239" spans="1:5" x14ac:dyDescent="0.2">
      <c r="A14239">
        <v>49836</v>
      </c>
      <c r="B14239" t="s">
        <v>28</v>
      </c>
      <c r="C14239">
        <v>49836</v>
      </c>
      <c r="D14239" t="str">
        <f>"49836"</f>
        <v>49836</v>
      </c>
      <c r="E14239">
        <v>64.709999999999994</v>
      </c>
    </row>
    <row r="14240" spans="1:5" x14ac:dyDescent="0.2">
      <c r="A14240">
        <v>49837</v>
      </c>
      <c r="B14240" t="s">
        <v>28</v>
      </c>
      <c r="C14240">
        <v>49837</v>
      </c>
      <c r="D14240" t="str">
        <f>"49837"</f>
        <v>49837</v>
      </c>
      <c r="E14240">
        <v>73.260000000000005</v>
      </c>
    </row>
    <row r="14241" spans="1:5" x14ac:dyDescent="0.2">
      <c r="A14241">
        <v>49838</v>
      </c>
      <c r="B14241" t="s">
        <v>28</v>
      </c>
      <c r="C14241">
        <v>49838</v>
      </c>
      <c r="D14241" t="str">
        <f>"49838"</f>
        <v>49838</v>
      </c>
      <c r="E14241">
        <v>57.89</v>
      </c>
    </row>
    <row r="14242" spans="1:5" x14ac:dyDescent="0.2">
      <c r="A14242">
        <v>49839</v>
      </c>
      <c r="B14242" t="s">
        <v>28</v>
      </c>
      <c r="C14242">
        <v>49839</v>
      </c>
      <c r="D14242" t="str">
        <f>"49839"</f>
        <v>49839</v>
      </c>
      <c r="E14242" t="s">
        <v>6</v>
      </c>
    </row>
    <row r="14243" spans="1:5" x14ac:dyDescent="0.2">
      <c r="A14243">
        <v>49840</v>
      </c>
      <c r="B14243" t="s">
        <v>28</v>
      </c>
      <c r="C14243">
        <v>49840</v>
      </c>
      <c r="D14243" t="str">
        <f>"49840"</f>
        <v>49840</v>
      </c>
      <c r="E14243">
        <v>73.53</v>
      </c>
    </row>
    <row r="14244" spans="1:5" x14ac:dyDescent="0.2">
      <c r="A14244">
        <v>49841</v>
      </c>
      <c r="B14244" t="s">
        <v>28</v>
      </c>
      <c r="C14244">
        <v>49841</v>
      </c>
      <c r="D14244" t="str">
        <f>"49841"</f>
        <v>49841</v>
      </c>
      <c r="E14244">
        <v>66.67</v>
      </c>
    </row>
    <row r="14245" spans="1:5" x14ac:dyDescent="0.2">
      <c r="A14245">
        <v>49847</v>
      </c>
      <c r="B14245" t="s">
        <v>28</v>
      </c>
      <c r="C14245">
        <v>49847</v>
      </c>
      <c r="D14245" t="str">
        <f>"49847"</f>
        <v>49847</v>
      </c>
      <c r="E14245">
        <v>69.39</v>
      </c>
    </row>
    <row r="14246" spans="1:5" x14ac:dyDescent="0.2">
      <c r="A14246">
        <v>49848</v>
      </c>
      <c r="B14246" t="s">
        <v>28</v>
      </c>
      <c r="C14246">
        <v>49848</v>
      </c>
      <c r="D14246" t="str">
        <f>"49848"</f>
        <v>49848</v>
      </c>
      <c r="E14246" t="s">
        <v>6</v>
      </c>
    </row>
    <row r="14247" spans="1:5" x14ac:dyDescent="0.2">
      <c r="A14247">
        <v>49849</v>
      </c>
      <c r="B14247" t="s">
        <v>28</v>
      </c>
      <c r="C14247">
        <v>49849</v>
      </c>
      <c r="D14247" t="str">
        <f>"49849"</f>
        <v>49849</v>
      </c>
      <c r="E14247">
        <v>73.53</v>
      </c>
    </row>
    <row r="14248" spans="1:5" x14ac:dyDescent="0.2">
      <c r="A14248">
        <v>49852</v>
      </c>
      <c r="B14248" t="s">
        <v>28</v>
      </c>
      <c r="C14248">
        <v>49852</v>
      </c>
      <c r="D14248" t="str">
        <f>"49852"</f>
        <v>49852</v>
      </c>
      <c r="E14248" t="s">
        <v>6</v>
      </c>
    </row>
    <row r="14249" spans="1:5" x14ac:dyDescent="0.2">
      <c r="A14249">
        <v>49853</v>
      </c>
      <c r="B14249" t="s">
        <v>28</v>
      </c>
      <c r="C14249">
        <v>49853</v>
      </c>
      <c r="D14249" t="str">
        <f>"49853"</f>
        <v>49853</v>
      </c>
      <c r="E14249">
        <v>71.430000000000007</v>
      </c>
    </row>
    <row r="14250" spans="1:5" x14ac:dyDescent="0.2">
      <c r="A14250">
        <v>49854</v>
      </c>
      <c r="B14250" t="s">
        <v>28</v>
      </c>
      <c r="C14250">
        <v>49854</v>
      </c>
      <c r="D14250" t="str">
        <f>"49854"</f>
        <v>49854</v>
      </c>
      <c r="E14250">
        <v>70.209999999999994</v>
      </c>
    </row>
    <row r="14251" spans="1:5" x14ac:dyDescent="0.2">
      <c r="A14251">
        <v>49855</v>
      </c>
      <c r="B14251" t="s">
        <v>28</v>
      </c>
      <c r="C14251">
        <v>49855</v>
      </c>
      <c r="D14251" t="str">
        <f>"49855"</f>
        <v>49855</v>
      </c>
      <c r="E14251">
        <v>74.92</v>
      </c>
    </row>
    <row r="14252" spans="1:5" x14ac:dyDescent="0.2">
      <c r="A14252">
        <v>49858</v>
      </c>
      <c r="B14252" t="s">
        <v>28</v>
      </c>
      <c r="C14252">
        <v>49858</v>
      </c>
      <c r="D14252" t="str">
        <f>"49858"</f>
        <v>49858</v>
      </c>
      <c r="E14252">
        <v>71.97</v>
      </c>
    </row>
    <row r="14253" spans="1:5" x14ac:dyDescent="0.2">
      <c r="A14253">
        <v>49861</v>
      </c>
      <c r="B14253" t="s">
        <v>28</v>
      </c>
      <c r="C14253">
        <v>49861</v>
      </c>
      <c r="D14253" t="str">
        <f>"49861"</f>
        <v>49861</v>
      </c>
      <c r="E14253">
        <v>80.77</v>
      </c>
    </row>
    <row r="14254" spans="1:5" x14ac:dyDescent="0.2">
      <c r="A14254">
        <v>49862</v>
      </c>
      <c r="B14254" t="s">
        <v>28</v>
      </c>
      <c r="C14254">
        <v>49862</v>
      </c>
      <c r="D14254" t="str">
        <f>"49862"</f>
        <v>49862</v>
      </c>
      <c r="E14254">
        <v>70.349999999999994</v>
      </c>
    </row>
    <row r="14255" spans="1:5" x14ac:dyDescent="0.2">
      <c r="A14255">
        <v>49863</v>
      </c>
      <c r="B14255" t="s">
        <v>28</v>
      </c>
      <c r="C14255">
        <v>49863</v>
      </c>
      <c r="D14255" t="str">
        <f>"49863"</f>
        <v>49863</v>
      </c>
      <c r="E14255" t="s">
        <v>6</v>
      </c>
    </row>
    <row r="14256" spans="1:5" x14ac:dyDescent="0.2">
      <c r="A14256">
        <v>49864</v>
      </c>
      <c r="B14256" t="s">
        <v>28</v>
      </c>
      <c r="C14256">
        <v>49864</v>
      </c>
      <c r="D14256" t="str">
        <f>"49864"</f>
        <v>49864</v>
      </c>
      <c r="E14256" t="s">
        <v>6</v>
      </c>
    </row>
    <row r="14257" spans="1:5" x14ac:dyDescent="0.2">
      <c r="A14257">
        <v>49866</v>
      </c>
      <c r="B14257" t="s">
        <v>28</v>
      </c>
      <c r="C14257">
        <v>49866</v>
      </c>
      <c r="D14257" t="str">
        <f>"49866"</f>
        <v>49866</v>
      </c>
      <c r="E14257">
        <v>77.72</v>
      </c>
    </row>
    <row r="14258" spans="1:5" x14ac:dyDescent="0.2">
      <c r="A14258">
        <v>49868</v>
      </c>
      <c r="B14258" t="s">
        <v>28</v>
      </c>
      <c r="C14258">
        <v>49868</v>
      </c>
      <c r="D14258" t="str">
        <f>"49868"</f>
        <v>49868</v>
      </c>
      <c r="E14258">
        <v>66.5</v>
      </c>
    </row>
    <row r="14259" spans="1:5" x14ac:dyDescent="0.2">
      <c r="A14259">
        <v>49870</v>
      </c>
      <c r="B14259" t="s">
        <v>28</v>
      </c>
      <c r="C14259">
        <v>49870</v>
      </c>
      <c r="D14259" t="str">
        <f>"49870"</f>
        <v>49870</v>
      </c>
      <c r="E14259">
        <v>68.94</v>
      </c>
    </row>
    <row r="14260" spans="1:5" x14ac:dyDescent="0.2">
      <c r="A14260">
        <v>49871</v>
      </c>
      <c r="B14260" t="s">
        <v>28</v>
      </c>
      <c r="C14260">
        <v>49871</v>
      </c>
      <c r="D14260" t="str">
        <f>"49871"</f>
        <v>49871</v>
      </c>
      <c r="E14260" t="s">
        <v>6</v>
      </c>
    </row>
    <row r="14261" spans="1:5" x14ac:dyDescent="0.2">
      <c r="A14261">
        <v>49872</v>
      </c>
      <c r="B14261" t="s">
        <v>28</v>
      </c>
      <c r="C14261">
        <v>49872</v>
      </c>
      <c r="D14261" t="str">
        <f>"49872"</f>
        <v>49872</v>
      </c>
      <c r="E14261" t="s">
        <v>6</v>
      </c>
    </row>
    <row r="14262" spans="1:5" x14ac:dyDescent="0.2">
      <c r="A14262">
        <v>49873</v>
      </c>
      <c r="B14262" t="s">
        <v>28</v>
      </c>
      <c r="C14262">
        <v>49873</v>
      </c>
      <c r="D14262" t="str">
        <f>"49873"</f>
        <v>49873</v>
      </c>
      <c r="E14262" t="s">
        <v>6</v>
      </c>
    </row>
    <row r="14263" spans="1:5" x14ac:dyDescent="0.2">
      <c r="A14263">
        <v>49874</v>
      </c>
      <c r="B14263" t="s">
        <v>28</v>
      </c>
      <c r="C14263">
        <v>49874</v>
      </c>
      <c r="D14263" t="str">
        <f>"49874"</f>
        <v>49874</v>
      </c>
      <c r="E14263">
        <v>72.73</v>
      </c>
    </row>
    <row r="14264" spans="1:5" x14ac:dyDescent="0.2">
      <c r="A14264">
        <v>49876</v>
      </c>
      <c r="B14264" t="s">
        <v>28</v>
      </c>
      <c r="C14264">
        <v>49876</v>
      </c>
      <c r="D14264" t="str">
        <f>"49876"</f>
        <v>49876</v>
      </c>
      <c r="E14264">
        <v>76.36</v>
      </c>
    </row>
    <row r="14265" spans="1:5" x14ac:dyDescent="0.2">
      <c r="A14265">
        <v>49877</v>
      </c>
      <c r="B14265" t="s">
        <v>28</v>
      </c>
      <c r="C14265">
        <v>49877</v>
      </c>
      <c r="D14265" t="str">
        <f>"49877"</f>
        <v>49877</v>
      </c>
      <c r="E14265" t="s">
        <v>6</v>
      </c>
    </row>
    <row r="14266" spans="1:5" x14ac:dyDescent="0.2">
      <c r="A14266">
        <v>49878</v>
      </c>
      <c r="B14266" t="s">
        <v>28</v>
      </c>
      <c r="C14266">
        <v>49878</v>
      </c>
      <c r="D14266" t="str">
        <f>"49878"</f>
        <v>49878</v>
      </c>
      <c r="E14266">
        <v>73.17</v>
      </c>
    </row>
    <row r="14267" spans="1:5" x14ac:dyDescent="0.2">
      <c r="A14267">
        <v>49879</v>
      </c>
      <c r="B14267" t="s">
        <v>28</v>
      </c>
      <c r="C14267">
        <v>49879</v>
      </c>
      <c r="D14267" t="str">
        <f>"49879"</f>
        <v>49879</v>
      </c>
      <c r="E14267">
        <v>71.11</v>
      </c>
    </row>
    <row r="14268" spans="1:5" x14ac:dyDescent="0.2">
      <c r="A14268">
        <v>49880</v>
      </c>
      <c r="B14268" t="s">
        <v>28</v>
      </c>
      <c r="C14268">
        <v>49880</v>
      </c>
      <c r="D14268" t="str">
        <f>"49880"</f>
        <v>49880</v>
      </c>
      <c r="E14268">
        <v>72.92</v>
      </c>
    </row>
    <row r="14269" spans="1:5" x14ac:dyDescent="0.2">
      <c r="A14269">
        <v>49881</v>
      </c>
      <c r="B14269" t="s">
        <v>28</v>
      </c>
      <c r="C14269">
        <v>49881</v>
      </c>
      <c r="D14269" t="str">
        <f>"49881"</f>
        <v>49881</v>
      </c>
      <c r="E14269">
        <v>70.59</v>
      </c>
    </row>
    <row r="14270" spans="1:5" x14ac:dyDescent="0.2">
      <c r="A14270">
        <v>49883</v>
      </c>
      <c r="B14270" t="s">
        <v>28</v>
      </c>
      <c r="C14270">
        <v>49883</v>
      </c>
      <c r="D14270" t="str">
        <f>"49883"</f>
        <v>49883</v>
      </c>
      <c r="E14270" t="s">
        <v>6</v>
      </c>
    </row>
    <row r="14271" spans="1:5" x14ac:dyDescent="0.2">
      <c r="A14271">
        <v>49884</v>
      </c>
      <c r="B14271" t="s">
        <v>28</v>
      </c>
      <c r="C14271">
        <v>49884</v>
      </c>
      <c r="D14271" t="str">
        <f>"49884"</f>
        <v>49884</v>
      </c>
      <c r="E14271">
        <v>71.430000000000007</v>
      </c>
    </row>
    <row r="14272" spans="1:5" x14ac:dyDescent="0.2">
      <c r="A14272">
        <v>49885</v>
      </c>
      <c r="B14272" t="s">
        <v>28</v>
      </c>
      <c r="C14272">
        <v>49885</v>
      </c>
      <c r="D14272" t="str">
        <f>"49885"</f>
        <v>49885</v>
      </c>
      <c r="E14272">
        <v>75.56</v>
      </c>
    </row>
    <row r="14273" spans="1:5" x14ac:dyDescent="0.2">
      <c r="A14273">
        <v>49886</v>
      </c>
      <c r="B14273" t="s">
        <v>28</v>
      </c>
      <c r="C14273">
        <v>49886</v>
      </c>
      <c r="D14273" t="str">
        <f>"49886"</f>
        <v>49886</v>
      </c>
      <c r="E14273">
        <v>63.16</v>
      </c>
    </row>
    <row r="14274" spans="1:5" x14ac:dyDescent="0.2">
      <c r="A14274">
        <v>49887</v>
      </c>
      <c r="B14274" t="s">
        <v>28</v>
      </c>
      <c r="C14274">
        <v>49887</v>
      </c>
      <c r="D14274" t="str">
        <f>"49887"</f>
        <v>49887</v>
      </c>
      <c r="E14274">
        <v>71.430000000000007</v>
      </c>
    </row>
    <row r="14275" spans="1:5" x14ac:dyDescent="0.2">
      <c r="A14275">
        <v>49891</v>
      </c>
      <c r="B14275" t="s">
        <v>28</v>
      </c>
      <c r="C14275">
        <v>49891</v>
      </c>
      <c r="D14275" t="str">
        <f>"49891"</f>
        <v>49891</v>
      </c>
      <c r="E14275">
        <v>65.63</v>
      </c>
    </row>
    <row r="14276" spans="1:5" x14ac:dyDescent="0.2">
      <c r="A14276">
        <v>49892</v>
      </c>
      <c r="B14276" t="s">
        <v>28</v>
      </c>
      <c r="C14276">
        <v>49892</v>
      </c>
      <c r="D14276" t="str">
        <f>"49892"</f>
        <v>49892</v>
      </c>
      <c r="E14276">
        <v>74.23</v>
      </c>
    </row>
    <row r="14277" spans="1:5" x14ac:dyDescent="0.2">
      <c r="A14277">
        <v>49893</v>
      </c>
      <c r="B14277" t="s">
        <v>28</v>
      </c>
      <c r="C14277">
        <v>49893</v>
      </c>
      <c r="D14277" t="str">
        <f>"49893"</f>
        <v>49893</v>
      </c>
      <c r="E14277">
        <v>74.7</v>
      </c>
    </row>
    <row r="14278" spans="1:5" x14ac:dyDescent="0.2">
      <c r="A14278">
        <v>49894</v>
      </c>
      <c r="B14278" t="s">
        <v>28</v>
      </c>
      <c r="C14278">
        <v>49894</v>
      </c>
      <c r="D14278" t="str">
        <f>"49894"</f>
        <v>49894</v>
      </c>
      <c r="E14278">
        <v>73.680000000000007</v>
      </c>
    </row>
    <row r="14279" spans="1:5" x14ac:dyDescent="0.2">
      <c r="A14279">
        <v>49895</v>
      </c>
      <c r="B14279" t="s">
        <v>28</v>
      </c>
      <c r="C14279">
        <v>49895</v>
      </c>
      <c r="D14279" t="str">
        <f>"49895"</f>
        <v>49895</v>
      </c>
      <c r="E14279">
        <v>68.290000000000006</v>
      </c>
    </row>
    <row r="14280" spans="1:5" x14ac:dyDescent="0.2">
      <c r="A14280">
        <v>49896</v>
      </c>
      <c r="B14280" t="s">
        <v>28</v>
      </c>
      <c r="C14280">
        <v>49896</v>
      </c>
      <c r="D14280" t="str">
        <f>"49896"</f>
        <v>49896</v>
      </c>
      <c r="E14280">
        <v>62.16</v>
      </c>
    </row>
    <row r="14281" spans="1:5" x14ac:dyDescent="0.2">
      <c r="A14281">
        <v>49901</v>
      </c>
      <c r="B14281" t="s">
        <v>28</v>
      </c>
      <c r="C14281">
        <v>49901</v>
      </c>
      <c r="D14281" t="str">
        <f>"49901"</f>
        <v>49901</v>
      </c>
      <c r="E14281" t="s">
        <v>6</v>
      </c>
    </row>
    <row r="14282" spans="1:5" x14ac:dyDescent="0.2">
      <c r="A14282">
        <v>49902</v>
      </c>
      <c r="B14282" t="s">
        <v>28</v>
      </c>
      <c r="C14282">
        <v>49902</v>
      </c>
      <c r="D14282" t="str">
        <f>"49902"</f>
        <v>49902</v>
      </c>
      <c r="E14282" t="s">
        <v>6</v>
      </c>
    </row>
    <row r="14283" spans="1:5" x14ac:dyDescent="0.2">
      <c r="A14283">
        <v>49903</v>
      </c>
      <c r="B14283" t="s">
        <v>28</v>
      </c>
      <c r="C14283">
        <v>49903</v>
      </c>
      <c r="D14283" t="str">
        <f>"49903"</f>
        <v>49903</v>
      </c>
      <c r="E14283" t="s">
        <v>6</v>
      </c>
    </row>
    <row r="14284" spans="1:5" x14ac:dyDescent="0.2">
      <c r="A14284">
        <v>49905</v>
      </c>
      <c r="B14284" t="s">
        <v>28</v>
      </c>
      <c r="C14284">
        <v>49905</v>
      </c>
      <c r="D14284" t="str">
        <f>"49905"</f>
        <v>49905</v>
      </c>
      <c r="E14284">
        <v>68.180000000000007</v>
      </c>
    </row>
    <row r="14285" spans="1:5" x14ac:dyDescent="0.2">
      <c r="A14285">
        <v>49908</v>
      </c>
      <c r="B14285" t="s">
        <v>28</v>
      </c>
      <c r="C14285">
        <v>49908</v>
      </c>
      <c r="D14285" t="str">
        <f>"49908"</f>
        <v>49908</v>
      </c>
      <c r="E14285">
        <v>66.67</v>
      </c>
    </row>
    <row r="14286" spans="1:5" x14ac:dyDescent="0.2">
      <c r="A14286">
        <v>49910</v>
      </c>
      <c r="B14286" t="s">
        <v>28</v>
      </c>
      <c r="C14286">
        <v>49910</v>
      </c>
      <c r="D14286" t="str">
        <f>"49910"</f>
        <v>49910</v>
      </c>
      <c r="E14286">
        <v>70.59</v>
      </c>
    </row>
    <row r="14287" spans="1:5" x14ac:dyDescent="0.2">
      <c r="A14287">
        <v>49911</v>
      </c>
      <c r="B14287" t="s">
        <v>28</v>
      </c>
      <c r="C14287">
        <v>49911</v>
      </c>
      <c r="D14287" t="str">
        <f>"49911"</f>
        <v>49911</v>
      </c>
      <c r="E14287">
        <v>69.11</v>
      </c>
    </row>
    <row r="14288" spans="1:5" x14ac:dyDescent="0.2">
      <c r="A14288">
        <v>49912</v>
      </c>
      <c r="B14288" t="s">
        <v>28</v>
      </c>
      <c r="C14288">
        <v>49912</v>
      </c>
      <c r="D14288" t="str">
        <f>"49912"</f>
        <v>49912</v>
      </c>
      <c r="E14288">
        <v>72.22</v>
      </c>
    </row>
    <row r="14289" spans="1:5" x14ac:dyDescent="0.2">
      <c r="A14289">
        <v>49913</v>
      </c>
      <c r="B14289" t="s">
        <v>28</v>
      </c>
      <c r="C14289">
        <v>49913</v>
      </c>
      <c r="D14289" t="str">
        <f>"49913"</f>
        <v>49913</v>
      </c>
      <c r="E14289">
        <v>64.17</v>
      </c>
    </row>
    <row r="14290" spans="1:5" x14ac:dyDescent="0.2">
      <c r="A14290">
        <v>49915</v>
      </c>
      <c r="B14290" t="s">
        <v>28</v>
      </c>
      <c r="C14290">
        <v>49915</v>
      </c>
      <c r="D14290" t="str">
        <f>"49915"</f>
        <v>49915</v>
      </c>
      <c r="E14290" t="s">
        <v>6</v>
      </c>
    </row>
    <row r="14291" spans="1:5" x14ac:dyDescent="0.2">
      <c r="A14291">
        <v>49916</v>
      </c>
      <c r="B14291" t="s">
        <v>28</v>
      </c>
      <c r="C14291">
        <v>49916</v>
      </c>
      <c r="D14291" t="str">
        <f>"49916"</f>
        <v>49916</v>
      </c>
      <c r="E14291">
        <v>75.19</v>
      </c>
    </row>
    <row r="14292" spans="1:5" x14ac:dyDescent="0.2">
      <c r="A14292">
        <v>49917</v>
      </c>
      <c r="B14292" t="s">
        <v>28</v>
      </c>
      <c r="C14292">
        <v>49917</v>
      </c>
      <c r="D14292" t="str">
        <f>"49917"</f>
        <v>49917</v>
      </c>
      <c r="E14292" t="s">
        <v>6</v>
      </c>
    </row>
    <row r="14293" spans="1:5" x14ac:dyDescent="0.2">
      <c r="A14293">
        <v>49918</v>
      </c>
      <c r="B14293" t="s">
        <v>28</v>
      </c>
      <c r="C14293">
        <v>49918</v>
      </c>
      <c r="D14293" t="str">
        <f>"49918"</f>
        <v>49918</v>
      </c>
      <c r="E14293" t="s">
        <v>6</v>
      </c>
    </row>
    <row r="14294" spans="1:5" x14ac:dyDescent="0.2">
      <c r="A14294">
        <v>49919</v>
      </c>
      <c r="B14294" t="s">
        <v>28</v>
      </c>
      <c r="C14294">
        <v>49919</v>
      </c>
      <c r="D14294" t="str">
        <f>"49919"</f>
        <v>49919</v>
      </c>
      <c r="E14294" t="s">
        <v>6</v>
      </c>
    </row>
    <row r="14295" spans="1:5" x14ac:dyDescent="0.2">
      <c r="A14295">
        <v>49920</v>
      </c>
      <c r="B14295" t="s">
        <v>28</v>
      </c>
      <c r="C14295">
        <v>49920</v>
      </c>
      <c r="D14295" t="str">
        <f>"49920"</f>
        <v>49920</v>
      </c>
      <c r="E14295">
        <v>70.98</v>
      </c>
    </row>
    <row r="14296" spans="1:5" x14ac:dyDescent="0.2">
      <c r="A14296">
        <v>49921</v>
      </c>
      <c r="B14296" t="s">
        <v>28</v>
      </c>
      <c r="C14296">
        <v>49921</v>
      </c>
      <c r="D14296" t="str">
        <f>"49921"</f>
        <v>49921</v>
      </c>
      <c r="E14296">
        <v>66.67</v>
      </c>
    </row>
    <row r="14297" spans="1:5" x14ac:dyDescent="0.2">
      <c r="A14297">
        <v>49922</v>
      </c>
      <c r="B14297" t="s">
        <v>28</v>
      </c>
      <c r="C14297">
        <v>49922</v>
      </c>
      <c r="D14297" t="str">
        <f>"49922"</f>
        <v>49922</v>
      </c>
      <c r="E14297" t="s">
        <v>6</v>
      </c>
    </row>
    <row r="14298" spans="1:5" x14ac:dyDescent="0.2">
      <c r="A14298">
        <v>49925</v>
      </c>
      <c r="B14298" t="s">
        <v>28</v>
      </c>
      <c r="C14298">
        <v>49925</v>
      </c>
      <c r="D14298" t="str">
        <f>"49925"</f>
        <v>49925</v>
      </c>
      <c r="E14298">
        <v>75</v>
      </c>
    </row>
    <row r="14299" spans="1:5" x14ac:dyDescent="0.2">
      <c r="A14299">
        <v>49927</v>
      </c>
      <c r="B14299" t="s">
        <v>28</v>
      </c>
      <c r="C14299">
        <v>49927</v>
      </c>
      <c r="D14299" t="str">
        <f>"49927"</f>
        <v>49927</v>
      </c>
      <c r="E14299">
        <v>70</v>
      </c>
    </row>
    <row r="14300" spans="1:5" x14ac:dyDescent="0.2">
      <c r="A14300">
        <v>49929</v>
      </c>
      <c r="B14300" t="s">
        <v>28</v>
      </c>
      <c r="C14300">
        <v>49929</v>
      </c>
      <c r="D14300" t="str">
        <f>"49929"</f>
        <v>49929</v>
      </c>
      <c r="E14300" t="s">
        <v>6</v>
      </c>
    </row>
    <row r="14301" spans="1:5" x14ac:dyDescent="0.2">
      <c r="A14301">
        <v>49930</v>
      </c>
      <c r="B14301" t="s">
        <v>28</v>
      </c>
      <c r="C14301">
        <v>49930</v>
      </c>
      <c r="D14301" t="str">
        <f>"49930"</f>
        <v>49930</v>
      </c>
      <c r="E14301">
        <v>70.36</v>
      </c>
    </row>
    <row r="14302" spans="1:5" x14ac:dyDescent="0.2">
      <c r="A14302">
        <v>49931</v>
      </c>
      <c r="B14302" t="s">
        <v>28</v>
      </c>
      <c r="C14302">
        <v>49931</v>
      </c>
      <c r="D14302" t="str">
        <f>"49931"</f>
        <v>49931</v>
      </c>
      <c r="E14302">
        <v>68.77</v>
      </c>
    </row>
    <row r="14303" spans="1:5" x14ac:dyDescent="0.2">
      <c r="A14303">
        <v>49934</v>
      </c>
      <c r="B14303" t="s">
        <v>28</v>
      </c>
      <c r="C14303">
        <v>49934</v>
      </c>
      <c r="D14303" t="str">
        <f>"49934"</f>
        <v>49934</v>
      </c>
      <c r="E14303" t="s">
        <v>6</v>
      </c>
    </row>
    <row r="14304" spans="1:5" x14ac:dyDescent="0.2">
      <c r="A14304">
        <v>49935</v>
      </c>
      <c r="B14304" t="s">
        <v>28</v>
      </c>
      <c r="C14304">
        <v>49935</v>
      </c>
      <c r="D14304" t="str">
        <f>"49935"</f>
        <v>49935</v>
      </c>
      <c r="E14304">
        <v>64.709999999999994</v>
      </c>
    </row>
    <row r="14305" spans="1:5" x14ac:dyDescent="0.2">
      <c r="A14305">
        <v>49938</v>
      </c>
      <c r="B14305" t="s">
        <v>28</v>
      </c>
      <c r="C14305">
        <v>49938</v>
      </c>
      <c r="D14305" t="str">
        <f>"49938"</f>
        <v>49938</v>
      </c>
      <c r="E14305">
        <v>66.67</v>
      </c>
    </row>
    <row r="14306" spans="1:5" x14ac:dyDescent="0.2">
      <c r="A14306">
        <v>49945</v>
      </c>
      <c r="B14306" t="s">
        <v>28</v>
      </c>
      <c r="C14306">
        <v>49945</v>
      </c>
      <c r="D14306" t="str">
        <f>"49945"</f>
        <v>49945</v>
      </c>
      <c r="E14306">
        <v>66.400000000000006</v>
      </c>
    </row>
    <row r="14307" spans="1:5" x14ac:dyDescent="0.2">
      <c r="A14307">
        <v>49946</v>
      </c>
      <c r="B14307" t="s">
        <v>28</v>
      </c>
      <c r="C14307">
        <v>49946</v>
      </c>
      <c r="D14307" t="str">
        <f>"49946"</f>
        <v>49946</v>
      </c>
      <c r="E14307">
        <v>70.69</v>
      </c>
    </row>
    <row r="14308" spans="1:5" x14ac:dyDescent="0.2">
      <c r="A14308">
        <v>49947</v>
      </c>
      <c r="B14308" t="s">
        <v>28</v>
      </c>
      <c r="C14308">
        <v>49947</v>
      </c>
      <c r="D14308" t="str">
        <f>"49947"</f>
        <v>49947</v>
      </c>
      <c r="E14308">
        <v>75.86</v>
      </c>
    </row>
    <row r="14309" spans="1:5" x14ac:dyDescent="0.2">
      <c r="A14309">
        <v>49948</v>
      </c>
      <c r="B14309" t="s">
        <v>28</v>
      </c>
      <c r="C14309">
        <v>49948</v>
      </c>
      <c r="D14309" t="str">
        <f>"49948"</f>
        <v>49948</v>
      </c>
      <c r="E14309">
        <v>65</v>
      </c>
    </row>
    <row r="14310" spans="1:5" x14ac:dyDescent="0.2">
      <c r="A14310">
        <v>49950</v>
      </c>
      <c r="B14310" t="s">
        <v>28</v>
      </c>
      <c r="C14310">
        <v>49950</v>
      </c>
      <c r="D14310" t="str">
        <f>"49950"</f>
        <v>49950</v>
      </c>
      <c r="E14310">
        <v>74.069999999999993</v>
      </c>
    </row>
    <row r="14311" spans="1:5" x14ac:dyDescent="0.2">
      <c r="A14311">
        <v>49952</v>
      </c>
      <c r="B14311" t="s">
        <v>28</v>
      </c>
      <c r="C14311">
        <v>49952</v>
      </c>
      <c r="D14311" t="str">
        <f>"49952"</f>
        <v>49952</v>
      </c>
      <c r="E14311" t="s">
        <v>6</v>
      </c>
    </row>
    <row r="14312" spans="1:5" x14ac:dyDescent="0.2">
      <c r="A14312">
        <v>49953</v>
      </c>
      <c r="B14312" t="s">
        <v>28</v>
      </c>
      <c r="C14312">
        <v>49953</v>
      </c>
      <c r="D14312" t="str">
        <f>"49953"</f>
        <v>49953</v>
      </c>
      <c r="E14312">
        <v>70.09</v>
      </c>
    </row>
    <row r="14313" spans="1:5" x14ac:dyDescent="0.2">
      <c r="A14313">
        <v>49955</v>
      </c>
      <c r="B14313" t="s">
        <v>28</v>
      </c>
      <c r="C14313">
        <v>49955</v>
      </c>
      <c r="D14313" t="str">
        <f>"49955"</f>
        <v>49955</v>
      </c>
      <c r="E14313" t="s">
        <v>6</v>
      </c>
    </row>
    <row r="14314" spans="1:5" x14ac:dyDescent="0.2">
      <c r="A14314">
        <v>49958</v>
      </c>
      <c r="B14314" t="s">
        <v>28</v>
      </c>
      <c r="C14314">
        <v>49958</v>
      </c>
      <c r="D14314" t="str">
        <f>"49958"</f>
        <v>49958</v>
      </c>
      <c r="E14314">
        <v>68.63</v>
      </c>
    </row>
    <row r="14315" spans="1:5" x14ac:dyDescent="0.2">
      <c r="A14315">
        <v>49959</v>
      </c>
      <c r="B14315" t="s">
        <v>28</v>
      </c>
      <c r="C14315">
        <v>49959</v>
      </c>
      <c r="D14315" t="str">
        <f>"49959"</f>
        <v>49959</v>
      </c>
      <c r="E14315" t="s">
        <v>6</v>
      </c>
    </row>
    <row r="14316" spans="1:5" x14ac:dyDescent="0.2">
      <c r="A14316">
        <v>49960</v>
      </c>
      <c r="B14316" t="s">
        <v>28</v>
      </c>
      <c r="C14316">
        <v>49960</v>
      </c>
      <c r="D14316" t="str">
        <f>"49960"</f>
        <v>49960</v>
      </c>
      <c r="E14316" t="s">
        <v>6</v>
      </c>
    </row>
    <row r="14317" spans="1:5" x14ac:dyDescent="0.2">
      <c r="A14317">
        <v>49961</v>
      </c>
      <c r="B14317" t="s">
        <v>28</v>
      </c>
      <c r="C14317">
        <v>49961</v>
      </c>
      <c r="D14317" t="str">
        <f>"49961"</f>
        <v>49961</v>
      </c>
      <c r="E14317" t="s">
        <v>6</v>
      </c>
    </row>
    <row r="14318" spans="1:5" x14ac:dyDescent="0.2">
      <c r="A14318">
        <v>49962</v>
      </c>
      <c r="B14318" t="s">
        <v>28</v>
      </c>
      <c r="C14318">
        <v>49962</v>
      </c>
      <c r="D14318" t="str">
        <f>"49962"</f>
        <v>49962</v>
      </c>
      <c r="E14318">
        <v>69.23</v>
      </c>
    </row>
    <row r="14319" spans="1:5" x14ac:dyDescent="0.2">
      <c r="A14319">
        <v>49963</v>
      </c>
      <c r="B14319" t="s">
        <v>28</v>
      </c>
      <c r="C14319">
        <v>49963</v>
      </c>
      <c r="D14319" t="str">
        <f>"49963"</f>
        <v>49963</v>
      </c>
      <c r="E14319" t="s">
        <v>6</v>
      </c>
    </row>
    <row r="14320" spans="1:5" x14ac:dyDescent="0.2">
      <c r="A14320">
        <v>49965</v>
      </c>
      <c r="B14320" t="s">
        <v>28</v>
      </c>
      <c r="C14320">
        <v>49965</v>
      </c>
      <c r="D14320" t="str">
        <f>"49965"</f>
        <v>49965</v>
      </c>
      <c r="E14320">
        <v>75</v>
      </c>
    </row>
    <row r="14321" spans="1:5" x14ac:dyDescent="0.2">
      <c r="A14321">
        <v>49967</v>
      </c>
      <c r="B14321" t="s">
        <v>28</v>
      </c>
      <c r="C14321">
        <v>49967</v>
      </c>
      <c r="D14321" t="str">
        <f>"49967"</f>
        <v>49967</v>
      </c>
      <c r="E14321">
        <v>68.180000000000007</v>
      </c>
    </row>
    <row r="14322" spans="1:5" x14ac:dyDescent="0.2">
      <c r="A14322">
        <v>49968</v>
      </c>
      <c r="B14322" t="s">
        <v>28</v>
      </c>
      <c r="C14322">
        <v>49968</v>
      </c>
      <c r="D14322" t="str">
        <f>"49968"</f>
        <v>49968</v>
      </c>
      <c r="E14322">
        <v>67.739999999999995</v>
      </c>
    </row>
    <row r="14323" spans="1:5" x14ac:dyDescent="0.2">
      <c r="A14323">
        <v>49969</v>
      </c>
      <c r="B14323" t="s">
        <v>28</v>
      </c>
      <c r="C14323">
        <v>49969</v>
      </c>
      <c r="D14323" t="str">
        <f>"49969"</f>
        <v>49969</v>
      </c>
      <c r="E14323">
        <v>66.67</v>
      </c>
    </row>
    <row r="14324" spans="1:5" x14ac:dyDescent="0.2">
      <c r="A14324">
        <v>49970</v>
      </c>
      <c r="B14324" t="s">
        <v>28</v>
      </c>
      <c r="C14324">
        <v>49970</v>
      </c>
      <c r="D14324" t="str">
        <f>"49970"</f>
        <v>49970</v>
      </c>
      <c r="E14324">
        <v>70</v>
      </c>
    </row>
    <row r="14325" spans="1:5" x14ac:dyDescent="0.2">
      <c r="A14325">
        <v>49971</v>
      </c>
      <c r="B14325" t="s">
        <v>28</v>
      </c>
      <c r="C14325">
        <v>49971</v>
      </c>
      <c r="D14325" t="str">
        <f>"49971"</f>
        <v>49971</v>
      </c>
      <c r="E14325" t="s">
        <v>6</v>
      </c>
    </row>
    <row r="14326" spans="1:5" x14ac:dyDescent="0.2">
      <c r="A14326">
        <v>55001</v>
      </c>
      <c r="B14326" t="s">
        <v>29</v>
      </c>
      <c r="C14326">
        <v>55001</v>
      </c>
      <c r="D14326" t="str">
        <f>"55001"</f>
        <v>55001</v>
      </c>
      <c r="E14326">
        <v>83.66</v>
      </c>
    </row>
    <row r="14327" spans="1:5" x14ac:dyDescent="0.2">
      <c r="A14327">
        <v>55003</v>
      </c>
      <c r="B14327" t="s">
        <v>29</v>
      </c>
      <c r="C14327">
        <v>55003</v>
      </c>
      <c r="D14327" t="str">
        <f>"55003"</f>
        <v>55003</v>
      </c>
      <c r="E14327">
        <v>79.67</v>
      </c>
    </row>
    <row r="14328" spans="1:5" x14ac:dyDescent="0.2">
      <c r="A14328">
        <v>55005</v>
      </c>
      <c r="B14328" t="s">
        <v>29</v>
      </c>
      <c r="C14328">
        <v>55005</v>
      </c>
      <c r="D14328" t="str">
        <f>"55005"</f>
        <v>55005</v>
      </c>
      <c r="E14328">
        <v>79.92</v>
      </c>
    </row>
    <row r="14329" spans="1:5" x14ac:dyDescent="0.2">
      <c r="A14329">
        <v>55006</v>
      </c>
      <c r="B14329" t="s">
        <v>29</v>
      </c>
      <c r="C14329">
        <v>55006</v>
      </c>
      <c r="D14329" t="str">
        <f>"55006"</f>
        <v>55006</v>
      </c>
      <c r="E14329">
        <v>71.349999999999994</v>
      </c>
    </row>
    <row r="14330" spans="1:5" x14ac:dyDescent="0.2">
      <c r="A14330">
        <v>55007</v>
      </c>
      <c r="B14330" t="s">
        <v>29</v>
      </c>
      <c r="C14330">
        <v>55007</v>
      </c>
      <c r="D14330" t="str">
        <f>"55007"</f>
        <v>55007</v>
      </c>
      <c r="E14330">
        <v>70</v>
      </c>
    </row>
    <row r="14331" spans="1:5" x14ac:dyDescent="0.2">
      <c r="A14331">
        <v>55008</v>
      </c>
      <c r="B14331" t="s">
        <v>29</v>
      </c>
      <c r="C14331">
        <v>55008</v>
      </c>
      <c r="D14331" t="str">
        <f>"55008"</f>
        <v>55008</v>
      </c>
      <c r="E14331">
        <v>75.319999999999993</v>
      </c>
    </row>
    <row r="14332" spans="1:5" x14ac:dyDescent="0.2">
      <c r="A14332">
        <v>55009</v>
      </c>
      <c r="B14332" t="s">
        <v>29</v>
      </c>
      <c r="C14332">
        <v>55009</v>
      </c>
      <c r="D14332" t="str">
        <f>"55009"</f>
        <v>55009</v>
      </c>
      <c r="E14332">
        <v>81.69</v>
      </c>
    </row>
    <row r="14333" spans="1:5" x14ac:dyDescent="0.2">
      <c r="A14333">
        <v>55011</v>
      </c>
      <c r="B14333" t="s">
        <v>29</v>
      </c>
      <c r="C14333">
        <v>55011</v>
      </c>
      <c r="D14333" t="str">
        <f>"55011"</f>
        <v>55011</v>
      </c>
      <c r="E14333">
        <v>81.680000000000007</v>
      </c>
    </row>
    <row r="14334" spans="1:5" x14ac:dyDescent="0.2">
      <c r="A14334">
        <v>55012</v>
      </c>
      <c r="B14334" t="s">
        <v>29</v>
      </c>
      <c r="C14334">
        <v>55012</v>
      </c>
      <c r="D14334" t="str">
        <f>"55012"</f>
        <v>55012</v>
      </c>
      <c r="E14334">
        <v>76.77</v>
      </c>
    </row>
    <row r="14335" spans="1:5" x14ac:dyDescent="0.2">
      <c r="A14335">
        <v>55013</v>
      </c>
      <c r="B14335" t="s">
        <v>29</v>
      </c>
      <c r="C14335">
        <v>55013</v>
      </c>
      <c r="D14335" t="str">
        <f>"55013"</f>
        <v>55013</v>
      </c>
      <c r="E14335">
        <v>79.13</v>
      </c>
    </row>
    <row r="14336" spans="1:5" x14ac:dyDescent="0.2">
      <c r="A14336">
        <v>55014</v>
      </c>
      <c r="B14336" t="s">
        <v>29</v>
      </c>
      <c r="C14336">
        <v>55014</v>
      </c>
      <c r="D14336" t="str">
        <f>"55014"</f>
        <v>55014</v>
      </c>
      <c r="E14336">
        <v>81.67</v>
      </c>
    </row>
    <row r="14337" spans="1:5" x14ac:dyDescent="0.2">
      <c r="A14337">
        <v>55016</v>
      </c>
      <c r="B14337" t="s">
        <v>29</v>
      </c>
      <c r="C14337">
        <v>55016</v>
      </c>
      <c r="D14337" t="str">
        <f>"55016"</f>
        <v>55016</v>
      </c>
      <c r="E14337">
        <v>81.22</v>
      </c>
    </row>
    <row r="14338" spans="1:5" x14ac:dyDescent="0.2">
      <c r="A14338">
        <v>55017</v>
      </c>
      <c r="B14338" t="s">
        <v>29</v>
      </c>
      <c r="C14338">
        <v>55017</v>
      </c>
      <c r="D14338" t="str">
        <f>"55017"</f>
        <v>55017</v>
      </c>
      <c r="E14338">
        <v>73.53</v>
      </c>
    </row>
    <row r="14339" spans="1:5" x14ac:dyDescent="0.2">
      <c r="A14339">
        <v>55018</v>
      </c>
      <c r="B14339" t="s">
        <v>29</v>
      </c>
      <c r="C14339">
        <v>55018</v>
      </c>
      <c r="D14339" t="str">
        <f>"55018"</f>
        <v>55018</v>
      </c>
      <c r="E14339">
        <v>80</v>
      </c>
    </row>
    <row r="14340" spans="1:5" x14ac:dyDescent="0.2">
      <c r="A14340">
        <v>55019</v>
      </c>
      <c r="B14340" t="s">
        <v>29</v>
      </c>
      <c r="C14340">
        <v>55019</v>
      </c>
      <c r="D14340" t="str">
        <f>"55019"</f>
        <v>55019</v>
      </c>
      <c r="E14340">
        <v>79.209999999999994</v>
      </c>
    </row>
    <row r="14341" spans="1:5" x14ac:dyDescent="0.2">
      <c r="A14341">
        <v>55020</v>
      </c>
      <c r="B14341" t="s">
        <v>29</v>
      </c>
      <c r="C14341">
        <v>55020</v>
      </c>
      <c r="D14341" t="str">
        <f>"55020"</f>
        <v>55020</v>
      </c>
      <c r="E14341">
        <v>82.45</v>
      </c>
    </row>
    <row r="14342" spans="1:5" x14ac:dyDescent="0.2">
      <c r="A14342">
        <v>55021</v>
      </c>
      <c r="B14342" t="s">
        <v>29</v>
      </c>
      <c r="C14342">
        <v>55021</v>
      </c>
      <c r="D14342" t="str">
        <f>"55021"</f>
        <v>55021</v>
      </c>
      <c r="E14342">
        <v>73.16</v>
      </c>
    </row>
    <row r="14343" spans="1:5" x14ac:dyDescent="0.2">
      <c r="A14343">
        <v>55024</v>
      </c>
      <c r="B14343" t="s">
        <v>29</v>
      </c>
      <c r="C14343">
        <v>55024</v>
      </c>
      <c r="D14343" t="str">
        <f>"55024"</f>
        <v>55024</v>
      </c>
      <c r="E14343">
        <v>81.680000000000007</v>
      </c>
    </row>
    <row r="14344" spans="1:5" x14ac:dyDescent="0.2">
      <c r="A14344">
        <v>55025</v>
      </c>
      <c r="B14344" t="s">
        <v>29</v>
      </c>
      <c r="C14344">
        <v>55025</v>
      </c>
      <c r="D14344" t="str">
        <f>"55025"</f>
        <v>55025</v>
      </c>
      <c r="E14344">
        <v>79.22</v>
      </c>
    </row>
    <row r="14345" spans="1:5" x14ac:dyDescent="0.2">
      <c r="A14345">
        <v>55026</v>
      </c>
      <c r="B14345" t="s">
        <v>29</v>
      </c>
      <c r="C14345">
        <v>55026</v>
      </c>
      <c r="D14345" t="str">
        <f>"55026"</f>
        <v>55026</v>
      </c>
      <c r="E14345">
        <v>82.61</v>
      </c>
    </row>
    <row r="14346" spans="1:5" x14ac:dyDescent="0.2">
      <c r="A14346">
        <v>55027</v>
      </c>
      <c r="B14346" t="s">
        <v>29</v>
      </c>
      <c r="C14346">
        <v>55027</v>
      </c>
      <c r="D14346" t="str">
        <f>"55027"</f>
        <v>55027</v>
      </c>
      <c r="E14346">
        <v>77.459999999999994</v>
      </c>
    </row>
    <row r="14347" spans="1:5" x14ac:dyDescent="0.2">
      <c r="A14347">
        <v>55029</v>
      </c>
      <c r="B14347" t="s">
        <v>29</v>
      </c>
      <c r="C14347">
        <v>55029</v>
      </c>
      <c r="D14347" t="str">
        <f>"55029"</f>
        <v>55029</v>
      </c>
      <c r="E14347" t="s">
        <v>6</v>
      </c>
    </row>
    <row r="14348" spans="1:5" x14ac:dyDescent="0.2">
      <c r="A14348">
        <v>55030</v>
      </c>
      <c r="B14348" t="s">
        <v>29</v>
      </c>
      <c r="C14348">
        <v>55030</v>
      </c>
      <c r="D14348" t="str">
        <f>"55030"</f>
        <v>55030</v>
      </c>
      <c r="E14348">
        <v>75.86</v>
      </c>
    </row>
    <row r="14349" spans="1:5" x14ac:dyDescent="0.2">
      <c r="A14349">
        <v>55031</v>
      </c>
      <c r="B14349" t="s">
        <v>29</v>
      </c>
      <c r="C14349">
        <v>55031</v>
      </c>
      <c r="D14349" t="str">
        <f>"55031"</f>
        <v>55031</v>
      </c>
      <c r="E14349">
        <v>81.819999999999993</v>
      </c>
    </row>
    <row r="14350" spans="1:5" x14ac:dyDescent="0.2">
      <c r="A14350">
        <v>55032</v>
      </c>
      <c r="B14350" t="s">
        <v>29</v>
      </c>
      <c r="C14350">
        <v>55032</v>
      </c>
      <c r="D14350" t="str">
        <f>"55032"</f>
        <v>55032</v>
      </c>
      <c r="E14350">
        <v>78.209999999999994</v>
      </c>
    </row>
    <row r="14351" spans="1:5" x14ac:dyDescent="0.2">
      <c r="A14351">
        <v>55033</v>
      </c>
      <c r="B14351" t="s">
        <v>29</v>
      </c>
      <c r="C14351">
        <v>55033</v>
      </c>
      <c r="D14351" t="str">
        <f>"55033"</f>
        <v>55033</v>
      </c>
      <c r="E14351">
        <v>80.05</v>
      </c>
    </row>
    <row r="14352" spans="1:5" x14ac:dyDescent="0.2">
      <c r="A14352">
        <v>55036</v>
      </c>
      <c r="B14352" t="s">
        <v>29</v>
      </c>
      <c r="C14352">
        <v>55036</v>
      </c>
      <c r="D14352" t="str">
        <f>"55036"</f>
        <v>55036</v>
      </c>
      <c r="E14352" t="s">
        <v>6</v>
      </c>
    </row>
    <row r="14353" spans="1:5" x14ac:dyDescent="0.2">
      <c r="A14353">
        <v>55037</v>
      </c>
      <c r="B14353" t="s">
        <v>29</v>
      </c>
      <c r="C14353">
        <v>55037</v>
      </c>
      <c r="D14353" t="str">
        <f>"55037"</f>
        <v>55037</v>
      </c>
      <c r="E14353">
        <v>71.489999999999995</v>
      </c>
    </row>
    <row r="14354" spans="1:5" x14ac:dyDescent="0.2">
      <c r="A14354">
        <v>55038</v>
      </c>
      <c r="B14354" t="s">
        <v>29</v>
      </c>
      <c r="C14354">
        <v>55038</v>
      </c>
      <c r="D14354" t="str">
        <f>"55038"</f>
        <v>55038</v>
      </c>
      <c r="E14354">
        <v>83.32</v>
      </c>
    </row>
    <row r="14355" spans="1:5" x14ac:dyDescent="0.2">
      <c r="A14355">
        <v>55040</v>
      </c>
      <c r="B14355" t="s">
        <v>29</v>
      </c>
      <c r="C14355">
        <v>55040</v>
      </c>
      <c r="D14355" t="str">
        <f>"55040"</f>
        <v>55040</v>
      </c>
      <c r="E14355">
        <v>77.489999999999995</v>
      </c>
    </row>
    <row r="14356" spans="1:5" x14ac:dyDescent="0.2">
      <c r="A14356">
        <v>55041</v>
      </c>
      <c r="B14356" t="s">
        <v>29</v>
      </c>
      <c r="C14356">
        <v>55041</v>
      </c>
      <c r="D14356" t="str">
        <f>"55041"</f>
        <v>55041</v>
      </c>
      <c r="E14356">
        <v>74.87</v>
      </c>
    </row>
    <row r="14357" spans="1:5" x14ac:dyDescent="0.2">
      <c r="A14357">
        <v>55042</v>
      </c>
      <c r="B14357" t="s">
        <v>29</v>
      </c>
      <c r="C14357">
        <v>55042</v>
      </c>
      <c r="D14357" t="str">
        <f>"55042"</f>
        <v>55042</v>
      </c>
      <c r="E14357">
        <v>81.89</v>
      </c>
    </row>
    <row r="14358" spans="1:5" x14ac:dyDescent="0.2">
      <c r="A14358">
        <v>55043</v>
      </c>
      <c r="B14358" t="s">
        <v>29</v>
      </c>
      <c r="C14358">
        <v>55043</v>
      </c>
      <c r="D14358" t="str">
        <f>"55043"</f>
        <v>55043</v>
      </c>
      <c r="E14358">
        <v>80.61</v>
      </c>
    </row>
    <row r="14359" spans="1:5" x14ac:dyDescent="0.2">
      <c r="A14359">
        <v>55044</v>
      </c>
      <c r="B14359" t="s">
        <v>29</v>
      </c>
      <c r="C14359">
        <v>55044</v>
      </c>
      <c r="D14359" t="str">
        <f>"55044"</f>
        <v>55044</v>
      </c>
      <c r="E14359">
        <v>81.31</v>
      </c>
    </row>
    <row r="14360" spans="1:5" x14ac:dyDescent="0.2">
      <c r="A14360">
        <v>55045</v>
      </c>
      <c r="B14360" t="s">
        <v>29</v>
      </c>
      <c r="C14360">
        <v>55045</v>
      </c>
      <c r="D14360" t="str">
        <f>"55045"</f>
        <v>55045</v>
      </c>
      <c r="E14360">
        <v>79.59</v>
      </c>
    </row>
    <row r="14361" spans="1:5" x14ac:dyDescent="0.2">
      <c r="A14361">
        <v>55046</v>
      </c>
      <c r="B14361" t="s">
        <v>29</v>
      </c>
      <c r="C14361">
        <v>55046</v>
      </c>
      <c r="D14361" t="str">
        <f>"55046"</f>
        <v>55046</v>
      </c>
      <c r="E14361">
        <v>80.900000000000006</v>
      </c>
    </row>
    <row r="14362" spans="1:5" x14ac:dyDescent="0.2">
      <c r="A14362">
        <v>55047</v>
      </c>
      <c r="B14362" t="s">
        <v>29</v>
      </c>
      <c r="C14362">
        <v>55047</v>
      </c>
      <c r="D14362" t="str">
        <f>"55047"</f>
        <v>55047</v>
      </c>
      <c r="E14362">
        <v>82.35</v>
      </c>
    </row>
    <row r="14363" spans="1:5" x14ac:dyDescent="0.2">
      <c r="A14363">
        <v>55049</v>
      </c>
      <c r="B14363" t="s">
        <v>29</v>
      </c>
      <c r="C14363">
        <v>55049</v>
      </c>
      <c r="D14363" t="str">
        <f>"55049"</f>
        <v>55049</v>
      </c>
      <c r="E14363">
        <v>75</v>
      </c>
    </row>
    <row r="14364" spans="1:5" x14ac:dyDescent="0.2">
      <c r="A14364">
        <v>55051</v>
      </c>
      <c r="B14364" t="s">
        <v>29</v>
      </c>
      <c r="C14364">
        <v>55051</v>
      </c>
      <c r="D14364" t="str">
        <f>"55051"</f>
        <v>55051</v>
      </c>
      <c r="E14364">
        <v>69.78</v>
      </c>
    </row>
    <row r="14365" spans="1:5" x14ac:dyDescent="0.2">
      <c r="A14365">
        <v>55052</v>
      </c>
      <c r="B14365" t="s">
        <v>29</v>
      </c>
      <c r="C14365">
        <v>55052</v>
      </c>
      <c r="D14365" t="str">
        <f>"55052"</f>
        <v>55052</v>
      </c>
      <c r="E14365">
        <v>76.34</v>
      </c>
    </row>
    <row r="14366" spans="1:5" x14ac:dyDescent="0.2">
      <c r="A14366">
        <v>55053</v>
      </c>
      <c r="B14366" t="s">
        <v>29</v>
      </c>
      <c r="C14366">
        <v>55053</v>
      </c>
      <c r="D14366" t="str">
        <f>"55053"</f>
        <v>55053</v>
      </c>
      <c r="E14366">
        <v>75</v>
      </c>
    </row>
    <row r="14367" spans="1:5" x14ac:dyDescent="0.2">
      <c r="A14367">
        <v>55054</v>
      </c>
      <c r="B14367" t="s">
        <v>29</v>
      </c>
      <c r="C14367">
        <v>55054</v>
      </c>
      <c r="D14367" t="str">
        <f>"55054"</f>
        <v>55054</v>
      </c>
      <c r="E14367">
        <v>84.69</v>
      </c>
    </row>
    <row r="14368" spans="1:5" x14ac:dyDescent="0.2">
      <c r="A14368">
        <v>55055</v>
      </c>
      <c r="B14368" t="s">
        <v>29</v>
      </c>
      <c r="C14368">
        <v>55055</v>
      </c>
      <c r="D14368" t="str">
        <f>"55055"</f>
        <v>55055</v>
      </c>
      <c r="E14368">
        <v>73.91</v>
      </c>
    </row>
    <row r="14369" spans="1:5" x14ac:dyDescent="0.2">
      <c r="A14369">
        <v>55056</v>
      </c>
      <c r="B14369" t="s">
        <v>29</v>
      </c>
      <c r="C14369">
        <v>55056</v>
      </c>
      <c r="D14369" t="str">
        <f>"55056"</f>
        <v>55056</v>
      </c>
      <c r="E14369">
        <v>77.650000000000006</v>
      </c>
    </row>
    <row r="14370" spans="1:5" x14ac:dyDescent="0.2">
      <c r="A14370">
        <v>55057</v>
      </c>
      <c r="B14370" t="s">
        <v>29</v>
      </c>
      <c r="C14370">
        <v>55057</v>
      </c>
      <c r="D14370" t="str">
        <f>"55057"</f>
        <v>55057</v>
      </c>
      <c r="E14370">
        <v>76.760000000000005</v>
      </c>
    </row>
    <row r="14371" spans="1:5" x14ac:dyDescent="0.2">
      <c r="A14371">
        <v>55060</v>
      </c>
      <c r="B14371" t="s">
        <v>29</v>
      </c>
      <c r="C14371">
        <v>55060</v>
      </c>
      <c r="D14371" t="str">
        <f>"55060"</f>
        <v>55060</v>
      </c>
      <c r="E14371">
        <v>74.349999999999994</v>
      </c>
    </row>
    <row r="14372" spans="1:5" x14ac:dyDescent="0.2">
      <c r="A14372">
        <v>55063</v>
      </c>
      <c r="B14372" t="s">
        <v>29</v>
      </c>
      <c r="C14372">
        <v>55063</v>
      </c>
      <c r="D14372" t="str">
        <f>"55063"</f>
        <v>55063</v>
      </c>
      <c r="E14372">
        <v>73.33</v>
      </c>
    </row>
    <row r="14373" spans="1:5" x14ac:dyDescent="0.2">
      <c r="A14373">
        <v>55065</v>
      </c>
      <c r="B14373" t="s">
        <v>29</v>
      </c>
      <c r="C14373">
        <v>55065</v>
      </c>
      <c r="D14373" t="str">
        <f>"55065"</f>
        <v>55065</v>
      </c>
      <c r="E14373">
        <v>82.76</v>
      </c>
    </row>
    <row r="14374" spans="1:5" x14ac:dyDescent="0.2">
      <c r="A14374">
        <v>55066</v>
      </c>
      <c r="B14374" t="s">
        <v>29</v>
      </c>
      <c r="C14374">
        <v>55066</v>
      </c>
      <c r="D14374" t="str">
        <f>"55066"</f>
        <v>55066</v>
      </c>
      <c r="E14374">
        <v>76.97</v>
      </c>
    </row>
    <row r="14375" spans="1:5" x14ac:dyDescent="0.2">
      <c r="A14375">
        <v>55068</v>
      </c>
      <c r="B14375" t="s">
        <v>29</v>
      </c>
      <c r="C14375">
        <v>55068</v>
      </c>
      <c r="D14375" t="str">
        <f>"55068"</f>
        <v>55068</v>
      </c>
      <c r="E14375">
        <v>81.42</v>
      </c>
    </row>
    <row r="14376" spans="1:5" x14ac:dyDescent="0.2">
      <c r="A14376">
        <v>55069</v>
      </c>
      <c r="B14376" t="s">
        <v>29</v>
      </c>
      <c r="C14376">
        <v>55069</v>
      </c>
      <c r="D14376" t="str">
        <f>"55069"</f>
        <v>55069</v>
      </c>
      <c r="E14376">
        <v>74.36</v>
      </c>
    </row>
    <row r="14377" spans="1:5" x14ac:dyDescent="0.2">
      <c r="A14377">
        <v>55070</v>
      </c>
      <c r="B14377" t="s">
        <v>29</v>
      </c>
      <c r="C14377">
        <v>55070</v>
      </c>
      <c r="D14377" t="str">
        <f>"55070"</f>
        <v>55070</v>
      </c>
      <c r="E14377">
        <v>78.39</v>
      </c>
    </row>
    <row r="14378" spans="1:5" x14ac:dyDescent="0.2">
      <c r="A14378">
        <v>55071</v>
      </c>
      <c r="B14378" t="s">
        <v>29</v>
      </c>
      <c r="C14378">
        <v>55071</v>
      </c>
      <c r="D14378" t="str">
        <f>"55071"</f>
        <v>55071</v>
      </c>
      <c r="E14378">
        <v>78.260000000000005</v>
      </c>
    </row>
    <row r="14379" spans="1:5" x14ac:dyDescent="0.2">
      <c r="A14379">
        <v>55072</v>
      </c>
      <c r="B14379" t="s">
        <v>29</v>
      </c>
      <c r="C14379">
        <v>55072</v>
      </c>
      <c r="D14379" t="str">
        <f>"55072"</f>
        <v>55072</v>
      </c>
      <c r="E14379">
        <v>69.39</v>
      </c>
    </row>
    <row r="14380" spans="1:5" x14ac:dyDescent="0.2">
      <c r="A14380">
        <v>55073</v>
      </c>
      <c r="B14380" t="s">
        <v>29</v>
      </c>
      <c r="C14380">
        <v>55073</v>
      </c>
      <c r="D14380" t="str">
        <f>"55073"</f>
        <v>55073</v>
      </c>
      <c r="E14380">
        <v>81.97</v>
      </c>
    </row>
    <row r="14381" spans="1:5" x14ac:dyDescent="0.2">
      <c r="A14381">
        <v>55074</v>
      </c>
      <c r="B14381" t="s">
        <v>29</v>
      </c>
      <c r="C14381">
        <v>55074</v>
      </c>
      <c r="D14381" t="str">
        <f>"55074"</f>
        <v>55074</v>
      </c>
      <c r="E14381">
        <v>75.44</v>
      </c>
    </row>
    <row r="14382" spans="1:5" x14ac:dyDescent="0.2">
      <c r="A14382">
        <v>55075</v>
      </c>
      <c r="B14382" t="s">
        <v>29</v>
      </c>
      <c r="C14382">
        <v>55075</v>
      </c>
      <c r="D14382" t="str">
        <f>"55075"</f>
        <v>55075</v>
      </c>
      <c r="E14382">
        <v>75.510000000000005</v>
      </c>
    </row>
    <row r="14383" spans="1:5" x14ac:dyDescent="0.2">
      <c r="A14383">
        <v>55076</v>
      </c>
      <c r="B14383" t="s">
        <v>29</v>
      </c>
      <c r="C14383">
        <v>55076</v>
      </c>
      <c r="D14383" t="str">
        <f>"55076"</f>
        <v>55076</v>
      </c>
      <c r="E14383">
        <v>79.709999999999994</v>
      </c>
    </row>
    <row r="14384" spans="1:5" x14ac:dyDescent="0.2">
      <c r="A14384">
        <v>55077</v>
      </c>
      <c r="B14384" t="s">
        <v>29</v>
      </c>
      <c r="C14384">
        <v>55077</v>
      </c>
      <c r="D14384" t="str">
        <f>"55077"</f>
        <v>55077</v>
      </c>
      <c r="E14384">
        <v>79.88</v>
      </c>
    </row>
    <row r="14385" spans="1:5" x14ac:dyDescent="0.2">
      <c r="A14385">
        <v>55079</v>
      </c>
      <c r="B14385" t="s">
        <v>29</v>
      </c>
      <c r="C14385">
        <v>55079</v>
      </c>
      <c r="D14385" t="str">
        <f>"55079"</f>
        <v>55079</v>
      </c>
      <c r="E14385">
        <v>81.59</v>
      </c>
    </row>
    <row r="14386" spans="1:5" x14ac:dyDescent="0.2">
      <c r="A14386">
        <v>55080</v>
      </c>
      <c r="B14386" t="s">
        <v>29</v>
      </c>
      <c r="C14386">
        <v>55080</v>
      </c>
      <c r="D14386" t="str">
        <f>"55080"</f>
        <v>55080</v>
      </c>
      <c r="E14386">
        <v>78.42</v>
      </c>
    </row>
    <row r="14387" spans="1:5" x14ac:dyDescent="0.2">
      <c r="A14387">
        <v>55082</v>
      </c>
      <c r="B14387" t="s">
        <v>29</v>
      </c>
      <c r="C14387">
        <v>55082</v>
      </c>
      <c r="D14387" t="str">
        <f>"55082"</f>
        <v>55082</v>
      </c>
      <c r="E14387">
        <v>80.02</v>
      </c>
    </row>
    <row r="14388" spans="1:5" x14ac:dyDescent="0.2">
      <c r="A14388">
        <v>55084</v>
      </c>
      <c r="B14388" t="s">
        <v>29</v>
      </c>
      <c r="C14388">
        <v>55084</v>
      </c>
      <c r="D14388" t="str">
        <f>"55084"</f>
        <v>55084</v>
      </c>
      <c r="E14388">
        <v>75.290000000000006</v>
      </c>
    </row>
    <row r="14389" spans="1:5" x14ac:dyDescent="0.2">
      <c r="A14389">
        <v>55085</v>
      </c>
      <c r="B14389" t="s">
        <v>29</v>
      </c>
      <c r="C14389">
        <v>55085</v>
      </c>
      <c r="D14389" t="str">
        <f>"55085"</f>
        <v>55085</v>
      </c>
      <c r="E14389" t="s">
        <v>6</v>
      </c>
    </row>
    <row r="14390" spans="1:5" x14ac:dyDescent="0.2">
      <c r="A14390">
        <v>55087</v>
      </c>
      <c r="B14390" t="s">
        <v>29</v>
      </c>
      <c r="C14390">
        <v>55087</v>
      </c>
      <c r="D14390" t="str">
        <f>"55087"</f>
        <v>55087</v>
      </c>
      <c r="E14390">
        <v>75</v>
      </c>
    </row>
    <row r="14391" spans="1:5" x14ac:dyDescent="0.2">
      <c r="A14391">
        <v>55088</v>
      </c>
      <c r="B14391" t="s">
        <v>29</v>
      </c>
      <c r="C14391">
        <v>55088</v>
      </c>
      <c r="D14391" t="str">
        <f>"55088"</f>
        <v>55088</v>
      </c>
      <c r="E14391">
        <v>83.33</v>
      </c>
    </row>
    <row r="14392" spans="1:5" x14ac:dyDescent="0.2">
      <c r="A14392">
        <v>55089</v>
      </c>
      <c r="B14392" t="s">
        <v>29</v>
      </c>
      <c r="C14392">
        <v>55089</v>
      </c>
      <c r="D14392" t="str">
        <f>"55089"</f>
        <v>55089</v>
      </c>
      <c r="E14392">
        <v>81.63</v>
      </c>
    </row>
    <row r="14393" spans="1:5" x14ac:dyDescent="0.2">
      <c r="A14393">
        <v>55090</v>
      </c>
      <c r="B14393" t="s">
        <v>29</v>
      </c>
      <c r="C14393">
        <v>55090</v>
      </c>
      <c r="D14393" t="str">
        <f>"55090"</f>
        <v>55090</v>
      </c>
      <c r="E14393" t="s">
        <v>6</v>
      </c>
    </row>
    <row r="14394" spans="1:5" x14ac:dyDescent="0.2">
      <c r="A14394">
        <v>55092</v>
      </c>
      <c r="B14394" t="s">
        <v>29</v>
      </c>
      <c r="C14394">
        <v>55092</v>
      </c>
      <c r="D14394" t="str">
        <f>"55092"</f>
        <v>55092</v>
      </c>
      <c r="E14394">
        <v>79.33</v>
      </c>
    </row>
    <row r="14395" spans="1:5" x14ac:dyDescent="0.2">
      <c r="A14395">
        <v>55101</v>
      </c>
      <c r="B14395" t="s">
        <v>29</v>
      </c>
      <c r="C14395">
        <v>55101</v>
      </c>
      <c r="D14395" t="str">
        <f>"55101"</f>
        <v>55101</v>
      </c>
      <c r="E14395">
        <v>80.75</v>
      </c>
    </row>
    <row r="14396" spans="1:5" x14ac:dyDescent="0.2">
      <c r="A14396">
        <v>55102</v>
      </c>
      <c r="B14396" t="s">
        <v>29</v>
      </c>
      <c r="C14396">
        <v>55102</v>
      </c>
      <c r="D14396" t="str">
        <f>"55102"</f>
        <v>55102</v>
      </c>
      <c r="E14396">
        <v>80</v>
      </c>
    </row>
    <row r="14397" spans="1:5" x14ac:dyDescent="0.2">
      <c r="A14397">
        <v>55103</v>
      </c>
      <c r="B14397" t="s">
        <v>29</v>
      </c>
      <c r="C14397">
        <v>55103</v>
      </c>
      <c r="D14397" t="str">
        <f>"55103"</f>
        <v>55103</v>
      </c>
      <c r="E14397">
        <v>59.46</v>
      </c>
    </row>
    <row r="14398" spans="1:5" x14ac:dyDescent="0.2">
      <c r="A14398">
        <v>55104</v>
      </c>
      <c r="B14398" t="s">
        <v>29</v>
      </c>
      <c r="C14398">
        <v>55104</v>
      </c>
      <c r="D14398" t="str">
        <f>"55104"</f>
        <v>55104</v>
      </c>
      <c r="E14398">
        <v>73.180000000000007</v>
      </c>
    </row>
    <row r="14399" spans="1:5" x14ac:dyDescent="0.2">
      <c r="A14399">
        <v>55105</v>
      </c>
      <c r="B14399" t="s">
        <v>29</v>
      </c>
      <c r="C14399">
        <v>55105</v>
      </c>
      <c r="D14399" t="str">
        <f>"55105"</f>
        <v>55105</v>
      </c>
      <c r="E14399">
        <v>84.19</v>
      </c>
    </row>
    <row r="14400" spans="1:5" x14ac:dyDescent="0.2">
      <c r="A14400">
        <v>55106</v>
      </c>
      <c r="B14400" t="s">
        <v>29</v>
      </c>
      <c r="C14400">
        <v>55106</v>
      </c>
      <c r="D14400" t="str">
        <f>"55106"</f>
        <v>55106</v>
      </c>
      <c r="E14400">
        <v>62.18</v>
      </c>
    </row>
    <row r="14401" spans="1:5" x14ac:dyDescent="0.2">
      <c r="A14401">
        <v>55107</v>
      </c>
      <c r="B14401" t="s">
        <v>29</v>
      </c>
      <c r="C14401">
        <v>55107</v>
      </c>
      <c r="D14401" t="str">
        <f>"55107"</f>
        <v>55107</v>
      </c>
      <c r="E14401">
        <v>68.150000000000006</v>
      </c>
    </row>
    <row r="14402" spans="1:5" x14ac:dyDescent="0.2">
      <c r="A14402">
        <v>55108</v>
      </c>
      <c r="B14402" t="s">
        <v>29</v>
      </c>
      <c r="C14402">
        <v>55108</v>
      </c>
      <c r="D14402" t="str">
        <f>"55108"</f>
        <v>55108</v>
      </c>
      <c r="E14402">
        <v>80.19</v>
      </c>
    </row>
    <row r="14403" spans="1:5" x14ac:dyDescent="0.2">
      <c r="A14403">
        <v>55109</v>
      </c>
      <c r="B14403" t="s">
        <v>29</v>
      </c>
      <c r="C14403">
        <v>55109</v>
      </c>
      <c r="D14403" t="str">
        <f>"55109"</f>
        <v>55109</v>
      </c>
      <c r="E14403">
        <v>74.5</v>
      </c>
    </row>
    <row r="14404" spans="1:5" x14ac:dyDescent="0.2">
      <c r="A14404">
        <v>55110</v>
      </c>
      <c r="B14404" t="s">
        <v>29</v>
      </c>
      <c r="C14404">
        <v>55110</v>
      </c>
      <c r="D14404" t="str">
        <f>"55110"</f>
        <v>55110</v>
      </c>
      <c r="E14404">
        <v>81.28</v>
      </c>
    </row>
    <row r="14405" spans="1:5" x14ac:dyDescent="0.2">
      <c r="A14405">
        <v>55111</v>
      </c>
      <c r="B14405" t="s">
        <v>29</v>
      </c>
      <c r="C14405">
        <v>55111</v>
      </c>
      <c r="D14405" t="str">
        <f>"55111"</f>
        <v>55111</v>
      </c>
      <c r="E14405" t="s">
        <v>6</v>
      </c>
    </row>
    <row r="14406" spans="1:5" x14ac:dyDescent="0.2">
      <c r="A14406">
        <v>55112</v>
      </c>
      <c r="B14406" t="s">
        <v>29</v>
      </c>
      <c r="C14406">
        <v>55112</v>
      </c>
      <c r="D14406" t="str">
        <f>"55112"</f>
        <v>55112</v>
      </c>
      <c r="E14406">
        <v>77.599999999999994</v>
      </c>
    </row>
    <row r="14407" spans="1:5" x14ac:dyDescent="0.2">
      <c r="A14407">
        <v>55113</v>
      </c>
      <c r="B14407" t="s">
        <v>29</v>
      </c>
      <c r="C14407">
        <v>55113</v>
      </c>
      <c r="D14407" t="str">
        <f>"55113"</f>
        <v>55113</v>
      </c>
      <c r="E14407">
        <v>79.14</v>
      </c>
    </row>
    <row r="14408" spans="1:5" x14ac:dyDescent="0.2">
      <c r="A14408">
        <v>55114</v>
      </c>
      <c r="B14408" t="s">
        <v>29</v>
      </c>
      <c r="C14408">
        <v>55114</v>
      </c>
      <c r="D14408" t="str">
        <f>"55114"</f>
        <v>55114</v>
      </c>
      <c r="E14408">
        <v>79.02</v>
      </c>
    </row>
    <row r="14409" spans="1:5" x14ac:dyDescent="0.2">
      <c r="A14409">
        <v>55115</v>
      </c>
      <c r="B14409" t="s">
        <v>29</v>
      </c>
      <c r="C14409">
        <v>55115</v>
      </c>
      <c r="D14409" t="str">
        <f>"55115"</f>
        <v>55115</v>
      </c>
      <c r="E14409">
        <v>78.73</v>
      </c>
    </row>
    <row r="14410" spans="1:5" x14ac:dyDescent="0.2">
      <c r="A14410">
        <v>55116</v>
      </c>
      <c r="B14410" t="s">
        <v>29</v>
      </c>
      <c r="C14410">
        <v>55116</v>
      </c>
      <c r="D14410" t="str">
        <f>"55116"</f>
        <v>55116</v>
      </c>
      <c r="E14410">
        <v>80.87</v>
      </c>
    </row>
    <row r="14411" spans="1:5" x14ac:dyDescent="0.2">
      <c r="A14411">
        <v>55117</v>
      </c>
      <c r="B14411" t="s">
        <v>29</v>
      </c>
      <c r="C14411">
        <v>55117</v>
      </c>
      <c r="D14411" t="str">
        <f>"55117"</f>
        <v>55117</v>
      </c>
      <c r="E14411">
        <v>68.11</v>
      </c>
    </row>
    <row r="14412" spans="1:5" x14ac:dyDescent="0.2">
      <c r="A14412">
        <v>55118</v>
      </c>
      <c r="B14412" t="s">
        <v>29</v>
      </c>
      <c r="C14412">
        <v>55118</v>
      </c>
      <c r="D14412" t="str">
        <f>"55118"</f>
        <v>55118</v>
      </c>
      <c r="E14412">
        <v>77.45</v>
      </c>
    </row>
    <row r="14413" spans="1:5" x14ac:dyDescent="0.2">
      <c r="A14413">
        <v>55119</v>
      </c>
      <c r="B14413" t="s">
        <v>29</v>
      </c>
      <c r="C14413">
        <v>55119</v>
      </c>
      <c r="D14413" t="str">
        <f>"55119"</f>
        <v>55119</v>
      </c>
      <c r="E14413">
        <v>72.55</v>
      </c>
    </row>
    <row r="14414" spans="1:5" x14ac:dyDescent="0.2">
      <c r="A14414">
        <v>55120</v>
      </c>
      <c r="B14414" t="s">
        <v>29</v>
      </c>
      <c r="C14414">
        <v>55120</v>
      </c>
      <c r="D14414" t="str">
        <f>"55120"</f>
        <v>55120</v>
      </c>
      <c r="E14414">
        <v>83.81</v>
      </c>
    </row>
    <row r="14415" spans="1:5" x14ac:dyDescent="0.2">
      <c r="A14415">
        <v>55121</v>
      </c>
      <c r="B14415" t="s">
        <v>29</v>
      </c>
      <c r="C14415">
        <v>55121</v>
      </c>
      <c r="D14415" t="str">
        <f>"55121"</f>
        <v>55121</v>
      </c>
      <c r="E14415">
        <v>79.760000000000005</v>
      </c>
    </row>
    <row r="14416" spans="1:5" x14ac:dyDescent="0.2">
      <c r="A14416">
        <v>55122</v>
      </c>
      <c r="B14416" t="s">
        <v>29</v>
      </c>
      <c r="C14416">
        <v>55122</v>
      </c>
      <c r="D14416" t="str">
        <f>"55122"</f>
        <v>55122</v>
      </c>
      <c r="E14416">
        <v>80.849999999999994</v>
      </c>
    </row>
    <row r="14417" spans="1:5" x14ac:dyDescent="0.2">
      <c r="A14417">
        <v>55123</v>
      </c>
      <c r="B14417" t="s">
        <v>29</v>
      </c>
      <c r="C14417">
        <v>55123</v>
      </c>
      <c r="D14417" t="str">
        <f>"55123"</f>
        <v>55123</v>
      </c>
      <c r="E14417">
        <v>84.24</v>
      </c>
    </row>
    <row r="14418" spans="1:5" x14ac:dyDescent="0.2">
      <c r="A14418">
        <v>55124</v>
      </c>
      <c r="B14418" t="s">
        <v>29</v>
      </c>
      <c r="C14418">
        <v>55124</v>
      </c>
      <c r="D14418" t="str">
        <f>"55124"</f>
        <v>55124</v>
      </c>
      <c r="E14418">
        <v>79.64</v>
      </c>
    </row>
    <row r="14419" spans="1:5" x14ac:dyDescent="0.2">
      <c r="A14419">
        <v>55125</v>
      </c>
      <c r="B14419" t="s">
        <v>29</v>
      </c>
      <c r="C14419">
        <v>55125</v>
      </c>
      <c r="D14419" t="str">
        <f>"55125"</f>
        <v>55125</v>
      </c>
      <c r="E14419">
        <v>82.23</v>
      </c>
    </row>
    <row r="14420" spans="1:5" x14ac:dyDescent="0.2">
      <c r="A14420">
        <v>55126</v>
      </c>
      <c r="B14420" t="s">
        <v>29</v>
      </c>
      <c r="C14420">
        <v>55126</v>
      </c>
      <c r="D14420" t="str">
        <f>"55126"</f>
        <v>55126</v>
      </c>
      <c r="E14420">
        <v>82.23</v>
      </c>
    </row>
    <row r="14421" spans="1:5" x14ac:dyDescent="0.2">
      <c r="A14421">
        <v>55127</v>
      </c>
      <c r="B14421" t="s">
        <v>29</v>
      </c>
      <c r="C14421">
        <v>55127</v>
      </c>
      <c r="D14421" t="str">
        <f>"55127"</f>
        <v>55127</v>
      </c>
      <c r="E14421">
        <v>83.08</v>
      </c>
    </row>
    <row r="14422" spans="1:5" x14ac:dyDescent="0.2">
      <c r="A14422">
        <v>55128</v>
      </c>
      <c r="B14422" t="s">
        <v>29</v>
      </c>
      <c r="C14422">
        <v>55128</v>
      </c>
      <c r="D14422" t="str">
        <f>"55128"</f>
        <v>55128</v>
      </c>
      <c r="E14422">
        <v>77.56</v>
      </c>
    </row>
    <row r="14423" spans="1:5" x14ac:dyDescent="0.2">
      <c r="A14423">
        <v>55129</v>
      </c>
      <c r="B14423" t="s">
        <v>29</v>
      </c>
      <c r="C14423">
        <v>55129</v>
      </c>
      <c r="D14423" t="str">
        <f>"55129"</f>
        <v>55129</v>
      </c>
      <c r="E14423">
        <v>83.84</v>
      </c>
    </row>
    <row r="14424" spans="1:5" x14ac:dyDescent="0.2">
      <c r="A14424">
        <v>55130</v>
      </c>
      <c r="B14424" t="s">
        <v>29</v>
      </c>
      <c r="C14424">
        <v>55130</v>
      </c>
      <c r="D14424" t="str">
        <f>"55130"</f>
        <v>55130</v>
      </c>
      <c r="E14424">
        <v>54.38</v>
      </c>
    </row>
    <row r="14425" spans="1:5" x14ac:dyDescent="0.2">
      <c r="A14425">
        <v>55144</v>
      </c>
      <c r="B14425" t="s">
        <v>29</v>
      </c>
      <c r="C14425">
        <v>55144</v>
      </c>
      <c r="D14425" t="str">
        <f>"55144"</f>
        <v>55144</v>
      </c>
      <c r="E14425" t="s">
        <v>6</v>
      </c>
    </row>
    <row r="14426" spans="1:5" x14ac:dyDescent="0.2">
      <c r="A14426">
        <v>55146</v>
      </c>
      <c r="B14426" t="s">
        <v>29</v>
      </c>
      <c r="C14426">
        <v>55146</v>
      </c>
      <c r="D14426" t="str">
        <f>"55146"</f>
        <v>55146</v>
      </c>
      <c r="E14426" t="s">
        <v>6</v>
      </c>
    </row>
    <row r="14427" spans="1:5" x14ac:dyDescent="0.2">
      <c r="A14427">
        <v>55150</v>
      </c>
      <c r="B14427" t="s">
        <v>29</v>
      </c>
      <c r="C14427">
        <v>55150</v>
      </c>
      <c r="D14427" t="str">
        <f>"55150"</f>
        <v>55150</v>
      </c>
      <c r="E14427" t="s">
        <v>6</v>
      </c>
    </row>
    <row r="14428" spans="1:5" x14ac:dyDescent="0.2">
      <c r="A14428">
        <v>55155</v>
      </c>
      <c r="B14428" t="s">
        <v>29</v>
      </c>
      <c r="C14428">
        <v>55155</v>
      </c>
      <c r="D14428" t="str">
        <f>"55155"</f>
        <v>55155</v>
      </c>
      <c r="E14428" t="s">
        <v>6</v>
      </c>
    </row>
    <row r="14429" spans="1:5" x14ac:dyDescent="0.2">
      <c r="A14429">
        <v>55301</v>
      </c>
      <c r="B14429" t="s">
        <v>29</v>
      </c>
      <c r="C14429">
        <v>55301</v>
      </c>
      <c r="D14429" t="str">
        <f>"55301"</f>
        <v>55301</v>
      </c>
      <c r="E14429">
        <v>81.239999999999995</v>
      </c>
    </row>
    <row r="14430" spans="1:5" x14ac:dyDescent="0.2">
      <c r="A14430">
        <v>55302</v>
      </c>
      <c r="B14430" t="s">
        <v>29</v>
      </c>
      <c r="C14430">
        <v>55302</v>
      </c>
      <c r="D14430" t="str">
        <f>"55302"</f>
        <v>55302</v>
      </c>
      <c r="E14430">
        <v>77.489999999999995</v>
      </c>
    </row>
    <row r="14431" spans="1:5" x14ac:dyDescent="0.2">
      <c r="A14431">
        <v>55303</v>
      </c>
      <c r="B14431" t="s">
        <v>29</v>
      </c>
      <c r="C14431">
        <v>55303</v>
      </c>
      <c r="D14431" t="str">
        <f>"55303"</f>
        <v>55303</v>
      </c>
      <c r="E14431">
        <v>79.52</v>
      </c>
    </row>
    <row r="14432" spans="1:5" x14ac:dyDescent="0.2">
      <c r="A14432">
        <v>55304</v>
      </c>
      <c r="B14432" t="s">
        <v>29</v>
      </c>
      <c r="C14432">
        <v>55304</v>
      </c>
      <c r="D14432" t="str">
        <f>"55304"</f>
        <v>55304</v>
      </c>
      <c r="E14432">
        <v>82.03</v>
      </c>
    </row>
    <row r="14433" spans="1:5" x14ac:dyDescent="0.2">
      <c r="A14433">
        <v>55305</v>
      </c>
      <c r="B14433" t="s">
        <v>29</v>
      </c>
      <c r="C14433">
        <v>55305</v>
      </c>
      <c r="D14433" t="str">
        <f>"55305"</f>
        <v>55305</v>
      </c>
      <c r="E14433">
        <v>82.5</v>
      </c>
    </row>
    <row r="14434" spans="1:5" x14ac:dyDescent="0.2">
      <c r="A14434">
        <v>55306</v>
      </c>
      <c r="B14434" t="s">
        <v>29</v>
      </c>
      <c r="C14434">
        <v>55306</v>
      </c>
      <c r="D14434" t="str">
        <f>"55306"</f>
        <v>55306</v>
      </c>
      <c r="E14434">
        <v>77.48</v>
      </c>
    </row>
    <row r="14435" spans="1:5" x14ac:dyDescent="0.2">
      <c r="A14435">
        <v>55307</v>
      </c>
      <c r="B14435" t="s">
        <v>29</v>
      </c>
      <c r="C14435">
        <v>55307</v>
      </c>
      <c r="D14435" t="str">
        <f>"55307"</f>
        <v>55307</v>
      </c>
      <c r="E14435">
        <v>74.19</v>
      </c>
    </row>
    <row r="14436" spans="1:5" x14ac:dyDescent="0.2">
      <c r="A14436">
        <v>55308</v>
      </c>
      <c r="B14436" t="s">
        <v>29</v>
      </c>
      <c r="C14436">
        <v>55308</v>
      </c>
      <c r="D14436" t="str">
        <f>"55308"</f>
        <v>55308</v>
      </c>
      <c r="E14436">
        <v>79.25</v>
      </c>
    </row>
    <row r="14437" spans="1:5" x14ac:dyDescent="0.2">
      <c r="A14437">
        <v>55309</v>
      </c>
      <c r="B14437" t="s">
        <v>29</v>
      </c>
      <c r="C14437">
        <v>55309</v>
      </c>
      <c r="D14437" t="str">
        <f>"55309"</f>
        <v>55309</v>
      </c>
      <c r="E14437">
        <v>78.95</v>
      </c>
    </row>
    <row r="14438" spans="1:5" x14ac:dyDescent="0.2">
      <c r="A14438">
        <v>55310</v>
      </c>
      <c r="B14438" t="s">
        <v>29</v>
      </c>
      <c r="C14438">
        <v>55310</v>
      </c>
      <c r="D14438" t="str">
        <f>"55310"</f>
        <v>55310</v>
      </c>
      <c r="E14438">
        <v>77.33</v>
      </c>
    </row>
    <row r="14439" spans="1:5" x14ac:dyDescent="0.2">
      <c r="A14439">
        <v>55311</v>
      </c>
      <c r="B14439" t="s">
        <v>29</v>
      </c>
      <c r="C14439">
        <v>55311</v>
      </c>
      <c r="D14439" t="str">
        <f>"55311"</f>
        <v>55311</v>
      </c>
      <c r="E14439">
        <v>82.77</v>
      </c>
    </row>
    <row r="14440" spans="1:5" x14ac:dyDescent="0.2">
      <c r="A14440">
        <v>55312</v>
      </c>
      <c r="B14440" t="s">
        <v>29</v>
      </c>
      <c r="C14440">
        <v>55312</v>
      </c>
      <c r="D14440" t="str">
        <f>"55312"</f>
        <v>55312</v>
      </c>
      <c r="E14440">
        <v>79.489999999999995</v>
      </c>
    </row>
    <row r="14441" spans="1:5" x14ac:dyDescent="0.2">
      <c r="A14441">
        <v>55313</v>
      </c>
      <c r="B14441" t="s">
        <v>29</v>
      </c>
      <c r="C14441">
        <v>55313</v>
      </c>
      <c r="D14441" t="str">
        <f>"55313"</f>
        <v>55313</v>
      </c>
      <c r="E14441">
        <v>77.25</v>
      </c>
    </row>
    <row r="14442" spans="1:5" x14ac:dyDescent="0.2">
      <c r="A14442">
        <v>55314</v>
      </c>
      <c r="B14442" t="s">
        <v>29</v>
      </c>
      <c r="C14442">
        <v>55314</v>
      </c>
      <c r="D14442" t="str">
        <f>"55314"</f>
        <v>55314</v>
      </c>
      <c r="E14442">
        <v>75</v>
      </c>
    </row>
    <row r="14443" spans="1:5" x14ac:dyDescent="0.2">
      <c r="A14443">
        <v>55315</v>
      </c>
      <c r="B14443" t="s">
        <v>29</v>
      </c>
      <c r="C14443">
        <v>55315</v>
      </c>
      <c r="D14443" t="str">
        <f>"55315"</f>
        <v>55315</v>
      </c>
      <c r="E14443">
        <v>82.77</v>
      </c>
    </row>
    <row r="14444" spans="1:5" x14ac:dyDescent="0.2">
      <c r="A14444">
        <v>55316</v>
      </c>
      <c r="B14444" t="s">
        <v>29</v>
      </c>
      <c r="C14444">
        <v>55316</v>
      </c>
      <c r="D14444" t="str">
        <f>"55316"</f>
        <v>55316</v>
      </c>
      <c r="E14444">
        <v>82.36</v>
      </c>
    </row>
    <row r="14445" spans="1:5" x14ac:dyDescent="0.2">
      <c r="A14445">
        <v>55317</v>
      </c>
      <c r="B14445" t="s">
        <v>29</v>
      </c>
      <c r="C14445">
        <v>55317</v>
      </c>
      <c r="D14445" t="str">
        <f>"55317"</f>
        <v>55317</v>
      </c>
      <c r="E14445">
        <v>82.43</v>
      </c>
    </row>
    <row r="14446" spans="1:5" x14ac:dyDescent="0.2">
      <c r="A14446">
        <v>55318</v>
      </c>
      <c r="B14446" t="s">
        <v>29</v>
      </c>
      <c r="C14446">
        <v>55318</v>
      </c>
      <c r="D14446" t="str">
        <f>"55318"</f>
        <v>55318</v>
      </c>
      <c r="E14446">
        <v>79.31</v>
      </c>
    </row>
    <row r="14447" spans="1:5" x14ac:dyDescent="0.2">
      <c r="A14447">
        <v>55319</v>
      </c>
      <c r="B14447" t="s">
        <v>29</v>
      </c>
      <c r="C14447">
        <v>55319</v>
      </c>
      <c r="D14447" t="str">
        <f>"55319"</f>
        <v>55319</v>
      </c>
      <c r="E14447">
        <v>81.040000000000006</v>
      </c>
    </row>
    <row r="14448" spans="1:5" x14ac:dyDescent="0.2">
      <c r="A14448">
        <v>55320</v>
      </c>
      <c r="B14448" t="s">
        <v>29</v>
      </c>
      <c r="C14448">
        <v>55320</v>
      </c>
      <c r="D14448" t="str">
        <f>"55320"</f>
        <v>55320</v>
      </c>
      <c r="E14448">
        <v>81.319999999999993</v>
      </c>
    </row>
    <row r="14449" spans="1:5" x14ac:dyDescent="0.2">
      <c r="A14449">
        <v>55321</v>
      </c>
      <c r="B14449" t="s">
        <v>29</v>
      </c>
      <c r="C14449">
        <v>55321</v>
      </c>
      <c r="D14449" t="str">
        <f>"55321"</f>
        <v>55321</v>
      </c>
      <c r="E14449">
        <v>73.28</v>
      </c>
    </row>
    <row r="14450" spans="1:5" x14ac:dyDescent="0.2">
      <c r="A14450">
        <v>55322</v>
      </c>
      <c r="B14450" t="s">
        <v>29</v>
      </c>
      <c r="C14450">
        <v>55322</v>
      </c>
      <c r="D14450" t="str">
        <f>"55322"</f>
        <v>55322</v>
      </c>
      <c r="E14450">
        <v>82.76</v>
      </c>
    </row>
    <row r="14451" spans="1:5" x14ac:dyDescent="0.2">
      <c r="A14451">
        <v>55324</v>
      </c>
      <c r="B14451" t="s">
        <v>29</v>
      </c>
      <c r="C14451">
        <v>55324</v>
      </c>
      <c r="D14451" t="str">
        <f>"55324"</f>
        <v>55324</v>
      </c>
      <c r="E14451">
        <v>77.78</v>
      </c>
    </row>
    <row r="14452" spans="1:5" x14ac:dyDescent="0.2">
      <c r="A14452">
        <v>55325</v>
      </c>
      <c r="B14452" t="s">
        <v>29</v>
      </c>
      <c r="C14452">
        <v>55325</v>
      </c>
      <c r="D14452" t="str">
        <f>"55325"</f>
        <v>55325</v>
      </c>
      <c r="E14452">
        <v>76.64</v>
      </c>
    </row>
    <row r="14453" spans="1:5" x14ac:dyDescent="0.2">
      <c r="A14453">
        <v>55327</v>
      </c>
      <c r="B14453" t="s">
        <v>29</v>
      </c>
      <c r="C14453">
        <v>55327</v>
      </c>
      <c r="D14453" t="str">
        <f>"55327"</f>
        <v>55327</v>
      </c>
      <c r="E14453">
        <v>81.78</v>
      </c>
    </row>
    <row r="14454" spans="1:5" x14ac:dyDescent="0.2">
      <c r="A14454">
        <v>55328</v>
      </c>
      <c r="B14454" t="s">
        <v>29</v>
      </c>
      <c r="C14454">
        <v>55328</v>
      </c>
      <c r="D14454" t="str">
        <f>"55328"</f>
        <v>55328</v>
      </c>
      <c r="E14454">
        <v>78.98</v>
      </c>
    </row>
    <row r="14455" spans="1:5" x14ac:dyDescent="0.2">
      <c r="A14455">
        <v>55329</v>
      </c>
      <c r="B14455" t="s">
        <v>29</v>
      </c>
      <c r="C14455">
        <v>55329</v>
      </c>
      <c r="D14455" t="str">
        <f>"55329"</f>
        <v>55329</v>
      </c>
      <c r="E14455">
        <v>73.400000000000006</v>
      </c>
    </row>
    <row r="14456" spans="1:5" x14ac:dyDescent="0.2">
      <c r="A14456">
        <v>55330</v>
      </c>
      <c r="B14456" t="s">
        <v>29</v>
      </c>
      <c r="C14456">
        <v>55330</v>
      </c>
      <c r="D14456" t="str">
        <f>"55330"</f>
        <v>55330</v>
      </c>
      <c r="E14456">
        <v>80.760000000000005</v>
      </c>
    </row>
    <row r="14457" spans="1:5" x14ac:dyDescent="0.2">
      <c r="A14457">
        <v>55331</v>
      </c>
      <c r="B14457" t="s">
        <v>29</v>
      </c>
      <c r="C14457">
        <v>55331</v>
      </c>
      <c r="D14457" t="str">
        <f>"55331"</f>
        <v>55331</v>
      </c>
      <c r="E14457">
        <v>80.510000000000005</v>
      </c>
    </row>
    <row r="14458" spans="1:5" x14ac:dyDescent="0.2">
      <c r="A14458">
        <v>55332</v>
      </c>
      <c r="B14458" t="s">
        <v>29</v>
      </c>
      <c r="C14458">
        <v>55332</v>
      </c>
      <c r="D14458" t="str">
        <f>"55332"</f>
        <v>55332</v>
      </c>
      <c r="E14458">
        <v>73.86</v>
      </c>
    </row>
    <row r="14459" spans="1:5" x14ac:dyDescent="0.2">
      <c r="A14459">
        <v>55333</v>
      </c>
      <c r="B14459" t="s">
        <v>29</v>
      </c>
      <c r="C14459">
        <v>55333</v>
      </c>
      <c r="D14459" t="str">
        <f>"55333"</f>
        <v>55333</v>
      </c>
      <c r="E14459">
        <v>77.14</v>
      </c>
    </row>
    <row r="14460" spans="1:5" x14ac:dyDescent="0.2">
      <c r="A14460">
        <v>55334</v>
      </c>
      <c r="B14460" t="s">
        <v>29</v>
      </c>
      <c r="C14460">
        <v>55334</v>
      </c>
      <c r="D14460" t="str">
        <f>"55334"</f>
        <v>55334</v>
      </c>
      <c r="E14460">
        <v>72.92</v>
      </c>
    </row>
    <row r="14461" spans="1:5" x14ac:dyDescent="0.2">
      <c r="A14461">
        <v>55335</v>
      </c>
      <c r="B14461" t="s">
        <v>29</v>
      </c>
      <c r="C14461">
        <v>55335</v>
      </c>
      <c r="D14461" t="str">
        <f>"55335"</f>
        <v>55335</v>
      </c>
      <c r="E14461">
        <v>72.97</v>
      </c>
    </row>
    <row r="14462" spans="1:5" x14ac:dyDescent="0.2">
      <c r="A14462">
        <v>55336</v>
      </c>
      <c r="B14462" t="s">
        <v>29</v>
      </c>
      <c r="C14462">
        <v>55336</v>
      </c>
      <c r="D14462" t="str">
        <f>"55336"</f>
        <v>55336</v>
      </c>
      <c r="E14462">
        <v>76.05</v>
      </c>
    </row>
    <row r="14463" spans="1:5" x14ac:dyDescent="0.2">
      <c r="A14463">
        <v>55337</v>
      </c>
      <c r="B14463" t="s">
        <v>29</v>
      </c>
      <c r="C14463">
        <v>55337</v>
      </c>
      <c r="D14463" t="str">
        <f>"55337"</f>
        <v>55337</v>
      </c>
      <c r="E14463">
        <v>76.680000000000007</v>
      </c>
    </row>
    <row r="14464" spans="1:5" x14ac:dyDescent="0.2">
      <c r="A14464">
        <v>55338</v>
      </c>
      <c r="B14464" t="s">
        <v>29</v>
      </c>
      <c r="C14464">
        <v>55338</v>
      </c>
      <c r="D14464" t="str">
        <f>"55338"</f>
        <v>55338</v>
      </c>
      <c r="E14464">
        <v>80.7</v>
      </c>
    </row>
    <row r="14465" spans="1:5" x14ac:dyDescent="0.2">
      <c r="A14465">
        <v>55339</v>
      </c>
      <c r="B14465" t="s">
        <v>29</v>
      </c>
      <c r="C14465">
        <v>55339</v>
      </c>
      <c r="D14465" t="str">
        <f>"55339"</f>
        <v>55339</v>
      </c>
      <c r="E14465">
        <v>75.47</v>
      </c>
    </row>
    <row r="14466" spans="1:5" x14ac:dyDescent="0.2">
      <c r="A14466">
        <v>55340</v>
      </c>
      <c r="B14466" t="s">
        <v>29</v>
      </c>
      <c r="C14466">
        <v>55340</v>
      </c>
      <c r="D14466" t="str">
        <f>"55340"</f>
        <v>55340</v>
      </c>
      <c r="E14466">
        <v>80.53</v>
      </c>
    </row>
    <row r="14467" spans="1:5" x14ac:dyDescent="0.2">
      <c r="A14467">
        <v>55341</v>
      </c>
      <c r="B14467" t="s">
        <v>29</v>
      </c>
      <c r="C14467">
        <v>55341</v>
      </c>
      <c r="D14467" t="str">
        <f>"55341"</f>
        <v>55341</v>
      </c>
      <c r="E14467">
        <v>84.46</v>
      </c>
    </row>
    <row r="14468" spans="1:5" x14ac:dyDescent="0.2">
      <c r="A14468">
        <v>55342</v>
      </c>
      <c r="B14468" t="s">
        <v>29</v>
      </c>
      <c r="C14468">
        <v>55342</v>
      </c>
      <c r="D14468" t="str">
        <f>"55342"</f>
        <v>55342</v>
      </c>
      <c r="E14468">
        <v>73.33</v>
      </c>
    </row>
    <row r="14469" spans="1:5" x14ac:dyDescent="0.2">
      <c r="A14469">
        <v>55343</v>
      </c>
      <c r="B14469" t="s">
        <v>29</v>
      </c>
      <c r="C14469">
        <v>55343</v>
      </c>
      <c r="D14469" t="str">
        <f>"55343"</f>
        <v>55343</v>
      </c>
      <c r="E14469">
        <v>79.900000000000006</v>
      </c>
    </row>
    <row r="14470" spans="1:5" x14ac:dyDescent="0.2">
      <c r="A14470">
        <v>55344</v>
      </c>
      <c r="B14470" t="s">
        <v>29</v>
      </c>
      <c r="C14470">
        <v>55344</v>
      </c>
      <c r="D14470" t="str">
        <f>"55344"</f>
        <v>55344</v>
      </c>
      <c r="E14470">
        <v>80.38</v>
      </c>
    </row>
    <row r="14471" spans="1:5" x14ac:dyDescent="0.2">
      <c r="A14471">
        <v>55345</v>
      </c>
      <c r="B14471" t="s">
        <v>29</v>
      </c>
      <c r="C14471">
        <v>55345</v>
      </c>
      <c r="D14471" t="str">
        <f>"55345"</f>
        <v>55345</v>
      </c>
      <c r="E14471">
        <v>81.56</v>
      </c>
    </row>
    <row r="14472" spans="1:5" x14ac:dyDescent="0.2">
      <c r="A14472">
        <v>55346</v>
      </c>
      <c r="B14472" t="s">
        <v>29</v>
      </c>
      <c r="C14472">
        <v>55346</v>
      </c>
      <c r="D14472" t="str">
        <f>"55346"</f>
        <v>55346</v>
      </c>
      <c r="E14472">
        <v>82.08</v>
      </c>
    </row>
    <row r="14473" spans="1:5" x14ac:dyDescent="0.2">
      <c r="A14473">
        <v>55347</v>
      </c>
      <c r="B14473" t="s">
        <v>29</v>
      </c>
      <c r="C14473">
        <v>55347</v>
      </c>
      <c r="D14473" t="str">
        <f>"55347"</f>
        <v>55347</v>
      </c>
      <c r="E14473">
        <v>83.26</v>
      </c>
    </row>
    <row r="14474" spans="1:5" x14ac:dyDescent="0.2">
      <c r="A14474">
        <v>55349</v>
      </c>
      <c r="B14474" t="s">
        <v>29</v>
      </c>
      <c r="C14474">
        <v>55349</v>
      </c>
      <c r="D14474" t="str">
        <f>"55349"</f>
        <v>55349</v>
      </c>
      <c r="E14474">
        <v>77.84</v>
      </c>
    </row>
    <row r="14475" spans="1:5" x14ac:dyDescent="0.2">
      <c r="A14475">
        <v>55350</v>
      </c>
      <c r="B14475" t="s">
        <v>29</v>
      </c>
      <c r="C14475">
        <v>55350</v>
      </c>
      <c r="D14475" t="str">
        <f>"55350"</f>
        <v>55350</v>
      </c>
      <c r="E14475">
        <v>76.77</v>
      </c>
    </row>
    <row r="14476" spans="1:5" x14ac:dyDescent="0.2">
      <c r="A14476">
        <v>55352</v>
      </c>
      <c r="B14476" t="s">
        <v>29</v>
      </c>
      <c r="C14476">
        <v>55352</v>
      </c>
      <c r="D14476" t="str">
        <f>"55352"</f>
        <v>55352</v>
      </c>
      <c r="E14476">
        <v>77.61</v>
      </c>
    </row>
    <row r="14477" spans="1:5" x14ac:dyDescent="0.2">
      <c r="A14477">
        <v>55353</v>
      </c>
      <c r="B14477" t="s">
        <v>29</v>
      </c>
      <c r="C14477">
        <v>55353</v>
      </c>
      <c r="D14477" t="str">
        <f>"55353"</f>
        <v>55353</v>
      </c>
      <c r="E14477">
        <v>78.849999999999994</v>
      </c>
    </row>
    <row r="14478" spans="1:5" x14ac:dyDescent="0.2">
      <c r="A14478">
        <v>55354</v>
      </c>
      <c r="B14478" t="s">
        <v>29</v>
      </c>
      <c r="C14478">
        <v>55354</v>
      </c>
      <c r="D14478" t="str">
        <f>"55354"</f>
        <v>55354</v>
      </c>
      <c r="E14478">
        <v>79.7</v>
      </c>
    </row>
    <row r="14479" spans="1:5" x14ac:dyDescent="0.2">
      <c r="A14479">
        <v>55355</v>
      </c>
      <c r="B14479" t="s">
        <v>29</v>
      </c>
      <c r="C14479">
        <v>55355</v>
      </c>
      <c r="D14479" t="str">
        <f>"55355"</f>
        <v>55355</v>
      </c>
      <c r="E14479">
        <v>75.5</v>
      </c>
    </row>
    <row r="14480" spans="1:5" x14ac:dyDescent="0.2">
      <c r="A14480">
        <v>55356</v>
      </c>
      <c r="B14480" t="s">
        <v>29</v>
      </c>
      <c r="C14480">
        <v>55356</v>
      </c>
      <c r="D14480" t="str">
        <f>"55356"</f>
        <v>55356</v>
      </c>
      <c r="E14480">
        <v>80.92</v>
      </c>
    </row>
    <row r="14481" spans="1:5" x14ac:dyDescent="0.2">
      <c r="A14481">
        <v>55357</v>
      </c>
      <c r="B14481" t="s">
        <v>29</v>
      </c>
      <c r="C14481">
        <v>55357</v>
      </c>
      <c r="D14481" t="str">
        <f>"55357"</f>
        <v>55357</v>
      </c>
      <c r="E14481">
        <v>80.36</v>
      </c>
    </row>
    <row r="14482" spans="1:5" x14ac:dyDescent="0.2">
      <c r="A14482">
        <v>55358</v>
      </c>
      <c r="B14482" t="s">
        <v>29</v>
      </c>
      <c r="C14482">
        <v>55358</v>
      </c>
      <c r="D14482" t="str">
        <f>"55358"</f>
        <v>55358</v>
      </c>
      <c r="E14482">
        <v>77.12</v>
      </c>
    </row>
    <row r="14483" spans="1:5" x14ac:dyDescent="0.2">
      <c r="A14483">
        <v>55359</v>
      </c>
      <c r="B14483" t="s">
        <v>29</v>
      </c>
      <c r="C14483">
        <v>55359</v>
      </c>
      <c r="D14483" t="str">
        <f>"55359"</f>
        <v>55359</v>
      </c>
      <c r="E14483">
        <v>80.569999999999993</v>
      </c>
    </row>
    <row r="14484" spans="1:5" x14ac:dyDescent="0.2">
      <c r="A14484">
        <v>55360</v>
      </c>
      <c r="B14484" t="s">
        <v>29</v>
      </c>
      <c r="C14484">
        <v>55360</v>
      </c>
      <c r="D14484" t="str">
        <f>"55360"</f>
        <v>55360</v>
      </c>
      <c r="E14484">
        <v>81.510000000000005</v>
      </c>
    </row>
    <row r="14485" spans="1:5" x14ac:dyDescent="0.2">
      <c r="A14485">
        <v>55362</v>
      </c>
      <c r="B14485" t="s">
        <v>29</v>
      </c>
      <c r="C14485">
        <v>55362</v>
      </c>
      <c r="D14485" t="str">
        <f>"55362"</f>
        <v>55362</v>
      </c>
      <c r="E14485">
        <v>78.23</v>
      </c>
    </row>
    <row r="14486" spans="1:5" x14ac:dyDescent="0.2">
      <c r="A14486">
        <v>55363</v>
      </c>
      <c r="B14486" t="s">
        <v>29</v>
      </c>
      <c r="C14486">
        <v>55363</v>
      </c>
      <c r="D14486" t="str">
        <f>"55363"</f>
        <v>55363</v>
      </c>
      <c r="E14486">
        <v>77.64</v>
      </c>
    </row>
    <row r="14487" spans="1:5" x14ac:dyDescent="0.2">
      <c r="A14487">
        <v>55364</v>
      </c>
      <c r="B14487" t="s">
        <v>29</v>
      </c>
      <c r="C14487">
        <v>55364</v>
      </c>
      <c r="D14487" t="str">
        <f>"55364"</f>
        <v>55364</v>
      </c>
      <c r="E14487">
        <v>82.35</v>
      </c>
    </row>
    <row r="14488" spans="1:5" x14ac:dyDescent="0.2">
      <c r="A14488">
        <v>55366</v>
      </c>
      <c r="B14488" t="s">
        <v>29</v>
      </c>
      <c r="C14488">
        <v>55366</v>
      </c>
      <c r="D14488" t="str">
        <f>"55366"</f>
        <v>55366</v>
      </c>
      <c r="E14488" t="s">
        <v>6</v>
      </c>
    </row>
    <row r="14489" spans="1:5" x14ac:dyDescent="0.2">
      <c r="A14489">
        <v>55367</v>
      </c>
      <c r="B14489" t="s">
        <v>29</v>
      </c>
      <c r="C14489">
        <v>55367</v>
      </c>
      <c r="D14489" t="str">
        <f>"55367"</f>
        <v>55367</v>
      </c>
      <c r="E14489">
        <v>81.63</v>
      </c>
    </row>
    <row r="14490" spans="1:5" x14ac:dyDescent="0.2">
      <c r="A14490">
        <v>55368</v>
      </c>
      <c r="B14490" t="s">
        <v>29</v>
      </c>
      <c r="C14490">
        <v>55368</v>
      </c>
      <c r="D14490" t="str">
        <f>"55368"</f>
        <v>55368</v>
      </c>
      <c r="E14490">
        <v>73.5</v>
      </c>
    </row>
    <row r="14491" spans="1:5" x14ac:dyDescent="0.2">
      <c r="A14491">
        <v>55369</v>
      </c>
      <c r="B14491" t="s">
        <v>29</v>
      </c>
      <c r="C14491">
        <v>55369</v>
      </c>
      <c r="D14491" t="str">
        <f>"55369"</f>
        <v>55369</v>
      </c>
      <c r="E14491">
        <v>82.23</v>
      </c>
    </row>
    <row r="14492" spans="1:5" x14ac:dyDescent="0.2">
      <c r="A14492">
        <v>55370</v>
      </c>
      <c r="B14492" t="s">
        <v>29</v>
      </c>
      <c r="C14492">
        <v>55370</v>
      </c>
      <c r="D14492" t="str">
        <f>"55370"</f>
        <v>55370</v>
      </c>
      <c r="E14492">
        <v>81.08</v>
      </c>
    </row>
    <row r="14493" spans="1:5" x14ac:dyDescent="0.2">
      <c r="A14493">
        <v>55371</v>
      </c>
      <c r="B14493" t="s">
        <v>29</v>
      </c>
      <c r="C14493">
        <v>55371</v>
      </c>
      <c r="D14493" t="str">
        <f>"55371"</f>
        <v>55371</v>
      </c>
      <c r="E14493">
        <v>76.66</v>
      </c>
    </row>
    <row r="14494" spans="1:5" x14ac:dyDescent="0.2">
      <c r="A14494">
        <v>55372</v>
      </c>
      <c r="B14494" t="s">
        <v>29</v>
      </c>
      <c r="C14494">
        <v>55372</v>
      </c>
      <c r="D14494" t="str">
        <f>"55372"</f>
        <v>55372</v>
      </c>
      <c r="E14494">
        <v>82.12</v>
      </c>
    </row>
    <row r="14495" spans="1:5" x14ac:dyDescent="0.2">
      <c r="A14495">
        <v>55373</v>
      </c>
      <c r="B14495" t="s">
        <v>29</v>
      </c>
      <c r="C14495">
        <v>55373</v>
      </c>
      <c r="D14495" t="str">
        <f>"55373"</f>
        <v>55373</v>
      </c>
      <c r="E14495">
        <v>79.209999999999994</v>
      </c>
    </row>
    <row r="14496" spans="1:5" x14ac:dyDescent="0.2">
      <c r="A14496">
        <v>55374</v>
      </c>
      <c r="B14496" t="s">
        <v>29</v>
      </c>
      <c r="C14496">
        <v>55374</v>
      </c>
      <c r="D14496" t="str">
        <f>"55374"</f>
        <v>55374</v>
      </c>
      <c r="E14496">
        <v>81.99</v>
      </c>
    </row>
    <row r="14497" spans="1:5" x14ac:dyDescent="0.2">
      <c r="A14497">
        <v>55375</v>
      </c>
      <c r="B14497" t="s">
        <v>29</v>
      </c>
      <c r="C14497">
        <v>55375</v>
      </c>
      <c r="D14497" t="str">
        <f>"55375"</f>
        <v>55375</v>
      </c>
      <c r="E14497">
        <v>80.53</v>
      </c>
    </row>
    <row r="14498" spans="1:5" x14ac:dyDescent="0.2">
      <c r="A14498">
        <v>55376</v>
      </c>
      <c r="B14498" t="s">
        <v>29</v>
      </c>
      <c r="C14498">
        <v>55376</v>
      </c>
      <c r="D14498" t="str">
        <f>"55376"</f>
        <v>55376</v>
      </c>
      <c r="E14498">
        <v>80.459999999999994</v>
      </c>
    </row>
    <row r="14499" spans="1:5" x14ac:dyDescent="0.2">
      <c r="A14499">
        <v>55378</v>
      </c>
      <c r="B14499" t="s">
        <v>29</v>
      </c>
      <c r="C14499">
        <v>55378</v>
      </c>
      <c r="D14499" t="str">
        <f>"55378"</f>
        <v>55378</v>
      </c>
      <c r="E14499">
        <v>81.23</v>
      </c>
    </row>
    <row r="14500" spans="1:5" x14ac:dyDescent="0.2">
      <c r="A14500">
        <v>55379</v>
      </c>
      <c r="B14500" t="s">
        <v>29</v>
      </c>
      <c r="C14500">
        <v>55379</v>
      </c>
      <c r="D14500" t="str">
        <f>"55379"</f>
        <v>55379</v>
      </c>
      <c r="E14500">
        <v>78.510000000000005</v>
      </c>
    </row>
    <row r="14501" spans="1:5" x14ac:dyDescent="0.2">
      <c r="A14501">
        <v>55381</v>
      </c>
      <c r="B14501" t="s">
        <v>29</v>
      </c>
      <c r="C14501">
        <v>55381</v>
      </c>
      <c r="D14501" t="str">
        <f>"55381"</f>
        <v>55381</v>
      </c>
      <c r="E14501">
        <v>79.59</v>
      </c>
    </row>
    <row r="14502" spans="1:5" x14ac:dyDescent="0.2">
      <c r="A14502">
        <v>55382</v>
      </c>
      <c r="B14502" t="s">
        <v>29</v>
      </c>
      <c r="C14502">
        <v>55382</v>
      </c>
      <c r="D14502" t="str">
        <f>"55382"</f>
        <v>55382</v>
      </c>
      <c r="E14502">
        <v>78.38</v>
      </c>
    </row>
    <row r="14503" spans="1:5" x14ac:dyDescent="0.2">
      <c r="A14503">
        <v>55384</v>
      </c>
      <c r="B14503" t="s">
        <v>29</v>
      </c>
      <c r="C14503">
        <v>55384</v>
      </c>
      <c r="D14503" t="str">
        <f>"55384"</f>
        <v>55384</v>
      </c>
      <c r="E14503">
        <v>77.14</v>
      </c>
    </row>
    <row r="14504" spans="1:5" x14ac:dyDescent="0.2">
      <c r="A14504">
        <v>55385</v>
      </c>
      <c r="B14504" t="s">
        <v>29</v>
      </c>
      <c r="C14504">
        <v>55385</v>
      </c>
      <c r="D14504" t="str">
        <f>"55385"</f>
        <v>55385</v>
      </c>
      <c r="E14504">
        <v>75.81</v>
      </c>
    </row>
    <row r="14505" spans="1:5" x14ac:dyDescent="0.2">
      <c r="A14505">
        <v>55386</v>
      </c>
      <c r="B14505" t="s">
        <v>29</v>
      </c>
      <c r="C14505">
        <v>55386</v>
      </c>
      <c r="D14505" t="str">
        <f>"55386"</f>
        <v>55386</v>
      </c>
      <c r="E14505">
        <v>84.36</v>
      </c>
    </row>
    <row r="14506" spans="1:5" x14ac:dyDescent="0.2">
      <c r="A14506">
        <v>55387</v>
      </c>
      <c r="B14506" t="s">
        <v>29</v>
      </c>
      <c r="C14506">
        <v>55387</v>
      </c>
      <c r="D14506" t="str">
        <f>"55387"</f>
        <v>55387</v>
      </c>
      <c r="E14506">
        <v>80.510000000000005</v>
      </c>
    </row>
    <row r="14507" spans="1:5" x14ac:dyDescent="0.2">
      <c r="A14507">
        <v>55388</v>
      </c>
      <c r="B14507" t="s">
        <v>29</v>
      </c>
      <c r="C14507">
        <v>55388</v>
      </c>
      <c r="D14507" t="str">
        <f>"55388"</f>
        <v>55388</v>
      </c>
      <c r="E14507">
        <v>78.849999999999994</v>
      </c>
    </row>
    <row r="14508" spans="1:5" x14ac:dyDescent="0.2">
      <c r="A14508">
        <v>55389</v>
      </c>
      <c r="B14508" t="s">
        <v>29</v>
      </c>
      <c r="C14508">
        <v>55389</v>
      </c>
      <c r="D14508" t="str">
        <f>"55389"</f>
        <v>55389</v>
      </c>
      <c r="E14508">
        <v>74.8</v>
      </c>
    </row>
    <row r="14509" spans="1:5" x14ac:dyDescent="0.2">
      <c r="A14509">
        <v>55390</v>
      </c>
      <c r="B14509" t="s">
        <v>29</v>
      </c>
      <c r="C14509">
        <v>55390</v>
      </c>
      <c r="D14509" t="str">
        <f>"55390"</f>
        <v>55390</v>
      </c>
      <c r="E14509">
        <v>79.14</v>
      </c>
    </row>
    <row r="14510" spans="1:5" x14ac:dyDescent="0.2">
      <c r="A14510">
        <v>55391</v>
      </c>
      <c r="B14510" t="s">
        <v>29</v>
      </c>
      <c r="C14510">
        <v>55391</v>
      </c>
      <c r="D14510" t="str">
        <f>"55391"</f>
        <v>55391</v>
      </c>
      <c r="E14510">
        <v>81.319999999999993</v>
      </c>
    </row>
    <row r="14511" spans="1:5" x14ac:dyDescent="0.2">
      <c r="A14511">
        <v>55395</v>
      </c>
      <c r="B14511" t="s">
        <v>29</v>
      </c>
      <c r="C14511">
        <v>55395</v>
      </c>
      <c r="D14511" t="str">
        <f>"55395"</f>
        <v>55395</v>
      </c>
      <c r="E14511">
        <v>77.400000000000006</v>
      </c>
    </row>
    <row r="14512" spans="1:5" x14ac:dyDescent="0.2">
      <c r="A14512">
        <v>55396</v>
      </c>
      <c r="B14512" t="s">
        <v>29</v>
      </c>
      <c r="C14512">
        <v>55396</v>
      </c>
      <c r="D14512" t="str">
        <f>"55396"</f>
        <v>55396</v>
      </c>
      <c r="E14512">
        <v>74.290000000000006</v>
      </c>
    </row>
    <row r="14513" spans="1:5" x14ac:dyDescent="0.2">
      <c r="A14513">
        <v>55397</v>
      </c>
      <c r="B14513" t="s">
        <v>29</v>
      </c>
      <c r="C14513">
        <v>55397</v>
      </c>
      <c r="D14513" t="str">
        <f>"55397"</f>
        <v>55397</v>
      </c>
      <c r="E14513">
        <v>79.72</v>
      </c>
    </row>
    <row r="14514" spans="1:5" x14ac:dyDescent="0.2">
      <c r="A14514">
        <v>55398</v>
      </c>
      <c r="B14514" t="s">
        <v>29</v>
      </c>
      <c r="C14514">
        <v>55398</v>
      </c>
      <c r="D14514" t="str">
        <f>"55398"</f>
        <v>55398</v>
      </c>
      <c r="E14514">
        <v>79.47</v>
      </c>
    </row>
    <row r="14515" spans="1:5" x14ac:dyDescent="0.2">
      <c r="A14515">
        <v>55401</v>
      </c>
      <c r="B14515" t="s">
        <v>29</v>
      </c>
      <c r="C14515">
        <v>55401</v>
      </c>
      <c r="D14515" t="str">
        <f>"55401"</f>
        <v>55401</v>
      </c>
      <c r="E14515">
        <v>91.63</v>
      </c>
    </row>
    <row r="14516" spans="1:5" x14ac:dyDescent="0.2">
      <c r="A14516">
        <v>55402</v>
      </c>
      <c r="B14516" t="s">
        <v>29</v>
      </c>
      <c r="C14516">
        <v>55402</v>
      </c>
      <c r="D14516" t="str">
        <f>"55402"</f>
        <v>55402</v>
      </c>
      <c r="E14516">
        <v>84.52</v>
      </c>
    </row>
    <row r="14517" spans="1:5" x14ac:dyDescent="0.2">
      <c r="A14517">
        <v>55403</v>
      </c>
      <c r="B14517" t="s">
        <v>29</v>
      </c>
      <c r="C14517">
        <v>55403</v>
      </c>
      <c r="D14517" t="str">
        <f>"55403"</f>
        <v>55403</v>
      </c>
      <c r="E14517">
        <v>83.74</v>
      </c>
    </row>
    <row r="14518" spans="1:5" x14ac:dyDescent="0.2">
      <c r="A14518">
        <v>55404</v>
      </c>
      <c r="B14518" t="s">
        <v>29</v>
      </c>
      <c r="C14518">
        <v>55404</v>
      </c>
      <c r="D14518" t="str">
        <f>"55404"</f>
        <v>55404</v>
      </c>
      <c r="E14518">
        <v>64.400000000000006</v>
      </c>
    </row>
    <row r="14519" spans="1:5" x14ac:dyDescent="0.2">
      <c r="A14519">
        <v>55405</v>
      </c>
      <c r="B14519" t="s">
        <v>29</v>
      </c>
      <c r="C14519">
        <v>55405</v>
      </c>
      <c r="D14519" t="str">
        <f>"55405"</f>
        <v>55405</v>
      </c>
      <c r="E14519">
        <v>80.260000000000005</v>
      </c>
    </row>
    <row r="14520" spans="1:5" x14ac:dyDescent="0.2">
      <c r="A14520">
        <v>55406</v>
      </c>
      <c r="B14520" t="s">
        <v>29</v>
      </c>
      <c r="C14520">
        <v>55406</v>
      </c>
      <c r="D14520" t="str">
        <f>"55406"</f>
        <v>55406</v>
      </c>
      <c r="E14520">
        <v>80.03</v>
      </c>
    </row>
    <row r="14521" spans="1:5" x14ac:dyDescent="0.2">
      <c r="A14521">
        <v>55407</v>
      </c>
      <c r="B14521" t="s">
        <v>29</v>
      </c>
      <c r="C14521">
        <v>55407</v>
      </c>
      <c r="D14521" t="str">
        <f>"55407"</f>
        <v>55407</v>
      </c>
      <c r="E14521">
        <v>70.7</v>
      </c>
    </row>
    <row r="14522" spans="1:5" x14ac:dyDescent="0.2">
      <c r="A14522">
        <v>55408</v>
      </c>
      <c r="B14522" t="s">
        <v>29</v>
      </c>
      <c r="C14522">
        <v>55408</v>
      </c>
      <c r="D14522" t="str">
        <f>"55408"</f>
        <v>55408</v>
      </c>
      <c r="E14522">
        <v>78.7</v>
      </c>
    </row>
    <row r="14523" spans="1:5" x14ac:dyDescent="0.2">
      <c r="A14523">
        <v>55409</v>
      </c>
      <c r="B14523" t="s">
        <v>29</v>
      </c>
      <c r="C14523">
        <v>55409</v>
      </c>
      <c r="D14523" t="str">
        <f>"55409"</f>
        <v>55409</v>
      </c>
      <c r="E14523">
        <v>81.23</v>
      </c>
    </row>
    <row r="14524" spans="1:5" x14ac:dyDescent="0.2">
      <c r="A14524">
        <v>55410</v>
      </c>
      <c r="B14524" t="s">
        <v>29</v>
      </c>
      <c r="C14524">
        <v>55410</v>
      </c>
      <c r="D14524" t="str">
        <f>"55410"</f>
        <v>55410</v>
      </c>
      <c r="E14524">
        <v>85.01</v>
      </c>
    </row>
    <row r="14525" spans="1:5" x14ac:dyDescent="0.2">
      <c r="A14525">
        <v>55411</v>
      </c>
      <c r="B14525" t="s">
        <v>29</v>
      </c>
      <c r="C14525">
        <v>55411</v>
      </c>
      <c r="D14525" t="str">
        <f>"55411"</f>
        <v>55411</v>
      </c>
      <c r="E14525">
        <v>52.04</v>
      </c>
    </row>
    <row r="14526" spans="1:5" x14ac:dyDescent="0.2">
      <c r="A14526">
        <v>55412</v>
      </c>
      <c r="B14526" t="s">
        <v>29</v>
      </c>
      <c r="C14526">
        <v>55412</v>
      </c>
      <c r="D14526" t="str">
        <f>"55412"</f>
        <v>55412</v>
      </c>
      <c r="E14526">
        <v>64.489999999999995</v>
      </c>
    </row>
    <row r="14527" spans="1:5" x14ac:dyDescent="0.2">
      <c r="A14527">
        <v>55413</v>
      </c>
      <c r="B14527" t="s">
        <v>29</v>
      </c>
      <c r="C14527">
        <v>55413</v>
      </c>
      <c r="D14527" t="str">
        <f>"55413"</f>
        <v>55413</v>
      </c>
      <c r="E14527">
        <v>82.3</v>
      </c>
    </row>
    <row r="14528" spans="1:5" x14ac:dyDescent="0.2">
      <c r="A14528">
        <v>55414</v>
      </c>
      <c r="B14528" t="s">
        <v>29</v>
      </c>
      <c r="C14528">
        <v>55414</v>
      </c>
      <c r="D14528" t="str">
        <f>"55414"</f>
        <v>55414</v>
      </c>
      <c r="E14528">
        <v>71.66</v>
      </c>
    </row>
    <row r="14529" spans="1:5" x14ac:dyDescent="0.2">
      <c r="A14529">
        <v>55415</v>
      </c>
      <c r="B14529" t="s">
        <v>29</v>
      </c>
      <c r="C14529">
        <v>55415</v>
      </c>
      <c r="D14529" t="str">
        <f>"55415"</f>
        <v>55415</v>
      </c>
      <c r="E14529">
        <v>86.21</v>
      </c>
    </row>
    <row r="14530" spans="1:5" x14ac:dyDescent="0.2">
      <c r="A14530">
        <v>55416</v>
      </c>
      <c r="B14530" t="s">
        <v>29</v>
      </c>
      <c r="C14530">
        <v>55416</v>
      </c>
      <c r="D14530" t="str">
        <f>"55416"</f>
        <v>55416</v>
      </c>
      <c r="E14530">
        <v>86.08</v>
      </c>
    </row>
    <row r="14531" spans="1:5" x14ac:dyDescent="0.2">
      <c r="A14531">
        <v>55417</v>
      </c>
      <c r="B14531" t="s">
        <v>29</v>
      </c>
      <c r="C14531">
        <v>55417</v>
      </c>
      <c r="D14531" t="str">
        <f>"55417"</f>
        <v>55417</v>
      </c>
      <c r="E14531">
        <v>83.58</v>
      </c>
    </row>
    <row r="14532" spans="1:5" x14ac:dyDescent="0.2">
      <c r="A14532">
        <v>55418</v>
      </c>
      <c r="B14532" t="s">
        <v>29</v>
      </c>
      <c r="C14532">
        <v>55418</v>
      </c>
      <c r="D14532" t="str">
        <f>"55418"</f>
        <v>55418</v>
      </c>
      <c r="E14532">
        <v>81.28</v>
      </c>
    </row>
    <row r="14533" spans="1:5" x14ac:dyDescent="0.2">
      <c r="A14533">
        <v>55419</v>
      </c>
      <c r="B14533" t="s">
        <v>29</v>
      </c>
      <c r="C14533">
        <v>55419</v>
      </c>
      <c r="D14533" t="str">
        <f>"55419"</f>
        <v>55419</v>
      </c>
      <c r="E14533">
        <v>82.29</v>
      </c>
    </row>
    <row r="14534" spans="1:5" x14ac:dyDescent="0.2">
      <c r="A14534">
        <v>55420</v>
      </c>
      <c r="B14534" t="s">
        <v>29</v>
      </c>
      <c r="C14534">
        <v>55420</v>
      </c>
      <c r="D14534" t="str">
        <f>"55420"</f>
        <v>55420</v>
      </c>
      <c r="E14534">
        <v>75.510000000000005</v>
      </c>
    </row>
    <row r="14535" spans="1:5" x14ac:dyDescent="0.2">
      <c r="A14535">
        <v>55421</v>
      </c>
      <c r="B14535" t="s">
        <v>29</v>
      </c>
      <c r="C14535">
        <v>55421</v>
      </c>
      <c r="D14535" t="str">
        <f>"55421"</f>
        <v>55421</v>
      </c>
      <c r="E14535">
        <v>72.97</v>
      </c>
    </row>
    <row r="14536" spans="1:5" x14ac:dyDescent="0.2">
      <c r="A14536">
        <v>55422</v>
      </c>
      <c r="B14536" t="s">
        <v>29</v>
      </c>
      <c r="C14536">
        <v>55422</v>
      </c>
      <c r="D14536" t="str">
        <f>"55422"</f>
        <v>55422</v>
      </c>
      <c r="E14536">
        <v>79.52</v>
      </c>
    </row>
    <row r="14537" spans="1:5" x14ac:dyDescent="0.2">
      <c r="A14537">
        <v>55423</v>
      </c>
      <c r="B14537" t="s">
        <v>29</v>
      </c>
      <c r="C14537">
        <v>55423</v>
      </c>
      <c r="D14537" t="str">
        <f>"55423"</f>
        <v>55423</v>
      </c>
      <c r="E14537">
        <v>77.53</v>
      </c>
    </row>
    <row r="14538" spans="1:5" x14ac:dyDescent="0.2">
      <c r="A14538">
        <v>55424</v>
      </c>
      <c r="B14538" t="s">
        <v>29</v>
      </c>
      <c r="C14538">
        <v>55424</v>
      </c>
      <c r="D14538" t="str">
        <f>"55424"</f>
        <v>55424</v>
      </c>
      <c r="E14538">
        <v>82.61</v>
      </c>
    </row>
    <row r="14539" spans="1:5" x14ac:dyDescent="0.2">
      <c r="A14539">
        <v>55425</v>
      </c>
      <c r="B14539" t="s">
        <v>29</v>
      </c>
      <c r="C14539">
        <v>55425</v>
      </c>
      <c r="D14539" t="str">
        <f>"55425"</f>
        <v>55425</v>
      </c>
      <c r="E14539">
        <v>75.239999999999995</v>
      </c>
    </row>
    <row r="14540" spans="1:5" x14ac:dyDescent="0.2">
      <c r="A14540">
        <v>55426</v>
      </c>
      <c r="B14540" t="s">
        <v>29</v>
      </c>
      <c r="C14540">
        <v>55426</v>
      </c>
      <c r="D14540" t="str">
        <f>"55426"</f>
        <v>55426</v>
      </c>
      <c r="E14540">
        <v>82.62</v>
      </c>
    </row>
    <row r="14541" spans="1:5" x14ac:dyDescent="0.2">
      <c r="A14541">
        <v>55427</v>
      </c>
      <c r="B14541" t="s">
        <v>29</v>
      </c>
      <c r="C14541">
        <v>55427</v>
      </c>
      <c r="D14541" t="str">
        <f>"55427"</f>
        <v>55427</v>
      </c>
      <c r="E14541">
        <v>80.290000000000006</v>
      </c>
    </row>
    <row r="14542" spans="1:5" x14ac:dyDescent="0.2">
      <c r="A14542">
        <v>55428</v>
      </c>
      <c r="B14542" t="s">
        <v>29</v>
      </c>
      <c r="C14542">
        <v>55428</v>
      </c>
      <c r="D14542" t="str">
        <f>"55428"</f>
        <v>55428</v>
      </c>
      <c r="E14542">
        <v>71.8</v>
      </c>
    </row>
    <row r="14543" spans="1:5" x14ac:dyDescent="0.2">
      <c r="A14543">
        <v>55429</v>
      </c>
      <c r="B14543" t="s">
        <v>29</v>
      </c>
      <c r="C14543">
        <v>55429</v>
      </c>
      <c r="D14543" t="str">
        <f>"55429"</f>
        <v>55429</v>
      </c>
      <c r="E14543">
        <v>67.81</v>
      </c>
    </row>
    <row r="14544" spans="1:5" x14ac:dyDescent="0.2">
      <c r="A14544">
        <v>55430</v>
      </c>
      <c r="B14544" t="s">
        <v>29</v>
      </c>
      <c r="C14544">
        <v>55430</v>
      </c>
      <c r="D14544" t="str">
        <f>"55430"</f>
        <v>55430</v>
      </c>
      <c r="E14544">
        <v>67.5</v>
      </c>
    </row>
    <row r="14545" spans="1:5" x14ac:dyDescent="0.2">
      <c r="A14545">
        <v>55431</v>
      </c>
      <c r="B14545" t="s">
        <v>29</v>
      </c>
      <c r="C14545">
        <v>55431</v>
      </c>
      <c r="D14545" t="str">
        <f>"55431"</f>
        <v>55431</v>
      </c>
      <c r="E14545">
        <v>80.41</v>
      </c>
    </row>
    <row r="14546" spans="1:5" x14ac:dyDescent="0.2">
      <c r="A14546">
        <v>55432</v>
      </c>
      <c r="B14546" t="s">
        <v>29</v>
      </c>
      <c r="C14546">
        <v>55432</v>
      </c>
      <c r="D14546" t="str">
        <f>"55432"</f>
        <v>55432</v>
      </c>
      <c r="E14546">
        <v>74.56</v>
      </c>
    </row>
    <row r="14547" spans="1:5" x14ac:dyDescent="0.2">
      <c r="A14547">
        <v>55433</v>
      </c>
      <c r="B14547" t="s">
        <v>29</v>
      </c>
      <c r="C14547">
        <v>55433</v>
      </c>
      <c r="D14547" t="str">
        <f>"55433"</f>
        <v>55433</v>
      </c>
      <c r="E14547">
        <v>75.94</v>
      </c>
    </row>
    <row r="14548" spans="1:5" x14ac:dyDescent="0.2">
      <c r="A14548">
        <v>55434</v>
      </c>
      <c r="B14548" t="s">
        <v>29</v>
      </c>
      <c r="C14548">
        <v>55434</v>
      </c>
      <c r="D14548" t="str">
        <f>"55434"</f>
        <v>55434</v>
      </c>
      <c r="E14548">
        <v>78.5</v>
      </c>
    </row>
    <row r="14549" spans="1:5" x14ac:dyDescent="0.2">
      <c r="A14549">
        <v>55435</v>
      </c>
      <c r="B14549" t="s">
        <v>29</v>
      </c>
      <c r="C14549">
        <v>55435</v>
      </c>
      <c r="D14549" t="str">
        <f>"55435"</f>
        <v>55435</v>
      </c>
      <c r="E14549">
        <v>81.11</v>
      </c>
    </row>
    <row r="14550" spans="1:5" x14ac:dyDescent="0.2">
      <c r="A14550">
        <v>55436</v>
      </c>
      <c r="B14550" t="s">
        <v>29</v>
      </c>
      <c r="C14550">
        <v>55436</v>
      </c>
      <c r="D14550" t="str">
        <f>"55436"</f>
        <v>55436</v>
      </c>
      <c r="E14550">
        <v>82.5</v>
      </c>
    </row>
    <row r="14551" spans="1:5" x14ac:dyDescent="0.2">
      <c r="A14551">
        <v>55437</v>
      </c>
      <c r="B14551" t="s">
        <v>29</v>
      </c>
      <c r="C14551">
        <v>55437</v>
      </c>
      <c r="D14551" t="str">
        <f>"55437"</f>
        <v>55437</v>
      </c>
      <c r="E14551">
        <v>81.62</v>
      </c>
    </row>
    <row r="14552" spans="1:5" x14ac:dyDescent="0.2">
      <c r="A14552">
        <v>55438</v>
      </c>
      <c r="B14552" t="s">
        <v>29</v>
      </c>
      <c r="C14552">
        <v>55438</v>
      </c>
      <c r="D14552" t="str">
        <f>"55438"</f>
        <v>55438</v>
      </c>
      <c r="E14552">
        <v>82.62</v>
      </c>
    </row>
    <row r="14553" spans="1:5" x14ac:dyDescent="0.2">
      <c r="A14553">
        <v>55439</v>
      </c>
      <c r="B14553" t="s">
        <v>29</v>
      </c>
      <c r="C14553">
        <v>55439</v>
      </c>
      <c r="D14553" t="str">
        <f>"55439"</f>
        <v>55439</v>
      </c>
      <c r="E14553">
        <v>82.71</v>
      </c>
    </row>
    <row r="14554" spans="1:5" x14ac:dyDescent="0.2">
      <c r="A14554">
        <v>55441</v>
      </c>
      <c r="B14554" t="s">
        <v>29</v>
      </c>
      <c r="C14554">
        <v>55441</v>
      </c>
      <c r="D14554" t="str">
        <f>"55441"</f>
        <v>55441</v>
      </c>
      <c r="E14554">
        <v>81.52</v>
      </c>
    </row>
    <row r="14555" spans="1:5" x14ac:dyDescent="0.2">
      <c r="A14555">
        <v>55442</v>
      </c>
      <c r="B14555" t="s">
        <v>29</v>
      </c>
      <c r="C14555">
        <v>55442</v>
      </c>
      <c r="D14555" t="str">
        <f>"55442"</f>
        <v>55442</v>
      </c>
      <c r="E14555">
        <v>84.24</v>
      </c>
    </row>
    <row r="14556" spans="1:5" x14ac:dyDescent="0.2">
      <c r="A14556">
        <v>55443</v>
      </c>
      <c r="B14556" t="s">
        <v>29</v>
      </c>
      <c r="C14556">
        <v>55443</v>
      </c>
      <c r="D14556" t="str">
        <f>"55443"</f>
        <v>55443</v>
      </c>
      <c r="E14556">
        <v>73.73</v>
      </c>
    </row>
    <row r="14557" spans="1:5" x14ac:dyDescent="0.2">
      <c r="A14557">
        <v>55444</v>
      </c>
      <c r="B14557" t="s">
        <v>29</v>
      </c>
      <c r="C14557">
        <v>55444</v>
      </c>
      <c r="D14557" t="str">
        <f>"55444"</f>
        <v>55444</v>
      </c>
      <c r="E14557">
        <v>75</v>
      </c>
    </row>
    <row r="14558" spans="1:5" x14ac:dyDescent="0.2">
      <c r="A14558">
        <v>55445</v>
      </c>
      <c r="B14558" t="s">
        <v>29</v>
      </c>
      <c r="C14558">
        <v>55445</v>
      </c>
      <c r="D14558" t="str">
        <f>"55445"</f>
        <v>55445</v>
      </c>
      <c r="E14558">
        <v>76.150000000000006</v>
      </c>
    </row>
    <row r="14559" spans="1:5" x14ac:dyDescent="0.2">
      <c r="A14559">
        <v>55446</v>
      </c>
      <c r="B14559" t="s">
        <v>29</v>
      </c>
      <c r="C14559">
        <v>55446</v>
      </c>
      <c r="D14559" t="str">
        <f>"55446"</f>
        <v>55446</v>
      </c>
      <c r="E14559">
        <v>84.56</v>
      </c>
    </row>
    <row r="14560" spans="1:5" x14ac:dyDescent="0.2">
      <c r="A14560">
        <v>55447</v>
      </c>
      <c r="B14560" t="s">
        <v>29</v>
      </c>
      <c r="C14560">
        <v>55447</v>
      </c>
      <c r="D14560" t="str">
        <f>"55447"</f>
        <v>55447</v>
      </c>
      <c r="E14560">
        <v>81.099999999999994</v>
      </c>
    </row>
    <row r="14561" spans="1:5" x14ac:dyDescent="0.2">
      <c r="A14561">
        <v>55448</v>
      </c>
      <c r="B14561" t="s">
        <v>29</v>
      </c>
      <c r="C14561">
        <v>55448</v>
      </c>
      <c r="D14561" t="str">
        <f>"55448"</f>
        <v>55448</v>
      </c>
      <c r="E14561">
        <v>78.95</v>
      </c>
    </row>
    <row r="14562" spans="1:5" x14ac:dyDescent="0.2">
      <c r="A14562">
        <v>55449</v>
      </c>
      <c r="B14562" t="s">
        <v>29</v>
      </c>
      <c r="C14562">
        <v>55449</v>
      </c>
      <c r="D14562" t="str">
        <f>"55449"</f>
        <v>55449</v>
      </c>
      <c r="E14562">
        <v>81.78</v>
      </c>
    </row>
    <row r="14563" spans="1:5" x14ac:dyDescent="0.2">
      <c r="A14563">
        <v>55450</v>
      </c>
      <c r="B14563" t="s">
        <v>29</v>
      </c>
      <c r="C14563">
        <v>55450</v>
      </c>
      <c r="D14563" t="str">
        <f>"55450"</f>
        <v>55450</v>
      </c>
      <c r="E14563" t="s">
        <v>6</v>
      </c>
    </row>
    <row r="14564" spans="1:5" x14ac:dyDescent="0.2">
      <c r="A14564">
        <v>55454</v>
      </c>
      <c r="B14564" t="s">
        <v>29</v>
      </c>
      <c r="C14564">
        <v>55454</v>
      </c>
      <c r="D14564" t="str">
        <f>"55454"</f>
        <v>55454</v>
      </c>
      <c r="E14564">
        <v>51.15</v>
      </c>
    </row>
    <row r="14565" spans="1:5" x14ac:dyDescent="0.2">
      <c r="A14565">
        <v>55455</v>
      </c>
      <c r="B14565" t="s">
        <v>29</v>
      </c>
      <c r="C14565">
        <v>55455</v>
      </c>
      <c r="D14565" t="str">
        <f>"55455"</f>
        <v>55455</v>
      </c>
      <c r="E14565">
        <v>53.85</v>
      </c>
    </row>
    <row r="14566" spans="1:5" x14ac:dyDescent="0.2">
      <c r="A14566">
        <v>55467</v>
      </c>
      <c r="B14566" t="s">
        <v>29</v>
      </c>
      <c r="C14566">
        <v>55467</v>
      </c>
      <c r="D14566" t="str">
        <f>"55467"</f>
        <v>55467</v>
      </c>
      <c r="E14566" t="s">
        <v>6</v>
      </c>
    </row>
    <row r="14567" spans="1:5" x14ac:dyDescent="0.2">
      <c r="A14567">
        <v>55479</v>
      </c>
      <c r="B14567" t="s">
        <v>29</v>
      </c>
      <c r="C14567">
        <v>55479</v>
      </c>
      <c r="D14567" t="str">
        <f>"55479"</f>
        <v>55479</v>
      </c>
      <c r="E14567" t="s">
        <v>6</v>
      </c>
    </row>
    <row r="14568" spans="1:5" x14ac:dyDescent="0.2">
      <c r="A14568">
        <v>55487</v>
      </c>
      <c r="B14568" t="s">
        <v>29</v>
      </c>
      <c r="C14568">
        <v>55487</v>
      </c>
      <c r="D14568" t="str">
        <f>"55487"</f>
        <v>55487</v>
      </c>
      <c r="E14568" t="s">
        <v>6</v>
      </c>
    </row>
    <row r="14569" spans="1:5" x14ac:dyDescent="0.2">
      <c r="A14569">
        <v>55601</v>
      </c>
      <c r="B14569" t="s">
        <v>29</v>
      </c>
      <c r="C14569">
        <v>55601</v>
      </c>
      <c r="D14569" t="str">
        <f>"55601"</f>
        <v>55601</v>
      </c>
      <c r="E14569" t="s">
        <v>6</v>
      </c>
    </row>
    <row r="14570" spans="1:5" x14ac:dyDescent="0.2">
      <c r="A14570">
        <v>55602</v>
      </c>
      <c r="B14570" t="s">
        <v>29</v>
      </c>
      <c r="C14570">
        <v>55602</v>
      </c>
      <c r="D14570" t="str">
        <f>"55602"</f>
        <v>55602</v>
      </c>
      <c r="E14570">
        <v>81.819999999999993</v>
      </c>
    </row>
    <row r="14571" spans="1:5" x14ac:dyDescent="0.2">
      <c r="A14571">
        <v>55603</v>
      </c>
      <c r="B14571" t="s">
        <v>29</v>
      </c>
      <c r="C14571">
        <v>55603</v>
      </c>
      <c r="D14571" t="str">
        <f>"55603"</f>
        <v>55603</v>
      </c>
      <c r="E14571">
        <v>75</v>
      </c>
    </row>
    <row r="14572" spans="1:5" x14ac:dyDescent="0.2">
      <c r="A14572">
        <v>55604</v>
      </c>
      <c r="B14572" t="s">
        <v>29</v>
      </c>
      <c r="C14572">
        <v>55604</v>
      </c>
      <c r="D14572" t="str">
        <f>"55604"</f>
        <v>55604</v>
      </c>
      <c r="E14572">
        <v>76.290000000000006</v>
      </c>
    </row>
    <row r="14573" spans="1:5" x14ac:dyDescent="0.2">
      <c r="A14573">
        <v>55605</v>
      </c>
      <c r="B14573" t="s">
        <v>29</v>
      </c>
      <c r="C14573">
        <v>55605</v>
      </c>
      <c r="D14573" t="str">
        <f>"55605"</f>
        <v>55605</v>
      </c>
      <c r="E14573">
        <v>65.709999999999994</v>
      </c>
    </row>
    <row r="14574" spans="1:5" x14ac:dyDescent="0.2">
      <c r="A14574">
        <v>55606</v>
      </c>
      <c r="B14574" t="s">
        <v>29</v>
      </c>
      <c r="C14574">
        <v>55606</v>
      </c>
      <c r="D14574" t="str">
        <f>"55606"</f>
        <v>55606</v>
      </c>
      <c r="E14574">
        <v>73.33</v>
      </c>
    </row>
    <row r="14575" spans="1:5" x14ac:dyDescent="0.2">
      <c r="A14575">
        <v>55607</v>
      </c>
      <c r="B14575" t="s">
        <v>29</v>
      </c>
      <c r="C14575">
        <v>55607</v>
      </c>
      <c r="D14575" t="str">
        <f>"55607"</f>
        <v>55607</v>
      </c>
      <c r="E14575" t="s">
        <v>6</v>
      </c>
    </row>
    <row r="14576" spans="1:5" x14ac:dyDescent="0.2">
      <c r="A14576">
        <v>55609</v>
      </c>
      <c r="B14576" t="s">
        <v>29</v>
      </c>
      <c r="C14576">
        <v>55609</v>
      </c>
      <c r="D14576" t="str">
        <f>"55609"</f>
        <v>55609</v>
      </c>
      <c r="E14576" t="s">
        <v>6</v>
      </c>
    </row>
    <row r="14577" spans="1:5" x14ac:dyDescent="0.2">
      <c r="A14577">
        <v>55612</v>
      </c>
      <c r="B14577" t="s">
        <v>29</v>
      </c>
      <c r="C14577">
        <v>55612</v>
      </c>
      <c r="D14577" t="str">
        <f>"55612"</f>
        <v>55612</v>
      </c>
      <c r="E14577">
        <v>77.78</v>
      </c>
    </row>
    <row r="14578" spans="1:5" x14ac:dyDescent="0.2">
      <c r="A14578">
        <v>55613</v>
      </c>
      <c r="B14578" t="s">
        <v>29</v>
      </c>
      <c r="C14578">
        <v>55613</v>
      </c>
      <c r="D14578" t="str">
        <f>"55613"</f>
        <v>55613</v>
      </c>
      <c r="E14578" t="s">
        <v>6</v>
      </c>
    </row>
    <row r="14579" spans="1:5" x14ac:dyDescent="0.2">
      <c r="A14579">
        <v>55614</v>
      </c>
      <c r="B14579" t="s">
        <v>29</v>
      </c>
      <c r="C14579">
        <v>55614</v>
      </c>
      <c r="D14579" t="str">
        <f>"55614"</f>
        <v>55614</v>
      </c>
      <c r="E14579">
        <v>77.12</v>
      </c>
    </row>
    <row r="14580" spans="1:5" x14ac:dyDescent="0.2">
      <c r="A14580">
        <v>55615</v>
      </c>
      <c r="B14580" t="s">
        <v>29</v>
      </c>
      <c r="C14580">
        <v>55615</v>
      </c>
      <c r="D14580" t="str">
        <f>"55615"</f>
        <v>55615</v>
      </c>
      <c r="E14580">
        <v>68.75</v>
      </c>
    </row>
    <row r="14581" spans="1:5" x14ac:dyDescent="0.2">
      <c r="A14581">
        <v>55616</v>
      </c>
      <c r="B14581" t="s">
        <v>29</v>
      </c>
      <c r="C14581">
        <v>55616</v>
      </c>
      <c r="D14581" t="str">
        <f>"55616"</f>
        <v>55616</v>
      </c>
      <c r="E14581">
        <v>75</v>
      </c>
    </row>
    <row r="14582" spans="1:5" x14ac:dyDescent="0.2">
      <c r="A14582">
        <v>55702</v>
      </c>
      <c r="B14582" t="s">
        <v>29</v>
      </c>
      <c r="C14582">
        <v>55702</v>
      </c>
      <c r="D14582" t="str">
        <f>"55702"</f>
        <v>55702</v>
      </c>
      <c r="E14582">
        <v>85</v>
      </c>
    </row>
    <row r="14583" spans="1:5" x14ac:dyDescent="0.2">
      <c r="A14583">
        <v>55703</v>
      </c>
      <c r="B14583" t="s">
        <v>29</v>
      </c>
      <c r="C14583">
        <v>55703</v>
      </c>
      <c r="D14583" t="str">
        <f>"55703"</f>
        <v>55703</v>
      </c>
      <c r="E14583">
        <v>81.819999999999993</v>
      </c>
    </row>
    <row r="14584" spans="1:5" x14ac:dyDescent="0.2">
      <c r="A14584">
        <v>55704</v>
      </c>
      <c r="B14584" t="s">
        <v>29</v>
      </c>
      <c r="C14584">
        <v>55704</v>
      </c>
      <c r="D14584" t="str">
        <f>"55704"</f>
        <v>55704</v>
      </c>
      <c r="E14584">
        <v>72.22</v>
      </c>
    </row>
    <row r="14585" spans="1:5" x14ac:dyDescent="0.2">
      <c r="A14585">
        <v>55705</v>
      </c>
      <c r="B14585" t="s">
        <v>29</v>
      </c>
      <c r="C14585">
        <v>55705</v>
      </c>
      <c r="D14585" t="str">
        <f>"55705"</f>
        <v>55705</v>
      </c>
      <c r="E14585">
        <v>74</v>
      </c>
    </row>
    <row r="14586" spans="1:5" x14ac:dyDescent="0.2">
      <c r="A14586">
        <v>55706</v>
      </c>
      <c r="B14586" t="s">
        <v>29</v>
      </c>
      <c r="C14586">
        <v>55706</v>
      </c>
      <c r="D14586" t="str">
        <f>"55706"</f>
        <v>55706</v>
      </c>
      <c r="E14586">
        <v>74.42</v>
      </c>
    </row>
    <row r="14587" spans="1:5" x14ac:dyDescent="0.2">
      <c r="A14587">
        <v>55707</v>
      </c>
      <c r="B14587" t="s">
        <v>29</v>
      </c>
      <c r="C14587">
        <v>55707</v>
      </c>
      <c r="D14587" t="str">
        <f>"55707"</f>
        <v>55707</v>
      </c>
      <c r="E14587">
        <v>76.099999999999994</v>
      </c>
    </row>
    <row r="14588" spans="1:5" x14ac:dyDescent="0.2">
      <c r="A14588">
        <v>55708</v>
      </c>
      <c r="B14588" t="s">
        <v>29</v>
      </c>
      <c r="C14588">
        <v>55708</v>
      </c>
      <c r="D14588" t="str">
        <f>"55708"</f>
        <v>55708</v>
      </c>
      <c r="E14588" t="s">
        <v>6</v>
      </c>
    </row>
    <row r="14589" spans="1:5" x14ac:dyDescent="0.2">
      <c r="A14589">
        <v>55709</v>
      </c>
      <c r="B14589" t="s">
        <v>29</v>
      </c>
      <c r="C14589">
        <v>55709</v>
      </c>
      <c r="D14589" t="str">
        <f>"55709"</f>
        <v>55709</v>
      </c>
      <c r="E14589">
        <v>76.06</v>
      </c>
    </row>
    <row r="14590" spans="1:5" x14ac:dyDescent="0.2">
      <c r="A14590">
        <v>55710</v>
      </c>
      <c r="B14590" t="s">
        <v>29</v>
      </c>
      <c r="C14590">
        <v>55710</v>
      </c>
      <c r="D14590" t="str">
        <f>"55710"</f>
        <v>55710</v>
      </c>
      <c r="E14590">
        <v>85.94</v>
      </c>
    </row>
    <row r="14591" spans="1:5" x14ac:dyDescent="0.2">
      <c r="A14591">
        <v>55711</v>
      </c>
      <c r="B14591" t="s">
        <v>29</v>
      </c>
      <c r="C14591">
        <v>55711</v>
      </c>
      <c r="D14591" t="str">
        <f>"55711"</f>
        <v>55711</v>
      </c>
      <c r="E14591">
        <v>73.91</v>
      </c>
    </row>
    <row r="14592" spans="1:5" x14ac:dyDescent="0.2">
      <c r="A14592">
        <v>55712</v>
      </c>
      <c r="B14592" t="s">
        <v>29</v>
      </c>
      <c r="C14592">
        <v>55712</v>
      </c>
      <c r="D14592" t="str">
        <f>"55712"</f>
        <v>55712</v>
      </c>
      <c r="E14592">
        <v>72.73</v>
      </c>
    </row>
    <row r="14593" spans="1:5" x14ac:dyDescent="0.2">
      <c r="A14593">
        <v>55713</v>
      </c>
      <c r="B14593" t="s">
        <v>29</v>
      </c>
      <c r="C14593">
        <v>55713</v>
      </c>
      <c r="D14593" t="str">
        <f>"55713"</f>
        <v>55713</v>
      </c>
      <c r="E14593" t="s">
        <v>6</v>
      </c>
    </row>
    <row r="14594" spans="1:5" x14ac:dyDescent="0.2">
      <c r="A14594">
        <v>55716</v>
      </c>
      <c r="B14594" t="s">
        <v>29</v>
      </c>
      <c r="C14594">
        <v>55716</v>
      </c>
      <c r="D14594" t="str">
        <f>"55716"</f>
        <v>55716</v>
      </c>
      <c r="E14594" t="s">
        <v>6</v>
      </c>
    </row>
    <row r="14595" spans="1:5" x14ac:dyDescent="0.2">
      <c r="A14595">
        <v>55717</v>
      </c>
      <c r="B14595" t="s">
        <v>29</v>
      </c>
      <c r="C14595">
        <v>55717</v>
      </c>
      <c r="D14595" t="str">
        <f>"55717"</f>
        <v>55717</v>
      </c>
      <c r="E14595">
        <v>81.25</v>
      </c>
    </row>
    <row r="14596" spans="1:5" x14ac:dyDescent="0.2">
      <c r="A14596">
        <v>55718</v>
      </c>
      <c r="B14596" t="s">
        <v>29</v>
      </c>
      <c r="C14596">
        <v>55718</v>
      </c>
      <c r="D14596" t="str">
        <f>"55718"</f>
        <v>55718</v>
      </c>
      <c r="E14596">
        <v>78.569999999999993</v>
      </c>
    </row>
    <row r="14597" spans="1:5" x14ac:dyDescent="0.2">
      <c r="A14597">
        <v>55719</v>
      </c>
      <c r="B14597" t="s">
        <v>29</v>
      </c>
      <c r="C14597">
        <v>55719</v>
      </c>
      <c r="D14597" t="str">
        <f>"55719"</f>
        <v>55719</v>
      </c>
      <c r="E14597">
        <v>73.23</v>
      </c>
    </row>
    <row r="14598" spans="1:5" x14ac:dyDescent="0.2">
      <c r="A14598">
        <v>55720</v>
      </c>
      <c r="B14598" t="s">
        <v>29</v>
      </c>
      <c r="C14598">
        <v>55720</v>
      </c>
      <c r="D14598" t="str">
        <f>"55720"</f>
        <v>55720</v>
      </c>
      <c r="E14598">
        <v>75.22</v>
      </c>
    </row>
    <row r="14599" spans="1:5" x14ac:dyDescent="0.2">
      <c r="A14599">
        <v>55721</v>
      </c>
      <c r="B14599" t="s">
        <v>29</v>
      </c>
      <c r="C14599">
        <v>55721</v>
      </c>
      <c r="D14599" t="str">
        <f>"55721"</f>
        <v>55721</v>
      </c>
      <c r="E14599">
        <v>78.66</v>
      </c>
    </row>
    <row r="14600" spans="1:5" x14ac:dyDescent="0.2">
      <c r="A14600">
        <v>55722</v>
      </c>
      <c r="B14600" t="s">
        <v>29</v>
      </c>
      <c r="C14600">
        <v>55722</v>
      </c>
      <c r="D14600" t="str">
        <f>"55722"</f>
        <v>55722</v>
      </c>
      <c r="E14600" t="s">
        <v>6</v>
      </c>
    </row>
    <row r="14601" spans="1:5" x14ac:dyDescent="0.2">
      <c r="A14601">
        <v>55723</v>
      </c>
      <c r="B14601" t="s">
        <v>29</v>
      </c>
      <c r="C14601">
        <v>55723</v>
      </c>
      <c r="D14601" t="str">
        <f>"55723"</f>
        <v>55723</v>
      </c>
      <c r="E14601">
        <v>74.11</v>
      </c>
    </row>
    <row r="14602" spans="1:5" x14ac:dyDescent="0.2">
      <c r="A14602">
        <v>55724</v>
      </c>
      <c r="B14602" t="s">
        <v>29</v>
      </c>
      <c r="C14602">
        <v>55724</v>
      </c>
      <c r="D14602" t="str">
        <f>"55724"</f>
        <v>55724</v>
      </c>
      <c r="E14602">
        <v>77.5</v>
      </c>
    </row>
    <row r="14603" spans="1:5" x14ac:dyDescent="0.2">
      <c r="A14603">
        <v>55725</v>
      </c>
      <c r="B14603" t="s">
        <v>29</v>
      </c>
      <c r="C14603">
        <v>55725</v>
      </c>
      <c r="D14603" t="str">
        <f>"55725"</f>
        <v>55725</v>
      </c>
      <c r="E14603" t="s">
        <v>6</v>
      </c>
    </row>
    <row r="14604" spans="1:5" x14ac:dyDescent="0.2">
      <c r="A14604">
        <v>55726</v>
      </c>
      <c r="B14604" t="s">
        <v>29</v>
      </c>
      <c r="C14604">
        <v>55726</v>
      </c>
      <c r="D14604" t="str">
        <f>"55726"</f>
        <v>55726</v>
      </c>
      <c r="E14604">
        <v>75.56</v>
      </c>
    </row>
    <row r="14605" spans="1:5" x14ac:dyDescent="0.2">
      <c r="A14605">
        <v>55731</v>
      </c>
      <c r="B14605" t="s">
        <v>29</v>
      </c>
      <c r="C14605">
        <v>55731</v>
      </c>
      <c r="D14605" t="str">
        <f>"55731"</f>
        <v>55731</v>
      </c>
      <c r="E14605">
        <v>71.33</v>
      </c>
    </row>
    <row r="14606" spans="1:5" x14ac:dyDescent="0.2">
      <c r="A14606">
        <v>55732</v>
      </c>
      <c r="B14606" t="s">
        <v>29</v>
      </c>
      <c r="C14606">
        <v>55732</v>
      </c>
      <c r="D14606" t="str">
        <f>"55732"</f>
        <v>55732</v>
      </c>
      <c r="E14606">
        <v>80.3</v>
      </c>
    </row>
    <row r="14607" spans="1:5" x14ac:dyDescent="0.2">
      <c r="A14607">
        <v>55733</v>
      </c>
      <c r="B14607" t="s">
        <v>29</v>
      </c>
      <c r="C14607">
        <v>55733</v>
      </c>
      <c r="D14607" t="str">
        <f>"55733"</f>
        <v>55733</v>
      </c>
      <c r="E14607">
        <v>83.47</v>
      </c>
    </row>
    <row r="14608" spans="1:5" x14ac:dyDescent="0.2">
      <c r="A14608">
        <v>55734</v>
      </c>
      <c r="B14608" t="s">
        <v>29</v>
      </c>
      <c r="C14608">
        <v>55734</v>
      </c>
      <c r="D14608" t="str">
        <f>"55734"</f>
        <v>55734</v>
      </c>
      <c r="E14608">
        <v>78.28</v>
      </c>
    </row>
    <row r="14609" spans="1:5" x14ac:dyDescent="0.2">
      <c r="A14609">
        <v>55735</v>
      </c>
      <c r="B14609" t="s">
        <v>29</v>
      </c>
      <c r="C14609">
        <v>55735</v>
      </c>
      <c r="D14609" t="str">
        <f>"55735"</f>
        <v>55735</v>
      </c>
      <c r="E14609">
        <v>75.64</v>
      </c>
    </row>
    <row r="14610" spans="1:5" x14ac:dyDescent="0.2">
      <c r="A14610">
        <v>55736</v>
      </c>
      <c r="B14610" t="s">
        <v>29</v>
      </c>
      <c r="C14610">
        <v>55736</v>
      </c>
      <c r="D14610" t="str">
        <f>"55736"</f>
        <v>55736</v>
      </c>
      <c r="E14610">
        <v>68.569999999999993</v>
      </c>
    </row>
    <row r="14611" spans="1:5" x14ac:dyDescent="0.2">
      <c r="A14611">
        <v>55738</v>
      </c>
      <c r="B14611" t="s">
        <v>29</v>
      </c>
      <c r="C14611">
        <v>55738</v>
      </c>
      <c r="D14611" t="str">
        <f>"55738"</f>
        <v>55738</v>
      </c>
      <c r="E14611">
        <v>77.78</v>
      </c>
    </row>
    <row r="14612" spans="1:5" x14ac:dyDescent="0.2">
      <c r="A14612">
        <v>55741</v>
      </c>
      <c r="B14612" t="s">
        <v>29</v>
      </c>
      <c r="C14612">
        <v>55741</v>
      </c>
      <c r="D14612" t="str">
        <f>"55741"</f>
        <v>55741</v>
      </c>
      <c r="E14612">
        <v>79.349999999999994</v>
      </c>
    </row>
    <row r="14613" spans="1:5" x14ac:dyDescent="0.2">
      <c r="A14613">
        <v>55742</v>
      </c>
      <c r="B14613" t="s">
        <v>29</v>
      </c>
      <c r="C14613">
        <v>55742</v>
      </c>
      <c r="D14613" t="str">
        <f>"55742"</f>
        <v>55742</v>
      </c>
      <c r="E14613">
        <v>76.92</v>
      </c>
    </row>
    <row r="14614" spans="1:5" x14ac:dyDescent="0.2">
      <c r="A14614">
        <v>55744</v>
      </c>
      <c r="B14614" t="s">
        <v>29</v>
      </c>
      <c r="C14614">
        <v>55744</v>
      </c>
      <c r="D14614" t="str">
        <f>"55744"</f>
        <v>55744</v>
      </c>
      <c r="E14614">
        <v>73.81</v>
      </c>
    </row>
    <row r="14615" spans="1:5" x14ac:dyDescent="0.2">
      <c r="A14615">
        <v>55746</v>
      </c>
      <c r="B14615" t="s">
        <v>29</v>
      </c>
      <c r="C14615">
        <v>55746</v>
      </c>
      <c r="D14615" t="str">
        <f>"55746"</f>
        <v>55746</v>
      </c>
      <c r="E14615">
        <v>74.39</v>
      </c>
    </row>
    <row r="14616" spans="1:5" x14ac:dyDescent="0.2">
      <c r="A14616">
        <v>55748</v>
      </c>
      <c r="B14616" t="s">
        <v>29</v>
      </c>
      <c r="C14616">
        <v>55748</v>
      </c>
      <c r="D14616" t="str">
        <f>"55748"</f>
        <v>55748</v>
      </c>
      <c r="E14616">
        <v>68.12</v>
      </c>
    </row>
    <row r="14617" spans="1:5" x14ac:dyDescent="0.2">
      <c r="A14617">
        <v>55749</v>
      </c>
      <c r="B14617" t="s">
        <v>29</v>
      </c>
      <c r="C14617">
        <v>55749</v>
      </c>
      <c r="D14617" t="str">
        <f>"55749"</f>
        <v>55749</v>
      </c>
      <c r="E14617">
        <v>76.19</v>
      </c>
    </row>
    <row r="14618" spans="1:5" x14ac:dyDescent="0.2">
      <c r="A14618">
        <v>55750</v>
      </c>
      <c r="B14618" t="s">
        <v>29</v>
      </c>
      <c r="C14618">
        <v>55750</v>
      </c>
      <c r="D14618" t="str">
        <f>"55750"</f>
        <v>55750</v>
      </c>
      <c r="E14618">
        <v>74.73</v>
      </c>
    </row>
    <row r="14619" spans="1:5" x14ac:dyDescent="0.2">
      <c r="A14619">
        <v>55751</v>
      </c>
      <c r="B14619" t="s">
        <v>29</v>
      </c>
      <c r="C14619">
        <v>55751</v>
      </c>
      <c r="D14619" t="str">
        <f>"55751"</f>
        <v>55751</v>
      </c>
      <c r="E14619">
        <v>79.41</v>
      </c>
    </row>
    <row r="14620" spans="1:5" x14ac:dyDescent="0.2">
      <c r="A14620">
        <v>55752</v>
      </c>
      <c r="B14620" t="s">
        <v>29</v>
      </c>
      <c r="C14620">
        <v>55752</v>
      </c>
      <c r="D14620" t="str">
        <f>"55752"</f>
        <v>55752</v>
      </c>
      <c r="E14620">
        <v>75</v>
      </c>
    </row>
    <row r="14621" spans="1:5" x14ac:dyDescent="0.2">
      <c r="A14621">
        <v>55753</v>
      </c>
      <c r="B14621" t="s">
        <v>29</v>
      </c>
      <c r="C14621">
        <v>55753</v>
      </c>
      <c r="D14621" t="str">
        <f>"55753"</f>
        <v>55753</v>
      </c>
      <c r="E14621" t="s">
        <v>6</v>
      </c>
    </row>
    <row r="14622" spans="1:5" x14ac:dyDescent="0.2">
      <c r="A14622">
        <v>55756</v>
      </c>
      <c r="B14622" t="s">
        <v>29</v>
      </c>
      <c r="C14622">
        <v>55756</v>
      </c>
      <c r="D14622" t="str">
        <f>"55756"</f>
        <v>55756</v>
      </c>
      <c r="E14622">
        <v>68.42</v>
      </c>
    </row>
    <row r="14623" spans="1:5" x14ac:dyDescent="0.2">
      <c r="A14623">
        <v>55757</v>
      </c>
      <c r="B14623" t="s">
        <v>29</v>
      </c>
      <c r="C14623">
        <v>55757</v>
      </c>
      <c r="D14623" t="str">
        <f>"55757"</f>
        <v>55757</v>
      </c>
      <c r="E14623">
        <v>78.38</v>
      </c>
    </row>
    <row r="14624" spans="1:5" x14ac:dyDescent="0.2">
      <c r="A14624">
        <v>55758</v>
      </c>
      <c r="B14624" t="s">
        <v>29</v>
      </c>
      <c r="C14624">
        <v>55758</v>
      </c>
      <c r="D14624" t="str">
        <f>"55758"</f>
        <v>55758</v>
      </c>
      <c r="E14624" t="s">
        <v>6</v>
      </c>
    </row>
    <row r="14625" spans="1:5" x14ac:dyDescent="0.2">
      <c r="A14625">
        <v>55760</v>
      </c>
      <c r="B14625" t="s">
        <v>29</v>
      </c>
      <c r="C14625">
        <v>55760</v>
      </c>
      <c r="D14625" t="str">
        <f>"55760"</f>
        <v>55760</v>
      </c>
      <c r="E14625">
        <v>70.31</v>
      </c>
    </row>
    <row r="14626" spans="1:5" x14ac:dyDescent="0.2">
      <c r="A14626">
        <v>55763</v>
      </c>
      <c r="B14626" t="s">
        <v>29</v>
      </c>
      <c r="C14626">
        <v>55763</v>
      </c>
      <c r="D14626" t="str">
        <f>"55763"</f>
        <v>55763</v>
      </c>
      <c r="E14626">
        <v>81.48</v>
      </c>
    </row>
    <row r="14627" spans="1:5" x14ac:dyDescent="0.2">
      <c r="A14627">
        <v>55764</v>
      </c>
      <c r="B14627" t="s">
        <v>29</v>
      </c>
      <c r="C14627">
        <v>55764</v>
      </c>
      <c r="D14627" t="str">
        <f>"55764"</f>
        <v>55764</v>
      </c>
      <c r="E14627" t="s">
        <v>6</v>
      </c>
    </row>
    <row r="14628" spans="1:5" x14ac:dyDescent="0.2">
      <c r="A14628">
        <v>55765</v>
      </c>
      <c r="B14628" t="s">
        <v>29</v>
      </c>
      <c r="C14628">
        <v>55765</v>
      </c>
      <c r="D14628" t="str">
        <f>"55765"</f>
        <v>55765</v>
      </c>
      <c r="E14628">
        <v>74.290000000000006</v>
      </c>
    </row>
    <row r="14629" spans="1:5" x14ac:dyDescent="0.2">
      <c r="A14629">
        <v>55767</v>
      </c>
      <c r="B14629" t="s">
        <v>29</v>
      </c>
      <c r="C14629">
        <v>55767</v>
      </c>
      <c r="D14629" t="str">
        <f>"55767"</f>
        <v>55767</v>
      </c>
      <c r="E14629">
        <v>70.760000000000005</v>
      </c>
    </row>
    <row r="14630" spans="1:5" x14ac:dyDescent="0.2">
      <c r="A14630">
        <v>55768</v>
      </c>
      <c r="B14630" t="s">
        <v>29</v>
      </c>
      <c r="C14630">
        <v>55768</v>
      </c>
      <c r="D14630" t="str">
        <f>"55768"</f>
        <v>55768</v>
      </c>
      <c r="E14630">
        <v>78.099999999999994</v>
      </c>
    </row>
    <row r="14631" spans="1:5" x14ac:dyDescent="0.2">
      <c r="A14631">
        <v>55769</v>
      </c>
      <c r="B14631" t="s">
        <v>29</v>
      </c>
      <c r="C14631">
        <v>55769</v>
      </c>
      <c r="D14631" t="str">
        <f>"55769"</f>
        <v>55769</v>
      </c>
      <c r="E14631">
        <v>75.73</v>
      </c>
    </row>
    <row r="14632" spans="1:5" x14ac:dyDescent="0.2">
      <c r="A14632">
        <v>55771</v>
      </c>
      <c r="B14632" t="s">
        <v>29</v>
      </c>
      <c r="C14632">
        <v>55771</v>
      </c>
      <c r="D14632" t="str">
        <f>"55771"</f>
        <v>55771</v>
      </c>
      <c r="E14632">
        <v>68.489999999999995</v>
      </c>
    </row>
    <row r="14633" spans="1:5" x14ac:dyDescent="0.2">
      <c r="A14633">
        <v>55775</v>
      </c>
      <c r="B14633" t="s">
        <v>29</v>
      </c>
      <c r="C14633">
        <v>55775</v>
      </c>
      <c r="D14633" t="str">
        <f>"55775"</f>
        <v>55775</v>
      </c>
      <c r="E14633">
        <v>79.66</v>
      </c>
    </row>
    <row r="14634" spans="1:5" x14ac:dyDescent="0.2">
      <c r="A14634">
        <v>55779</v>
      </c>
      <c r="B14634" t="s">
        <v>29</v>
      </c>
      <c r="C14634">
        <v>55779</v>
      </c>
      <c r="D14634" t="str">
        <f>"55779"</f>
        <v>55779</v>
      </c>
      <c r="E14634">
        <v>80.61</v>
      </c>
    </row>
    <row r="14635" spans="1:5" x14ac:dyDescent="0.2">
      <c r="A14635">
        <v>55780</v>
      </c>
      <c r="B14635" t="s">
        <v>29</v>
      </c>
      <c r="C14635">
        <v>55780</v>
      </c>
      <c r="D14635" t="str">
        <f>"55780"</f>
        <v>55780</v>
      </c>
      <c r="E14635" t="s">
        <v>6</v>
      </c>
    </row>
    <row r="14636" spans="1:5" x14ac:dyDescent="0.2">
      <c r="A14636">
        <v>55781</v>
      </c>
      <c r="B14636" t="s">
        <v>29</v>
      </c>
      <c r="C14636">
        <v>55781</v>
      </c>
      <c r="D14636" t="str">
        <f>"55781"</f>
        <v>55781</v>
      </c>
      <c r="E14636">
        <v>81.58</v>
      </c>
    </row>
    <row r="14637" spans="1:5" x14ac:dyDescent="0.2">
      <c r="A14637">
        <v>55782</v>
      </c>
      <c r="B14637" t="s">
        <v>29</v>
      </c>
      <c r="C14637">
        <v>55782</v>
      </c>
      <c r="D14637" t="str">
        <f>"55782"</f>
        <v>55782</v>
      </c>
      <c r="E14637" t="s">
        <v>6</v>
      </c>
    </row>
    <row r="14638" spans="1:5" x14ac:dyDescent="0.2">
      <c r="A14638">
        <v>55783</v>
      </c>
      <c r="B14638" t="s">
        <v>29</v>
      </c>
      <c r="C14638">
        <v>55783</v>
      </c>
      <c r="D14638" t="str">
        <f>"55783"</f>
        <v>55783</v>
      </c>
      <c r="E14638">
        <v>75.650000000000006</v>
      </c>
    </row>
    <row r="14639" spans="1:5" x14ac:dyDescent="0.2">
      <c r="A14639">
        <v>55784</v>
      </c>
      <c r="B14639" t="s">
        <v>29</v>
      </c>
      <c r="C14639">
        <v>55784</v>
      </c>
      <c r="D14639" t="str">
        <f>"55784"</f>
        <v>55784</v>
      </c>
      <c r="E14639" t="s">
        <v>6</v>
      </c>
    </row>
    <row r="14640" spans="1:5" x14ac:dyDescent="0.2">
      <c r="A14640">
        <v>55785</v>
      </c>
      <c r="B14640" t="s">
        <v>29</v>
      </c>
      <c r="C14640">
        <v>55785</v>
      </c>
      <c r="D14640" t="str">
        <f>"55785"</f>
        <v>55785</v>
      </c>
      <c r="E14640">
        <v>66.67</v>
      </c>
    </row>
    <row r="14641" spans="1:5" x14ac:dyDescent="0.2">
      <c r="A14641">
        <v>55786</v>
      </c>
      <c r="B14641" t="s">
        <v>29</v>
      </c>
      <c r="C14641">
        <v>55786</v>
      </c>
      <c r="D14641" t="str">
        <f>"55786"</f>
        <v>55786</v>
      </c>
      <c r="E14641" t="s">
        <v>6</v>
      </c>
    </row>
    <row r="14642" spans="1:5" x14ac:dyDescent="0.2">
      <c r="A14642">
        <v>55787</v>
      </c>
      <c r="B14642" t="s">
        <v>29</v>
      </c>
      <c r="C14642">
        <v>55787</v>
      </c>
      <c r="D14642" t="str">
        <f>"55787"</f>
        <v>55787</v>
      </c>
      <c r="E14642">
        <v>72.73</v>
      </c>
    </row>
    <row r="14643" spans="1:5" x14ac:dyDescent="0.2">
      <c r="A14643">
        <v>55790</v>
      </c>
      <c r="B14643" t="s">
        <v>29</v>
      </c>
      <c r="C14643">
        <v>55790</v>
      </c>
      <c r="D14643" t="str">
        <f>"55790"</f>
        <v>55790</v>
      </c>
      <c r="E14643">
        <v>77.66</v>
      </c>
    </row>
    <row r="14644" spans="1:5" x14ac:dyDescent="0.2">
      <c r="A14644">
        <v>55792</v>
      </c>
      <c r="B14644" t="s">
        <v>29</v>
      </c>
      <c r="C14644">
        <v>55792</v>
      </c>
      <c r="D14644" t="str">
        <f>"55792"</f>
        <v>55792</v>
      </c>
      <c r="E14644">
        <v>73.760000000000005</v>
      </c>
    </row>
    <row r="14645" spans="1:5" x14ac:dyDescent="0.2">
      <c r="A14645">
        <v>55793</v>
      </c>
      <c r="B14645" t="s">
        <v>29</v>
      </c>
      <c r="C14645">
        <v>55793</v>
      </c>
      <c r="D14645" t="str">
        <f>"55793"</f>
        <v>55793</v>
      </c>
      <c r="E14645">
        <v>78.569999999999993</v>
      </c>
    </row>
    <row r="14646" spans="1:5" x14ac:dyDescent="0.2">
      <c r="A14646">
        <v>55795</v>
      </c>
      <c r="B14646" t="s">
        <v>29</v>
      </c>
      <c r="C14646">
        <v>55795</v>
      </c>
      <c r="D14646" t="str">
        <f>"55795"</f>
        <v>55795</v>
      </c>
      <c r="E14646">
        <v>71.010000000000005</v>
      </c>
    </row>
    <row r="14647" spans="1:5" x14ac:dyDescent="0.2">
      <c r="A14647">
        <v>55796</v>
      </c>
      <c r="B14647" t="s">
        <v>29</v>
      </c>
      <c r="C14647">
        <v>55796</v>
      </c>
      <c r="D14647" t="str">
        <f>"55796"</f>
        <v>55796</v>
      </c>
      <c r="E14647" t="s">
        <v>6</v>
      </c>
    </row>
    <row r="14648" spans="1:5" x14ac:dyDescent="0.2">
      <c r="A14648">
        <v>55797</v>
      </c>
      <c r="B14648" t="s">
        <v>29</v>
      </c>
      <c r="C14648">
        <v>55797</v>
      </c>
      <c r="D14648" t="str">
        <f>"55797"</f>
        <v>55797</v>
      </c>
      <c r="E14648">
        <v>82.19</v>
      </c>
    </row>
    <row r="14649" spans="1:5" x14ac:dyDescent="0.2">
      <c r="A14649">
        <v>55798</v>
      </c>
      <c r="B14649" t="s">
        <v>29</v>
      </c>
      <c r="C14649">
        <v>55798</v>
      </c>
      <c r="D14649" t="str">
        <f>"55798"</f>
        <v>55798</v>
      </c>
      <c r="E14649">
        <v>72.41</v>
      </c>
    </row>
    <row r="14650" spans="1:5" x14ac:dyDescent="0.2">
      <c r="A14650">
        <v>55802</v>
      </c>
      <c r="B14650" t="s">
        <v>29</v>
      </c>
      <c r="C14650">
        <v>55802</v>
      </c>
      <c r="D14650" t="str">
        <f>"55802"</f>
        <v>55802</v>
      </c>
      <c r="E14650">
        <v>65.81</v>
      </c>
    </row>
    <row r="14651" spans="1:5" x14ac:dyDescent="0.2">
      <c r="A14651">
        <v>55803</v>
      </c>
      <c r="B14651" t="s">
        <v>29</v>
      </c>
      <c r="C14651">
        <v>55803</v>
      </c>
      <c r="D14651" t="str">
        <f>"55803"</f>
        <v>55803</v>
      </c>
      <c r="E14651">
        <v>81.599999999999994</v>
      </c>
    </row>
    <row r="14652" spans="1:5" x14ac:dyDescent="0.2">
      <c r="A14652">
        <v>55804</v>
      </c>
      <c r="B14652" t="s">
        <v>29</v>
      </c>
      <c r="C14652">
        <v>55804</v>
      </c>
      <c r="D14652" t="str">
        <f>"55804"</f>
        <v>55804</v>
      </c>
      <c r="E14652">
        <v>81.23</v>
      </c>
    </row>
    <row r="14653" spans="1:5" x14ac:dyDescent="0.2">
      <c r="A14653">
        <v>55805</v>
      </c>
      <c r="B14653" t="s">
        <v>29</v>
      </c>
      <c r="C14653">
        <v>55805</v>
      </c>
      <c r="D14653" t="str">
        <f>"55805"</f>
        <v>55805</v>
      </c>
      <c r="E14653">
        <v>69</v>
      </c>
    </row>
    <row r="14654" spans="1:5" x14ac:dyDescent="0.2">
      <c r="A14654">
        <v>55806</v>
      </c>
      <c r="B14654" t="s">
        <v>29</v>
      </c>
      <c r="C14654">
        <v>55806</v>
      </c>
      <c r="D14654" t="str">
        <f>"55806"</f>
        <v>55806</v>
      </c>
      <c r="E14654">
        <v>67.510000000000005</v>
      </c>
    </row>
    <row r="14655" spans="1:5" x14ac:dyDescent="0.2">
      <c r="A14655">
        <v>55807</v>
      </c>
      <c r="B14655" t="s">
        <v>29</v>
      </c>
      <c r="C14655">
        <v>55807</v>
      </c>
      <c r="D14655" t="str">
        <f>"55807"</f>
        <v>55807</v>
      </c>
      <c r="E14655">
        <v>74.430000000000007</v>
      </c>
    </row>
    <row r="14656" spans="1:5" x14ac:dyDescent="0.2">
      <c r="A14656">
        <v>55808</v>
      </c>
      <c r="B14656" t="s">
        <v>29</v>
      </c>
      <c r="C14656">
        <v>55808</v>
      </c>
      <c r="D14656" t="str">
        <f>"55808"</f>
        <v>55808</v>
      </c>
      <c r="E14656">
        <v>73.02</v>
      </c>
    </row>
    <row r="14657" spans="1:5" x14ac:dyDescent="0.2">
      <c r="A14657">
        <v>55810</v>
      </c>
      <c r="B14657" t="s">
        <v>29</v>
      </c>
      <c r="C14657">
        <v>55810</v>
      </c>
      <c r="D14657" t="str">
        <f>"55810"</f>
        <v>55810</v>
      </c>
      <c r="E14657">
        <v>79.27</v>
      </c>
    </row>
    <row r="14658" spans="1:5" x14ac:dyDescent="0.2">
      <c r="A14658">
        <v>55811</v>
      </c>
      <c r="B14658" t="s">
        <v>29</v>
      </c>
      <c r="C14658">
        <v>55811</v>
      </c>
      <c r="D14658" t="str">
        <f>"55811"</f>
        <v>55811</v>
      </c>
      <c r="E14658">
        <v>79.319999999999993</v>
      </c>
    </row>
    <row r="14659" spans="1:5" x14ac:dyDescent="0.2">
      <c r="A14659">
        <v>55812</v>
      </c>
      <c r="B14659" t="s">
        <v>29</v>
      </c>
      <c r="C14659">
        <v>55812</v>
      </c>
      <c r="D14659" t="str">
        <f>"55812"</f>
        <v>55812</v>
      </c>
      <c r="E14659">
        <v>77.17</v>
      </c>
    </row>
    <row r="14660" spans="1:5" x14ac:dyDescent="0.2">
      <c r="A14660">
        <v>55901</v>
      </c>
      <c r="B14660" t="s">
        <v>29</v>
      </c>
      <c r="C14660">
        <v>55901</v>
      </c>
      <c r="D14660" t="str">
        <f>"55901"</f>
        <v>55901</v>
      </c>
      <c r="E14660">
        <v>78.16</v>
      </c>
    </row>
    <row r="14661" spans="1:5" x14ac:dyDescent="0.2">
      <c r="A14661">
        <v>55902</v>
      </c>
      <c r="B14661" t="s">
        <v>29</v>
      </c>
      <c r="C14661">
        <v>55902</v>
      </c>
      <c r="D14661" t="str">
        <f>"55902"</f>
        <v>55902</v>
      </c>
      <c r="E14661">
        <v>82.88</v>
      </c>
    </row>
    <row r="14662" spans="1:5" x14ac:dyDescent="0.2">
      <c r="A14662">
        <v>55904</v>
      </c>
      <c r="B14662" t="s">
        <v>29</v>
      </c>
      <c r="C14662">
        <v>55904</v>
      </c>
      <c r="D14662" t="str">
        <f>"55904"</f>
        <v>55904</v>
      </c>
      <c r="E14662">
        <v>74.540000000000006</v>
      </c>
    </row>
    <row r="14663" spans="1:5" x14ac:dyDescent="0.2">
      <c r="A14663">
        <v>55905</v>
      </c>
      <c r="B14663" t="s">
        <v>29</v>
      </c>
      <c r="C14663">
        <v>55905</v>
      </c>
      <c r="D14663" t="str">
        <f>"55905"</f>
        <v>55905</v>
      </c>
      <c r="E14663" t="s">
        <v>6</v>
      </c>
    </row>
    <row r="14664" spans="1:5" x14ac:dyDescent="0.2">
      <c r="A14664">
        <v>55906</v>
      </c>
      <c r="B14664" t="s">
        <v>29</v>
      </c>
      <c r="C14664">
        <v>55906</v>
      </c>
      <c r="D14664" t="str">
        <f>"55906"</f>
        <v>55906</v>
      </c>
      <c r="E14664">
        <v>78.83</v>
      </c>
    </row>
    <row r="14665" spans="1:5" x14ac:dyDescent="0.2">
      <c r="A14665">
        <v>55909</v>
      </c>
      <c r="B14665" t="s">
        <v>29</v>
      </c>
      <c r="C14665">
        <v>55909</v>
      </c>
      <c r="D14665" t="str">
        <f>"55909"</f>
        <v>55909</v>
      </c>
      <c r="E14665">
        <v>79.03</v>
      </c>
    </row>
    <row r="14666" spans="1:5" x14ac:dyDescent="0.2">
      <c r="A14666">
        <v>55910</v>
      </c>
      <c r="B14666" t="s">
        <v>29</v>
      </c>
      <c r="C14666">
        <v>55910</v>
      </c>
      <c r="D14666" t="str">
        <f>"55910"</f>
        <v>55910</v>
      </c>
      <c r="E14666">
        <v>73.849999999999994</v>
      </c>
    </row>
    <row r="14667" spans="1:5" x14ac:dyDescent="0.2">
      <c r="A14667">
        <v>55912</v>
      </c>
      <c r="B14667" t="s">
        <v>29</v>
      </c>
      <c r="C14667">
        <v>55912</v>
      </c>
      <c r="D14667" t="str">
        <f>"55912"</f>
        <v>55912</v>
      </c>
      <c r="E14667">
        <v>69.05</v>
      </c>
    </row>
    <row r="14668" spans="1:5" x14ac:dyDescent="0.2">
      <c r="A14668">
        <v>55917</v>
      </c>
      <c r="B14668" t="s">
        <v>29</v>
      </c>
      <c r="C14668">
        <v>55917</v>
      </c>
      <c r="D14668" t="str">
        <f>"55917"</f>
        <v>55917</v>
      </c>
      <c r="E14668">
        <v>75</v>
      </c>
    </row>
    <row r="14669" spans="1:5" x14ac:dyDescent="0.2">
      <c r="A14669">
        <v>55918</v>
      </c>
      <c r="B14669" t="s">
        <v>29</v>
      </c>
      <c r="C14669">
        <v>55918</v>
      </c>
      <c r="D14669" t="str">
        <f>"55918"</f>
        <v>55918</v>
      </c>
      <c r="E14669">
        <v>78.260000000000005</v>
      </c>
    </row>
    <row r="14670" spans="1:5" x14ac:dyDescent="0.2">
      <c r="A14670">
        <v>55919</v>
      </c>
      <c r="B14670" t="s">
        <v>29</v>
      </c>
      <c r="C14670">
        <v>55919</v>
      </c>
      <c r="D14670" t="str">
        <f>"55919"</f>
        <v>55919</v>
      </c>
      <c r="E14670">
        <v>78</v>
      </c>
    </row>
    <row r="14671" spans="1:5" x14ac:dyDescent="0.2">
      <c r="A14671">
        <v>55920</v>
      </c>
      <c r="B14671" t="s">
        <v>29</v>
      </c>
      <c r="C14671">
        <v>55920</v>
      </c>
      <c r="D14671" t="str">
        <f>"55920"</f>
        <v>55920</v>
      </c>
      <c r="E14671">
        <v>81.38</v>
      </c>
    </row>
    <row r="14672" spans="1:5" x14ac:dyDescent="0.2">
      <c r="A14672">
        <v>55921</v>
      </c>
      <c r="B14672" t="s">
        <v>29</v>
      </c>
      <c r="C14672">
        <v>55921</v>
      </c>
      <c r="D14672" t="str">
        <f>"55921"</f>
        <v>55921</v>
      </c>
      <c r="E14672">
        <v>72.930000000000007</v>
      </c>
    </row>
    <row r="14673" spans="1:5" x14ac:dyDescent="0.2">
      <c r="A14673">
        <v>55922</v>
      </c>
      <c r="B14673" t="s">
        <v>29</v>
      </c>
      <c r="C14673">
        <v>55922</v>
      </c>
      <c r="D14673" t="str">
        <f>"55922"</f>
        <v>55922</v>
      </c>
      <c r="E14673">
        <v>66.67</v>
      </c>
    </row>
    <row r="14674" spans="1:5" x14ac:dyDescent="0.2">
      <c r="A14674">
        <v>55923</v>
      </c>
      <c r="B14674" t="s">
        <v>29</v>
      </c>
      <c r="C14674">
        <v>55923</v>
      </c>
      <c r="D14674" t="str">
        <f>"55923"</f>
        <v>55923</v>
      </c>
      <c r="E14674">
        <v>76</v>
      </c>
    </row>
    <row r="14675" spans="1:5" x14ac:dyDescent="0.2">
      <c r="A14675">
        <v>55924</v>
      </c>
      <c r="B14675" t="s">
        <v>29</v>
      </c>
      <c r="C14675">
        <v>55924</v>
      </c>
      <c r="D14675" t="str">
        <f>"55924"</f>
        <v>55924</v>
      </c>
      <c r="E14675">
        <v>76.67</v>
      </c>
    </row>
    <row r="14676" spans="1:5" x14ac:dyDescent="0.2">
      <c r="A14676">
        <v>55925</v>
      </c>
      <c r="B14676" t="s">
        <v>29</v>
      </c>
      <c r="C14676">
        <v>55925</v>
      </c>
      <c r="D14676" t="str">
        <f>"55925"</f>
        <v>55925</v>
      </c>
      <c r="E14676">
        <v>78.569999999999993</v>
      </c>
    </row>
    <row r="14677" spans="1:5" x14ac:dyDescent="0.2">
      <c r="A14677">
        <v>55926</v>
      </c>
      <c r="B14677" t="s">
        <v>29</v>
      </c>
      <c r="C14677">
        <v>55926</v>
      </c>
      <c r="D14677" t="str">
        <f>"55926"</f>
        <v>55926</v>
      </c>
      <c r="E14677">
        <v>81.08</v>
      </c>
    </row>
    <row r="14678" spans="1:5" x14ac:dyDescent="0.2">
      <c r="A14678">
        <v>55927</v>
      </c>
      <c r="B14678" t="s">
        <v>29</v>
      </c>
      <c r="C14678">
        <v>55927</v>
      </c>
      <c r="D14678" t="str">
        <f>"55927"</f>
        <v>55927</v>
      </c>
      <c r="E14678">
        <v>75</v>
      </c>
    </row>
    <row r="14679" spans="1:5" x14ac:dyDescent="0.2">
      <c r="A14679">
        <v>55929</v>
      </c>
      <c r="B14679" t="s">
        <v>29</v>
      </c>
      <c r="C14679">
        <v>55929</v>
      </c>
      <c r="D14679" t="str">
        <f>"55929"</f>
        <v>55929</v>
      </c>
      <c r="E14679">
        <v>82.76</v>
      </c>
    </row>
    <row r="14680" spans="1:5" x14ac:dyDescent="0.2">
      <c r="A14680">
        <v>55931</v>
      </c>
      <c r="B14680" t="s">
        <v>29</v>
      </c>
      <c r="C14680">
        <v>55931</v>
      </c>
      <c r="D14680" t="str">
        <f>"55931"</f>
        <v>55931</v>
      </c>
      <c r="E14680">
        <v>72.22</v>
      </c>
    </row>
    <row r="14681" spans="1:5" x14ac:dyDescent="0.2">
      <c r="A14681">
        <v>55932</v>
      </c>
      <c r="B14681" t="s">
        <v>29</v>
      </c>
      <c r="C14681">
        <v>55932</v>
      </c>
      <c r="D14681" t="str">
        <f>"55932"</f>
        <v>55932</v>
      </c>
      <c r="E14681">
        <v>82.52</v>
      </c>
    </row>
    <row r="14682" spans="1:5" x14ac:dyDescent="0.2">
      <c r="A14682">
        <v>55933</v>
      </c>
      <c r="B14682" t="s">
        <v>29</v>
      </c>
      <c r="C14682">
        <v>55933</v>
      </c>
      <c r="D14682" t="str">
        <f>"55933"</f>
        <v>55933</v>
      </c>
      <c r="E14682">
        <v>75</v>
      </c>
    </row>
    <row r="14683" spans="1:5" x14ac:dyDescent="0.2">
      <c r="A14683">
        <v>55934</v>
      </c>
      <c r="B14683" t="s">
        <v>29</v>
      </c>
      <c r="C14683">
        <v>55934</v>
      </c>
      <c r="D14683" t="str">
        <f>"55934"</f>
        <v>55934</v>
      </c>
      <c r="E14683">
        <v>79.760000000000005</v>
      </c>
    </row>
    <row r="14684" spans="1:5" x14ac:dyDescent="0.2">
      <c r="A14684">
        <v>55935</v>
      </c>
      <c r="B14684" t="s">
        <v>29</v>
      </c>
      <c r="C14684">
        <v>55935</v>
      </c>
      <c r="D14684" t="str">
        <f>"55935"</f>
        <v>55935</v>
      </c>
      <c r="E14684">
        <v>73.33</v>
      </c>
    </row>
    <row r="14685" spans="1:5" x14ac:dyDescent="0.2">
      <c r="A14685">
        <v>55936</v>
      </c>
      <c r="B14685" t="s">
        <v>29</v>
      </c>
      <c r="C14685">
        <v>55936</v>
      </c>
      <c r="D14685" t="str">
        <f>"55936"</f>
        <v>55936</v>
      </c>
      <c r="E14685">
        <v>75.27</v>
      </c>
    </row>
    <row r="14686" spans="1:5" x14ac:dyDescent="0.2">
      <c r="A14686">
        <v>55939</v>
      </c>
      <c r="B14686" t="s">
        <v>29</v>
      </c>
      <c r="C14686">
        <v>55939</v>
      </c>
      <c r="D14686" t="str">
        <f>"55939"</f>
        <v>55939</v>
      </c>
      <c r="E14686">
        <v>69.319999999999993</v>
      </c>
    </row>
    <row r="14687" spans="1:5" x14ac:dyDescent="0.2">
      <c r="A14687">
        <v>55940</v>
      </c>
      <c r="B14687" t="s">
        <v>29</v>
      </c>
      <c r="C14687">
        <v>55940</v>
      </c>
      <c r="D14687" t="str">
        <f>"55940"</f>
        <v>55940</v>
      </c>
      <c r="E14687">
        <v>76.23</v>
      </c>
    </row>
    <row r="14688" spans="1:5" x14ac:dyDescent="0.2">
      <c r="A14688">
        <v>55941</v>
      </c>
      <c r="B14688" t="s">
        <v>29</v>
      </c>
      <c r="C14688">
        <v>55941</v>
      </c>
      <c r="D14688" t="str">
        <f>"55941"</f>
        <v>55941</v>
      </c>
      <c r="E14688">
        <v>76.47</v>
      </c>
    </row>
    <row r="14689" spans="1:5" x14ac:dyDescent="0.2">
      <c r="A14689">
        <v>55943</v>
      </c>
      <c r="B14689" t="s">
        <v>29</v>
      </c>
      <c r="C14689">
        <v>55943</v>
      </c>
      <c r="D14689" t="str">
        <f>"55943"</f>
        <v>55943</v>
      </c>
      <c r="E14689">
        <v>75.86</v>
      </c>
    </row>
    <row r="14690" spans="1:5" x14ac:dyDescent="0.2">
      <c r="A14690">
        <v>55944</v>
      </c>
      <c r="B14690" t="s">
        <v>29</v>
      </c>
      <c r="C14690">
        <v>55944</v>
      </c>
      <c r="D14690" t="str">
        <f>"55944"</f>
        <v>55944</v>
      </c>
      <c r="E14690">
        <v>77.92</v>
      </c>
    </row>
    <row r="14691" spans="1:5" x14ac:dyDescent="0.2">
      <c r="A14691">
        <v>55945</v>
      </c>
      <c r="B14691" t="s">
        <v>29</v>
      </c>
      <c r="C14691">
        <v>55945</v>
      </c>
      <c r="D14691" t="str">
        <f>"55945"</f>
        <v>55945</v>
      </c>
      <c r="E14691">
        <v>73.97</v>
      </c>
    </row>
    <row r="14692" spans="1:5" x14ac:dyDescent="0.2">
      <c r="A14692">
        <v>55946</v>
      </c>
      <c r="B14692" t="s">
        <v>29</v>
      </c>
      <c r="C14692">
        <v>55946</v>
      </c>
      <c r="D14692" t="str">
        <f>"55946"</f>
        <v>55946</v>
      </c>
      <c r="E14692">
        <v>77.849999999999994</v>
      </c>
    </row>
    <row r="14693" spans="1:5" x14ac:dyDescent="0.2">
      <c r="A14693">
        <v>55947</v>
      </c>
      <c r="B14693" t="s">
        <v>29</v>
      </c>
      <c r="C14693">
        <v>55947</v>
      </c>
      <c r="D14693" t="str">
        <f>"55947"</f>
        <v>55947</v>
      </c>
      <c r="E14693">
        <v>78.19</v>
      </c>
    </row>
    <row r="14694" spans="1:5" x14ac:dyDescent="0.2">
      <c r="A14694">
        <v>55949</v>
      </c>
      <c r="B14694" t="s">
        <v>29</v>
      </c>
      <c r="C14694">
        <v>55949</v>
      </c>
      <c r="D14694" t="str">
        <f>"55949"</f>
        <v>55949</v>
      </c>
      <c r="E14694">
        <v>70.97</v>
      </c>
    </row>
    <row r="14695" spans="1:5" x14ac:dyDescent="0.2">
      <c r="A14695">
        <v>55950</v>
      </c>
      <c r="B14695" t="s">
        <v>29</v>
      </c>
      <c r="C14695">
        <v>55950</v>
      </c>
      <c r="D14695" t="str">
        <f>"55950"</f>
        <v>55950</v>
      </c>
      <c r="E14695" t="s">
        <v>6</v>
      </c>
    </row>
    <row r="14696" spans="1:5" x14ac:dyDescent="0.2">
      <c r="A14696">
        <v>55951</v>
      </c>
      <c r="B14696" t="s">
        <v>29</v>
      </c>
      <c r="C14696">
        <v>55951</v>
      </c>
      <c r="D14696" t="str">
        <f>"55951"</f>
        <v>55951</v>
      </c>
      <c r="E14696">
        <v>75</v>
      </c>
    </row>
    <row r="14697" spans="1:5" x14ac:dyDescent="0.2">
      <c r="A14697">
        <v>55952</v>
      </c>
      <c r="B14697" t="s">
        <v>29</v>
      </c>
      <c r="C14697">
        <v>55952</v>
      </c>
      <c r="D14697" t="str">
        <f>"55952"</f>
        <v>55952</v>
      </c>
      <c r="E14697">
        <v>74.56</v>
      </c>
    </row>
    <row r="14698" spans="1:5" x14ac:dyDescent="0.2">
      <c r="A14698">
        <v>55953</v>
      </c>
      <c r="B14698" t="s">
        <v>29</v>
      </c>
      <c r="C14698">
        <v>55953</v>
      </c>
      <c r="D14698" t="str">
        <f>"55953"</f>
        <v>55953</v>
      </c>
      <c r="E14698">
        <v>71.430000000000007</v>
      </c>
    </row>
    <row r="14699" spans="1:5" x14ac:dyDescent="0.2">
      <c r="A14699">
        <v>55954</v>
      </c>
      <c r="B14699" t="s">
        <v>29</v>
      </c>
      <c r="C14699">
        <v>55954</v>
      </c>
      <c r="D14699" t="str">
        <f>"55954"</f>
        <v>55954</v>
      </c>
      <c r="E14699">
        <v>70.150000000000006</v>
      </c>
    </row>
    <row r="14700" spans="1:5" x14ac:dyDescent="0.2">
      <c r="A14700">
        <v>55955</v>
      </c>
      <c r="B14700" t="s">
        <v>29</v>
      </c>
      <c r="C14700">
        <v>55955</v>
      </c>
      <c r="D14700" t="str">
        <f>"55955"</f>
        <v>55955</v>
      </c>
      <c r="E14700">
        <v>81.16</v>
      </c>
    </row>
    <row r="14701" spans="1:5" x14ac:dyDescent="0.2">
      <c r="A14701">
        <v>55956</v>
      </c>
      <c r="B14701" t="s">
        <v>29</v>
      </c>
      <c r="C14701">
        <v>55956</v>
      </c>
      <c r="D14701" t="str">
        <f>"55956"</f>
        <v>55956</v>
      </c>
      <c r="E14701">
        <v>79.790000000000006</v>
      </c>
    </row>
    <row r="14702" spans="1:5" x14ac:dyDescent="0.2">
      <c r="A14702">
        <v>55957</v>
      </c>
      <c r="B14702" t="s">
        <v>29</v>
      </c>
      <c r="C14702">
        <v>55957</v>
      </c>
      <c r="D14702" t="str">
        <f>"55957"</f>
        <v>55957</v>
      </c>
      <c r="E14702">
        <v>80</v>
      </c>
    </row>
    <row r="14703" spans="1:5" x14ac:dyDescent="0.2">
      <c r="A14703">
        <v>55959</v>
      </c>
      <c r="B14703" t="s">
        <v>29</v>
      </c>
      <c r="C14703">
        <v>55959</v>
      </c>
      <c r="D14703" t="str">
        <f>"55959"</f>
        <v>55959</v>
      </c>
      <c r="E14703">
        <v>76.7</v>
      </c>
    </row>
    <row r="14704" spans="1:5" x14ac:dyDescent="0.2">
      <c r="A14704">
        <v>55960</v>
      </c>
      <c r="B14704" t="s">
        <v>29</v>
      </c>
      <c r="C14704">
        <v>55960</v>
      </c>
      <c r="D14704" t="str">
        <f>"55960"</f>
        <v>55960</v>
      </c>
      <c r="E14704">
        <v>82.1</v>
      </c>
    </row>
    <row r="14705" spans="1:5" x14ac:dyDescent="0.2">
      <c r="A14705">
        <v>55961</v>
      </c>
      <c r="B14705" t="s">
        <v>29</v>
      </c>
      <c r="C14705">
        <v>55961</v>
      </c>
      <c r="D14705" t="str">
        <f>"55961"</f>
        <v>55961</v>
      </c>
      <c r="E14705">
        <v>75</v>
      </c>
    </row>
    <row r="14706" spans="1:5" x14ac:dyDescent="0.2">
      <c r="A14706">
        <v>55962</v>
      </c>
      <c r="B14706" t="s">
        <v>29</v>
      </c>
      <c r="C14706">
        <v>55962</v>
      </c>
      <c r="D14706" t="str">
        <f>"55962"</f>
        <v>55962</v>
      </c>
      <c r="E14706">
        <v>65.709999999999994</v>
      </c>
    </row>
    <row r="14707" spans="1:5" x14ac:dyDescent="0.2">
      <c r="A14707">
        <v>55963</v>
      </c>
      <c r="B14707" t="s">
        <v>29</v>
      </c>
      <c r="C14707">
        <v>55963</v>
      </c>
      <c r="D14707" t="str">
        <f>"55963"</f>
        <v>55963</v>
      </c>
      <c r="E14707">
        <v>80</v>
      </c>
    </row>
    <row r="14708" spans="1:5" x14ac:dyDescent="0.2">
      <c r="A14708">
        <v>55964</v>
      </c>
      <c r="B14708" t="s">
        <v>29</v>
      </c>
      <c r="C14708">
        <v>55964</v>
      </c>
      <c r="D14708" t="str">
        <f>"55964"</f>
        <v>55964</v>
      </c>
      <c r="E14708">
        <v>75.78</v>
      </c>
    </row>
    <row r="14709" spans="1:5" x14ac:dyDescent="0.2">
      <c r="A14709">
        <v>55965</v>
      </c>
      <c r="B14709" t="s">
        <v>29</v>
      </c>
      <c r="C14709">
        <v>55965</v>
      </c>
      <c r="D14709" t="str">
        <f>"55965"</f>
        <v>55965</v>
      </c>
      <c r="E14709">
        <v>73.150000000000006</v>
      </c>
    </row>
    <row r="14710" spans="1:5" x14ac:dyDescent="0.2">
      <c r="A14710">
        <v>55967</v>
      </c>
      <c r="B14710" t="s">
        <v>29</v>
      </c>
      <c r="C14710">
        <v>55967</v>
      </c>
      <c r="D14710" t="str">
        <f>"55967"</f>
        <v>55967</v>
      </c>
      <c r="E14710">
        <v>82.22</v>
      </c>
    </row>
    <row r="14711" spans="1:5" x14ac:dyDescent="0.2">
      <c r="A14711">
        <v>55968</v>
      </c>
      <c r="B14711" t="s">
        <v>29</v>
      </c>
      <c r="C14711">
        <v>55968</v>
      </c>
      <c r="D14711" t="str">
        <f>"55968"</f>
        <v>55968</v>
      </c>
      <c r="E14711" t="s">
        <v>6</v>
      </c>
    </row>
    <row r="14712" spans="1:5" x14ac:dyDescent="0.2">
      <c r="A14712">
        <v>55969</v>
      </c>
      <c r="B14712" t="s">
        <v>29</v>
      </c>
      <c r="C14712">
        <v>55969</v>
      </c>
      <c r="D14712" t="str">
        <f>"55969"</f>
        <v>55969</v>
      </c>
      <c r="E14712">
        <v>76.92</v>
      </c>
    </row>
    <row r="14713" spans="1:5" x14ac:dyDescent="0.2">
      <c r="A14713">
        <v>55970</v>
      </c>
      <c r="B14713" t="s">
        <v>29</v>
      </c>
      <c r="C14713">
        <v>55970</v>
      </c>
      <c r="D14713" t="str">
        <f>"55970"</f>
        <v>55970</v>
      </c>
      <c r="E14713">
        <v>73.81</v>
      </c>
    </row>
    <row r="14714" spans="1:5" x14ac:dyDescent="0.2">
      <c r="A14714">
        <v>55971</v>
      </c>
      <c r="B14714" t="s">
        <v>29</v>
      </c>
      <c r="C14714">
        <v>55971</v>
      </c>
      <c r="D14714" t="str">
        <f>"55971"</f>
        <v>55971</v>
      </c>
      <c r="E14714">
        <v>74.83</v>
      </c>
    </row>
    <row r="14715" spans="1:5" x14ac:dyDescent="0.2">
      <c r="A14715">
        <v>55972</v>
      </c>
      <c r="B14715" t="s">
        <v>29</v>
      </c>
      <c r="C14715">
        <v>55972</v>
      </c>
      <c r="D14715" t="str">
        <f>"55972"</f>
        <v>55972</v>
      </c>
      <c r="E14715">
        <v>76.150000000000006</v>
      </c>
    </row>
    <row r="14716" spans="1:5" x14ac:dyDescent="0.2">
      <c r="A14716">
        <v>55973</v>
      </c>
      <c r="B14716" t="s">
        <v>29</v>
      </c>
      <c r="C14716">
        <v>55973</v>
      </c>
      <c r="D14716" t="str">
        <f>"55973"</f>
        <v>55973</v>
      </c>
      <c r="E14716">
        <v>71.430000000000007</v>
      </c>
    </row>
    <row r="14717" spans="1:5" x14ac:dyDescent="0.2">
      <c r="A14717">
        <v>55974</v>
      </c>
      <c r="B14717" t="s">
        <v>29</v>
      </c>
      <c r="C14717">
        <v>55974</v>
      </c>
      <c r="D14717" t="str">
        <f>"55974"</f>
        <v>55974</v>
      </c>
      <c r="E14717">
        <v>70.83</v>
      </c>
    </row>
    <row r="14718" spans="1:5" x14ac:dyDescent="0.2">
      <c r="A14718">
        <v>55975</v>
      </c>
      <c r="B14718" t="s">
        <v>29</v>
      </c>
      <c r="C14718">
        <v>55975</v>
      </c>
      <c r="D14718" t="str">
        <f>"55975"</f>
        <v>55975</v>
      </c>
      <c r="E14718">
        <v>75.88</v>
      </c>
    </row>
    <row r="14719" spans="1:5" x14ac:dyDescent="0.2">
      <c r="A14719">
        <v>55976</v>
      </c>
      <c r="B14719" t="s">
        <v>29</v>
      </c>
      <c r="C14719">
        <v>55976</v>
      </c>
      <c r="D14719" t="str">
        <f>"55976"</f>
        <v>55976</v>
      </c>
      <c r="E14719">
        <v>76</v>
      </c>
    </row>
    <row r="14720" spans="1:5" x14ac:dyDescent="0.2">
      <c r="A14720">
        <v>55977</v>
      </c>
      <c r="B14720" t="s">
        <v>29</v>
      </c>
      <c r="C14720">
        <v>55977</v>
      </c>
      <c r="D14720" t="str">
        <f>"55977"</f>
        <v>55977</v>
      </c>
      <c r="E14720" t="s">
        <v>6</v>
      </c>
    </row>
    <row r="14721" spans="1:5" x14ac:dyDescent="0.2">
      <c r="A14721">
        <v>55979</v>
      </c>
      <c r="B14721" t="s">
        <v>29</v>
      </c>
      <c r="C14721">
        <v>55979</v>
      </c>
      <c r="D14721" t="str">
        <f>"55979"</f>
        <v>55979</v>
      </c>
      <c r="E14721">
        <v>70.45</v>
      </c>
    </row>
    <row r="14722" spans="1:5" x14ac:dyDescent="0.2">
      <c r="A14722">
        <v>55981</v>
      </c>
      <c r="B14722" t="s">
        <v>29</v>
      </c>
      <c r="C14722">
        <v>55981</v>
      </c>
      <c r="D14722" t="str">
        <f>"55981"</f>
        <v>55981</v>
      </c>
      <c r="E14722">
        <v>74.88</v>
      </c>
    </row>
    <row r="14723" spans="1:5" x14ac:dyDescent="0.2">
      <c r="A14723">
        <v>55982</v>
      </c>
      <c r="B14723" t="s">
        <v>29</v>
      </c>
      <c r="C14723">
        <v>55982</v>
      </c>
      <c r="D14723" t="str">
        <f>"55982"</f>
        <v>55982</v>
      </c>
      <c r="E14723">
        <v>75</v>
      </c>
    </row>
    <row r="14724" spans="1:5" x14ac:dyDescent="0.2">
      <c r="A14724">
        <v>55983</v>
      </c>
      <c r="B14724" t="s">
        <v>29</v>
      </c>
      <c r="C14724">
        <v>55983</v>
      </c>
      <c r="D14724" t="str">
        <f>"55983"</f>
        <v>55983</v>
      </c>
      <c r="E14724">
        <v>77.33</v>
      </c>
    </row>
    <row r="14725" spans="1:5" x14ac:dyDescent="0.2">
      <c r="A14725">
        <v>55985</v>
      </c>
      <c r="B14725" t="s">
        <v>29</v>
      </c>
      <c r="C14725">
        <v>55985</v>
      </c>
      <c r="D14725" t="str">
        <f>"55985"</f>
        <v>55985</v>
      </c>
      <c r="E14725">
        <v>73.33</v>
      </c>
    </row>
    <row r="14726" spans="1:5" x14ac:dyDescent="0.2">
      <c r="A14726">
        <v>55987</v>
      </c>
      <c r="B14726" t="s">
        <v>29</v>
      </c>
      <c r="C14726">
        <v>55987</v>
      </c>
      <c r="D14726" t="str">
        <f>"55987"</f>
        <v>55987</v>
      </c>
      <c r="E14726">
        <v>74.45</v>
      </c>
    </row>
    <row r="14727" spans="1:5" x14ac:dyDescent="0.2">
      <c r="A14727">
        <v>55990</v>
      </c>
      <c r="B14727" t="s">
        <v>29</v>
      </c>
      <c r="C14727">
        <v>55990</v>
      </c>
      <c r="D14727" t="str">
        <f>"55990"</f>
        <v>55990</v>
      </c>
      <c r="E14727">
        <v>72.73</v>
      </c>
    </row>
    <row r="14728" spans="1:5" x14ac:dyDescent="0.2">
      <c r="A14728">
        <v>55991</v>
      </c>
      <c r="B14728" t="s">
        <v>29</v>
      </c>
      <c r="C14728">
        <v>55991</v>
      </c>
      <c r="D14728" t="str">
        <f>"55991"</f>
        <v>55991</v>
      </c>
      <c r="E14728">
        <v>77.61</v>
      </c>
    </row>
    <row r="14729" spans="1:5" x14ac:dyDescent="0.2">
      <c r="A14729">
        <v>55992</v>
      </c>
      <c r="B14729" t="s">
        <v>29</v>
      </c>
      <c r="C14729">
        <v>55992</v>
      </c>
      <c r="D14729" t="str">
        <f>"55992"</f>
        <v>55992</v>
      </c>
      <c r="E14729">
        <v>79.59</v>
      </c>
    </row>
    <row r="14730" spans="1:5" x14ac:dyDescent="0.2">
      <c r="A14730">
        <v>56001</v>
      </c>
      <c r="B14730" t="s">
        <v>29</v>
      </c>
      <c r="C14730">
        <v>56001</v>
      </c>
      <c r="D14730" t="str">
        <f>"56001"</f>
        <v>56001</v>
      </c>
      <c r="E14730">
        <v>70.819999999999993</v>
      </c>
    </row>
    <row r="14731" spans="1:5" x14ac:dyDescent="0.2">
      <c r="A14731">
        <v>56003</v>
      </c>
      <c r="B14731" t="s">
        <v>29</v>
      </c>
      <c r="C14731">
        <v>56003</v>
      </c>
      <c r="D14731" t="str">
        <f>"56003"</f>
        <v>56003</v>
      </c>
      <c r="E14731">
        <v>76.87</v>
      </c>
    </row>
    <row r="14732" spans="1:5" x14ac:dyDescent="0.2">
      <c r="A14732">
        <v>56007</v>
      </c>
      <c r="B14732" t="s">
        <v>29</v>
      </c>
      <c r="C14732">
        <v>56007</v>
      </c>
      <c r="D14732" t="str">
        <f>"56007"</f>
        <v>56007</v>
      </c>
      <c r="E14732">
        <v>71.23</v>
      </c>
    </row>
    <row r="14733" spans="1:5" x14ac:dyDescent="0.2">
      <c r="A14733">
        <v>56009</v>
      </c>
      <c r="B14733" t="s">
        <v>29</v>
      </c>
      <c r="C14733">
        <v>56009</v>
      </c>
      <c r="D14733" t="str">
        <f>"56009"</f>
        <v>56009</v>
      </c>
      <c r="E14733">
        <v>76</v>
      </c>
    </row>
    <row r="14734" spans="1:5" x14ac:dyDescent="0.2">
      <c r="A14734">
        <v>56010</v>
      </c>
      <c r="B14734" t="s">
        <v>29</v>
      </c>
      <c r="C14734">
        <v>56010</v>
      </c>
      <c r="D14734" t="str">
        <f>"56010"</f>
        <v>56010</v>
      </c>
      <c r="E14734">
        <v>76.47</v>
      </c>
    </row>
    <row r="14735" spans="1:5" x14ac:dyDescent="0.2">
      <c r="A14735">
        <v>56011</v>
      </c>
      <c r="B14735" t="s">
        <v>29</v>
      </c>
      <c r="C14735">
        <v>56011</v>
      </c>
      <c r="D14735" t="str">
        <f>"56011"</f>
        <v>56011</v>
      </c>
      <c r="E14735">
        <v>79.52</v>
      </c>
    </row>
    <row r="14736" spans="1:5" x14ac:dyDescent="0.2">
      <c r="A14736">
        <v>56013</v>
      </c>
      <c r="B14736" t="s">
        <v>29</v>
      </c>
      <c r="C14736">
        <v>56013</v>
      </c>
      <c r="D14736" t="str">
        <f>"56013"</f>
        <v>56013</v>
      </c>
      <c r="E14736">
        <v>72.09</v>
      </c>
    </row>
    <row r="14737" spans="1:5" x14ac:dyDescent="0.2">
      <c r="A14737">
        <v>56014</v>
      </c>
      <c r="B14737" t="s">
        <v>29</v>
      </c>
      <c r="C14737">
        <v>56014</v>
      </c>
      <c r="D14737" t="str">
        <f>"56014"</f>
        <v>56014</v>
      </c>
      <c r="E14737">
        <v>67.650000000000006</v>
      </c>
    </row>
    <row r="14738" spans="1:5" x14ac:dyDescent="0.2">
      <c r="A14738">
        <v>56016</v>
      </c>
      <c r="B14738" t="s">
        <v>29</v>
      </c>
      <c r="C14738">
        <v>56016</v>
      </c>
      <c r="D14738" t="str">
        <f>"56016"</f>
        <v>56016</v>
      </c>
      <c r="E14738">
        <v>74.47</v>
      </c>
    </row>
    <row r="14739" spans="1:5" x14ac:dyDescent="0.2">
      <c r="A14739">
        <v>56017</v>
      </c>
      <c r="B14739" t="s">
        <v>29</v>
      </c>
      <c r="C14739">
        <v>56017</v>
      </c>
      <c r="D14739" t="str">
        <f>"56017"</f>
        <v>56017</v>
      </c>
      <c r="E14739">
        <v>82.35</v>
      </c>
    </row>
    <row r="14740" spans="1:5" x14ac:dyDescent="0.2">
      <c r="A14740">
        <v>56019</v>
      </c>
      <c r="B14740" t="s">
        <v>29</v>
      </c>
      <c r="C14740">
        <v>56019</v>
      </c>
      <c r="D14740" t="str">
        <f>"56019"</f>
        <v>56019</v>
      </c>
      <c r="E14740">
        <v>68.290000000000006</v>
      </c>
    </row>
    <row r="14741" spans="1:5" x14ac:dyDescent="0.2">
      <c r="A14741">
        <v>56020</v>
      </c>
      <c r="B14741" t="s">
        <v>29</v>
      </c>
      <c r="C14741">
        <v>56020</v>
      </c>
      <c r="D14741" t="str">
        <f>"56020"</f>
        <v>56020</v>
      </c>
      <c r="E14741" t="s">
        <v>6</v>
      </c>
    </row>
    <row r="14742" spans="1:5" x14ac:dyDescent="0.2">
      <c r="A14742">
        <v>56021</v>
      </c>
      <c r="B14742" t="s">
        <v>29</v>
      </c>
      <c r="C14742">
        <v>56021</v>
      </c>
      <c r="D14742" t="str">
        <f>"56021"</f>
        <v>56021</v>
      </c>
      <c r="E14742">
        <v>78.569999999999993</v>
      </c>
    </row>
    <row r="14743" spans="1:5" x14ac:dyDescent="0.2">
      <c r="A14743">
        <v>56022</v>
      </c>
      <c r="B14743" t="s">
        <v>29</v>
      </c>
      <c r="C14743">
        <v>56022</v>
      </c>
      <c r="D14743" t="str">
        <f>"56022"</f>
        <v>56022</v>
      </c>
      <c r="E14743" t="s">
        <v>6</v>
      </c>
    </row>
    <row r="14744" spans="1:5" x14ac:dyDescent="0.2">
      <c r="A14744">
        <v>56023</v>
      </c>
      <c r="B14744" t="s">
        <v>29</v>
      </c>
      <c r="C14744">
        <v>56023</v>
      </c>
      <c r="D14744" t="str">
        <f>"56023"</f>
        <v>56023</v>
      </c>
      <c r="E14744">
        <v>65.38</v>
      </c>
    </row>
    <row r="14745" spans="1:5" x14ac:dyDescent="0.2">
      <c r="A14745">
        <v>56024</v>
      </c>
      <c r="B14745" t="s">
        <v>29</v>
      </c>
      <c r="C14745">
        <v>56024</v>
      </c>
      <c r="D14745" t="str">
        <f>"56024"</f>
        <v>56024</v>
      </c>
      <c r="E14745">
        <v>77.84</v>
      </c>
    </row>
    <row r="14746" spans="1:5" x14ac:dyDescent="0.2">
      <c r="A14746">
        <v>56025</v>
      </c>
      <c r="B14746" t="s">
        <v>29</v>
      </c>
      <c r="C14746">
        <v>56025</v>
      </c>
      <c r="D14746" t="str">
        <f>"56025"</f>
        <v>56025</v>
      </c>
      <c r="E14746">
        <v>80</v>
      </c>
    </row>
    <row r="14747" spans="1:5" x14ac:dyDescent="0.2">
      <c r="A14747">
        <v>56026</v>
      </c>
      <c r="B14747" t="s">
        <v>29</v>
      </c>
      <c r="C14747">
        <v>56026</v>
      </c>
      <c r="D14747" t="str">
        <f>"56026"</f>
        <v>56026</v>
      </c>
      <c r="E14747">
        <v>76.040000000000006</v>
      </c>
    </row>
    <row r="14748" spans="1:5" x14ac:dyDescent="0.2">
      <c r="A14748">
        <v>56027</v>
      </c>
      <c r="B14748" t="s">
        <v>29</v>
      </c>
      <c r="C14748">
        <v>56027</v>
      </c>
      <c r="D14748" t="str">
        <f>"56027"</f>
        <v>56027</v>
      </c>
      <c r="E14748">
        <v>63.89</v>
      </c>
    </row>
    <row r="14749" spans="1:5" x14ac:dyDescent="0.2">
      <c r="A14749">
        <v>56028</v>
      </c>
      <c r="B14749" t="s">
        <v>29</v>
      </c>
      <c r="C14749">
        <v>56028</v>
      </c>
      <c r="D14749" t="str">
        <f>"56028"</f>
        <v>56028</v>
      </c>
      <c r="E14749">
        <v>80.599999999999994</v>
      </c>
    </row>
    <row r="14750" spans="1:5" x14ac:dyDescent="0.2">
      <c r="A14750">
        <v>56029</v>
      </c>
      <c r="B14750" t="s">
        <v>29</v>
      </c>
      <c r="C14750">
        <v>56029</v>
      </c>
      <c r="D14750" t="str">
        <f>"56029"</f>
        <v>56029</v>
      </c>
      <c r="E14750">
        <v>78.790000000000006</v>
      </c>
    </row>
    <row r="14751" spans="1:5" x14ac:dyDescent="0.2">
      <c r="A14751">
        <v>56031</v>
      </c>
      <c r="B14751" t="s">
        <v>29</v>
      </c>
      <c r="C14751">
        <v>56031</v>
      </c>
      <c r="D14751" t="str">
        <f>"56031"</f>
        <v>56031</v>
      </c>
      <c r="E14751">
        <v>68.8</v>
      </c>
    </row>
    <row r="14752" spans="1:5" x14ac:dyDescent="0.2">
      <c r="A14752">
        <v>56032</v>
      </c>
      <c r="B14752" t="s">
        <v>29</v>
      </c>
      <c r="C14752">
        <v>56032</v>
      </c>
      <c r="D14752" t="str">
        <f>"56032"</f>
        <v>56032</v>
      </c>
      <c r="E14752" t="s">
        <v>6</v>
      </c>
    </row>
    <row r="14753" spans="1:5" x14ac:dyDescent="0.2">
      <c r="A14753">
        <v>56033</v>
      </c>
      <c r="B14753" t="s">
        <v>29</v>
      </c>
      <c r="C14753">
        <v>56033</v>
      </c>
      <c r="D14753" t="str">
        <f>"56033"</f>
        <v>56033</v>
      </c>
      <c r="E14753">
        <v>76.47</v>
      </c>
    </row>
    <row r="14754" spans="1:5" x14ac:dyDescent="0.2">
      <c r="A14754">
        <v>56034</v>
      </c>
      <c r="B14754" t="s">
        <v>29</v>
      </c>
      <c r="C14754">
        <v>56034</v>
      </c>
      <c r="D14754" t="str">
        <f>"56034"</f>
        <v>56034</v>
      </c>
      <c r="E14754">
        <v>69.23</v>
      </c>
    </row>
    <row r="14755" spans="1:5" x14ac:dyDescent="0.2">
      <c r="A14755">
        <v>56035</v>
      </c>
      <c r="B14755" t="s">
        <v>29</v>
      </c>
      <c r="C14755">
        <v>56035</v>
      </c>
      <c r="D14755" t="str">
        <f>"56035"</f>
        <v>56035</v>
      </c>
      <c r="E14755" t="s">
        <v>6</v>
      </c>
    </row>
    <row r="14756" spans="1:5" x14ac:dyDescent="0.2">
      <c r="A14756">
        <v>56036</v>
      </c>
      <c r="B14756" t="s">
        <v>29</v>
      </c>
      <c r="C14756">
        <v>56036</v>
      </c>
      <c r="D14756" t="str">
        <f>"56036"</f>
        <v>56036</v>
      </c>
      <c r="E14756">
        <v>79.12</v>
      </c>
    </row>
    <row r="14757" spans="1:5" x14ac:dyDescent="0.2">
      <c r="A14757">
        <v>56037</v>
      </c>
      <c r="B14757" t="s">
        <v>29</v>
      </c>
      <c r="C14757">
        <v>56037</v>
      </c>
      <c r="D14757" t="str">
        <f>"56037"</f>
        <v>56037</v>
      </c>
      <c r="E14757">
        <v>76.92</v>
      </c>
    </row>
    <row r="14758" spans="1:5" x14ac:dyDescent="0.2">
      <c r="A14758">
        <v>56039</v>
      </c>
      <c r="B14758" t="s">
        <v>29</v>
      </c>
      <c r="C14758">
        <v>56039</v>
      </c>
      <c r="D14758" t="str">
        <f>"56039"</f>
        <v>56039</v>
      </c>
      <c r="E14758">
        <v>70.83</v>
      </c>
    </row>
    <row r="14759" spans="1:5" x14ac:dyDescent="0.2">
      <c r="A14759">
        <v>56041</v>
      </c>
      <c r="B14759" t="s">
        <v>29</v>
      </c>
      <c r="C14759">
        <v>56041</v>
      </c>
      <c r="D14759" t="str">
        <f>"56041"</f>
        <v>56041</v>
      </c>
      <c r="E14759">
        <v>78.180000000000007</v>
      </c>
    </row>
    <row r="14760" spans="1:5" x14ac:dyDescent="0.2">
      <c r="A14760">
        <v>56042</v>
      </c>
      <c r="B14760" t="s">
        <v>29</v>
      </c>
      <c r="C14760">
        <v>56042</v>
      </c>
      <c r="D14760" t="str">
        <f>"56042"</f>
        <v>56042</v>
      </c>
      <c r="E14760">
        <v>76.47</v>
      </c>
    </row>
    <row r="14761" spans="1:5" x14ac:dyDescent="0.2">
      <c r="A14761">
        <v>56043</v>
      </c>
      <c r="B14761" t="s">
        <v>29</v>
      </c>
      <c r="C14761">
        <v>56043</v>
      </c>
      <c r="D14761" t="str">
        <f>"56043"</f>
        <v>56043</v>
      </c>
      <c r="E14761">
        <v>76.92</v>
      </c>
    </row>
    <row r="14762" spans="1:5" x14ac:dyDescent="0.2">
      <c r="A14762">
        <v>56044</v>
      </c>
      <c r="B14762" t="s">
        <v>29</v>
      </c>
      <c r="C14762">
        <v>56044</v>
      </c>
      <c r="D14762" t="str">
        <f>"56044"</f>
        <v>56044</v>
      </c>
      <c r="E14762">
        <v>78.7</v>
      </c>
    </row>
    <row r="14763" spans="1:5" x14ac:dyDescent="0.2">
      <c r="A14763">
        <v>56045</v>
      </c>
      <c r="B14763" t="s">
        <v>29</v>
      </c>
      <c r="C14763">
        <v>56045</v>
      </c>
      <c r="D14763" t="str">
        <f>"56045"</f>
        <v>56045</v>
      </c>
      <c r="E14763">
        <v>75</v>
      </c>
    </row>
    <row r="14764" spans="1:5" x14ac:dyDescent="0.2">
      <c r="A14764">
        <v>56046</v>
      </c>
      <c r="B14764" t="s">
        <v>29</v>
      </c>
      <c r="C14764">
        <v>56046</v>
      </c>
      <c r="D14764" t="str">
        <f>"56046"</f>
        <v>56046</v>
      </c>
      <c r="E14764" t="s">
        <v>6</v>
      </c>
    </row>
    <row r="14765" spans="1:5" x14ac:dyDescent="0.2">
      <c r="A14765">
        <v>56048</v>
      </c>
      <c r="B14765" t="s">
        <v>29</v>
      </c>
      <c r="C14765">
        <v>56048</v>
      </c>
      <c r="D14765" t="str">
        <f>"56048"</f>
        <v>56048</v>
      </c>
      <c r="E14765">
        <v>77.2</v>
      </c>
    </row>
    <row r="14766" spans="1:5" x14ac:dyDescent="0.2">
      <c r="A14766">
        <v>56050</v>
      </c>
      <c r="B14766" t="s">
        <v>29</v>
      </c>
      <c r="C14766">
        <v>56050</v>
      </c>
      <c r="D14766" t="str">
        <f>"56050"</f>
        <v>56050</v>
      </c>
      <c r="E14766">
        <v>75.64</v>
      </c>
    </row>
    <row r="14767" spans="1:5" x14ac:dyDescent="0.2">
      <c r="A14767">
        <v>56051</v>
      </c>
      <c r="B14767" t="s">
        <v>29</v>
      </c>
      <c r="C14767">
        <v>56051</v>
      </c>
      <c r="D14767" t="str">
        <f>"56051"</f>
        <v>56051</v>
      </c>
      <c r="E14767">
        <v>72.41</v>
      </c>
    </row>
    <row r="14768" spans="1:5" x14ac:dyDescent="0.2">
      <c r="A14768">
        <v>56052</v>
      </c>
      <c r="B14768" t="s">
        <v>29</v>
      </c>
      <c r="C14768">
        <v>56052</v>
      </c>
      <c r="D14768" t="str">
        <f>"56052"</f>
        <v>56052</v>
      </c>
      <c r="E14768">
        <v>79.489999999999995</v>
      </c>
    </row>
    <row r="14769" spans="1:5" x14ac:dyDescent="0.2">
      <c r="A14769">
        <v>56054</v>
      </c>
      <c r="B14769" t="s">
        <v>29</v>
      </c>
      <c r="C14769">
        <v>56054</v>
      </c>
      <c r="D14769" t="str">
        <f>"56054"</f>
        <v>56054</v>
      </c>
      <c r="E14769">
        <v>73.91</v>
      </c>
    </row>
    <row r="14770" spans="1:5" x14ac:dyDescent="0.2">
      <c r="A14770">
        <v>56055</v>
      </c>
      <c r="B14770" t="s">
        <v>29</v>
      </c>
      <c r="C14770">
        <v>56055</v>
      </c>
      <c r="D14770" t="str">
        <f>"56055"</f>
        <v>56055</v>
      </c>
      <c r="E14770">
        <v>78.569999999999993</v>
      </c>
    </row>
    <row r="14771" spans="1:5" x14ac:dyDescent="0.2">
      <c r="A14771">
        <v>56056</v>
      </c>
      <c r="B14771" t="s">
        <v>29</v>
      </c>
      <c r="C14771">
        <v>56056</v>
      </c>
      <c r="D14771" t="str">
        <f>"56056"</f>
        <v>56056</v>
      </c>
      <c r="E14771" t="s">
        <v>6</v>
      </c>
    </row>
    <row r="14772" spans="1:5" x14ac:dyDescent="0.2">
      <c r="A14772">
        <v>56057</v>
      </c>
      <c r="B14772" t="s">
        <v>29</v>
      </c>
      <c r="C14772">
        <v>56057</v>
      </c>
      <c r="D14772" t="str">
        <f>"56057"</f>
        <v>56057</v>
      </c>
      <c r="E14772">
        <v>73.02</v>
      </c>
    </row>
    <row r="14773" spans="1:5" x14ac:dyDescent="0.2">
      <c r="A14773">
        <v>56058</v>
      </c>
      <c r="B14773" t="s">
        <v>29</v>
      </c>
      <c r="C14773">
        <v>56058</v>
      </c>
      <c r="D14773" t="str">
        <f>"56058"</f>
        <v>56058</v>
      </c>
      <c r="E14773">
        <v>75.650000000000006</v>
      </c>
    </row>
    <row r="14774" spans="1:5" x14ac:dyDescent="0.2">
      <c r="A14774">
        <v>56060</v>
      </c>
      <c r="B14774" t="s">
        <v>29</v>
      </c>
      <c r="C14774">
        <v>56060</v>
      </c>
      <c r="D14774" t="str">
        <f>"56060"</f>
        <v>56060</v>
      </c>
      <c r="E14774">
        <v>75</v>
      </c>
    </row>
    <row r="14775" spans="1:5" x14ac:dyDescent="0.2">
      <c r="A14775">
        <v>56062</v>
      </c>
      <c r="B14775" t="s">
        <v>29</v>
      </c>
      <c r="C14775">
        <v>56062</v>
      </c>
      <c r="D14775" t="str">
        <f>"56062"</f>
        <v>56062</v>
      </c>
      <c r="E14775">
        <v>70.97</v>
      </c>
    </row>
    <row r="14776" spans="1:5" x14ac:dyDescent="0.2">
      <c r="A14776">
        <v>56063</v>
      </c>
      <c r="B14776" t="s">
        <v>29</v>
      </c>
      <c r="C14776">
        <v>56063</v>
      </c>
      <c r="D14776" t="str">
        <f>"56063"</f>
        <v>56063</v>
      </c>
      <c r="E14776">
        <v>80.95</v>
      </c>
    </row>
    <row r="14777" spans="1:5" x14ac:dyDescent="0.2">
      <c r="A14777">
        <v>56065</v>
      </c>
      <c r="B14777" t="s">
        <v>29</v>
      </c>
      <c r="C14777">
        <v>56065</v>
      </c>
      <c r="D14777" t="str">
        <f>"56065"</f>
        <v>56065</v>
      </c>
      <c r="E14777">
        <v>73.28</v>
      </c>
    </row>
    <row r="14778" spans="1:5" x14ac:dyDescent="0.2">
      <c r="A14778">
        <v>56068</v>
      </c>
      <c r="B14778" t="s">
        <v>29</v>
      </c>
      <c r="C14778">
        <v>56068</v>
      </c>
      <c r="D14778" t="str">
        <f>"56068"</f>
        <v>56068</v>
      </c>
      <c r="E14778">
        <v>75</v>
      </c>
    </row>
    <row r="14779" spans="1:5" x14ac:dyDescent="0.2">
      <c r="A14779">
        <v>56069</v>
      </c>
      <c r="B14779" t="s">
        <v>29</v>
      </c>
      <c r="C14779">
        <v>56069</v>
      </c>
      <c r="D14779" t="str">
        <f>"56069"</f>
        <v>56069</v>
      </c>
      <c r="E14779">
        <v>76.17</v>
      </c>
    </row>
    <row r="14780" spans="1:5" x14ac:dyDescent="0.2">
      <c r="A14780">
        <v>56071</v>
      </c>
      <c r="B14780" t="s">
        <v>29</v>
      </c>
      <c r="C14780">
        <v>56071</v>
      </c>
      <c r="D14780" t="str">
        <f>"56071"</f>
        <v>56071</v>
      </c>
      <c r="E14780">
        <v>79.36</v>
      </c>
    </row>
    <row r="14781" spans="1:5" x14ac:dyDescent="0.2">
      <c r="A14781">
        <v>56072</v>
      </c>
      <c r="B14781" t="s">
        <v>29</v>
      </c>
      <c r="C14781">
        <v>56072</v>
      </c>
      <c r="D14781" t="str">
        <f>"56072"</f>
        <v>56072</v>
      </c>
      <c r="E14781">
        <v>77.27</v>
      </c>
    </row>
    <row r="14782" spans="1:5" x14ac:dyDescent="0.2">
      <c r="A14782">
        <v>56073</v>
      </c>
      <c r="B14782" t="s">
        <v>29</v>
      </c>
      <c r="C14782">
        <v>56073</v>
      </c>
      <c r="D14782" t="str">
        <f>"56073"</f>
        <v>56073</v>
      </c>
      <c r="E14782">
        <v>76.12</v>
      </c>
    </row>
    <row r="14783" spans="1:5" x14ac:dyDescent="0.2">
      <c r="A14783">
        <v>56074</v>
      </c>
      <c r="B14783" t="s">
        <v>29</v>
      </c>
      <c r="C14783">
        <v>56074</v>
      </c>
      <c r="D14783" t="str">
        <f>"56074"</f>
        <v>56074</v>
      </c>
      <c r="E14783">
        <v>75.760000000000005</v>
      </c>
    </row>
    <row r="14784" spans="1:5" x14ac:dyDescent="0.2">
      <c r="A14784">
        <v>56078</v>
      </c>
      <c r="B14784" t="s">
        <v>29</v>
      </c>
      <c r="C14784">
        <v>56078</v>
      </c>
      <c r="D14784" t="str">
        <f>"56078"</f>
        <v>56078</v>
      </c>
      <c r="E14784">
        <v>78.260000000000005</v>
      </c>
    </row>
    <row r="14785" spans="1:5" x14ac:dyDescent="0.2">
      <c r="A14785">
        <v>56080</v>
      </c>
      <c r="B14785" t="s">
        <v>29</v>
      </c>
      <c r="C14785">
        <v>56080</v>
      </c>
      <c r="D14785" t="str">
        <f>"56080"</f>
        <v>56080</v>
      </c>
      <c r="E14785" t="s">
        <v>6</v>
      </c>
    </row>
    <row r="14786" spans="1:5" x14ac:dyDescent="0.2">
      <c r="A14786">
        <v>56081</v>
      </c>
      <c r="B14786" t="s">
        <v>29</v>
      </c>
      <c r="C14786">
        <v>56081</v>
      </c>
      <c r="D14786" t="str">
        <f>"56081"</f>
        <v>56081</v>
      </c>
      <c r="E14786">
        <v>70.88</v>
      </c>
    </row>
    <row r="14787" spans="1:5" x14ac:dyDescent="0.2">
      <c r="A14787">
        <v>56082</v>
      </c>
      <c r="B14787" t="s">
        <v>29</v>
      </c>
      <c r="C14787">
        <v>56082</v>
      </c>
      <c r="D14787" t="str">
        <f>"56082"</f>
        <v>56082</v>
      </c>
      <c r="E14787">
        <v>72.010000000000005</v>
      </c>
    </row>
    <row r="14788" spans="1:5" x14ac:dyDescent="0.2">
      <c r="A14788">
        <v>56083</v>
      </c>
      <c r="B14788" t="s">
        <v>29</v>
      </c>
      <c r="C14788">
        <v>56083</v>
      </c>
      <c r="D14788" t="str">
        <f>"56083"</f>
        <v>56083</v>
      </c>
      <c r="E14788">
        <v>71.430000000000007</v>
      </c>
    </row>
    <row r="14789" spans="1:5" x14ac:dyDescent="0.2">
      <c r="A14789">
        <v>56085</v>
      </c>
      <c r="B14789" t="s">
        <v>29</v>
      </c>
      <c r="C14789">
        <v>56085</v>
      </c>
      <c r="D14789" t="str">
        <f>"56085"</f>
        <v>56085</v>
      </c>
      <c r="E14789">
        <v>76.23</v>
      </c>
    </row>
    <row r="14790" spans="1:5" x14ac:dyDescent="0.2">
      <c r="A14790">
        <v>56087</v>
      </c>
      <c r="B14790" t="s">
        <v>29</v>
      </c>
      <c r="C14790">
        <v>56087</v>
      </c>
      <c r="D14790" t="str">
        <f>"56087"</f>
        <v>56087</v>
      </c>
      <c r="E14790">
        <v>71.430000000000007</v>
      </c>
    </row>
    <row r="14791" spans="1:5" x14ac:dyDescent="0.2">
      <c r="A14791">
        <v>56088</v>
      </c>
      <c r="B14791" t="s">
        <v>29</v>
      </c>
      <c r="C14791">
        <v>56088</v>
      </c>
      <c r="D14791" t="str">
        <f>"56088"</f>
        <v>56088</v>
      </c>
      <c r="E14791">
        <v>71.13</v>
      </c>
    </row>
    <row r="14792" spans="1:5" x14ac:dyDescent="0.2">
      <c r="A14792">
        <v>56089</v>
      </c>
      <c r="B14792" t="s">
        <v>29</v>
      </c>
      <c r="C14792">
        <v>56089</v>
      </c>
      <c r="D14792" t="str">
        <f>"56089"</f>
        <v>56089</v>
      </c>
      <c r="E14792" t="s">
        <v>6</v>
      </c>
    </row>
    <row r="14793" spans="1:5" x14ac:dyDescent="0.2">
      <c r="A14793">
        <v>56090</v>
      </c>
      <c r="B14793" t="s">
        <v>29</v>
      </c>
      <c r="C14793">
        <v>56090</v>
      </c>
      <c r="D14793" t="str">
        <f>"56090"</f>
        <v>56090</v>
      </c>
      <c r="E14793">
        <v>71.88</v>
      </c>
    </row>
    <row r="14794" spans="1:5" x14ac:dyDescent="0.2">
      <c r="A14794">
        <v>56091</v>
      </c>
      <c r="B14794" t="s">
        <v>29</v>
      </c>
      <c r="C14794">
        <v>56091</v>
      </c>
      <c r="D14794" t="str">
        <f>"56091"</f>
        <v>56091</v>
      </c>
      <c r="E14794">
        <v>72.22</v>
      </c>
    </row>
    <row r="14795" spans="1:5" x14ac:dyDescent="0.2">
      <c r="A14795">
        <v>56093</v>
      </c>
      <c r="B14795" t="s">
        <v>29</v>
      </c>
      <c r="C14795">
        <v>56093</v>
      </c>
      <c r="D14795" t="str">
        <f>"56093"</f>
        <v>56093</v>
      </c>
      <c r="E14795">
        <v>72.739999999999995</v>
      </c>
    </row>
    <row r="14796" spans="1:5" x14ac:dyDescent="0.2">
      <c r="A14796">
        <v>56096</v>
      </c>
      <c r="B14796" t="s">
        <v>29</v>
      </c>
      <c r="C14796">
        <v>56096</v>
      </c>
      <c r="D14796" t="str">
        <f>"56096"</f>
        <v>56096</v>
      </c>
      <c r="E14796">
        <v>74.84</v>
      </c>
    </row>
    <row r="14797" spans="1:5" x14ac:dyDescent="0.2">
      <c r="A14797">
        <v>56097</v>
      </c>
      <c r="B14797" t="s">
        <v>29</v>
      </c>
      <c r="C14797">
        <v>56097</v>
      </c>
      <c r="D14797" t="str">
        <f>"56097"</f>
        <v>56097</v>
      </c>
      <c r="E14797">
        <v>68.42</v>
      </c>
    </row>
    <row r="14798" spans="1:5" x14ac:dyDescent="0.2">
      <c r="A14798">
        <v>56098</v>
      </c>
      <c r="B14798" t="s">
        <v>29</v>
      </c>
      <c r="C14798">
        <v>56098</v>
      </c>
      <c r="D14798" t="str">
        <f>"56098"</f>
        <v>56098</v>
      </c>
      <c r="E14798">
        <v>71.72</v>
      </c>
    </row>
    <row r="14799" spans="1:5" x14ac:dyDescent="0.2">
      <c r="A14799">
        <v>56101</v>
      </c>
      <c r="B14799" t="s">
        <v>29</v>
      </c>
      <c r="C14799">
        <v>56101</v>
      </c>
      <c r="D14799" t="str">
        <f>"56101"</f>
        <v>56101</v>
      </c>
      <c r="E14799">
        <v>70.37</v>
      </c>
    </row>
    <row r="14800" spans="1:5" x14ac:dyDescent="0.2">
      <c r="A14800">
        <v>56110</v>
      </c>
      <c r="B14800" t="s">
        <v>29</v>
      </c>
      <c r="C14800">
        <v>56110</v>
      </c>
      <c r="D14800" t="str">
        <f>"56110"</f>
        <v>56110</v>
      </c>
      <c r="E14800">
        <v>72.94</v>
      </c>
    </row>
    <row r="14801" spans="1:5" x14ac:dyDescent="0.2">
      <c r="A14801">
        <v>56111</v>
      </c>
      <c r="B14801" t="s">
        <v>29</v>
      </c>
      <c r="C14801">
        <v>56111</v>
      </c>
      <c r="D14801" t="str">
        <f>"56111"</f>
        <v>56111</v>
      </c>
      <c r="E14801">
        <v>77.27</v>
      </c>
    </row>
    <row r="14802" spans="1:5" x14ac:dyDescent="0.2">
      <c r="A14802">
        <v>56113</v>
      </c>
      <c r="B14802" t="s">
        <v>29</v>
      </c>
      <c r="C14802">
        <v>56113</v>
      </c>
      <c r="D14802" t="str">
        <f>"56113"</f>
        <v>56113</v>
      </c>
      <c r="E14802">
        <v>63.64</v>
      </c>
    </row>
    <row r="14803" spans="1:5" x14ac:dyDescent="0.2">
      <c r="A14803">
        <v>56114</v>
      </c>
      <c r="B14803" t="s">
        <v>29</v>
      </c>
      <c r="C14803">
        <v>56114</v>
      </c>
      <c r="D14803" t="str">
        <f>"56114"</f>
        <v>56114</v>
      </c>
      <c r="E14803">
        <v>68.75</v>
      </c>
    </row>
    <row r="14804" spans="1:5" x14ac:dyDescent="0.2">
      <c r="A14804">
        <v>56115</v>
      </c>
      <c r="B14804" t="s">
        <v>29</v>
      </c>
      <c r="C14804">
        <v>56115</v>
      </c>
      <c r="D14804" t="str">
        <f>"56115"</f>
        <v>56115</v>
      </c>
      <c r="E14804">
        <v>74.599999999999994</v>
      </c>
    </row>
    <row r="14805" spans="1:5" x14ac:dyDescent="0.2">
      <c r="A14805">
        <v>56116</v>
      </c>
      <c r="B14805" t="s">
        <v>29</v>
      </c>
      <c r="C14805">
        <v>56116</v>
      </c>
      <c r="D14805" t="str">
        <f>"56116"</f>
        <v>56116</v>
      </c>
      <c r="E14805">
        <v>76.92</v>
      </c>
    </row>
    <row r="14806" spans="1:5" x14ac:dyDescent="0.2">
      <c r="A14806">
        <v>56117</v>
      </c>
      <c r="B14806" t="s">
        <v>29</v>
      </c>
      <c r="C14806">
        <v>56117</v>
      </c>
      <c r="D14806" t="str">
        <f>"56117"</f>
        <v>56117</v>
      </c>
      <c r="E14806">
        <v>70.59</v>
      </c>
    </row>
    <row r="14807" spans="1:5" x14ac:dyDescent="0.2">
      <c r="A14807">
        <v>56118</v>
      </c>
      <c r="B14807" t="s">
        <v>29</v>
      </c>
      <c r="C14807">
        <v>56118</v>
      </c>
      <c r="D14807" t="str">
        <f>"56118"</f>
        <v>56118</v>
      </c>
      <c r="E14807">
        <v>75</v>
      </c>
    </row>
    <row r="14808" spans="1:5" x14ac:dyDescent="0.2">
      <c r="A14808">
        <v>56119</v>
      </c>
      <c r="B14808" t="s">
        <v>29</v>
      </c>
      <c r="C14808">
        <v>56119</v>
      </c>
      <c r="D14808" t="str">
        <f>"56119"</f>
        <v>56119</v>
      </c>
      <c r="E14808">
        <v>72.92</v>
      </c>
    </row>
    <row r="14809" spans="1:5" x14ac:dyDescent="0.2">
      <c r="A14809">
        <v>56120</v>
      </c>
      <c r="B14809" t="s">
        <v>29</v>
      </c>
      <c r="C14809">
        <v>56120</v>
      </c>
      <c r="D14809" t="str">
        <f>"56120"</f>
        <v>56120</v>
      </c>
      <c r="E14809">
        <v>73.47</v>
      </c>
    </row>
    <row r="14810" spans="1:5" x14ac:dyDescent="0.2">
      <c r="A14810">
        <v>56121</v>
      </c>
      <c r="B14810" t="s">
        <v>29</v>
      </c>
      <c r="C14810">
        <v>56121</v>
      </c>
      <c r="D14810" t="str">
        <f>"56121"</f>
        <v>56121</v>
      </c>
      <c r="E14810">
        <v>70.37</v>
      </c>
    </row>
    <row r="14811" spans="1:5" x14ac:dyDescent="0.2">
      <c r="A14811">
        <v>56122</v>
      </c>
      <c r="B14811" t="s">
        <v>29</v>
      </c>
      <c r="C14811">
        <v>56122</v>
      </c>
      <c r="D14811" t="str">
        <f>"56122"</f>
        <v>56122</v>
      </c>
      <c r="E14811">
        <v>73.91</v>
      </c>
    </row>
    <row r="14812" spans="1:5" x14ac:dyDescent="0.2">
      <c r="A14812">
        <v>56123</v>
      </c>
      <c r="B14812" t="s">
        <v>29</v>
      </c>
      <c r="C14812">
        <v>56123</v>
      </c>
      <c r="D14812" t="str">
        <f>"56123"</f>
        <v>56123</v>
      </c>
      <c r="E14812">
        <v>76.92</v>
      </c>
    </row>
    <row r="14813" spans="1:5" x14ac:dyDescent="0.2">
      <c r="A14813">
        <v>56125</v>
      </c>
      <c r="B14813" t="s">
        <v>29</v>
      </c>
      <c r="C14813">
        <v>56125</v>
      </c>
      <c r="D14813" t="str">
        <f>"56125"</f>
        <v>56125</v>
      </c>
      <c r="E14813" t="s">
        <v>6</v>
      </c>
    </row>
    <row r="14814" spans="1:5" x14ac:dyDescent="0.2">
      <c r="A14814">
        <v>56127</v>
      </c>
      <c r="B14814" t="s">
        <v>29</v>
      </c>
      <c r="C14814">
        <v>56127</v>
      </c>
      <c r="D14814" t="str">
        <f>"56127"</f>
        <v>56127</v>
      </c>
      <c r="E14814">
        <v>72.22</v>
      </c>
    </row>
    <row r="14815" spans="1:5" x14ac:dyDescent="0.2">
      <c r="A14815">
        <v>56128</v>
      </c>
      <c r="B14815" t="s">
        <v>29</v>
      </c>
      <c r="C14815">
        <v>56128</v>
      </c>
      <c r="D14815" t="str">
        <f>"56128"</f>
        <v>56128</v>
      </c>
      <c r="E14815">
        <v>73.86</v>
      </c>
    </row>
    <row r="14816" spans="1:5" x14ac:dyDescent="0.2">
      <c r="A14816">
        <v>56129</v>
      </c>
      <c r="B14816" t="s">
        <v>29</v>
      </c>
      <c r="C14816">
        <v>56129</v>
      </c>
      <c r="D14816" t="str">
        <f>"56129"</f>
        <v>56129</v>
      </c>
      <c r="E14816">
        <v>72.73</v>
      </c>
    </row>
    <row r="14817" spans="1:5" x14ac:dyDescent="0.2">
      <c r="A14817">
        <v>56131</v>
      </c>
      <c r="B14817" t="s">
        <v>29</v>
      </c>
      <c r="C14817">
        <v>56131</v>
      </c>
      <c r="D14817" t="str">
        <f>"56131"</f>
        <v>56131</v>
      </c>
      <c r="E14817">
        <v>74.77</v>
      </c>
    </row>
    <row r="14818" spans="1:5" x14ac:dyDescent="0.2">
      <c r="A14818">
        <v>56132</v>
      </c>
      <c r="B14818" t="s">
        <v>29</v>
      </c>
      <c r="C14818">
        <v>56132</v>
      </c>
      <c r="D14818" t="str">
        <f>"56132"</f>
        <v>56132</v>
      </c>
      <c r="E14818">
        <v>77.78</v>
      </c>
    </row>
    <row r="14819" spans="1:5" x14ac:dyDescent="0.2">
      <c r="A14819">
        <v>56134</v>
      </c>
      <c r="B14819" t="s">
        <v>29</v>
      </c>
      <c r="C14819">
        <v>56134</v>
      </c>
      <c r="D14819" t="str">
        <f>"56134"</f>
        <v>56134</v>
      </c>
      <c r="E14819">
        <v>66.67</v>
      </c>
    </row>
    <row r="14820" spans="1:5" x14ac:dyDescent="0.2">
      <c r="A14820">
        <v>56136</v>
      </c>
      <c r="B14820" t="s">
        <v>29</v>
      </c>
      <c r="C14820">
        <v>56136</v>
      </c>
      <c r="D14820" t="str">
        <f>"56136"</f>
        <v>56136</v>
      </c>
      <c r="E14820">
        <v>76</v>
      </c>
    </row>
    <row r="14821" spans="1:5" x14ac:dyDescent="0.2">
      <c r="A14821">
        <v>56137</v>
      </c>
      <c r="B14821" t="s">
        <v>29</v>
      </c>
      <c r="C14821">
        <v>56137</v>
      </c>
      <c r="D14821" t="str">
        <f>"56137"</f>
        <v>56137</v>
      </c>
      <c r="E14821">
        <v>75.930000000000007</v>
      </c>
    </row>
    <row r="14822" spans="1:5" x14ac:dyDescent="0.2">
      <c r="A14822">
        <v>56138</v>
      </c>
      <c r="B14822" t="s">
        <v>29</v>
      </c>
      <c r="C14822">
        <v>56138</v>
      </c>
      <c r="D14822" t="str">
        <f>"56138"</f>
        <v>56138</v>
      </c>
      <c r="E14822">
        <v>74.36</v>
      </c>
    </row>
    <row r="14823" spans="1:5" x14ac:dyDescent="0.2">
      <c r="A14823">
        <v>56139</v>
      </c>
      <c r="B14823" t="s">
        <v>29</v>
      </c>
      <c r="C14823">
        <v>56139</v>
      </c>
      <c r="D14823" t="str">
        <f>"56139"</f>
        <v>56139</v>
      </c>
      <c r="E14823">
        <v>70</v>
      </c>
    </row>
    <row r="14824" spans="1:5" x14ac:dyDescent="0.2">
      <c r="A14824">
        <v>56141</v>
      </c>
      <c r="B14824" t="s">
        <v>29</v>
      </c>
      <c r="C14824">
        <v>56141</v>
      </c>
      <c r="D14824" t="str">
        <f>"56141"</f>
        <v>56141</v>
      </c>
      <c r="E14824">
        <v>73.33</v>
      </c>
    </row>
    <row r="14825" spans="1:5" x14ac:dyDescent="0.2">
      <c r="A14825">
        <v>56142</v>
      </c>
      <c r="B14825" t="s">
        <v>29</v>
      </c>
      <c r="C14825">
        <v>56142</v>
      </c>
      <c r="D14825" t="str">
        <f>"56142"</f>
        <v>56142</v>
      </c>
      <c r="E14825">
        <v>73.33</v>
      </c>
    </row>
    <row r="14826" spans="1:5" x14ac:dyDescent="0.2">
      <c r="A14826">
        <v>56143</v>
      </c>
      <c r="B14826" t="s">
        <v>29</v>
      </c>
      <c r="C14826">
        <v>56143</v>
      </c>
      <c r="D14826" t="str">
        <f>"56143"</f>
        <v>56143</v>
      </c>
      <c r="E14826">
        <v>74.209999999999994</v>
      </c>
    </row>
    <row r="14827" spans="1:5" x14ac:dyDescent="0.2">
      <c r="A14827">
        <v>56144</v>
      </c>
      <c r="B14827" t="s">
        <v>29</v>
      </c>
      <c r="C14827">
        <v>56144</v>
      </c>
      <c r="D14827" t="str">
        <f>"56144"</f>
        <v>56144</v>
      </c>
      <c r="E14827">
        <v>69.23</v>
      </c>
    </row>
    <row r="14828" spans="1:5" x14ac:dyDescent="0.2">
      <c r="A14828">
        <v>56145</v>
      </c>
      <c r="B14828" t="s">
        <v>29</v>
      </c>
      <c r="C14828">
        <v>56145</v>
      </c>
      <c r="D14828" t="str">
        <f>"56145"</f>
        <v>56145</v>
      </c>
      <c r="E14828">
        <v>75</v>
      </c>
    </row>
    <row r="14829" spans="1:5" x14ac:dyDescent="0.2">
      <c r="A14829">
        <v>56146</v>
      </c>
      <c r="B14829" t="s">
        <v>29</v>
      </c>
      <c r="C14829">
        <v>56146</v>
      </c>
      <c r="D14829" t="str">
        <f>"56146"</f>
        <v>56146</v>
      </c>
      <c r="E14829" t="s">
        <v>6</v>
      </c>
    </row>
    <row r="14830" spans="1:5" x14ac:dyDescent="0.2">
      <c r="A14830">
        <v>56147</v>
      </c>
      <c r="B14830" t="s">
        <v>29</v>
      </c>
      <c r="C14830">
        <v>56147</v>
      </c>
      <c r="D14830" t="str">
        <f>"56147"</f>
        <v>56147</v>
      </c>
      <c r="E14830" t="s">
        <v>6</v>
      </c>
    </row>
    <row r="14831" spans="1:5" x14ac:dyDescent="0.2">
      <c r="A14831">
        <v>56149</v>
      </c>
      <c r="B14831" t="s">
        <v>29</v>
      </c>
      <c r="C14831">
        <v>56149</v>
      </c>
      <c r="D14831" t="str">
        <f>"56149"</f>
        <v>56149</v>
      </c>
      <c r="E14831">
        <v>73.209999999999994</v>
      </c>
    </row>
    <row r="14832" spans="1:5" x14ac:dyDescent="0.2">
      <c r="A14832">
        <v>56150</v>
      </c>
      <c r="B14832" t="s">
        <v>29</v>
      </c>
      <c r="C14832">
        <v>56150</v>
      </c>
      <c r="D14832" t="str">
        <f>"56150"</f>
        <v>56150</v>
      </c>
      <c r="E14832">
        <v>70.290000000000006</v>
      </c>
    </row>
    <row r="14833" spans="1:5" x14ac:dyDescent="0.2">
      <c r="A14833">
        <v>56151</v>
      </c>
      <c r="B14833" t="s">
        <v>29</v>
      </c>
      <c r="C14833">
        <v>56151</v>
      </c>
      <c r="D14833" t="str">
        <f>"56151"</f>
        <v>56151</v>
      </c>
      <c r="E14833">
        <v>77.5</v>
      </c>
    </row>
    <row r="14834" spans="1:5" x14ac:dyDescent="0.2">
      <c r="A14834">
        <v>56152</v>
      </c>
      <c r="B14834" t="s">
        <v>29</v>
      </c>
      <c r="C14834">
        <v>56152</v>
      </c>
      <c r="D14834" t="str">
        <f>"56152"</f>
        <v>56152</v>
      </c>
      <c r="E14834">
        <v>70.77</v>
      </c>
    </row>
    <row r="14835" spans="1:5" x14ac:dyDescent="0.2">
      <c r="A14835">
        <v>56153</v>
      </c>
      <c r="B14835" t="s">
        <v>29</v>
      </c>
      <c r="C14835">
        <v>56153</v>
      </c>
      <c r="D14835" t="str">
        <f>"56153"</f>
        <v>56153</v>
      </c>
      <c r="E14835" t="s">
        <v>6</v>
      </c>
    </row>
    <row r="14836" spans="1:5" x14ac:dyDescent="0.2">
      <c r="A14836">
        <v>56155</v>
      </c>
      <c r="B14836" t="s">
        <v>29</v>
      </c>
      <c r="C14836">
        <v>56155</v>
      </c>
      <c r="D14836" t="str">
        <f>"56155"</f>
        <v>56155</v>
      </c>
      <c r="E14836">
        <v>76.19</v>
      </c>
    </row>
    <row r="14837" spans="1:5" x14ac:dyDescent="0.2">
      <c r="A14837">
        <v>56156</v>
      </c>
      <c r="B14837" t="s">
        <v>29</v>
      </c>
      <c r="C14837">
        <v>56156</v>
      </c>
      <c r="D14837" t="str">
        <f>"56156"</f>
        <v>56156</v>
      </c>
      <c r="E14837">
        <v>70.45</v>
      </c>
    </row>
    <row r="14838" spans="1:5" x14ac:dyDescent="0.2">
      <c r="A14838">
        <v>56157</v>
      </c>
      <c r="B14838" t="s">
        <v>29</v>
      </c>
      <c r="C14838">
        <v>56157</v>
      </c>
      <c r="D14838" t="str">
        <f>"56157"</f>
        <v>56157</v>
      </c>
      <c r="E14838">
        <v>79.41</v>
      </c>
    </row>
    <row r="14839" spans="1:5" x14ac:dyDescent="0.2">
      <c r="A14839">
        <v>56158</v>
      </c>
      <c r="B14839" t="s">
        <v>29</v>
      </c>
      <c r="C14839">
        <v>56158</v>
      </c>
      <c r="D14839" t="str">
        <f>"56158"</f>
        <v>56158</v>
      </c>
      <c r="E14839">
        <v>75</v>
      </c>
    </row>
    <row r="14840" spans="1:5" x14ac:dyDescent="0.2">
      <c r="A14840">
        <v>56159</v>
      </c>
      <c r="B14840" t="s">
        <v>29</v>
      </c>
      <c r="C14840">
        <v>56159</v>
      </c>
      <c r="D14840" t="str">
        <f>"56159"</f>
        <v>56159</v>
      </c>
      <c r="E14840">
        <v>67.739999999999995</v>
      </c>
    </row>
    <row r="14841" spans="1:5" x14ac:dyDescent="0.2">
      <c r="A14841">
        <v>56160</v>
      </c>
      <c r="B14841" t="s">
        <v>29</v>
      </c>
      <c r="C14841">
        <v>56160</v>
      </c>
      <c r="D14841" t="str">
        <f>"56160"</f>
        <v>56160</v>
      </c>
      <c r="E14841">
        <v>70</v>
      </c>
    </row>
    <row r="14842" spans="1:5" x14ac:dyDescent="0.2">
      <c r="A14842">
        <v>56161</v>
      </c>
      <c r="B14842" t="s">
        <v>29</v>
      </c>
      <c r="C14842">
        <v>56161</v>
      </c>
      <c r="D14842" t="str">
        <f>"56161"</f>
        <v>56161</v>
      </c>
      <c r="E14842">
        <v>77.78</v>
      </c>
    </row>
    <row r="14843" spans="1:5" x14ac:dyDescent="0.2">
      <c r="A14843">
        <v>56162</v>
      </c>
      <c r="B14843" t="s">
        <v>29</v>
      </c>
      <c r="C14843">
        <v>56162</v>
      </c>
      <c r="D14843" t="str">
        <f>"56162"</f>
        <v>56162</v>
      </c>
      <c r="E14843">
        <v>69.23</v>
      </c>
    </row>
    <row r="14844" spans="1:5" x14ac:dyDescent="0.2">
      <c r="A14844">
        <v>56164</v>
      </c>
      <c r="B14844" t="s">
        <v>29</v>
      </c>
      <c r="C14844">
        <v>56164</v>
      </c>
      <c r="D14844" t="str">
        <f>"56164"</f>
        <v>56164</v>
      </c>
      <c r="E14844">
        <v>69.23</v>
      </c>
    </row>
    <row r="14845" spans="1:5" x14ac:dyDescent="0.2">
      <c r="A14845">
        <v>56165</v>
      </c>
      <c r="B14845" t="s">
        <v>29</v>
      </c>
      <c r="C14845">
        <v>56165</v>
      </c>
      <c r="D14845" t="str">
        <f>"56165"</f>
        <v>56165</v>
      </c>
      <c r="E14845">
        <v>76.47</v>
      </c>
    </row>
    <row r="14846" spans="1:5" x14ac:dyDescent="0.2">
      <c r="A14846">
        <v>56166</v>
      </c>
      <c r="B14846" t="s">
        <v>29</v>
      </c>
      <c r="C14846">
        <v>56166</v>
      </c>
      <c r="D14846" t="str">
        <f>"56166"</f>
        <v>56166</v>
      </c>
      <c r="E14846" t="s">
        <v>6</v>
      </c>
    </row>
    <row r="14847" spans="1:5" x14ac:dyDescent="0.2">
      <c r="A14847">
        <v>56167</v>
      </c>
      <c r="B14847" t="s">
        <v>29</v>
      </c>
      <c r="C14847">
        <v>56167</v>
      </c>
      <c r="D14847" t="str">
        <f>"56167"</f>
        <v>56167</v>
      </c>
      <c r="E14847">
        <v>80</v>
      </c>
    </row>
    <row r="14848" spans="1:5" x14ac:dyDescent="0.2">
      <c r="A14848">
        <v>56168</v>
      </c>
      <c r="B14848" t="s">
        <v>29</v>
      </c>
      <c r="C14848">
        <v>56168</v>
      </c>
      <c r="D14848" t="str">
        <f>"56168"</f>
        <v>56168</v>
      </c>
      <c r="E14848">
        <v>72.09</v>
      </c>
    </row>
    <row r="14849" spans="1:5" x14ac:dyDescent="0.2">
      <c r="A14849">
        <v>56169</v>
      </c>
      <c r="B14849" t="s">
        <v>29</v>
      </c>
      <c r="C14849">
        <v>56169</v>
      </c>
      <c r="D14849" t="str">
        <f>"56169"</f>
        <v>56169</v>
      </c>
      <c r="E14849">
        <v>80</v>
      </c>
    </row>
    <row r="14850" spans="1:5" x14ac:dyDescent="0.2">
      <c r="A14850">
        <v>56170</v>
      </c>
      <c r="B14850" t="s">
        <v>29</v>
      </c>
      <c r="C14850">
        <v>56170</v>
      </c>
      <c r="D14850" t="str">
        <f>"56170"</f>
        <v>56170</v>
      </c>
      <c r="E14850">
        <v>76</v>
      </c>
    </row>
    <row r="14851" spans="1:5" x14ac:dyDescent="0.2">
      <c r="A14851">
        <v>56171</v>
      </c>
      <c r="B14851" t="s">
        <v>29</v>
      </c>
      <c r="C14851">
        <v>56171</v>
      </c>
      <c r="D14851" t="str">
        <f>"56171"</f>
        <v>56171</v>
      </c>
      <c r="E14851">
        <v>72.84</v>
      </c>
    </row>
    <row r="14852" spans="1:5" x14ac:dyDescent="0.2">
      <c r="A14852">
        <v>56172</v>
      </c>
      <c r="B14852" t="s">
        <v>29</v>
      </c>
      <c r="C14852">
        <v>56172</v>
      </c>
      <c r="D14852" t="str">
        <f>"56172"</f>
        <v>56172</v>
      </c>
      <c r="E14852">
        <v>76.19</v>
      </c>
    </row>
    <row r="14853" spans="1:5" x14ac:dyDescent="0.2">
      <c r="A14853">
        <v>56173</v>
      </c>
      <c r="B14853" t="s">
        <v>29</v>
      </c>
      <c r="C14853">
        <v>56173</v>
      </c>
      <c r="D14853" t="str">
        <f>"56173"</f>
        <v>56173</v>
      </c>
      <c r="E14853">
        <v>70.59</v>
      </c>
    </row>
    <row r="14854" spans="1:5" x14ac:dyDescent="0.2">
      <c r="A14854">
        <v>56174</v>
      </c>
      <c r="B14854" t="s">
        <v>29</v>
      </c>
      <c r="C14854">
        <v>56174</v>
      </c>
      <c r="D14854" t="str">
        <f>"56174"</f>
        <v>56174</v>
      </c>
      <c r="E14854">
        <v>66.67</v>
      </c>
    </row>
    <row r="14855" spans="1:5" x14ac:dyDescent="0.2">
      <c r="A14855">
        <v>56175</v>
      </c>
      <c r="B14855" t="s">
        <v>29</v>
      </c>
      <c r="C14855">
        <v>56175</v>
      </c>
      <c r="D14855" t="str">
        <f>"56175"</f>
        <v>56175</v>
      </c>
      <c r="E14855">
        <v>70.8</v>
      </c>
    </row>
    <row r="14856" spans="1:5" x14ac:dyDescent="0.2">
      <c r="A14856">
        <v>56176</v>
      </c>
      <c r="B14856" t="s">
        <v>29</v>
      </c>
      <c r="C14856">
        <v>56176</v>
      </c>
      <c r="D14856" t="str">
        <f>"56176"</f>
        <v>56176</v>
      </c>
      <c r="E14856">
        <v>72.22</v>
      </c>
    </row>
    <row r="14857" spans="1:5" x14ac:dyDescent="0.2">
      <c r="A14857">
        <v>56178</v>
      </c>
      <c r="B14857" t="s">
        <v>29</v>
      </c>
      <c r="C14857">
        <v>56178</v>
      </c>
      <c r="D14857" t="str">
        <f>"56178"</f>
        <v>56178</v>
      </c>
      <c r="E14857">
        <v>71.95</v>
      </c>
    </row>
    <row r="14858" spans="1:5" x14ac:dyDescent="0.2">
      <c r="A14858">
        <v>56180</v>
      </c>
      <c r="B14858" t="s">
        <v>29</v>
      </c>
      <c r="C14858">
        <v>56180</v>
      </c>
      <c r="D14858" t="str">
        <f>"56180"</f>
        <v>56180</v>
      </c>
      <c r="E14858">
        <v>67.239999999999995</v>
      </c>
    </row>
    <row r="14859" spans="1:5" x14ac:dyDescent="0.2">
      <c r="A14859">
        <v>56181</v>
      </c>
      <c r="B14859" t="s">
        <v>29</v>
      </c>
      <c r="C14859">
        <v>56181</v>
      </c>
      <c r="D14859" t="str">
        <f>"56181"</f>
        <v>56181</v>
      </c>
      <c r="E14859">
        <v>71.930000000000007</v>
      </c>
    </row>
    <row r="14860" spans="1:5" x14ac:dyDescent="0.2">
      <c r="A14860">
        <v>56183</v>
      </c>
      <c r="B14860" t="s">
        <v>29</v>
      </c>
      <c r="C14860">
        <v>56183</v>
      </c>
      <c r="D14860" t="str">
        <f>"56183"</f>
        <v>56183</v>
      </c>
      <c r="E14860">
        <v>71.930000000000007</v>
      </c>
    </row>
    <row r="14861" spans="1:5" x14ac:dyDescent="0.2">
      <c r="A14861">
        <v>56185</v>
      </c>
      <c r="B14861" t="s">
        <v>29</v>
      </c>
      <c r="C14861">
        <v>56185</v>
      </c>
      <c r="D14861" t="str">
        <f>"56185"</f>
        <v>56185</v>
      </c>
      <c r="E14861">
        <v>75</v>
      </c>
    </row>
    <row r="14862" spans="1:5" x14ac:dyDescent="0.2">
      <c r="A14862">
        <v>56186</v>
      </c>
      <c r="B14862" t="s">
        <v>29</v>
      </c>
      <c r="C14862">
        <v>56186</v>
      </c>
      <c r="D14862" t="str">
        <f>"56186"</f>
        <v>56186</v>
      </c>
      <c r="E14862">
        <v>73.33</v>
      </c>
    </row>
    <row r="14863" spans="1:5" x14ac:dyDescent="0.2">
      <c r="A14863">
        <v>56187</v>
      </c>
      <c r="B14863" t="s">
        <v>29</v>
      </c>
      <c r="C14863">
        <v>56187</v>
      </c>
      <c r="D14863" t="str">
        <f>"56187"</f>
        <v>56187</v>
      </c>
      <c r="E14863">
        <v>67.77</v>
      </c>
    </row>
    <row r="14864" spans="1:5" x14ac:dyDescent="0.2">
      <c r="A14864">
        <v>56201</v>
      </c>
      <c r="B14864" t="s">
        <v>29</v>
      </c>
      <c r="C14864">
        <v>56201</v>
      </c>
      <c r="D14864" t="str">
        <f>"56201"</f>
        <v>56201</v>
      </c>
      <c r="E14864">
        <v>66.55</v>
      </c>
    </row>
    <row r="14865" spans="1:5" x14ac:dyDescent="0.2">
      <c r="A14865">
        <v>56207</v>
      </c>
      <c r="B14865" t="s">
        <v>29</v>
      </c>
      <c r="C14865">
        <v>56207</v>
      </c>
      <c r="D14865" t="str">
        <f>"56207"</f>
        <v>56207</v>
      </c>
      <c r="E14865">
        <v>84.62</v>
      </c>
    </row>
    <row r="14866" spans="1:5" x14ac:dyDescent="0.2">
      <c r="A14866">
        <v>56208</v>
      </c>
      <c r="B14866" t="s">
        <v>29</v>
      </c>
      <c r="C14866">
        <v>56208</v>
      </c>
      <c r="D14866" t="str">
        <f>"56208"</f>
        <v>56208</v>
      </c>
      <c r="E14866">
        <v>70.650000000000006</v>
      </c>
    </row>
    <row r="14867" spans="1:5" x14ac:dyDescent="0.2">
      <c r="A14867">
        <v>56209</v>
      </c>
      <c r="B14867" t="s">
        <v>29</v>
      </c>
      <c r="C14867">
        <v>56209</v>
      </c>
      <c r="D14867" t="str">
        <f>"56209"</f>
        <v>56209</v>
      </c>
      <c r="E14867">
        <v>76.92</v>
      </c>
    </row>
    <row r="14868" spans="1:5" x14ac:dyDescent="0.2">
      <c r="A14868">
        <v>56210</v>
      </c>
      <c r="B14868" t="s">
        <v>29</v>
      </c>
      <c r="C14868">
        <v>56210</v>
      </c>
      <c r="D14868" t="str">
        <f>"56210"</f>
        <v>56210</v>
      </c>
      <c r="E14868" t="s">
        <v>6</v>
      </c>
    </row>
    <row r="14869" spans="1:5" x14ac:dyDescent="0.2">
      <c r="A14869">
        <v>56211</v>
      </c>
      <c r="B14869" t="s">
        <v>29</v>
      </c>
      <c r="C14869">
        <v>56211</v>
      </c>
      <c r="D14869" t="str">
        <f>"56211"</f>
        <v>56211</v>
      </c>
      <c r="E14869">
        <v>72.73</v>
      </c>
    </row>
    <row r="14870" spans="1:5" x14ac:dyDescent="0.2">
      <c r="A14870">
        <v>56212</v>
      </c>
      <c r="B14870" t="s">
        <v>29</v>
      </c>
      <c r="C14870">
        <v>56212</v>
      </c>
      <c r="D14870" t="str">
        <f>"56212"</f>
        <v>56212</v>
      </c>
      <c r="E14870">
        <v>69.569999999999993</v>
      </c>
    </row>
    <row r="14871" spans="1:5" x14ac:dyDescent="0.2">
      <c r="A14871">
        <v>56214</v>
      </c>
      <c r="B14871" t="s">
        <v>29</v>
      </c>
      <c r="C14871">
        <v>56214</v>
      </c>
      <c r="D14871" t="str">
        <f>"56214"</f>
        <v>56214</v>
      </c>
      <c r="E14871">
        <v>71.05</v>
      </c>
    </row>
    <row r="14872" spans="1:5" x14ac:dyDescent="0.2">
      <c r="A14872">
        <v>56215</v>
      </c>
      <c r="B14872" t="s">
        <v>29</v>
      </c>
      <c r="C14872">
        <v>56215</v>
      </c>
      <c r="D14872" t="str">
        <f>"56215"</f>
        <v>56215</v>
      </c>
      <c r="E14872">
        <v>73.95</v>
      </c>
    </row>
    <row r="14873" spans="1:5" x14ac:dyDescent="0.2">
      <c r="A14873">
        <v>56216</v>
      </c>
      <c r="B14873" t="s">
        <v>29</v>
      </c>
      <c r="C14873">
        <v>56216</v>
      </c>
      <c r="D14873" t="str">
        <f>"56216"</f>
        <v>56216</v>
      </c>
      <c r="E14873">
        <v>79.31</v>
      </c>
    </row>
    <row r="14874" spans="1:5" x14ac:dyDescent="0.2">
      <c r="A14874">
        <v>56218</v>
      </c>
      <c r="B14874" t="s">
        <v>29</v>
      </c>
      <c r="C14874">
        <v>56218</v>
      </c>
      <c r="D14874" t="str">
        <f>"56218"</f>
        <v>56218</v>
      </c>
      <c r="E14874">
        <v>76</v>
      </c>
    </row>
    <row r="14875" spans="1:5" x14ac:dyDescent="0.2">
      <c r="A14875">
        <v>56219</v>
      </c>
      <c r="B14875" t="s">
        <v>29</v>
      </c>
      <c r="C14875">
        <v>56219</v>
      </c>
      <c r="D14875" t="str">
        <f>"56219"</f>
        <v>56219</v>
      </c>
      <c r="E14875">
        <v>61.29</v>
      </c>
    </row>
    <row r="14876" spans="1:5" x14ac:dyDescent="0.2">
      <c r="A14876">
        <v>56220</v>
      </c>
      <c r="B14876" t="s">
        <v>29</v>
      </c>
      <c r="C14876">
        <v>56220</v>
      </c>
      <c r="D14876" t="str">
        <f>"56220"</f>
        <v>56220</v>
      </c>
      <c r="E14876">
        <v>72.180000000000007</v>
      </c>
    </row>
    <row r="14877" spans="1:5" x14ac:dyDescent="0.2">
      <c r="A14877">
        <v>56221</v>
      </c>
      <c r="B14877" t="s">
        <v>29</v>
      </c>
      <c r="C14877">
        <v>56221</v>
      </c>
      <c r="D14877" t="str">
        <f>"56221"</f>
        <v>56221</v>
      </c>
      <c r="E14877">
        <v>76.92</v>
      </c>
    </row>
    <row r="14878" spans="1:5" x14ac:dyDescent="0.2">
      <c r="A14878">
        <v>56222</v>
      </c>
      <c r="B14878" t="s">
        <v>29</v>
      </c>
      <c r="C14878">
        <v>56222</v>
      </c>
      <c r="D14878" t="str">
        <f>"56222"</f>
        <v>56222</v>
      </c>
      <c r="E14878">
        <v>73.739999999999995</v>
      </c>
    </row>
    <row r="14879" spans="1:5" x14ac:dyDescent="0.2">
      <c r="A14879">
        <v>56223</v>
      </c>
      <c r="B14879" t="s">
        <v>29</v>
      </c>
      <c r="C14879">
        <v>56223</v>
      </c>
      <c r="D14879" t="str">
        <f>"56223"</f>
        <v>56223</v>
      </c>
      <c r="E14879">
        <v>71.64</v>
      </c>
    </row>
    <row r="14880" spans="1:5" x14ac:dyDescent="0.2">
      <c r="A14880">
        <v>56224</v>
      </c>
      <c r="B14880" t="s">
        <v>29</v>
      </c>
      <c r="C14880">
        <v>56224</v>
      </c>
      <c r="D14880" t="str">
        <f>"56224"</f>
        <v>56224</v>
      </c>
      <c r="E14880">
        <v>75</v>
      </c>
    </row>
    <row r="14881" spans="1:5" x14ac:dyDescent="0.2">
      <c r="A14881">
        <v>56225</v>
      </c>
      <c r="B14881" t="s">
        <v>29</v>
      </c>
      <c r="C14881">
        <v>56225</v>
      </c>
      <c r="D14881" t="str">
        <f>"56225"</f>
        <v>56225</v>
      </c>
      <c r="E14881">
        <v>74.290000000000006</v>
      </c>
    </row>
    <row r="14882" spans="1:5" x14ac:dyDescent="0.2">
      <c r="A14882">
        <v>56226</v>
      </c>
      <c r="B14882" t="s">
        <v>29</v>
      </c>
      <c r="C14882">
        <v>56226</v>
      </c>
      <c r="D14882" t="str">
        <f>"56226"</f>
        <v>56226</v>
      </c>
      <c r="E14882">
        <v>90.91</v>
      </c>
    </row>
    <row r="14883" spans="1:5" x14ac:dyDescent="0.2">
      <c r="A14883">
        <v>56227</v>
      </c>
      <c r="B14883" t="s">
        <v>29</v>
      </c>
      <c r="C14883">
        <v>56227</v>
      </c>
      <c r="D14883" t="str">
        <f>"56227"</f>
        <v>56227</v>
      </c>
      <c r="E14883">
        <v>70</v>
      </c>
    </row>
    <row r="14884" spans="1:5" x14ac:dyDescent="0.2">
      <c r="A14884">
        <v>56228</v>
      </c>
      <c r="B14884" t="s">
        <v>29</v>
      </c>
      <c r="C14884">
        <v>56228</v>
      </c>
      <c r="D14884" t="str">
        <f>"56228"</f>
        <v>56228</v>
      </c>
      <c r="E14884">
        <v>75</v>
      </c>
    </row>
    <row r="14885" spans="1:5" x14ac:dyDescent="0.2">
      <c r="A14885">
        <v>56229</v>
      </c>
      <c r="B14885" t="s">
        <v>29</v>
      </c>
      <c r="C14885">
        <v>56229</v>
      </c>
      <c r="D14885" t="str">
        <f>"56229"</f>
        <v>56229</v>
      </c>
      <c r="E14885">
        <v>78.819999999999993</v>
      </c>
    </row>
    <row r="14886" spans="1:5" x14ac:dyDescent="0.2">
      <c r="A14886">
        <v>56230</v>
      </c>
      <c r="B14886" t="s">
        <v>29</v>
      </c>
      <c r="C14886">
        <v>56230</v>
      </c>
      <c r="D14886" t="str">
        <f>"56230"</f>
        <v>56230</v>
      </c>
      <c r="E14886">
        <v>72.22</v>
      </c>
    </row>
    <row r="14887" spans="1:5" x14ac:dyDescent="0.2">
      <c r="A14887">
        <v>56231</v>
      </c>
      <c r="B14887" t="s">
        <v>29</v>
      </c>
      <c r="C14887">
        <v>56231</v>
      </c>
      <c r="D14887" t="str">
        <f>"56231"</f>
        <v>56231</v>
      </c>
      <c r="E14887">
        <v>83.33</v>
      </c>
    </row>
    <row r="14888" spans="1:5" x14ac:dyDescent="0.2">
      <c r="A14888">
        <v>56232</v>
      </c>
      <c r="B14888" t="s">
        <v>29</v>
      </c>
      <c r="C14888">
        <v>56232</v>
      </c>
      <c r="D14888" t="str">
        <f>"56232"</f>
        <v>56232</v>
      </c>
      <c r="E14888">
        <v>73.58</v>
      </c>
    </row>
    <row r="14889" spans="1:5" x14ac:dyDescent="0.2">
      <c r="A14889">
        <v>56235</v>
      </c>
      <c r="B14889" t="s">
        <v>29</v>
      </c>
      <c r="C14889">
        <v>56235</v>
      </c>
      <c r="D14889" t="str">
        <f>"56235"</f>
        <v>56235</v>
      </c>
      <c r="E14889">
        <v>82.76</v>
      </c>
    </row>
    <row r="14890" spans="1:5" x14ac:dyDescent="0.2">
      <c r="A14890">
        <v>56236</v>
      </c>
      <c r="B14890" t="s">
        <v>29</v>
      </c>
      <c r="C14890">
        <v>56236</v>
      </c>
      <c r="D14890" t="str">
        <f>"56236"</f>
        <v>56236</v>
      </c>
      <c r="E14890">
        <v>76.47</v>
      </c>
    </row>
    <row r="14891" spans="1:5" x14ac:dyDescent="0.2">
      <c r="A14891">
        <v>56237</v>
      </c>
      <c r="B14891" t="s">
        <v>29</v>
      </c>
      <c r="C14891">
        <v>56237</v>
      </c>
      <c r="D14891" t="str">
        <f>"56237"</f>
        <v>56237</v>
      </c>
      <c r="E14891">
        <v>74.069999999999993</v>
      </c>
    </row>
    <row r="14892" spans="1:5" x14ac:dyDescent="0.2">
      <c r="A14892">
        <v>56239</v>
      </c>
      <c r="B14892" t="s">
        <v>29</v>
      </c>
      <c r="C14892">
        <v>56239</v>
      </c>
      <c r="D14892" t="str">
        <f>"56239"</f>
        <v>56239</v>
      </c>
      <c r="E14892">
        <v>80</v>
      </c>
    </row>
    <row r="14893" spans="1:5" x14ac:dyDescent="0.2">
      <c r="A14893">
        <v>56240</v>
      </c>
      <c r="B14893" t="s">
        <v>29</v>
      </c>
      <c r="C14893">
        <v>56240</v>
      </c>
      <c r="D14893" t="str">
        <f>"56240"</f>
        <v>56240</v>
      </c>
      <c r="E14893">
        <v>68</v>
      </c>
    </row>
    <row r="14894" spans="1:5" x14ac:dyDescent="0.2">
      <c r="A14894">
        <v>56241</v>
      </c>
      <c r="B14894" t="s">
        <v>29</v>
      </c>
      <c r="C14894">
        <v>56241</v>
      </c>
      <c r="D14894" t="str">
        <f>"56241"</f>
        <v>56241</v>
      </c>
      <c r="E14894">
        <v>76.47</v>
      </c>
    </row>
    <row r="14895" spans="1:5" x14ac:dyDescent="0.2">
      <c r="A14895">
        <v>56243</v>
      </c>
      <c r="B14895" t="s">
        <v>29</v>
      </c>
      <c r="C14895">
        <v>56243</v>
      </c>
      <c r="D14895" t="str">
        <f>"56243"</f>
        <v>56243</v>
      </c>
      <c r="E14895">
        <v>73.97</v>
      </c>
    </row>
    <row r="14896" spans="1:5" x14ac:dyDescent="0.2">
      <c r="A14896">
        <v>56244</v>
      </c>
      <c r="B14896" t="s">
        <v>29</v>
      </c>
      <c r="C14896">
        <v>56244</v>
      </c>
      <c r="D14896" t="str">
        <f>"56244"</f>
        <v>56244</v>
      </c>
      <c r="E14896">
        <v>75.31</v>
      </c>
    </row>
    <row r="14897" spans="1:5" x14ac:dyDescent="0.2">
      <c r="A14897">
        <v>56245</v>
      </c>
      <c r="B14897" t="s">
        <v>29</v>
      </c>
      <c r="C14897">
        <v>56245</v>
      </c>
      <c r="D14897" t="str">
        <f>"56245"</f>
        <v>56245</v>
      </c>
      <c r="E14897">
        <v>75</v>
      </c>
    </row>
    <row r="14898" spans="1:5" x14ac:dyDescent="0.2">
      <c r="A14898">
        <v>56248</v>
      </c>
      <c r="B14898" t="s">
        <v>29</v>
      </c>
      <c r="C14898">
        <v>56248</v>
      </c>
      <c r="D14898" t="str">
        <f>"56248"</f>
        <v>56248</v>
      </c>
      <c r="E14898">
        <v>75</v>
      </c>
    </row>
    <row r="14899" spans="1:5" x14ac:dyDescent="0.2">
      <c r="A14899">
        <v>56249</v>
      </c>
      <c r="B14899" t="s">
        <v>29</v>
      </c>
      <c r="C14899">
        <v>56249</v>
      </c>
      <c r="D14899" t="str">
        <f>"56249"</f>
        <v>56249</v>
      </c>
      <c r="E14899">
        <v>80</v>
      </c>
    </row>
    <row r="14900" spans="1:5" x14ac:dyDescent="0.2">
      <c r="A14900">
        <v>56251</v>
      </c>
      <c r="B14900" t="s">
        <v>29</v>
      </c>
      <c r="C14900">
        <v>56251</v>
      </c>
      <c r="D14900" t="str">
        <f>"56251"</f>
        <v>56251</v>
      </c>
      <c r="E14900">
        <v>75.510000000000005</v>
      </c>
    </row>
    <row r="14901" spans="1:5" x14ac:dyDescent="0.2">
      <c r="A14901">
        <v>56252</v>
      </c>
      <c r="B14901" t="s">
        <v>29</v>
      </c>
      <c r="C14901">
        <v>56252</v>
      </c>
      <c r="D14901" t="str">
        <f>"56252"</f>
        <v>56252</v>
      </c>
      <c r="E14901">
        <v>75.44</v>
      </c>
    </row>
    <row r="14902" spans="1:5" x14ac:dyDescent="0.2">
      <c r="A14902">
        <v>56253</v>
      </c>
      <c r="B14902" t="s">
        <v>29</v>
      </c>
      <c r="C14902">
        <v>56253</v>
      </c>
      <c r="D14902" t="str">
        <f>"56253"</f>
        <v>56253</v>
      </c>
      <c r="E14902">
        <v>79.59</v>
      </c>
    </row>
    <row r="14903" spans="1:5" x14ac:dyDescent="0.2">
      <c r="A14903">
        <v>56255</v>
      </c>
      <c r="B14903" t="s">
        <v>29</v>
      </c>
      <c r="C14903">
        <v>56255</v>
      </c>
      <c r="D14903" t="str">
        <f>"56255"</f>
        <v>56255</v>
      </c>
      <c r="E14903">
        <v>63.16</v>
      </c>
    </row>
    <row r="14904" spans="1:5" x14ac:dyDescent="0.2">
      <c r="A14904">
        <v>56256</v>
      </c>
      <c r="B14904" t="s">
        <v>29</v>
      </c>
      <c r="C14904">
        <v>56256</v>
      </c>
      <c r="D14904" t="str">
        <f>"56256"</f>
        <v>56256</v>
      </c>
      <c r="E14904">
        <v>76.27</v>
      </c>
    </row>
    <row r="14905" spans="1:5" x14ac:dyDescent="0.2">
      <c r="A14905">
        <v>56257</v>
      </c>
      <c r="B14905" t="s">
        <v>29</v>
      </c>
      <c r="C14905">
        <v>56257</v>
      </c>
      <c r="D14905" t="str">
        <f>"56257"</f>
        <v>56257</v>
      </c>
      <c r="E14905">
        <v>76.19</v>
      </c>
    </row>
    <row r="14906" spans="1:5" x14ac:dyDescent="0.2">
      <c r="A14906">
        <v>56258</v>
      </c>
      <c r="B14906" t="s">
        <v>29</v>
      </c>
      <c r="C14906">
        <v>56258</v>
      </c>
      <c r="D14906" t="str">
        <f>"56258"</f>
        <v>56258</v>
      </c>
      <c r="E14906">
        <v>70.48</v>
      </c>
    </row>
    <row r="14907" spans="1:5" x14ac:dyDescent="0.2">
      <c r="A14907">
        <v>56260</v>
      </c>
      <c r="B14907" t="s">
        <v>29</v>
      </c>
      <c r="C14907">
        <v>56260</v>
      </c>
      <c r="D14907" t="str">
        <f>"56260"</f>
        <v>56260</v>
      </c>
      <c r="E14907">
        <v>78.05</v>
      </c>
    </row>
    <row r="14908" spans="1:5" x14ac:dyDescent="0.2">
      <c r="A14908">
        <v>56262</v>
      </c>
      <c r="B14908" t="s">
        <v>29</v>
      </c>
      <c r="C14908">
        <v>56262</v>
      </c>
      <c r="D14908" t="str">
        <f>"56262"</f>
        <v>56262</v>
      </c>
      <c r="E14908">
        <v>68.569999999999993</v>
      </c>
    </row>
    <row r="14909" spans="1:5" x14ac:dyDescent="0.2">
      <c r="A14909">
        <v>56263</v>
      </c>
      <c r="B14909" t="s">
        <v>29</v>
      </c>
      <c r="C14909">
        <v>56263</v>
      </c>
      <c r="D14909" t="str">
        <f>"56263"</f>
        <v>56263</v>
      </c>
      <c r="E14909">
        <v>84.62</v>
      </c>
    </row>
    <row r="14910" spans="1:5" x14ac:dyDescent="0.2">
      <c r="A14910">
        <v>56264</v>
      </c>
      <c r="B14910" t="s">
        <v>29</v>
      </c>
      <c r="C14910">
        <v>56264</v>
      </c>
      <c r="D14910" t="str">
        <f>"56264"</f>
        <v>56264</v>
      </c>
      <c r="E14910">
        <v>74.23</v>
      </c>
    </row>
    <row r="14911" spans="1:5" x14ac:dyDescent="0.2">
      <c r="A14911">
        <v>56265</v>
      </c>
      <c r="B14911" t="s">
        <v>29</v>
      </c>
      <c r="C14911">
        <v>56265</v>
      </c>
      <c r="D14911" t="str">
        <f>"56265"</f>
        <v>56265</v>
      </c>
      <c r="E14911">
        <v>72.36</v>
      </c>
    </row>
    <row r="14912" spans="1:5" x14ac:dyDescent="0.2">
      <c r="A14912">
        <v>56266</v>
      </c>
      <c r="B14912" t="s">
        <v>29</v>
      </c>
      <c r="C14912">
        <v>56266</v>
      </c>
      <c r="D14912" t="str">
        <f>"56266"</f>
        <v>56266</v>
      </c>
      <c r="E14912">
        <v>68.92</v>
      </c>
    </row>
    <row r="14913" spans="1:5" x14ac:dyDescent="0.2">
      <c r="A14913">
        <v>56267</v>
      </c>
      <c r="B14913" t="s">
        <v>29</v>
      </c>
      <c r="C14913">
        <v>56267</v>
      </c>
      <c r="D14913" t="str">
        <f>"56267"</f>
        <v>56267</v>
      </c>
      <c r="E14913">
        <v>73</v>
      </c>
    </row>
    <row r="14914" spans="1:5" x14ac:dyDescent="0.2">
      <c r="A14914">
        <v>56270</v>
      </c>
      <c r="B14914" t="s">
        <v>29</v>
      </c>
      <c r="C14914">
        <v>56270</v>
      </c>
      <c r="D14914" t="str">
        <f>"56270"</f>
        <v>56270</v>
      </c>
      <c r="E14914">
        <v>78.67</v>
      </c>
    </row>
    <row r="14915" spans="1:5" x14ac:dyDescent="0.2">
      <c r="A14915">
        <v>56271</v>
      </c>
      <c r="B14915" t="s">
        <v>29</v>
      </c>
      <c r="C14915">
        <v>56271</v>
      </c>
      <c r="D14915" t="str">
        <f>"56271"</f>
        <v>56271</v>
      </c>
      <c r="E14915">
        <v>78.180000000000007</v>
      </c>
    </row>
    <row r="14916" spans="1:5" x14ac:dyDescent="0.2">
      <c r="A14916">
        <v>56273</v>
      </c>
      <c r="B14916" t="s">
        <v>29</v>
      </c>
      <c r="C14916">
        <v>56273</v>
      </c>
      <c r="D14916" t="str">
        <f>"56273"</f>
        <v>56273</v>
      </c>
      <c r="E14916">
        <v>74.489999999999995</v>
      </c>
    </row>
    <row r="14917" spans="1:5" x14ac:dyDescent="0.2">
      <c r="A14917">
        <v>56274</v>
      </c>
      <c r="B14917" t="s">
        <v>29</v>
      </c>
      <c r="C14917">
        <v>56274</v>
      </c>
      <c r="D14917" t="str">
        <f>"56274"</f>
        <v>56274</v>
      </c>
      <c r="E14917" t="s">
        <v>6</v>
      </c>
    </row>
    <row r="14918" spans="1:5" x14ac:dyDescent="0.2">
      <c r="A14918">
        <v>56276</v>
      </c>
      <c r="B14918" t="s">
        <v>29</v>
      </c>
      <c r="C14918">
        <v>56276</v>
      </c>
      <c r="D14918" t="str">
        <f>"56276"</f>
        <v>56276</v>
      </c>
      <c r="E14918">
        <v>75</v>
      </c>
    </row>
    <row r="14919" spans="1:5" x14ac:dyDescent="0.2">
      <c r="A14919">
        <v>56277</v>
      </c>
      <c r="B14919" t="s">
        <v>29</v>
      </c>
      <c r="C14919">
        <v>56277</v>
      </c>
      <c r="D14919" t="str">
        <f>"56277"</f>
        <v>56277</v>
      </c>
      <c r="E14919">
        <v>70.67</v>
      </c>
    </row>
    <row r="14920" spans="1:5" x14ac:dyDescent="0.2">
      <c r="A14920">
        <v>56278</v>
      </c>
      <c r="B14920" t="s">
        <v>29</v>
      </c>
      <c r="C14920">
        <v>56278</v>
      </c>
      <c r="D14920" t="str">
        <f>"56278"</f>
        <v>56278</v>
      </c>
      <c r="E14920">
        <v>69.11</v>
      </c>
    </row>
    <row r="14921" spans="1:5" x14ac:dyDescent="0.2">
      <c r="A14921">
        <v>56279</v>
      </c>
      <c r="B14921" t="s">
        <v>29</v>
      </c>
      <c r="C14921">
        <v>56279</v>
      </c>
      <c r="D14921" t="str">
        <f>"56279"</f>
        <v>56279</v>
      </c>
      <c r="E14921">
        <v>71.67</v>
      </c>
    </row>
    <row r="14922" spans="1:5" x14ac:dyDescent="0.2">
      <c r="A14922">
        <v>56280</v>
      </c>
      <c r="B14922" t="s">
        <v>29</v>
      </c>
      <c r="C14922">
        <v>56280</v>
      </c>
      <c r="D14922" t="str">
        <f>"56280"</f>
        <v>56280</v>
      </c>
      <c r="E14922">
        <v>68.180000000000007</v>
      </c>
    </row>
    <row r="14923" spans="1:5" x14ac:dyDescent="0.2">
      <c r="A14923">
        <v>56281</v>
      </c>
      <c r="B14923" t="s">
        <v>29</v>
      </c>
      <c r="C14923">
        <v>56281</v>
      </c>
      <c r="D14923" t="str">
        <f>"56281"</f>
        <v>56281</v>
      </c>
      <c r="E14923">
        <v>75</v>
      </c>
    </row>
    <row r="14924" spans="1:5" x14ac:dyDescent="0.2">
      <c r="A14924">
        <v>56282</v>
      </c>
      <c r="B14924" t="s">
        <v>29</v>
      </c>
      <c r="C14924">
        <v>56282</v>
      </c>
      <c r="D14924" t="str">
        <f>"56282"</f>
        <v>56282</v>
      </c>
      <c r="E14924">
        <v>72.73</v>
      </c>
    </row>
    <row r="14925" spans="1:5" x14ac:dyDescent="0.2">
      <c r="A14925">
        <v>56283</v>
      </c>
      <c r="B14925" t="s">
        <v>29</v>
      </c>
      <c r="C14925">
        <v>56283</v>
      </c>
      <c r="D14925" t="str">
        <f>"56283"</f>
        <v>56283</v>
      </c>
      <c r="E14925">
        <v>75.38</v>
      </c>
    </row>
    <row r="14926" spans="1:5" x14ac:dyDescent="0.2">
      <c r="A14926">
        <v>56284</v>
      </c>
      <c r="B14926" t="s">
        <v>29</v>
      </c>
      <c r="C14926">
        <v>56284</v>
      </c>
      <c r="D14926" t="str">
        <f>"56284"</f>
        <v>56284</v>
      </c>
      <c r="E14926">
        <v>69.89</v>
      </c>
    </row>
    <row r="14927" spans="1:5" x14ac:dyDescent="0.2">
      <c r="A14927">
        <v>56285</v>
      </c>
      <c r="B14927" t="s">
        <v>29</v>
      </c>
      <c r="C14927">
        <v>56285</v>
      </c>
      <c r="D14927" t="str">
        <f>"56285"</f>
        <v>56285</v>
      </c>
      <c r="E14927">
        <v>78</v>
      </c>
    </row>
    <row r="14928" spans="1:5" x14ac:dyDescent="0.2">
      <c r="A14928">
        <v>56287</v>
      </c>
      <c r="B14928" t="s">
        <v>29</v>
      </c>
      <c r="C14928">
        <v>56287</v>
      </c>
      <c r="D14928" t="str">
        <f>"56287"</f>
        <v>56287</v>
      </c>
      <c r="E14928" t="s">
        <v>6</v>
      </c>
    </row>
    <row r="14929" spans="1:5" x14ac:dyDescent="0.2">
      <c r="A14929">
        <v>56288</v>
      </c>
      <c r="B14929" t="s">
        <v>29</v>
      </c>
      <c r="C14929">
        <v>56288</v>
      </c>
      <c r="D14929" t="str">
        <f>"56288"</f>
        <v>56288</v>
      </c>
      <c r="E14929">
        <v>81.33</v>
      </c>
    </row>
    <row r="14930" spans="1:5" x14ac:dyDescent="0.2">
      <c r="A14930">
        <v>56289</v>
      </c>
      <c r="B14930" t="s">
        <v>29</v>
      </c>
      <c r="C14930">
        <v>56289</v>
      </c>
      <c r="D14930" t="str">
        <f>"56289"</f>
        <v>56289</v>
      </c>
      <c r="E14930">
        <v>71.430000000000007</v>
      </c>
    </row>
    <row r="14931" spans="1:5" x14ac:dyDescent="0.2">
      <c r="A14931">
        <v>56291</v>
      </c>
      <c r="B14931" t="s">
        <v>29</v>
      </c>
      <c r="C14931">
        <v>56291</v>
      </c>
      <c r="D14931" t="str">
        <f>"56291"</f>
        <v>56291</v>
      </c>
      <c r="E14931">
        <v>70.83</v>
      </c>
    </row>
    <row r="14932" spans="1:5" x14ac:dyDescent="0.2">
      <c r="A14932">
        <v>56292</v>
      </c>
      <c r="B14932" t="s">
        <v>29</v>
      </c>
      <c r="C14932">
        <v>56292</v>
      </c>
      <c r="D14932" t="str">
        <f>"56292"</f>
        <v>56292</v>
      </c>
      <c r="E14932">
        <v>77.78</v>
      </c>
    </row>
    <row r="14933" spans="1:5" x14ac:dyDescent="0.2">
      <c r="A14933">
        <v>56293</v>
      </c>
      <c r="B14933" t="s">
        <v>29</v>
      </c>
      <c r="C14933">
        <v>56293</v>
      </c>
      <c r="D14933" t="str">
        <f>"56293"</f>
        <v>56293</v>
      </c>
      <c r="E14933">
        <v>75.44</v>
      </c>
    </row>
    <row r="14934" spans="1:5" x14ac:dyDescent="0.2">
      <c r="A14934">
        <v>56294</v>
      </c>
      <c r="B14934" t="s">
        <v>29</v>
      </c>
      <c r="C14934">
        <v>56294</v>
      </c>
      <c r="D14934" t="str">
        <f>"56294"</f>
        <v>56294</v>
      </c>
      <c r="E14934" t="s">
        <v>6</v>
      </c>
    </row>
    <row r="14935" spans="1:5" x14ac:dyDescent="0.2">
      <c r="A14935">
        <v>56295</v>
      </c>
      <c r="B14935" t="s">
        <v>29</v>
      </c>
      <c r="C14935">
        <v>56295</v>
      </c>
      <c r="D14935" t="str">
        <f>"56295"</f>
        <v>56295</v>
      </c>
      <c r="E14935">
        <v>75</v>
      </c>
    </row>
    <row r="14936" spans="1:5" x14ac:dyDescent="0.2">
      <c r="A14936">
        <v>56296</v>
      </c>
      <c r="B14936" t="s">
        <v>29</v>
      </c>
      <c r="C14936">
        <v>56296</v>
      </c>
      <c r="D14936" t="str">
        <f>"56296"</f>
        <v>56296</v>
      </c>
      <c r="E14936">
        <v>73.680000000000007</v>
      </c>
    </row>
    <row r="14937" spans="1:5" x14ac:dyDescent="0.2">
      <c r="A14937">
        <v>56297</v>
      </c>
      <c r="B14937" t="s">
        <v>29</v>
      </c>
      <c r="C14937">
        <v>56297</v>
      </c>
      <c r="D14937" t="str">
        <f>"56297"</f>
        <v>56297</v>
      </c>
      <c r="E14937">
        <v>72.5</v>
      </c>
    </row>
    <row r="14938" spans="1:5" x14ac:dyDescent="0.2">
      <c r="A14938">
        <v>56301</v>
      </c>
      <c r="B14938" t="s">
        <v>29</v>
      </c>
      <c r="C14938">
        <v>56301</v>
      </c>
      <c r="D14938" t="str">
        <f>"56301"</f>
        <v>56301</v>
      </c>
      <c r="E14938">
        <v>68.680000000000007</v>
      </c>
    </row>
    <row r="14939" spans="1:5" x14ac:dyDescent="0.2">
      <c r="A14939">
        <v>56303</v>
      </c>
      <c r="B14939" t="s">
        <v>29</v>
      </c>
      <c r="C14939">
        <v>56303</v>
      </c>
      <c r="D14939" t="str">
        <f>"56303"</f>
        <v>56303</v>
      </c>
      <c r="E14939">
        <v>71.78</v>
      </c>
    </row>
    <row r="14940" spans="1:5" x14ac:dyDescent="0.2">
      <c r="A14940">
        <v>56304</v>
      </c>
      <c r="B14940" t="s">
        <v>29</v>
      </c>
      <c r="C14940">
        <v>56304</v>
      </c>
      <c r="D14940" t="str">
        <f>"56304"</f>
        <v>56304</v>
      </c>
      <c r="E14940">
        <v>66.84</v>
      </c>
    </row>
    <row r="14941" spans="1:5" x14ac:dyDescent="0.2">
      <c r="A14941">
        <v>56307</v>
      </c>
      <c r="B14941" t="s">
        <v>29</v>
      </c>
      <c r="C14941">
        <v>56307</v>
      </c>
      <c r="D14941" t="str">
        <f>"56307"</f>
        <v>56307</v>
      </c>
      <c r="E14941">
        <v>76.150000000000006</v>
      </c>
    </row>
    <row r="14942" spans="1:5" x14ac:dyDescent="0.2">
      <c r="A14942">
        <v>56308</v>
      </c>
      <c r="B14942" t="s">
        <v>29</v>
      </c>
      <c r="C14942">
        <v>56308</v>
      </c>
      <c r="D14942" t="str">
        <f>"56308"</f>
        <v>56308</v>
      </c>
      <c r="E14942">
        <v>75.58</v>
      </c>
    </row>
    <row r="14943" spans="1:5" x14ac:dyDescent="0.2">
      <c r="A14943">
        <v>56309</v>
      </c>
      <c r="B14943" t="s">
        <v>29</v>
      </c>
      <c r="C14943">
        <v>56309</v>
      </c>
      <c r="D14943" t="str">
        <f>"56309"</f>
        <v>56309</v>
      </c>
      <c r="E14943">
        <v>73.44</v>
      </c>
    </row>
    <row r="14944" spans="1:5" x14ac:dyDescent="0.2">
      <c r="A14944">
        <v>56310</v>
      </c>
      <c r="B14944" t="s">
        <v>29</v>
      </c>
      <c r="C14944">
        <v>56310</v>
      </c>
      <c r="D14944" t="str">
        <f>"56310"</f>
        <v>56310</v>
      </c>
      <c r="E14944">
        <v>81.400000000000006</v>
      </c>
    </row>
    <row r="14945" spans="1:5" x14ac:dyDescent="0.2">
      <c r="A14945">
        <v>56311</v>
      </c>
      <c r="B14945" t="s">
        <v>29</v>
      </c>
      <c r="C14945">
        <v>56311</v>
      </c>
      <c r="D14945" t="str">
        <f>"56311"</f>
        <v>56311</v>
      </c>
      <c r="E14945">
        <v>73.33</v>
      </c>
    </row>
    <row r="14946" spans="1:5" x14ac:dyDescent="0.2">
      <c r="A14946">
        <v>56312</v>
      </c>
      <c r="B14946" t="s">
        <v>29</v>
      </c>
      <c r="C14946">
        <v>56312</v>
      </c>
      <c r="D14946" t="str">
        <f>"56312"</f>
        <v>56312</v>
      </c>
      <c r="E14946">
        <v>73.58</v>
      </c>
    </row>
    <row r="14947" spans="1:5" x14ac:dyDescent="0.2">
      <c r="A14947">
        <v>56313</v>
      </c>
      <c r="B14947" t="s">
        <v>29</v>
      </c>
      <c r="C14947">
        <v>56313</v>
      </c>
      <c r="D14947" t="str">
        <f>"56313"</f>
        <v>56313</v>
      </c>
      <c r="E14947" t="s">
        <v>6</v>
      </c>
    </row>
    <row r="14948" spans="1:5" x14ac:dyDescent="0.2">
      <c r="A14948">
        <v>56314</v>
      </c>
      <c r="B14948" t="s">
        <v>29</v>
      </c>
      <c r="C14948">
        <v>56314</v>
      </c>
      <c r="D14948" t="str">
        <f>"56314"</f>
        <v>56314</v>
      </c>
      <c r="E14948">
        <v>72.73</v>
      </c>
    </row>
    <row r="14949" spans="1:5" x14ac:dyDescent="0.2">
      <c r="A14949">
        <v>56315</v>
      </c>
      <c r="B14949" t="s">
        <v>29</v>
      </c>
      <c r="C14949">
        <v>56315</v>
      </c>
      <c r="D14949" t="str">
        <f>"56315"</f>
        <v>56315</v>
      </c>
      <c r="E14949">
        <v>75.319999999999993</v>
      </c>
    </row>
    <row r="14950" spans="1:5" x14ac:dyDescent="0.2">
      <c r="A14950">
        <v>56316</v>
      </c>
      <c r="B14950" t="s">
        <v>29</v>
      </c>
      <c r="C14950">
        <v>56316</v>
      </c>
      <c r="D14950" t="str">
        <f>"56316"</f>
        <v>56316</v>
      </c>
      <c r="E14950">
        <v>73.239999999999995</v>
      </c>
    </row>
    <row r="14951" spans="1:5" x14ac:dyDescent="0.2">
      <c r="A14951">
        <v>56318</v>
      </c>
      <c r="B14951" t="s">
        <v>29</v>
      </c>
      <c r="C14951">
        <v>56318</v>
      </c>
      <c r="D14951" t="str">
        <f>"56318"</f>
        <v>56318</v>
      </c>
      <c r="E14951">
        <v>71.7</v>
      </c>
    </row>
    <row r="14952" spans="1:5" x14ac:dyDescent="0.2">
      <c r="A14952">
        <v>56319</v>
      </c>
      <c r="B14952" t="s">
        <v>29</v>
      </c>
      <c r="C14952">
        <v>56319</v>
      </c>
      <c r="D14952" t="str">
        <f>"56319"</f>
        <v>56319</v>
      </c>
      <c r="E14952">
        <v>77.27</v>
      </c>
    </row>
    <row r="14953" spans="1:5" x14ac:dyDescent="0.2">
      <c r="A14953">
        <v>56320</v>
      </c>
      <c r="B14953" t="s">
        <v>29</v>
      </c>
      <c r="C14953">
        <v>56320</v>
      </c>
      <c r="D14953" t="str">
        <f>"56320"</f>
        <v>56320</v>
      </c>
      <c r="E14953">
        <v>77.66</v>
      </c>
    </row>
    <row r="14954" spans="1:5" x14ac:dyDescent="0.2">
      <c r="A14954">
        <v>56323</v>
      </c>
      <c r="B14954" t="s">
        <v>29</v>
      </c>
      <c r="C14954">
        <v>56323</v>
      </c>
      <c r="D14954" t="str">
        <f>"56323"</f>
        <v>56323</v>
      </c>
      <c r="E14954">
        <v>80</v>
      </c>
    </row>
    <row r="14955" spans="1:5" x14ac:dyDescent="0.2">
      <c r="A14955">
        <v>56324</v>
      </c>
      <c r="B14955" t="s">
        <v>29</v>
      </c>
      <c r="C14955">
        <v>56324</v>
      </c>
      <c r="D14955" t="str">
        <f>"56324"</f>
        <v>56324</v>
      </c>
      <c r="E14955">
        <v>75.930000000000007</v>
      </c>
    </row>
    <row r="14956" spans="1:5" x14ac:dyDescent="0.2">
      <c r="A14956">
        <v>56325</v>
      </c>
      <c r="B14956" t="s">
        <v>29</v>
      </c>
      <c r="C14956">
        <v>56325</v>
      </c>
      <c r="D14956" t="str">
        <f>"56325"</f>
        <v>56325</v>
      </c>
      <c r="E14956" t="s">
        <v>6</v>
      </c>
    </row>
    <row r="14957" spans="1:5" x14ac:dyDescent="0.2">
      <c r="A14957">
        <v>56326</v>
      </c>
      <c r="B14957" t="s">
        <v>29</v>
      </c>
      <c r="C14957">
        <v>56326</v>
      </c>
      <c r="D14957" t="str">
        <f>"56326"</f>
        <v>56326</v>
      </c>
      <c r="E14957">
        <v>71.62</v>
      </c>
    </row>
    <row r="14958" spans="1:5" x14ac:dyDescent="0.2">
      <c r="A14958">
        <v>56327</v>
      </c>
      <c r="B14958" t="s">
        <v>29</v>
      </c>
      <c r="C14958">
        <v>56327</v>
      </c>
      <c r="D14958" t="str">
        <f>"56327"</f>
        <v>56327</v>
      </c>
      <c r="E14958">
        <v>79.489999999999995</v>
      </c>
    </row>
    <row r="14959" spans="1:5" x14ac:dyDescent="0.2">
      <c r="A14959">
        <v>56328</v>
      </c>
      <c r="B14959" t="s">
        <v>29</v>
      </c>
      <c r="C14959">
        <v>56328</v>
      </c>
      <c r="D14959" t="str">
        <f>"56328"</f>
        <v>56328</v>
      </c>
      <c r="E14959" t="s">
        <v>6</v>
      </c>
    </row>
    <row r="14960" spans="1:5" x14ac:dyDescent="0.2">
      <c r="A14960">
        <v>56329</v>
      </c>
      <c r="B14960" t="s">
        <v>29</v>
      </c>
      <c r="C14960">
        <v>56329</v>
      </c>
      <c r="D14960" t="str">
        <f>"56329"</f>
        <v>56329</v>
      </c>
      <c r="E14960">
        <v>76.150000000000006</v>
      </c>
    </row>
    <row r="14961" spans="1:5" x14ac:dyDescent="0.2">
      <c r="A14961">
        <v>56330</v>
      </c>
      <c r="B14961" t="s">
        <v>29</v>
      </c>
      <c r="C14961">
        <v>56330</v>
      </c>
      <c r="D14961" t="str">
        <f>"56330"</f>
        <v>56330</v>
      </c>
      <c r="E14961">
        <v>76.25</v>
      </c>
    </row>
    <row r="14962" spans="1:5" x14ac:dyDescent="0.2">
      <c r="A14962">
        <v>56331</v>
      </c>
      <c r="B14962" t="s">
        <v>29</v>
      </c>
      <c r="C14962">
        <v>56331</v>
      </c>
      <c r="D14962" t="str">
        <f>"56331"</f>
        <v>56331</v>
      </c>
      <c r="E14962">
        <v>72.45</v>
      </c>
    </row>
    <row r="14963" spans="1:5" x14ac:dyDescent="0.2">
      <c r="A14963">
        <v>56332</v>
      </c>
      <c r="B14963" t="s">
        <v>29</v>
      </c>
      <c r="C14963">
        <v>56332</v>
      </c>
      <c r="D14963" t="str">
        <f>"56332"</f>
        <v>56332</v>
      </c>
      <c r="E14963">
        <v>77.78</v>
      </c>
    </row>
    <row r="14964" spans="1:5" x14ac:dyDescent="0.2">
      <c r="A14964">
        <v>56334</v>
      </c>
      <c r="B14964" t="s">
        <v>29</v>
      </c>
      <c r="C14964">
        <v>56334</v>
      </c>
      <c r="D14964" t="str">
        <f>"56334"</f>
        <v>56334</v>
      </c>
      <c r="E14964">
        <v>73.7</v>
      </c>
    </row>
    <row r="14965" spans="1:5" x14ac:dyDescent="0.2">
      <c r="A14965">
        <v>56335</v>
      </c>
      <c r="B14965" t="s">
        <v>29</v>
      </c>
      <c r="C14965">
        <v>56335</v>
      </c>
      <c r="D14965" t="str">
        <f>"56335"</f>
        <v>56335</v>
      </c>
      <c r="E14965" t="s">
        <v>6</v>
      </c>
    </row>
    <row r="14966" spans="1:5" x14ac:dyDescent="0.2">
      <c r="A14966">
        <v>56336</v>
      </c>
      <c r="B14966" t="s">
        <v>29</v>
      </c>
      <c r="C14966">
        <v>56336</v>
      </c>
      <c r="D14966" t="str">
        <f>"56336"</f>
        <v>56336</v>
      </c>
      <c r="E14966">
        <v>75</v>
      </c>
    </row>
    <row r="14967" spans="1:5" x14ac:dyDescent="0.2">
      <c r="A14967">
        <v>56338</v>
      </c>
      <c r="B14967" t="s">
        <v>29</v>
      </c>
      <c r="C14967">
        <v>56338</v>
      </c>
      <c r="D14967" t="str">
        <f>"56338"</f>
        <v>56338</v>
      </c>
      <c r="E14967">
        <v>77.33</v>
      </c>
    </row>
    <row r="14968" spans="1:5" x14ac:dyDescent="0.2">
      <c r="A14968">
        <v>56339</v>
      </c>
      <c r="B14968" t="s">
        <v>29</v>
      </c>
      <c r="C14968">
        <v>56339</v>
      </c>
      <c r="D14968" t="str">
        <f>"56339"</f>
        <v>56339</v>
      </c>
      <c r="E14968">
        <v>73.58</v>
      </c>
    </row>
    <row r="14969" spans="1:5" x14ac:dyDescent="0.2">
      <c r="A14969">
        <v>56340</v>
      </c>
      <c r="B14969" t="s">
        <v>29</v>
      </c>
      <c r="C14969">
        <v>56340</v>
      </c>
      <c r="D14969" t="str">
        <f>"56340"</f>
        <v>56340</v>
      </c>
      <c r="E14969">
        <v>74.55</v>
      </c>
    </row>
    <row r="14970" spans="1:5" x14ac:dyDescent="0.2">
      <c r="A14970">
        <v>56342</v>
      </c>
      <c r="B14970" t="s">
        <v>29</v>
      </c>
      <c r="C14970">
        <v>56342</v>
      </c>
      <c r="D14970" t="str">
        <f>"56342"</f>
        <v>56342</v>
      </c>
      <c r="E14970">
        <v>73.19</v>
      </c>
    </row>
    <row r="14971" spans="1:5" x14ac:dyDescent="0.2">
      <c r="A14971">
        <v>56343</v>
      </c>
      <c r="B14971" t="s">
        <v>29</v>
      </c>
      <c r="C14971">
        <v>56343</v>
      </c>
      <c r="D14971" t="str">
        <f>"56343"</f>
        <v>56343</v>
      </c>
      <c r="E14971">
        <v>76.09</v>
      </c>
    </row>
    <row r="14972" spans="1:5" x14ac:dyDescent="0.2">
      <c r="A14972">
        <v>56344</v>
      </c>
      <c r="B14972" t="s">
        <v>29</v>
      </c>
      <c r="C14972">
        <v>56344</v>
      </c>
      <c r="D14972" t="str">
        <f>"56344"</f>
        <v>56344</v>
      </c>
      <c r="E14972" t="s">
        <v>6</v>
      </c>
    </row>
    <row r="14973" spans="1:5" x14ac:dyDescent="0.2">
      <c r="A14973">
        <v>56345</v>
      </c>
      <c r="B14973" t="s">
        <v>29</v>
      </c>
      <c r="C14973">
        <v>56345</v>
      </c>
      <c r="D14973" t="str">
        <f>"56345"</f>
        <v>56345</v>
      </c>
      <c r="E14973">
        <v>71.78</v>
      </c>
    </row>
    <row r="14974" spans="1:5" x14ac:dyDescent="0.2">
      <c r="A14974">
        <v>56347</v>
      </c>
      <c r="B14974" t="s">
        <v>29</v>
      </c>
      <c r="C14974">
        <v>56347</v>
      </c>
      <c r="D14974" t="str">
        <f>"56347"</f>
        <v>56347</v>
      </c>
      <c r="E14974">
        <v>68.42</v>
      </c>
    </row>
    <row r="14975" spans="1:5" x14ac:dyDescent="0.2">
      <c r="A14975">
        <v>56349</v>
      </c>
      <c r="B14975" t="s">
        <v>29</v>
      </c>
      <c r="C14975">
        <v>56349</v>
      </c>
      <c r="D14975" t="str">
        <f>"56349"</f>
        <v>56349</v>
      </c>
      <c r="E14975">
        <v>76.92</v>
      </c>
    </row>
    <row r="14976" spans="1:5" x14ac:dyDescent="0.2">
      <c r="A14976">
        <v>56350</v>
      </c>
      <c r="B14976" t="s">
        <v>29</v>
      </c>
      <c r="C14976">
        <v>56350</v>
      </c>
      <c r="D14976" t="str">
        <f>"56350"</f>
        <v>56350</v>
      </c>
      <c r="E14976">
        <v>65.22</v>
      </c>
    </row>
    <row r="14977" spans="1:5" x14ac:dyDescent="0.2">
      <c r="A14977">
        <v>56352</v>
      </c>
      <c r="B14977" t="s">
        <v>29</v>
      </c>
      <c r="C14977">
        <v>56352</v>
      </c>
      <c r="D14977" t="str">
        <f>"56352"</f>
        <v>56352</v>
      </c>
      <c r="E14977">
        <v>70.34</v>
      </c>
    </row>
    <row r="14978" spans="1:5" x14ac:dyDescent="0.2">
      <c r="A14978">
        <v>56353</v>
      </c>
      <c r="B14978" t="s">
        <v>29</v>
      </c>
      <c r="C14978">
        <v>56353</v>
      </c>
      <c r="D14978" t="str">
        <f>"56353"</f>
        <v>56353</v>
      </c>
      <c r="E14978">
        <v>72.08</v>
      </c>
    </row>
    <row r="14979" spans="1:5" x14ac:dyDescent="0.2">
      <c r="A14979">
        <v>56354</v>
      </c>
      <c r="B14979" t="s">
        <v>29</v>
      </c>
      <c r="C14979">
        <v>56354</v>
      </c>
      <c r="D14979" t="str">
        <f>"56354"</f>
        <v>56354</v>
      </c>
      <c r="E14979">
        <v>76.06</v>
      </c>
    </row>
    <row r="14980" spans="1:5" x14ac:dyDescent="0.2">
      <c r="A14980">
        <v>56355</v>
      </c>
      <c r="B14980" t="s">
        <v>29</v>
      </c>
      <c r="C14980">
        <v>56355</v>
      </c>
      <c r="D14980" t="str">
        <f>"56355"</f>
        <v>56355</v>
      </c>
      <c r="E14980">
        <v>76.67</v>
      </c>
    </row>
    <row r="14981" spans="1:5" x14ac:dyDescent="0.2">
      <c r="A14981">
        <v>56356</v>
      </c>
      <c r="B14981" t="s">
        <v>29</v>
      </c>
      <c r="C14981">
        <v>56356</v>
      </c>
      <c r="D14981" t="str">
        <f>"56356"</f>
        <v>56356</v>
      </c>
      <c r="E14981" t="s">
        <v>6</v>
      </c>
    </row>
    <row r="14982" spans="1:5" x14ac:dyDescent="0.2">
      <c r="A14982">
        <v>56357</v>
      </c>
      <c r="B14982" t="s">
        <v>29</v>
      </c>
      <c r="C14982">
        <v>56357</v>
      </c>
      <c r="D14982" t="str">
        <f>"56357"</f>
        <v>56357</v>
      </c>
      <c r="E14982">
        <v>73.47</v>
      </c>
    </row>
    <row r="14983" spans="1:5" x14ac:dyDescent="0.2">
      <c r="A14983">
        <v>56358</v>
      </c>
      <c r="B14983" t="s">
        <v>29</v>
      </c>
      <c r="C14983">
        <v>56358</v>
      </c>
      <c r="D14983" t="str">
        <f>"56358"</f>
        <v>56358</v>
      </c>
      <c r="E14983">
        <v>73.650000000000006</v>
      </c>
    </row>
    <row r="14984" spans="1:5" x14ac:dyDescent="0.2">
      <c r="A14984">
        <v>56359</v>
      </c>
      <c r="B14984" t="s">
        <v>29</v>
      </c>
      <c r="C14984">
        <v>56359</v>
      </c>
      <c r="D14984" t="str">
        <f>"56359"</f>
        <v>56359</v>
      </c>
      <c r="E14984">
        <v>68.03</v>
      </c>
    </row>
    <row r="14985" spans="1:5" x14ac:dyDescent="0.2">
      <c r="A14985">
        <v>56360</v>
      </c>
      <c r="B14985" t="s">
        <v>29</v>
      </c>
      <c r="C14985">
        <v>56360</v>
      </c>
      <c r="D14985" t="str">
        <f>"56360"</f>
        <v>56360</v>
      </c>
      <c r="E14985">
        <v>73.3</v>
      </c>
    </row>
    <row r="14986" spans="1:5" x14ac:dyDescent="0.2">
      <c r="A14986">
        <v>56361</v>
      </c>
      <c r="B14986" t="s">
        <v>29</v>
      </c>
      <c r="C14986">
        <v>56361</v>
      </c>
      <c r="D14986" t="str">
        <f>"56361"</f>
        <v>56361</v>
      </c>
      <c r="E14986">
        <v>73.209999999999994</v>
      </c>
    </row>
    <row r="14987" spans="1:5" x14ac:dyDescent="0.2">
      <c r="A14987">
        <v>56362</v>
      </c>
      <c r="B14987" t="s">
        <v>29</v>
      </c>
      <c r="C14987">
        <v>56362</v>
      </c>
      <c r="D14987" t="str">
        <f>"56362"</f>
        <v>56362</v>
      </c>
      <c r="E14987">
        <v>75.53</v>
      </c>
    </row>
    <row r="14988" spans="1:5" x14ac:dyDescent="0.2">
      <c r="A14988">
        <v>56363</v>
      </c>
      <c r="B14988" t="s">
        <v>29</v>
      </c>
      <c r="C14988">
        <v>56363</v>
      </c>
      <c r="D14988" t="str">
        <f>"56363"</f>
        <v>56363</v>
      </c>
      <c r="E14988" t="s">
        <v>6</v>
      </c>
    </row>
    <row r="14989" spans="1:5" x14ac:dyDescent="0.2">
      <c r="A14989">
        <v>56364</v>
      </c>
      <c r="B14989" t="s">
        <v>29</v>
      </c>
      <c r="C14989">
        <v>56364</v>
      </c>
      <c r="D14989" t="str">
        <f>"56364"</f>
        <v>56364</v>
      </c>
      <c r="E14989">
        <v>71.19</v>
      </c>
    </row>
    <row r="14990" spans="1:5" x14ac:dyDescent="0.2">
      <c r="A14990">
        <v>56367</v>
      </c>
      <c r="B14990" t="s">
        <v>29</v>
      </c>
      <c r="C14990">
        <v>56367</v>
      </c>
      <c r="D14990" t="str">
        <f>"56367"</f>
        <v>56367</v>
      </c>
      <c r="E14990">
        <v>79.41</v>
      </c>
    </row>
    <row r="14991" spans="1:5" x14ac:dyDescent="0.2">
      <c r="A14991">
        <v>56368</v>
      </c>
      <c r="B14991" t="s">
        <v>29</v>
      </c>
      <c r="C14991">
        <v>56368</v>
      </c>
      <c r="D14991" t="str">
        <f>"56368"</f>
        <v>56368</v>
      </c>
      <c r="E14991">
        <v>77.099999999999994</v>
      </c>
    </row>
    <row r="14992" spans="1:5" x14ac:dyDescent="0.2">
      <c r="A14992">
        <v>56369</v>
      </c>
      <c r="B14992" t="s">
        <v>29</v>
      </c>
      <c r="C14992">
        <v>56369</v>
      </c>
      <c r="D14992" t="str">
        <f>"56369"</f>
        <v>56369</v>
      </c>
      <c r="E14992" t="s">
        <v>6</v>
      </c>
    </row>
    <row r="14993" spans="1:5" x14ac:dyDescent="0.2">
      <c r="A14993">
        <v>56371</v>
      </c>
      <c r="B14993" t="s">
        <v>29</v>
      </c>
      <c r="C14993">
        <v>56371</v>
      </c>
      <c r="D14993" t="str">
        <f>"56371"</f>
        <v>56371</v>
      </c>
      <c r="E14993" t="s">
        <v>6</v>
      </c>
    </row>
    <row r="14994" spans="1:5" x14ac:dyDescent="0.2">
      <c r="A14994">
        <v>56373</v>
      </c>
      <c r="B14994" t="s">
        <v>29</v>
      </c>
      <c r="C14994">
        <v>56373</v>
      </c>
      <c r="D14994" t="str">
        <f>"56373"</f>
        <v>56373</v>
      </c>
      <c r="E14994">
        <v>78.67</v>
      </c>
    </row>
    <row r="14995" spans="1:5" x14ac:dyDescent="0.2">
      <c r="A14995">
        <v>56374</v>
      </c>
      <c r="B14995" t="s">
        <v>29</v>
      </c>
      <c r="C14995">
        <v>56374</v>
      </c>
      <c r="D14995" t="str">
        <f>"56374"</f>
        <v>56374</v>
      </c>
      <c r="E14995">
        <v>78.61</v>
      </c>
    </row>
    <row r="14996" spans="1:5" x14ac:dyDescent="0.2">
      <c r="A14996">
        <v>56375</v>
      </c>
      <c r="B14996" t="s">
        <v>29</v>
      </c>
      <c r="C14996">
        <v>56375</v>
      </c>
      <c r="D14996" t="str">
        <f>"56375"</f>
        <v>56375</v>
      </c>
      <c r="E14996">
        <v>81.400000000000006</v>
      </c>
    </row>
    <row r="14997" spans="1:5" x14ac:dyDescent="0.2">
      <c r="A14997">
        <v>56376</v>
      </c>
      <c r="B14997" t="s">
        <v>29</v>
      </c>
      <c r="C14997">
        <v>56376</v>
      </c>
      <c r="D14997" t="str">
        <f>"56376"</f>
        <v>56376</v>
      </c>
      <c r="E14997" t="s">
        <v>6</v>
      </c>
    </row>
    <row r="14998" spans="1:5" x14ac:dyDescent="0.2">
      <c r="A14998">
        <v>56377</v>
      </c>
      <c r="B14998" t="s">
        <v>29</v>
      </c>
      <c r="C14998">
        <v>56377</v>
      </c>
      <c r="D14998" t="str">
        <f>"56377"</f>
        <v>56377</v>
      </c>
      <c r="E14998">
        <v>78.66</v>
      </c>
    </row>
    <row r="14999" spans="1:5" x14ac:dyDescent="0.2">
      <c r="A14999">
        <v>56378</v>
      </c>
      <c r="B14999" t="s">
        <v>29</v>
      </c>
      <c r="C14999">
        <v>56378</v>
      </c>
      <c r="D14999" t="str">
        <f>"56378"</f>
        <v>56378</v>
      </c>
      <c r="E14999">
        <v>73.209999999999994</v>
      </c>
    </row>
    <row r="15000" spans="1:5" x14ac:dyDescent="0.2">
      <c r="A15000">
        <v>56379</v>
      </c>
      <c r="B15000" t="s">
        <v>29</v>
      </c>
      <c r="C15000">
        <v>56379</v>
      </c>
      <c r="D15000" t="str">
        <f>"56379"</f>
        <v>56379</v>
      </c>
      <c r="E15000">
        <v>76</v>
      </c>
    </row>
    <row r="15001" spans="1:5" x14ac:dyDescent="0.2">
      <c r="A15001">
        <v>56381</v>
      </c>
      <c r="B15001" t="s">
        <v>29</v>
      </c>
      <c r="C15001">
        <v>56381</v>
      </c>
      <c r="D15001" t="str">
        <f>"56381"</f>
        <v>56381</v>
      </c>
      <c r="E15001">
        <v>75.2</v>
      </c>
    </row>
    <row r="15002" spans="1:5" x14ac:dyDescent="0.2">
      <c r="A15002">
        <v>56382</v>
      </c>
      <c r="B15002" t="s">
        <v>29</v>
      </c>
      <c r="C15002">
        <v>56382</v>
      </c>
      <c r="D15002" t="str">
        <f>"56382"</f>
        <v>56382</v>
      </c>
      <c r="E15002">
        <v>70.59</v>
      </c>
    </row>
    <row r="15003" spans="1:5" x14ac:dyDescent="0.2">
      <c r="A15003">
        <v>56384</v>
      </c>
      <c r="B15003" t="s">
        <v>29</v>
      </c>
      <c r="C15003">
        <v>56384</v>
      </c>
      <c r="D15003" t="str">
        <f>"56384"</f>
        <v>56384</v>
      </c>
      <c r="E15003">
        <v>73.680000000000007</v>
      </c>
    </row>
    <row r="15004" spans="1:5" x14ac:dyDescent="0.2">
      <c r="A15004">
        <v>56385</v>
      </c>
      <c r="B15004" t="s">
        <v>29</v>
      </c>
      <c r="C15004">
        <v>56385</v>
      </c>
      <c r="D15004" t="str">
        <f>"56385"</f>
        <v>56385</v>
      </c>
      <c r="E15004">
        <v>74.47</v>
      </c>
    </row>
    <row r="15005" spans="1:5" x14ac:dyDescent="0.2">
      <c r="A15005">
        <v>56386</v>
      </c>
      <c r="B15005" t="s">
        <v>29</v>
      </c>
      <c r="C15005">
        <v>56386</v>
      </c>
      <c r="D15005" t="str">
        <f>"56386"</f>
        <v>56386</v>
      </c>
      <c r="E15005">
        <v>70.97</v>
      </c>
    </row>
    <row r="15006" spans="1:5" x14ac:dyDescent="0.2">
      <c r="A15006">
        <v>56387</v>
      </c>
      <c r="B15006" t="s">
        <v>29</v>
      </c>
      <c r="C15006">
        <v>56387</v>
      </c>
      <c r="D15006" t="str">
        <f>"56387"</f>
        <v>56387</v>
      </c>
      <c r="E15006">
        <v>65.16</v>
      </c>
    </row>
    <row r="15007" spans="1:5" x14ac:dyDescent="0.2">
      <c r="A15007">
        <v>56389</v>
      </c>
      <c r="B15007" t="s">
        <v>29</v>
      </c>
      <c r="C15007">
        <v>56389</v>
      </c>
      <c r="D15007" t="str">
        <f>"56389"</f>
        <v>56389</v>
      </c>
      <c r="E15007" t="s">
        <v>6</v>
      </c>
    </row>
    <row r="15008" spans="1:5" x14ac:dyDescent="0.2">
      <c r="A15008">
        <v>56395</v>
      </c>
      <c r="B15008" t="s">
        <v>29</v>
      </c>
      <c r="C15008">
        <v>56395</v>
      </c>
      <c r="D15008" t="str">
        <f>"56395"</f>
        <v>56395</v>
      </c>
      <c r="E15008" t="s">
        <v>6</v>
      </c>
    </row>
    <row r="15009" spans="1:5" x14ac:dyDescent="0.2">
      <c r="A15009">
        <v>56396</v>
      </c>
      <c r="B15009" t="s">
        <v>29</v>
      </c>
      <c r="C15009">
        <v>56396</v>
      </c>
      <c r="D15009" t="str">
        <f>"56396"</f>
        <v>56396</v>
      </c>
      <c r="E15009" t="s">
        <v>6</v>
      </c>
    </row>
    <row r="15010" spans="1:5" x14ac:dyDescent="0.2">
      <c r="A15010">
        <v>56401</v>
      </c>
      <c r="B15010" t="s">
        <v>29</v>
      </c>
      <c r="C15010">
        <v>56401</v>
      </c>
      <c r="D15010" t="str">
        <f>"56401"</f>
        <v>56401</v>
      </c>
      <c r="E15010">
        <v>72.3</v>
      </c>
    </row>
    <row r="15011" spans="1:5" x14ac:dyDescent="0.2">
      <c r="A15011">
        <v>56425</v>
      </c>
      <c r="B15011" t="s">
        <v>29</v>
      </c>
      <c r="C15011">
        <v>56425</v>
      </c>
      <c r="D15011" t="str">
        <f>"56425"</f>
        <v>56425</v>
      </c>
      <c r="E15011">
        <v>76.89</v>
      </c>
    </row>
    <row r="15012" spans="1:5" x14ac:dyDescent="0.2">
      <c r="A15012">
        <v>56431</v>
      </c>
      <c r="B15012" t="s">
        <v>29</v>
      </c>
      <c r="C15012">
        <v>56431</v>
      </c>
      <c r="D15012" t="str">
        <f>"56431"</f>
        <v>56431</v>
      </c>
      <c r="E15012">
        <v>72.319999999999993</v>
      </c>
    </row>
    <row r="15013" spans="1:5" x14ac:dyDescent="0.2">
      <c r="A15013">
        <v>56433</v>
      </c>
      <c r="B15013" t="s">
        <v>29</v>
      </c>
      <c r="C15013">
        <v>56433</v>
      </c>
      <c r="D15013" t="str">
        <f>"56433"</f>
        <v>56433</v>
      </c>
      <c r="E15013">
        <v>72</v>
      </c>
    </row>
    <row r="15014" spans="1:5" x14ac:dyDescent="0.2">
      <c r="A15014">
        <v>56434</v>
      </c>
      <c r="B15014" t="s">
        <v>29</v>
      </c>
      <c r="C15014">
        <v>56434</v>
      </c>
      <c r="D15014" t="str">
        <f>"56434"</f>
        <v>56434</v>
      </c>
      <c r="E15014" t="s">
        <v>6</v>
      </c>
    </row>
    <row r="15015" spans="1:5" x14ac:dyDescent="0.2">
      <c r="A15015">
        <v>56435</v>
      </c>
      <c r="B15015" t="s">
        <v>29</v>
      </c>
      <c r="C15015">
        <v>56435</v>
      </c>
      <c r="D15015" t="str">
        <f>"56435"</f>
        <v>56435</v>
      </c>
      <c r="E15015">
        <v>69.489999999999995</v>
      </c>
    </row>
    <row r="15016" spans="1:5" x14ac:dyDescent="0.2">
      <c r="A15016">
        <v>56436</v>
      </c>
      <c r="B15016" t="s">
        <v>29</v>
      </c>
      <c r="C15016">
        <v>56436</v>
      </c>
      <c r="D15016" t="str">
        <f>"56436"</f>
        <v>56436</v>
      </c>
      <c r="E15016" t="s">
        <v>6</v>
      </c>
    </row>
    <row r="15017" spans="1:5" x14ac:dyDescent="0.2">
      <c r="A15017">
        <v>56437</v>
      </c>
      <c r="B15017" t="s">
        <v>29</v>
      </c>
      <c r="C15017">
        <v>56437</v>
      </c>
      <c r="D15017" t="str">
        <f>"56437"</f>
        <v>56437</v>
      </c>
      <c r="E15017">
        <v>57.14</v>
      </c>
    </row>
    <row r="15018" spans="1:5" x14ac:dyDescent="0.2">
      <c r="A15018">
        <v>56438</v>
      </c>
      <c r="B15018" t="s">
        <v>29</v>
      </c>
      <c r="C15018">
        <v>56438</v>
      </c>
      <c r="D15018" t="str">
        <f>"56438"</f>
        <v>56438</v>
      </c>
      <c r="E15018">
        <v>69.47</v>
      </c>
    </row>
    <row r="15019" spans="1:5" x14ac:dyDescent="0.2">
      <c r="A15019">
        <v>56440</v>
      </c>
      <c r="B15019" t="s">
        <v>29</v>
      </c>
      <c r="C15019">
        <v>56440</v>
      </c>
      <c r="D15019" t="str">
        <f>"56440"</f>
        <v>56440</v>
      </c>
      <c r="E15019">
        <v>64.150000000000006</v>
      </c>
    </row>
    <row r="15020" spans="1:5" x14ac:dyDescent="0.2">
      <c r="A15020">
        <v>56441</v>
      </c>
      <c r="B15020" t="s">
        <v>29</v>
      </c>
      <c r="C15020">
        <v>56441</v>
      </c>
      <c r="D15020" t="str">
        <f>"56441"</f>
        <v>56441</v>
      </c>
      <c r="E15020">
        <v>69.180000000000007</v>
      </c>
    </row>
    <row r="15021" spans="1:5" x14ac:dyDescent="0.2">
      <c r="A15021">
        <v>56442</v>
      </c>
      <c r="B15021" t="s">
        <v>29</v>
      </c>
      <c r="C15021">
        <v>56442</v>
      </c>
      <c r="D15021" t="str">
        <f>"56442"</f>
        <v>56442</v>
      </c>
      <c r="E15021">
        <v>75.34</v>
      </c>
    </row>
    <row r="15022" spans="1:5" x14ac:dyDescent="0.2">
      <c r="A15022">
        <v>56443</v>
      </c>
      <c r="B15022" t="s">
        <v>29</v>
      </c>
      <c r="C15022">
        <v>56443</v>
      </c>
      <c r="D15022" t="str">
        <f>"56443"</f>
        <v>56443</v>
      </c>
      <c r="E15022">
        <v>73.91</v>
      </c>
    </row>
    <row r="15023" spans="1:5" x14ac:dyDescent="0.2">
      <c r="A15023">
        <v>56444</v>
      </c>
      <c r="B15023" t="s">
        <v>29</v>
      </c>
      <c r="C15023">
        <v>56444</v>
      </c>
      <c r="D15023" t="str">
        <f>"56444"</f>
        <v>56444</v>
      </c>
      <c r="E15023">
        <v>73.83</v>
      </c>
    </row>
    <row r="15024" spans="1:5" x14ac:dyDescent="0.2">
      <c r="A15024">
        <v>56446</v>
      </c>
      <c r="B15024" t="s">
        <v>29</v>
      </c>
      <c r="C15024">
        <v>56446</v>
      </c>
      <c r="D15024" t="str">
        <f>"56446"</f>
        <v>56446</v>
      </c>
      <c r="E15024">
        <v>63.77</v>
      </c>
    </row>
    <row r="15025" spans="1:5" x14ac:dyDescent="0.2">
      <c r="A15025">
        <v>56447</v>
      </c>
      <c r="B15025" t="s">
        <v>29</v>
      </c>
      <c r="C15025">
        <v>56447</v>
      </c>
      <c r="D15025" t="str">
        <f>"56447"</f>
        <v>56447</v>
      </c>
      <c r="E15025">
        <v>68.63</v>
      </c>
    </row>
    <row r="15026" spans="1:5" x14ac:dyDescent="0.2">
      <c r="A15026">
        <v>56448</v>
      </c>
      <c r="B15026" t="s">
        <v>29</v>
      </c>
      <c r="C15026">
        <v>56448</v>
      </c>
      <c r="D15026" t="str">
        <f>"56448"</f>
        <v>56448</v>
      </c>
      <c r="E15026">
        <v>83.33</v>
      </c>
    </row>
    <row r="15027" spans="1:5" x14ac:dyDescent="0.2">
      <c r="A15027">
        <v>56449</v>
      </c>
      <c r="B15027" t="s">
        <v>29</v>
      </c>
      <c r="C15027">
        <v>56449</v>
      </c>
      <c r="D15027" t="str">
        <f>"56449"</f>
        <v>56449</v>
      </c>
      <c r="E15027">
        <v>76.25</v>
      </c>
    </row>
    <row r="15028" spans="1:5" x14ac:dyDescent="0.2">
      <c r="A15028">
        <v>56450</v>
      </c>
      <c r="B15028" t="s">
        <v>29</v>
      </c>
      <c r="C15028">
        <v>56450</v>
      </c>
      <c r="D15028" t="str">
        <f>"56450"</f>
        <v>56450</v>
      </c>
      <c r="E15028">
        <v>71.430000000000007</v>
      </c>
    </row>
    <row r="15029" spans="1:5" x14ac:dyDescent="0.2">
      <c r="A15029">
        <v>56452</v>
      </c>
      <c r="B15029" t="s">
        <v>29</v>
      </c>
      <c r="C15029">
        <v>56452</v>
      </c>
      <c r="D15029" t="str">
        <f>"56452"</f>
        <v>56452</v>
      </c>
      <c r="E15029">
        <v>73.53</v>
      </c>
    </row>
    <row r="15030" spans="1:5" x14ac:dyDescent="0.2">
      <c r="A15030">
        <v>56453</v>
      </c>
      <c r="B15030" t="s">
        <v>29</v>
      </c>
      <c r="C15030">
        <v>56453</v>
      </c>
      <c r="D15030" t="str">
        <f>"56453"</f>
        <v>56453</v>
      </c>
      <c r="E15030">
        <v>68.569999999999993</v>
      </c>
    </row>
    <row r="15031" spans="1:5" x14ac:dyDescent="0.2">
      <c r="A15031">
        <v>56455</v>
      </c>
      <c r="B15031" t="s">
        <v>29</v>
      </c>
      <c r="C15031">
        <v>56455</v>
      </c>
      <c r="D15031" t="str">
        <f>"56455"</f>
        <v>56455</v>
      </c>
      <c r="E15031">
        <v>71.430000000000007</v>
      </c>
    </row>
    <row r="15032" spans="1:5" x14ac:dyDescent="0.2">
      <c r="A15032">
        <v>56458</v>
      </c>
      <c r="B15032" t="s">
        <v>29</v>
      </c>
      <c r="C15032">
        <v>56458</v>
      </c>
      <c r="D15032" t="str">
        <f>"56458"</f>
        <v>56458</v>
      </c>
      <c r="E15032">
        <v>82.35</v>
      </c>
    </row>
    <row r="15033" spans="1:5" x14ac:dyDescent="0.2">
      <c r="A15033">
        <v>56461</v>
      </c>
      <c r="B15033" t="s">
        <v>29</v>
      </c>
      <c r="C15033">
        <v>56461</v>
      </c>
      <c r="D15033" t="str">
        <f>"56461"</f>
        <v>56461</v>
      </c>
      <c r="E15033">
        <v>72.48</v>
      </c>
    </row>
    <row r="15034" spans="1:5" x14ac:dyDescent="0.2">
      <c r="A15034">
        <v>56464</v>
      </c>
      <c r="B15034" t="s">
        <v>29</v>
      </c>
      <c r="C15034">
        <v>56464</v>
      </c>
      <c r="D15034" t="str">
        <f>"56464"</f>
        <v>56464</v>
      </c>
      <c r="E15034">
        <v>67.349999999999994</v>
      </c>
    </row>
    <row r="15035" spans="1:5" x14ac:dyDescent="0.2">
      <c r="A15035">
        <v>56465</v>
      </c>
      <c r="B15035" t="s">
        <v>29</v>
      </c>
      <c r="C15035">
        <v>56465</v>
      </c>
      <c r="D15035" t="str">
        <f>"56465"</f>
        <v>56465</v>
      </c>
      <c r="E15035">
        <v>79.28</v>
      </c>
    </row>
    <row r="15036" spans="1:5" x14ac:dyDescent="0.2">
      <c r="A15036">
        <v>56466</v>
      </c>
      <c r="B15036" t="s">
        <v>29</v>
      </c>
      <c r="C15036">
        <v>56466</v>
      </c>
      <c r="D15036" t="str">
        <f>"56466"</f>
        <v>56466</v>
      </c>
      <c r="E15036">
        <v>72.599999999999994</v>
      </c>
    </row>
    <row r="15037" spans="1:5" x14ac:dyDescent="0.2">
      <c r="A15037">
        <v>56467</v>
      </c>
      <c r="B15037" t="s">
        <v>29</v>
      </c>
      <c r="C15037">
        <v>56467</v>
      </c>
      <c r="D15037" t="str">
        <f>"56467"</f>
        <v>56467</v>
      </c>
      <c r="E15037">
        <v>75.42</v>
      </c>
    </row>
    <row r="15038" spans="1:5" x14ac:dyDescent="0.2">
      <c r="A15038">
        <v>56468</v>
      </c>
      <c r="B15038" t="s">
        <v>29</v>
      </c>
      <c r="C15038">
        <v>56468</v>
      </c>
      <c r="D15038" t="str">
        <f>"56468"</f>
        <v>56468</v>
      </c>
      <c r="E15038">
        <v>77.73</v>
      </c>
    </row>
    <row r="15039" spans="1:5" x14ac:dyDescent="0.2">
      <c r="A15039">
        <v>56469</v>
      </c>
      <c r="B15039" t="s">
        <v>29</v>
      </c>
      <c r="C15039">
        <v>56469</v>
      </c>
      <c r="D15039" t="str">
        <f>"56469"</f>
        <v>56469</v>
      </c>
      <c r="E15039">
        <v>75.510000000000005</v>
      </c>
    </row>
    <row r="15040" spans="1:5" x14ac:dyDescent="0.2">
      <c r="A15040">
        <v>56470</v>
      </c>
      <c r="B15040" t="s">
        <v>29</v>
      </c>
      <c r="C15040">
        <v>56470</v>
      </c>
      <c r="D15040" t="str">
        <f>"56470"</f>
        <v>56470</v>
      </c>
      <c r="E15040">
        <v>69.53</v>
      </c>
    </row>
    <row r="15041" spans="1:5" x14ac:dyDescent="0.2">
      <c r="A15041">
        <v>56472</v>
      </c>
      <c r="B15041" t="s">
        <v>29</v>
      </c>
      <c r="C15041">
        <v>56472</v>
      </c>
      <c r="D15041" t="str">
        <f>"56472"</f>
        <v>56472</v>
      </c>
      <c r="E15041">
        <v>72.59</v>
      </c>
    </row>
    <row r="15042" spans="1:5" x14ac:dyDescent="0.2">
      <c r="A15042">
        <v>56473</v>
      </c>
      <c r="B15042" t="s">
        <v>29</v>
      </c>
      <c r="C15042">
        <v>56473</v>
      </c>
      <c r="D15042" t="str">
        <f>"56473"</f>
        <v>56473</v>
      </c>
      <c r="E15042">
        <v>73.989999999999995</v>
      </c>
    </row>
    <row r="15043" spans="1:5" x14ac:dyDescent="0.2">
      <c r="A15043">
        <v>56474</v>
      </c>
      <c r="B15043" t="s">
        <v>29</v>
      </c>
      <c r="C15043">
        <v>56474</v>
      </c>
      <c r="D15043" t="str">
        <f>"56474"</f>
        <v>56474</v>
      </c>
      <c r="E15043">
        <v>67.489999999999995</v>
      </c>
    </row>
    <row r="15044" spans="1:5" x14ac:dyDescent="0.2">
      <c r="A15044">
        <v>56475</v>
      </c>
      <c r="B15044" t="s">
        <v>29</v>
      </c>
      <c r="C15044">
        <v>56475</v>
      </c>
      <c r="D15044" t="str">
        <f>"56475"</f>
        <v>56475</v>
      </c>
      <c r="E15044">
        <v>73.33</v>
      </c>
    </row>
    <row r="15045" spans="1:5" x14ac:dyDescent="0.2">
      <c r="A15045">
        <v>56477</v>
      </c>
      <c r="B15045" t="s">
        <v>29</v>
      </c>
      <c r="C15045">
        <v>56477</v>
      </c>
      <c r="D15045" t="str">
        <f>"56477"</f>
        <v>56477</v>
      </c>
      <c r="E15045">
        <v>69.37</v>
      </c>
    </row>
    <row r="15046" spans="1:5" x14ac:dyDescent="0.2">
      <c r="A15046">
        <v>56479</v>
      </c>
      <c r="B15046" t="s">
        <v>29</v>
      </c>
      <c r="C15046">
        <v>56479</v>
      </c>
      <c r="D15046" t="str">
        <f>"56479"</f>
        <v>56479</v>
      </c>
      <c r="E15046">
        <v>70.09</v>
      </c>
    </row>
    <row r="15047" spans="1:5" x14ac:dyDescent="0.2">
      <c r="A15047">
        <v>56481</v>
      </c>
      <c r="B15047" t="s">
        <v>29</v>
      </c>
      <c r="C15047">
        <v>56481</v>
      </c>
      <c r="D15047" t="str">
        <f>"56481"</f>
        <v>56481</v>
      </c>
      <c r="E15047">
        <v>67.39</v>
      </c>
    </row>
    <row r="15048" spans="1:5" x14ac:dyDescent="0.2">
      <c r="A15048">
        <v>56482</v>
      </c>
      <c r="B15048" t="s">
        <v>29</v>
      </c>
      <c r="C15048">
        <v>56482</v>
      </c>
      <c r="D15048" t="str">
        <f>"56482"</f>
        <v>56482</v>
      </c>
      <c r="E15048">
        <v>68.349999999999994</v>
      </c>
    </row>
    <row r="15049" spans="1:5" x14ac:dyDescent="0.2">
      <c r="A15049">
        <v>56484</v>
      </c>
      <c r="B15049" t="s">
        <v>29</v>
      </c>
      <c r="C15049">
        <v>56484</v>
      </c>
      <c r="D15049" t="str">
        <f>"56484"</f>
        <v>56484</v>
      </c>
      <c r="E15049">
        <v>70.31</v>
      </c>
    </row>
    <row r="15050" spans="1:5" x14ac:dyDescent="0.2">
      <c r="A15050">
        <v>56501</v>
      </c>
      <c r="B15050" t="s">
        <v>29</v>
      </c>
      <c r="C15050">
        <v>56501</v>
      </c>
      <c r="D15050" t="str">
        <f>"56501"</f>
        <v>56501</v>
      </c>
      <c r="E15050">
        <v>74.91</v>
      </c>
    </row>
    <row r="15051" spans="1:5" x14ac:dyDescent="0.2">
      <c r="A15051">
        <v>56510</v>
      </c>
      <c r="B15051" t="s">
        <v>29</v>
      </c>
      <c r="C15051">
        <v>56510</v>
      </c>
      <c r="D15051" t="str">
        <f>"56510"</f>
        <v>56510</v>
      </c>
      <c r="E15051">
        <v>72.73</v>
      </c>
    </row>
    <row r="15052" spans="1:5" x14ac:dyDescent="0.2">
      <c r="A15052">
        <v>56511</v>
      </c>
      <c r="B15052" t="s">
        <v>29</v>
      </c>
      <c r="C15052">
        <v>56511</v>
      </c>
      <c r="D15052" t="str">
        <f>"56511"</f>
        <v>56511</v>
      </c>
      <c r="E15052">
        <v>79.38</v>
      </c>
    </row>
    <row r="15053" spans="1:5" x14ac:dyDescent="0.2">
      <c r="A15053">
        <v>56514</v>
      </c>
      <c r="B15053" t="s">
        <v>29</v>
      </c>
      <c r="C15053">
        <v>56514</v>
      </c>
      <c r="D15053" t="str">
        <f>"56514"</f>
        <v>56514</v>
      </c>
      <c r="E15053">
        <v>78.69</v>
      </c>
    </row>
    <row r="15054" spans="1:5" x14ac:dyDescent="0.2">
      <c r="A15054">
        <v>56515</v>
      </c>
      <c r="B15054" t="s">
        <v>29</v>
      </c>
      <c r="C15054">
        <v>56515</v>
      </c>
      <c r="D15054" t="str">
        <f>"56515"</f>
        <v>56515</v>
      </c>
      <c r="E15054">
        <v>73.86</v>
      </c>
    </row>
    <row r="15055" spans="1:5" x14ac:dyDescent="0.2">
      <c r="A15055">
        <v>56516</v>
      </c>
      <c r="B15055" t="s">
        <v>29</v>
      </c>
      <c r="C15055">
        <v>56516</v>
      </c>
      <c r="D15055" t="str">
        <f>"56516"</f>
        <v>56516</v>
      </c>
      <c r="E15055">
        <v>72.73</v>
      </c>
    </row>
    <row r="15056" spans="1:5" x14ac:dyDescent="0.2">
      <c r="A15056">
        <v>56517</v>
      </c>
      <c r="B15056" t="s">
        <v>29</v>
      </c>
      <c r="C15056">
        <v>56517</v>
      </c>
      <c r="D15056" t="str">
        <f>"56517"</f>
        <v>56517</v>
      </c>
      <c r="E15056">
        <v>66.67</v>
      </c>
    </row>
    <row r="15057" spans="1:5" x14ac:dyDescent="0.2">
      <c r="A15057">
        <v>56518</v>
      </c>
      <c r="B15057" t="s">
        <v>29</v>
      </c>
      <c r="C15057">
        <v>56518</v>
      </c>
      <c r="D15057" t="str">
        <f>"56518"</f>
        <v>56518</v>
      </c>
      <c r="E15057">
        <v>76.47</v>
      </c>
    </row>
    <row r="15058" spans="1:5" x14ac:dyDescent="0.2">
      <c r="A15058">
        <v>56519</v>
      </c>
      <c r="B15058" t="s">
        <v>29</v>
      </c>
      <c r="C15058">
        <v>56519</v>
      </c>
      <c r="D15058" t="str">
        <f>"56519"</f>
        <v>56519</v>
      </c>
      <c r="E15058">
        <v>75</v>
      </c>
    </row>
    <row r="15059" spans="1:5" x14ac:dyDescent="0.2">
      <c r="A15059">
        <v>56520</v>
      </c>
      <c r="B15059" t="s">
        <v>29</v>
      </c>
      <c r="C15059">
        <v>56520</v>
      </c>
      <c r="D15059" t="str">
        <f>"56520"</f>
        <v>56520</v>
      </c>
      <c r="E15059">
        <v>73.3</v>
      </c>
    </row>
    <row r="15060" spans="1:5" x14ac:dyDescent="0.2">
      <c r="A15060">
        <v>56521</v>
      </c>
      <c r="B15060" t="s">
        <v>29</v>
      </c>
      <c r="C15060">
        <v>56521</v>
      </c>
      <c r="D15060" t="str">
        <f>"56521"</f>
        <v>56521</v>
      </c>
      <c r="E15060">
        <v>67.569999999999993</v>
      </c>
    </row>
    <row r="15061" spans="1:5" x14ac:dyDescent="0.2">
      <c r="A15061">
        <v>56522</v>
      </c>
      <c r="B15061" t="s">
        <v>29</v>
      </c>
      <c r="C15061">
        <v>56522</v>
      </c>
      <c r="D15061" t="str">
        <f>"56522"</f>
        <v>56522</v>
      </c>
      <c r="E15061">
        <v>75</v>
      </c>
    </row>
    <row r="15062" spans="1:5" x14ac:dyDescent="0.2">
      <c r="A15062">
        <v>56523</v>
      </c>
      <c r="B15062" t="s">
        <v>29</v>
      </c>
      <c r="C15062">
        <v>56523</v>
      </c>
      <c r="D15062" t="str">
        <f>"56523"</f>
        <v>56523</v>
      </c>
      <c r="E15062">
        <v>78.260000000000005</v>
      </c>
    </row>
    <row r="15063" spans="1:5" x14ac:dyDescent="0.2">
      <c r="A15063">
        <v>56524</v>
      </c>
      <c r="B15063" t="s">
        <v>29</v>
      </c>
      <c r="C15063">
        <v>56524</v>
      </c>
      <c r="D15063" t="str">
        <f>"56524"</f>
        <v>56524</v>
      </c>
      <c r="E15063">
        <v>70.27</v>
      </c>
    </row>
    <row r="15064" spans="1:5" x14ac:dyDescent="0.2">
      <c r="A15064">
        <v>56525</v>
      </c>
      <c r="B15064" t="s">
        <v>29</v>
      </c>
      <c r="C15064">
        <v>56525</v>
      </c>
      <c r="D15064" t="str">
        <f>"56525"</f>
        <v>56525</v>
      </c>
      <c r="E15064" t="s">
        <v>6</v>
      </c>
    </row>
    <row r="15065" spans="1:5" x14ac:dyDescent="0.2">
      <c r="A15065">
        <v>56527</v>
      </c>
      <c r="B15065" t="s">
        <v>29</v>
      </c>
      <c r="C15065">
        <v>56527</v>
      </c>
      <c r="D15065" t="str">
        <f>"56527"</f>
        <v>56527</v>
      </c>
      <c r="E15065">
        <v>68.42</v>
      </c>
    </row>
    <row r="15066" spans="1:5" x14ac:dyDescent="0.2">
      <c r="A15066">
        <v>56528</v>
      </c>
      <c r="B15066" t="s">
        <v>29</v>
      </c>
      <c r="C15066">
        <v>56528</v>
      </c>
      <c r="D15066" t="str">
        <f>"56528"</f>
        <v>56528</v>
      </c>
      <c r="E15066">
        <v>75.64</v>
      </c>
    </row>
    <row r="15067" spans="1:5" x14ac:dyDescent="0.2">
      <c r="A15067">
        <v>56529</v>
      </c>
      <c r="B15067" t="s">
        <v>29</v>
      </c>
      <c r="C15067">
        <v>56529</v>
      </c>
      <c r="D15067" t="str">
        <f>"56529"</f>
        <v>56529</v>
      </c>
      <c r="E15067">
        <v>74.209999999999994</v>
      </c>
    </row>
    <row r="15068" spans="1:5" x14ac:dyDescent="0.2">
      <c r="A15068">
        <v>56531</v>
      </c>
      <c r="B15068" t="s">
        <v>29</v>
      </c>
      <c r="C15068">
        <v>56531</v>
      </c>
      <c r="D15068" t="str">
        <f>"56531"</f>
        <v>56531</v>
      </c>
      <c r="E15068">
        <v>74.47</v>
      </c>
    </row>
    <row r="15069" spans="1:5" x14ac:dyDescent="0.2">
      <c r="A15069">
        <v>56533</v>
      </c>
      <c r="B15069" t="s">
        <v>29</v>
      </c>
      <c r="C15069">
        <v>56533</v>
      </c>
      <c r="D15069" t="str">
        <f>"56533"</f>
        <v>56533</v>
      </c>
      <c r="E15069">
        <v>75</v>
      </c>
    </row>
    <row r="15070" spans="1:5" x14ac:dyDescent="0.2">
      <c r="A15070">
        <v>56534</v>
      </c>
      <c r="B15070" t="s">
        <v>29</v>
      </c>
      <c r="C15070">
        <v>56534</v>
      </c>
      <c r="D15070" t="str">
        <f>"56534"</f>
        <v>56534</v>
      </c>
      <c r="E15070">
        <v>75</v>
      </c>
    </row>
    <row r="15071" spans="1:5" x14ac:dyDescent="0.2">
      <c r="A15071">
        <v>56535</v>
      </c>
      <c r="B15071" t="s">
        <v>29</v>
      </c>
      <c r="C15071">
        <v>56535</v>
      </c>
      <c r="D15071" t="str">
        <f>"56535"</f>
        <v>56535</v>
      </c>
      <c r="E15071">
        <v>72.88</v>
      </c>
    </row>
    <row r="15072" spans="1:5" x14ac:dyDescent="0.2">
      <c r="A15072">
        <v>56536</v>
      </c>
      <c r="B15072" t="s">
        <v>29</v>
      </c>
      <c r="C15072">
        <v>56536</v>
      </c>
      <c r="D15072" t="str">
        <f>"56536"</f>
        <v>56536</v>
      </c>
      <c r="E15072">
        <v>72.73</v>
      </c>
    </row>
    <row r="15073" spans="1:5" x14ac:dyDescent="0.2">
      <c r="A15073">
        <v>56537</v>
      </c>
      <c r="B15073" t="s">
        <v>29</v>
      </c>
      <c r="C15073">
        <v>56537</v>
      </c>
      <c r="D15073" t="str">
        <f>"56537"</f>
        <v>56537</v>
      </c>
      <c r="E15073">
        <v>72.69</v>
      </c>
    </row>
    <row r="15074" spans="1:5" x14ac:dyDescent="0.2">
      <c r="A15074">
        <v>56540</v>
      </c>
      <c r="B15074" t="s">
        <v>29</v>
      </c>
      <c r="C15074">
        <v>56540</v>
      </c>
      <c r="D15074" t="str">
        <f>"56540"</f>
        <v>56540</v>
      </c>
      <c r="E15074">
        <v>73.63</v>
      </c>
    </row>
    <row r="15075" spans="1:5" x14ac:dyDescent="0.2">
      <c r="A15075">
        <v>56541</v>
      </c>
      <c r="B15075" t="s">
        <v>29</v>
      </c>
      <c r="C15075">
        <v>56541</v>
      </c>
      <c r="D15075" t="str">
        <f>"56541"</f>
        <v>56541</v>
      </c>
      <c r="E15075" t="s">
        <v>6</v>
      </c>
    </row>
    <row r="15076" spans="1:5" x14ac:dyDescent="0.2">
      <c r="A15076">
        <v>56542</v>
      </c>
      <c r="B15076" t="s">
        <v>29</v>
      </c>
      <c r="C15076">
        <v>56542</v>
      </c>
      <c r="D15076" t="str">
        <f>"56542"</f>
        <v>56542</v>
      </c>
      <c r="E15076">
        <v>70.97</v>
      </c>
    </row>
    <row r="15077" spans="1:5" x14ac:dyDescent="0.2">
      <c r="A15077">
        <v>56543</v>
      </c>
      <c r="B15077" t="s">
        <v>29</v>
      </c>
      <c r="C15077">
        <v>56543</v>
      </c>
      <c r="D15077" t="str">
        <f>"56543"</f>
        <v>56543</v>
      </c>
      <c r="E15077">
        <v>71.430000000000007</v>
      </c>
    </row>
    <row r="15078" spans="1:5" x14ac:dyDescent="0.2">
      <c r="A15078">
        <v>56544</v>
      </c>
      <c r="B15078" t="s">
        <v>29</v>
      </c>
      <c r="C15078">
        <v>56544</v>
      </c>
      <c r="D15078" t="str">
        <f>"56544"</f>
        <v>56544</v>
      </c>
      <c r="E15078">
        <v>72.650000000000006</v>
      </c>
    </row>
    <row r="15079" spans="1:5" x14ac:dyDescent="0.2">
      <c r="A15079">
        <v>56545</v>
      </c>
      <c r="B15079" t="s">
        <v>29</v>
      </c>
      <c r="C15079">
        <v>56545</v>
      </c>
      <c r="D15079" t="str">
        <f>"56545"</f>
        <v>56545</v>
      </c>
      <c r="E15079">
        <v>71.88</v>
      </c>
    </row>
    <row r="15080" spans="1:5" x14ac:dyDescent="0.2">
      <c r="A15080">
        <v>56546</v>
      </c>
      <c r="B15080" t="s">
        <v>29</v>
      </c>
      <c r="C15080">
        <v>56546</v>
      </c>
      <c r="D15080" t="str">
        <f>"56546"</f>
        <v>56546</v>
      </c>
      <c r="E15080">
        <v>69.23</v>
      </c>
    </row>
    <row r="15081" spans="1:5" x14ac:dyDescent="0.2">
      <c r="A15081">
        <v>56547</v>
      </c>
      <c r="B15081" t="s">
        <v>29</v>
      </c>
      <c r="C15081">
        <v>56547</v>
      </c>
      <c r="D15081" t="str">
        <f>"56547"</f>
        <v>56547</v>
      </c>
      <c r="E15081">
        <v>79.03</v>
      </c>
    </row>
    <row r="15082" spans="1:5" x14ac:dyDescent="0.2">
      <c r="A15082">
        <v>56548</v>
      </c>
      <c r="B15082" t="s">
        <v>29</v>
      </c>
      <c r="C15082">
        <v>56548</v>
      </c>
      <c r="D15082" t="str">
        <f>"56548"</f>
        <v>56548</v>
      </c>
      <c r="E15082">
        <v>73.53</v>
      </c>
    </row>
    <row r="15083" spans="1:5" x14ac:dyDescent="0.2">
      <c r="A15083">
        <v>56549</v>
      </c>
      <c r="B15083" t="s">
        <v>29</v>
      </c>
      <c r="C15083">
        <v>56549</v>
      </c>
      <c r="D15083" t="str">
        <f>"56549"</f>
        <v>56549</v>
      </c>
      <c r="E15083">
        <v>73.5</v>
      </c>
    </row>
    <row r="15084" spans="1:5" x14ac:dyDescent="0.2">
      <c r="A15084">
        <v>56550</v>
      </c>
      <c r="B15084" t="s">
        <v>29</v>
      </c>
      <c r="C15084">
        <v>56550</v>
      </c>
      <c r="D15084" t="str">
        <f>"56550"</f>
        <v>56550</v>
      </c>
      <c r="E15084">
        <v>73.680000000000007</v>
      </c>
    </row>
    <row r="15085" spans="1:5" x14ac:dyDescent="0.2">
      <c r="A15085">
        <v>56551</v>
      </c>
      <c r="B15085" t="s">
        <v>29</v>
      </c>
      <c r="C15085">
        <v>56551</v>
      </c>
      <c r="D15085" t="str">
        <f>"56551"</f>
        <v>56551</v>
      </c>
      <c r="E15085">
        <v>67.92</v>
      </c>
    </row>
    <row r="15086" spans="1:5" x14ac:dyDescent="0.2">
      <c r="A15086">
        <v>56552</v>
      </c>
      <c r="B15086" t="s">
        <v>29</v>
      </c>
      <c r="C15086">
        <v>56552</v>
      </c>
      <c r="D15086" t="str">
        <f>"56552"</f>
        <v>56552</v>
      </c>
      <c r="E15086">
        <v>72.73</v>
      </c>
    </row>
    <row r="15087" spans="1:5" x14ac:dyDescent="0.2">
      <c r="A15087">
        <v>56553</v>
      </c>
      <c r="B15087" t="s">
        <v>29</v>
      </c>
      <c r="C15087">
        <v>56553</v>
      </c>
      <c r="D15087" t="str">
        <f>"56553"</f>
        <v>56553</v>
      </c>
      <c r="E15087">
        <v>84.62</v>
      </c>
    </row>
    <row r="15088" spans="1:5" x14ac:dyDescent="0.2">
      <c r="A15088">
        <v>56554</v>
      </c>
      <c r="B15088" t="s">
        <v>29</v>
      </c>
      <c r="C15088">
        <v>56554</v>
      </c>
      <c r="D15088" t="str">
        <f>"56554"</f>
        <v>56554</v>
      </c>
      <c r="E15088">
        <v>76.87</v>
      </c>
    </row>
    <row r="15089" spans="1:5" x14ac:dyDescent="0.2">
      <c r="A15089">
        <v>56556</v>
      </c>
      <c r="B15089" t="s">
        <v>29</v>
      </c>
      <c r="C15089">
        <v>56556</v>
      </c>
      <c r="D15089" t="str">
        <f>"56556"</f>
        <v>56556</v>
      </c>
      <c r="E15089">
        <v>72</v>
      </c>
    </row>
    <row r="15090" spans="1:5" x14ac:dyDescent="0.2">
      <c r="A15090">
        <v>56557</v>
      </c>
      <c r="B15090" t="s">
        <v>29</v>
      </c>
      <c r="C15090">
        <v>56557</v>
      </c>
      <c r="D15090" t="str">
        <f>"56557"</f>
        <v>56557</v>
      </c>
      <c r="E15090">
        <v>65.290000000000006</v>
      </c>
    </row>
    <row r="15091" spans="1:5" x14ac:dyDescent="0.2">
      <c r="A15091">
        <v>56560</v>
      </c>
      <c r="B15091" t="s">
        <v>29</v>
      </c>
      <c r="C15091">
        <v>56560</v>
      </c>
      <c r="D15091" t="str">
        <f>"56560"</f>
        <v>56560</v>
      </c>
      <c r="E15091">
        <v>73.16</v>
      </c>
    </row>
    <row r="15092" spans="1:5" x14ac:dyDescent="0.2">
      <c r="A15092">
        <v>56562</v>
      </c>
      <c r="B15092" t="s">
        <v>29</v>
      </c>
      <c r="C15092">
        <v>56562</v>
      </c>
      <c r="D15092" t="str">
        <f>"56562"</f>
        <v>56562</v>
      </c>
      <c r="E15092" t="s">
        <v>6</v>
      </c>
    </row>
    <row r="15093" spans="1:5" x14ac:dyDescent="0.2">
      <c r="A15093">
        <v>56563</v>
      </c>
      <c r="B15093" t="s">
        <v>29</v>
      </c>
      <c r="C15093">
        <v>56563</v>
      </c>
      <c r="D15093" t="str">
        <f>"56563"</f>
        <v>56563</v>
      </c>
      <c r="E15093" t="s">
        <v>6</v>
      </c>
    </row>
    <row r="15094" spans="1:5" x14ac:dyDescent="0.2">
      <c r="A15094">
        <v>56565</v>
      </c>
      <c r="B15094" t="s">
        <v>29</v>
      </c>
      <c r="C15094">
        <v>56565</v>
      </c>
      <c r="D15094" t="str">
        <f>"56565"</f>
        <v>56565</v>
      </c>
      <c r="E15094" t="s">
        <v>6</v>
      </c>
    </row>
    <row r="15095" spans="1:5" x14ac:dyDescent="0.2">
      <c r="A15095">
        <v>56566</v>
      </c>
      <c r="B15095" t="s">
        <v>29</v>
      </c>
      <c r="C15095">
        <v>56566</v>
      </c>
      <c r="D15095" t="str">
        <f>"56566"</f>
        <v>56566</v>
      </c>
      <c r="E15095">
        <v>40</v>
      </c>
    </row>
    <row r="15096" spans="1:5" x14ac:dyDescent="0.2">
      <c r="A15096">
        <v>56567</v>
      </c>
      <c r="B15096" t="s">
        <v>29</v>
      </c>
      <c r="C15096">
        <v>56567</v>
      </c>
      <c r="D15096" t="str">
        <f>"56567"</f>
        <v>56567</v>
      </c>
      <c r="E15096">
        <v>70.319999999999993</v>
      </c>
    </row>
    <row r="15097" spans="1:5" x14ac:dyDescent="0.2">
      <c r="A15097">
        <v>56568</v>
      </c>
      <c r="B15097" t="s">
        <v>29</v>
      </c>
      <c r="C15097">
        <v>56568</v>
      </c>
      <c r="D15097" t="str">
        <f>"56568"</f>
        <v>56568</v>
      </c>
      <c r="E15097" t="s">
        <v>6</v>
      </c>
    </row>
    <row r="15098" spans="1:5" x14ac:dyDescent="0.2">
      <c r="A15098">
        <v>56569</v>
      </c>
      <c r="B15098" t="s">
        <v>29</v>
      </c>
      <c r="C15098">
        <v>56569</v>
      </c>
      <c r="D15098" t="str">
        <f>"56569"</f>
        <v>56569</v>
      </c>
      <c r="E15098">
        <v>65.45</v>
      </c>
    </row>
    <row r="15099" spans="1:5" x14ac:dyDescent="0.2">
      <c r="A15099">
        <v>56570</v>
      </c>
      <c r="B15099" t="s">
        <v>29</v>
      </c>
      <c r="C15099">
        <v>56570</v>
      </c>
      <c r="D15099" t="str">
        <f>"56570"</f>
        <v>56570</v>
      </c>
      <c r="E15099">
        <v>70.180000000000007</v>
      </c>
    </row>
    <row r="15100" spans="1:5" x14ac:dyDescent="0.2">
      <c r="A15100">
        <v>56571</v>
      </c>
      <c r="B15100" t="s">
        <v>29</v>
      </c>
      <c r="C15100">
        <v>56571</v>
      </c>
      <c r="D15100" t="str">
        <f>"56571"</f>
        <v>56571</v>
      </c>
      <c r="E15100">
        <v>71.88</v>
      </c>
    </row>
    <row r="15101" spans="1:5" x14ac:dyDescent="0.2">
      <c r="A15101">
        <v>56572</v>
      </c>
      <c r="B15101" t="s">
        <v>29</v>
      </c>
      <c r="C15101">
        <v>56572</v>
      </c>
      <c r="D15101" t="str">
        <f>"56572"</f>
        <v>56572</v>
      </c>
      <c r="E15101">
        <v>71.53</v>
      </c>
    </row>
    <row r="15102" spans="1:5" x14ac:dyDescent="0.2">
      <c r="A15102">
        <v>56573</v>
      </c>
      <c r="B15102" t="s">
        <v>29</v>
      </c>
      <c r="C15102">
        <v>56573</v>
      </c>
      <c r="D15102" t="str">
        <f>"56573"</f>
        <v>56573</v>
      </c>
      <c r="E15102">
        <v>73.7</v>
      </c>
    </row>
    <row r="15103" spans="1:5" x14ac:dyDescent="0.2">
      <c r="A15103">
        <v>56574</v>
      </c>
      <c r="B15103" t="s">
        <v>29</v>
      </c>
      <c r="C15103">
        <v>56574</v>
      </c>
      <c r="D15103" t="str">
        <f>"56574"</f>
        <v>56574</v>
      </c>
      <c r="E15103">
        <v>64.290000000000006</v>
      </c>
    </row>
    <row r="15104" spans="1:5" x14ac:dyDescent="0.2">
      <c r="A15104">
        <v>56575</v>
      </c>
      <c r="B15104" t="s">
        <v>29</v>
      </c>
      <c r="C15104">
        <v>56575</v>
      </c>
      <c r="D15104" t="str">
        <f>"56575"</f>
        <v>56575</v>
      </c>
      <c r="E15104">
        <v>58.33</v>
      </c>
    </row>
    <row r="15105" spans="1:5" x14ac:dyDescent="0.2">
      <c r="A15105">
        <v>56576</v>
      </c>
      <c r="B15105" t="s">
        <v>29</v>
      </c>
      <c r="C15105">
        <v>56576</v>
      </c>
      <c r="D15105" t="str">
        <f>"56576"</f>
        <v>56576</v>
      </c>
      <c r="E15105">
        <v>75.680000000000007</v>
      </c>
    </row>
    <row r="15106" spans="1:5" x14ac:dyDescent="0.2">
      <c r="A15106">
        <v>56578</v>
      </c>
      <c r="B15106" t="s">
        <v>29</v>
      </c>
      <c r="C15106">
        <v>56578</v>
      </c>
      <c r="D15106" t="str">
        <f>"56578"</f>
        <v>56578</v>
      </c>
      <c r="E15106">
        <v>78.569999999999993</v>
      </c>
    </row>
    <row r="15107" spans="1:5" x14ac:dyDescent="0.2">
      <c r="A15107">
        <v>56579</v>
      </c>
      <c r="B15107" t="s">
        <v>29</v>
      </c>
      <c r="C15107">
        <v>56579</v>
      </c>
      <c r="D15107" t="str">
        <f>"56579"</f>
        <v>56579</v>
      </c>
      <c r="E15107">
        <v>73.209999999999994</v>
      </c>
    </row>
    <row r="15108" spans="1:5" x14ac:dyDescent="0.2">
      <c r="A15108">
        <v>56580</v>
      </c>
      <c r="B15108" t="s">
        <v>29</v>
      </c>
      <c r="C15108">
        <v>56580</v>
      </c>
      <c r="D15108" t="str">
        <f>"56580"</f>
        <v>56580</v>
      </c>
      <c r="E15108">
        <v>82.14</v>
      </c>
    </row>
    <row r="15109" spans="1:5" x14ac:dyDescent="0.2">
      <c r="A15109">
        <v>56581</v>
      </c>
      <c r="B15109" t="s">
        <v>29</v>
      </c>
      <c r="C15109">
        <v>56581</v>
      </c>
      <c r="D15109" t="str">
        <f>"56581"</f>
        <v>56581</v>
      </c>
      <c r="E15109">
        <v>69.23</v>
      </c>
    </row>
    <row r="15110" spans="1:5" x14ac:dyDescent="0.2">
      <c r="A15110">
        <v>56583</v>
      </c>
      <c r="B15110" t="s">
        <v>29</v>
      </c>
      <c r="C15110">
        <v>56583</v>
      </c>
      <c r="D15110" t="str">
        <f>"56583"</f>
        <v>56583</v>
      </c>
      <c r="E15110" t="s">
        <v>6</v>
      </c>
    </row>
    <row r="15111" spans="1:5" x14ac:dyDescent="0.2">
      <c r="A15111">
        <v>56584</v>
      </c>
      <c r="B15111" t="s">
        <v>29</v>
      </c>
      <c r="C15111">
        <v>56584</v>
      </c>
      <c r="D15111" t="str">
        <f>"56584"</f>
        <v>56584</v>
      </c>
      <c r="E15111">
        <v>72.31</v>
      </c>
    </row>
    <row r="15112" spans="1:5" x14ac:dyDescent="0.2">
      <c r="A15112">
        <v>56585</v>
      </c>
      <c r="B15112" t="s">
        <v>29</v>
      </c>
      <c r="C15112">
        <v>56585</v>
      </c>
      <c r="D15112" t="str">
        <f>"56585"</f>
        <v>56585</v>
      </c>
      <c r="E15112">
        <v>76.09</v>
      </c>
    </row>
    <row r="15113" spans="1:5" x14ac:dyDescent="0.2">
      <c r="A15113">
        <v>56586</v>
      </c>
      <c r="B15113" t="s">
        <v>29</v>
      </c>
      <c r="C15113">
        <v>56586</v>
      </c>
      <c r="D15113" t="str">
        <f>"56586"</f>
        <v>56586</v>
      </c>
      <c r="E15113">
        <v>75</v>
      </c>
    </row>
    <row r="15114" spans="1:5" x14ac:dyDescent="0.2">
      <c r="A15114">
        <v>56587</v>
      </c>
      <c r="B15114" t="s">
        <v>29</v>
      </c>
      <c r="C15114">
        <v>56587</v>
      </c>
      <c r="D15114" t="str">
        <f>"56587"</f>
        <v>56587</v>
      </c>
      <c r="E15114">
        <v>77.5</v>
      </c>
    </row>
    <row r="15115" spans="1:5" x14ac:dyDescent="0.2">
      <c r="A15115">
        <v>56588</v>
      </c>
      <c r="B15115" t="s">
        <v>29</v>
      </c>
      <c r="C15115">
        <v>56588</v>
      </c>
      <c r="D15115" t="str">
        <f>"56588"</f>
        <v>56588</v>
      </c>
      <c r="E15115">
        <v>65.38</v>
      </c>
    </row>
    <row r="15116" spans="1:5" x14ac:dyDescent="0.2">
      <c r="A15116">
        <v>56589</v>
      </c>
      <c r="B15116" t="s">
        <v>29</v>
      </c>
      <c r="C15116">
        <v>56589</v>
      </c>
      <c r="D15116" t="str">
        <f>"56589"</f>
        <v>56589</v>
      </c>
      <c r="E15116">
        <v>67.09</v>
      </c>
    </row>
    <row r="15117" spans="1:5" x14ac:dyDescent="0.2">
      <c r="A15117">
        <v>56590</v>
      </c>
      <c r="B15117" t="s">
        <v>29</v>
      </c>
      <c r="C15117">
        <v>56590</v>
      </c>
      <c r="D15117" t="str">
        <f>"56590"</f>
        <v>56590</v>
      </c>
      <c r="E15117">
        <v>77.78</v>
      </c>
    </row>
    <row r="15118" spans="1:5" x14ac:dyDescent="0.2">
      <c r="A15118">
        <v>56591</v>
      </c>
      <c r="B15118" t="s">
        <v>29</v>
      </c>
      <c r="C15118">
        <v>56591</v>
      </c>
      <c r="D15118" t="str">
        <f>"56591"</f>
        <v>56591</v>
      </c>
      <c r="E15118" t="s">
        <v>6</v>
      </c>
    </row>
    <row r="15119" spans="1:5" x14ac:dyDescent="0.2">
      <c r="A15119">
        <v>56592</v>
      </c>
      <c r="B15119" t="s">
        <v>29</v>
      </c>
      <c r="C15119">
        <v>56592</v>
      </c>
      <c r="D15119" t="str">
        <f>"56592"</f>
        <v>56592</v>
      </c>
      <c r="E15119">
        <v>71.430000000000007</v>
      </c>
    </row>
    <row r="15120" spans="1:5" x14ac:dyDescent="0.2">
      <c r="A15120">
        <v>56594</v>
      </c>
      <c r="B15120" t="s">
        <v>29</v>
      </c>
      <c r="C15120">
        <v>56594</v>
      </c>
      <c r="D15120" t="str">
        <f>"56594"</f>
        <v>56594</v>
      </c>
      <c r="E15120">
        <v>75</v>
      </c>
    </row>
    <row r="15121" spans="1:5" x14ac:dyDescent="0.2">
      <c r="A15121">
        <v>56601</v>
      </c>
      <c r="B15121" t="s">
        <v>29</v>
      </c>
      <c r="C15121">
        <v>56601</v>
      </c>
      <c r="D15121" t="str">
        <f>"56601"</f>
        <v>56601</v>
      </c>
      <c r="E15121">
        <v>73.03</v>
      </c>
    </row>
    <row r="15122" spans="1:5" x14ac:dyDescent="0.2">
      <c r="A15122">
        <v>56621</v>
      </c>
      <c r="B15122" t="s">
        <v>29</v>
      </c>
      <c r="C15122">
        <v>56621</v>
      </c>
      <c r="D15122" t="str">
        <f>"56621"</f>
        <v>56621</v>
      </c>
      <c r="E15122">
        <v>69.150000000000006</v>
      </c>
    </row>
    <row r="15123" spans="1:5" x14ac:dyDescent="0.2">
      <c r="A15123">
        <v>56623</v>
      </c>
      <c r="B15123" t="s">
        <v>29</v>
      </c>
      <c r="C15123">
        <v>56623</v>
      </c>
      <c r="D15123" t="str">
        <f>"56623"</f>
        <v>56623</v>
      </c>
      <c r="E15123">
        <v>73.239999999999995</v>
      </c>
    </row>
    <row r="15124" spans="1:5" x14ac:dyDescent="0.2">
      <c r="A15124">
        <v>56626</v>
      </c>
      <c r="B15124" t="s">
        <v>29</v>
      </c>
      <c r="C15124">
        <v>56626</v>
      </c>
      <c r="D15124" t="str">
        <f>"56626"</f>
        <v>56626</v>
      </c>
      <c r="E15124">
        <v>50</v>
      </c>
    </row>
    <row r="15125" spans="1:5" x14ac:dyDescent="0.2">
      <c r="A15125">
        <v>56627</v>
      </c>
      <c r="B15125" t="s">
        <v>29</v>
      </c>
      <c r="C15125">
        <v>56627</v>
      </c>
      <c r="D15125" t="str">
        <f>"56627"</f>
        <v>56627</v>
      </c>
      <c r="E15125">
        <v>66.67</v>
      </c>
    </row>
    <row r="15126" spans="1:5" x14ac:dyDescent="0.2">
      <c r="A15126">
        <v>56628</v>
      </c>
      <c r="B15126" t="s">
        <v>29</v>
      </c>
      <c r="C15126">
        <v>56628</v>
      </c>
      <c r="D15126" t="str">
        <f>"56628"</f>
        <v>56628</v>
      </c>
      <c r="E15126">
        <v>70.42</v>
      </c>
    </row>
    <row r="15127" spans="1:5" x14ac:dyDescent="0.2">
      <c r="A15127">
        <v>56629</v>
      </c>
      <c r="B15127" t="s">
        <v>29</v>
      </c>
      <c r="C15127">
        <v>56629</v>
      </c>
      <c r="D15127" t="str">
        <f>"56629"</f>
        <v>56629</v>
      </c>
      <c r="E15127" t="s">
        <v>6</v>
      </c>
    </row>
    <row r="15128" spans="1:5" x14ac:dyDescent="0.2">
      <c r="A15128">
        <v>56630</v>
      </c>
      <c r="B15128" t="s">
        <v>29</v>
      </c>
      <c r="C15128">
        <v>56630</v>
      </c>
      <c r="D15128" t="str">
        <f>"56630"</f>
        <v>56630</v>
      </c>
      <c r="E15128">
        <v>66.06</v>
      </c>
    </row>
    <row r="15129" spans="1:5" x14ac:dyDescent="0.2">
      <c r="A15129">
        <v>56633</v>
      </c>
      <c r="B15129" t="s">
        <v>29</v>
      </c>
      <c r="C15129">
        <v>56633</v>
      </c>
      <c r="D15129" t="str">
        <f>"56633"</f>
        <v>56633</v>
      </c>
      <c r="E15129">
        <v>58.95</v>
      </c>
    </row>
    <row r="15130" spans="1:5" x14ac:dyDescent="0.2">
      <c r="A15130">
        <v>56634</v>
      </c>
      <c r="B15130" t="s">
        <v>29</v>
      </c>
      <c r="C15130">
        <v>56634</v>
      </c>
      <c r="D15130" t="str">
        <f>"56634"</f>
        <v>56634</v>
      </c>
      <c r="E15130">
        <v>66.67</v>
      </c>
    </row>
    <row r="15131" spans="1:5" x14ac:dyDescent="0.2">
      <c r="A15131">
        <v>56636</v>
      </c>
      <c r="B15131" t="s">
        <v>29</v>
      </c>
      <c r="C15131">
        <v>56636</v>
      </c>
      <c r="D15131" t="str">
        <f>"56636"</f>
        <v>56636</v>
      </c>
      <c r="E15131">
        <v>70.27</v>
      </c>
    </row>
    <row r="15132" spans="1:5" x14ac:dyDescent="0.2">
      <c r="A15132">
        <v>56637</v>
      </c>
      <c r="B15132" t="s">
        <v>29</v>
      </c>
      <c r="C15132">
        <v>56637</v>
      </c>
      <c r="D15132" t="str">
        <f>"56637"</f>
        <v>56637</v>
      </c>
      <c r="E15132" t="s">
        <v>6</v>
      </c>
    </row>
    <row r="15133" spans="1:5" x14ac:dyDescent="0.2">
      <c r="A15133">
        <v>56639</v>
      </c>
      <c r="B15133" t="s">
        <v>29</v>
      </c>
      <c r="C15133">
        <v>56639</v>
      </c>
      <c r="D15133" t="str">
        <f>"56639"</f>
        <v>56639</v>
      </c>
      <c r="E15133">
        <v>70.59</v>
      </c>
    </row>
    <row r="15134" spans="1:5" x14ac:dyDescent="0.2">
      <c r="A15134">
        <v>56641</v>
      </c>
      <c r="B15134" t="s">
        <v>29</v>
      </c>
      <c r="C15134">
        <v>56641</v>
      </c>
      <c r="D15134" t="str">
        <f>"56641"</f>
        <v>56641</v>
      </c>
      <c r="E15134">
        <v>63.64</v>
      </c>
    </row>
    <row r="15135" spans="1:5" x14ac:dyDescent="0.2">
      <c r="A15135">
        <v>56644</v>
      </c>
      <c r="B15135" t="s">
        <v>29</v>
      </c>
      <c r="C15135">
        <v>56644</v>
      </c>
      <c r="D15135" t="str">
        <f>"56644"</f>
        <v>56644</v>
      </c>
      <c r="E15135">
        <v>71.05</v>
      </c>
    </row>
    <row r="15136" spans="1:5" x14ac:dyDescent="0.2">
      <c r="A15136">
        <v>56646</v>
      </c>
      <c r="B15136" t="s">
        <v>29</v>
      </c>
      <c r="C15136">
        <v>56646</v>
      </c>
      <c r="D15136" t="str">
        <f>"56646"</f>
        <v>56646</v>
      </c>
      <c r="E15136">
        <v>70.59</v>
      </c>
    </row>
    <row r="15137" spans="1:5" x14ac:dyDescent="0.2">
      <c r="A15137">
        <v>56647</v>
      </c>
      <c r="B15137" t="s">
        <v>29</v>
      </c>
      <c r="C15137">
        <v>56647</v>
      </c>
      <c r="D15137" t="str">
        <f>"56647"</f>
        <v>56647</v>
      </c>
      <c r="E15137">
        <v>69.7</v>
      </c>
    </row>
    <row r="15138" spans="1:5" x14ac:dyDescent="0.2">
      <c r="A15138">
        <v>56649</v>
      </c>
      <c r="B15138" t="s">
        <v>29</v>
      </c>
      <c r="C15138">
        <v>56649</v>
      </c>
      <c r="D15138" t="str">
        <f>"56649"</f>
        <v>56649</v>
      </c>
      <c r="E15138">
        <v>68.599999999999994</v>
      </c>
    </row>
    <row r="15139" spans="1:5" x14ac:dyDescent="0.2">
      <c r="A15139">
        <v>56650</v>
      </c>
      <c r="B15139" t="s">
        <v>29</v>
      </c>
      <c r="C15139">
        <v>56650</v>
      </c>
      <c r="D15139" t="str">
        <f>"56650"</f>
        <v>56650</v>
      </c>
      <c r="E15139">
        <v>66.67</v>
      </c>
    </row>
    <row r="15140" spans="1:5" x14ac:dyDescent="0.2">
      <c r="A15140">
        <v>56651</v>
      </c>
      <c r="B15140" t="s">
        <v>29</v>
      </c>
      <c r="C15140">
        <v>56651</v>
      </c>
      <c r="D15140" t="str">
        <f>"56651"</f>
        <v>56651</v>
      </c>
      <c r="E15140">
        <v>65.22</v>
      </c>
    </row>
    <row r="15141" spans="1:5" x14ac:dyDescent="0.2">
      <c r="A15141">
        <v>56652</v>
      </c>
      <c r="B15141" t="s">
        <v>29</v>
      </c>
      <c r="C15141">
        <v>56652</v>
      </c>
      <c r="D15141" t="str">
        <f>"56652"</f>
        <v>56652</v>
      </c>
      <c r="E15141">
        <v>70.83</v>
      </c>
    </row>
    <row r="15142" spans="1:5" x14ac:dyDescent="0.2">
      <c r="A15142">
        <v>56653</v>
      </c>
      <c r="B15142" t="s">
        <v>29</v>
      </c>
      <c r="C15142">
        <v>56653</v>
      </c>
      <c r="D15142" t="str">
        <f>"56653"</f>
        <v>56653</v>
      </c>
      <c r="E15142">
        <v>74.58</v>
      </c>
    </row>
    <row r="15143" spans="1:5" x14ac:dyDescent="0.2">
      <c r="A15143">
        <v>56654</v>
      </c>
      <c r="B15143" t="s">
        <v>29</v>
      </c>
      <c r="C15143">
        <v>56654</v>
      </c>
      <c r="D15143" t="str">
        <f>"56654"</f>
        <v>56654</v>
      </c>
      <c r="E15143" t="s">
        <v>6</v>
      </c>
    </row>
    <row r="15144" spans="1:5" x14ac:dyDescent="0.2">
      <c r="A15144">
        <v>56655</v>
      </c>
      <c r="B15144" t="s">
        <v>29</v>
      </c>
      <c r="C15144">
        <v>56655</v>
      </c>
      <c r="D15144" t="str">
        <f>"56655"</f>
        <v>56655</v>
      </c>
      <c r="E15144">
        <v>71.05</v>
      </c>
    </row>
    <row r="15145" spans="1:5" x14ac:dyDescent="0.2">
      <c r="A15145">
        <v>56657</v>
      </c>
      <c r="B15145" t="s">
        <v>29</v>
      </c>
      <c r="C15145">
        <v>56657</v>
      </c>
      <c r="D15145" t="str">
        <f>"56657"</f>
        <v>56657</v>
      </c>
      <c r="E15145">
        <v>72.22</v>
      </c>
    </row>
    <row r="15146" spans="1:5" x14ac:dyDescent="0.2">
      <c r="A15146">
        <v>56658</v>
      </c>
      <c r="B15146" t="s">
        <v>29</v>
      </c>
      <c r="C15146">
        <v>56658</v>
      </c>
      <c r="D15146" t="str">
        <f>"56658"</f>
        <v>56658</v>
      </c>
      <c r="E15146" t="s">
        <v>6</v>
      </c>
    </row>
    <row r="15147" spans="1:5" x14ac:dyDescent="0.2">
      <c r="A15147">
        <v>56659</v>
      </c>
      <c r="B15147" t="s">
        <v>29</v>
      </c>
      <c r="C15147">
        <v>56659</v>
      </c>
      <c r="D15147" t="str">
        <f>"56659"</f>
        <v>56659</v>
      </c>
      <c r="E15147" t="s">
        <v>6</v>
      </c>
    </row>
    <row r="15148" spans="1:5" x14ac:dyDescent="0.2">
      <c r="A15148">
        <v>56660</v>
      </c>
      <c r="B15148" t="s">
        <v>29</v>
      </c>
      <c r="C15148">
        <v>56660</v>
      </c>
      <c r="D15148" t="str">
        <f>"56660"</f>
        <v>56660</v>
      </c>
      <c r="E15148">
        <v>60</v>
      </c>
    </row>
    <row r="15149" spans="1:5" x14ac:dyDescent="0.2">
      <c r="A15149">
        <v>56661</v>
      </c>
      <c r="B15149" t="s">
        <v>29</v>
      </c>
      <c r="C15149">
        <v>56661</v>
      </c>
      <c r="D15149" t="str">
        <f>"56661"</f>
        <v>56661</v>
      </c>
      <c r="E15149">
        <v>70.73</v>
      </c>
    </row>
    <row r="15150" spans="1:5" x14ac:dyDescent="0.2">
      <c r="A15150">
        <v>56662</v>
      </c>
      <c r="B15150" t="s">
        <v>29</v>
      </c>
      <c r="C15150">
        <v>56662</v>
      </c>
      <c r="D15150" t="str">
        <f>"56662"</f>
        <v>56662</v>
      </c>
      <c r="E15150">
        <v>76.92</v>
      </c>
    </row>
    <row r="15151" spans="1:5" x14ac:dyDescent="0.2">
      <c r="A15151">
        <v>56663</v>
      </c>
      <c r="B15151" t="s">
        <v>29</v>
      </c>
      <c r="C15151">
        <v>56663</v>
      </c>
      <c r="D15151" t="str">
        <f>"56663"</f>
        <v>56663</v>
      </c>
      <c r="E15151" t="s">
        <v>6</v>
      </c>
    </row>
    <row r="15152" spans="1:5" x14ac:dyDescent="0.2">
      <c r="A15152">
        <v>56666</v>
      </c>
      <c r="B15152" t="s">
        <v>29</v>
      </c>
      <c r="C15152">
        <v>56666</v>
      </c>
      <c r="D15152" t="str">
        <f>"56666"</f>
        <v>56666</v>
      </c>
      <c r="E15152" t="s">
        <v>6</v>
      </c>
    </row>
    <row r="15153" spans="1:5" x14ac:dyDescent="0.2">
      <c r="A15153">
        <v>56667</v>
      </c>
      <c r="B15153" t="s">
        <v>29</v>
      </c>
      <c r="C15153">
        <v>56667</v>
      </c>
      <c r="D15153" t="str">
        <f>"56667"</f>
        <v>56667</v>
      </c>
      <c r="E15153">
        <v>65.52</v>
      </c>
    </row>
    <row r="15154" spans="1:5" x14ac:dyDescent="0.2">
      <c r="A15154">
        <v>56668</v>
      </c>
      <c r="B15154" t="s">
        <v>29</v>
      </c>
      <c r="C15154">
        <v>56668</v>
      </c>
      <c r="D15154" t="str">
        <f>"56668"</f>
        <v>56668</v>
      </c>
      <c r="E15154" t="s">
        <v>6</v>
      </c>
    </row>
    <row r="15155" spans="1:5" x14ac:dyDescent="0.2">
      <c r="A15155">
        <v>56669</v>
      </c>
      <c r="B15155" t="s">
        <v>29</v>
      </c>
      <c r="C15155">
        <v>56669</v>
      </c>
      <c r="D15155" t="str">
        <f>"56669"</f>
        <v>56669</v>
      </c>
      <c r="E15155">
        <v>62.5</v>
      </c>
    </row>
    <row r="15156" spans="1:5" x14ac:dyDescent="0.2">
      <c r="A15156">
        <v>56670</v>
      </c>
      <c r="B15156" t="s">
        <v>29</v>
      </c>
      <c r="C15156">
        <v>56670</v>
      </c>
      <c r="D15156" t="str">
        <f>"56670"</f>
        <v>56670</v>
      </c>
      <c r="E15156" t="s">
        <v>6</v>
      </c>
    </row>
    <row r="15157" spans="1:5" x14ac:dyDescent="0.2">
      <c r="A15157">
        <v>56671</v>
      </c>
      <c r="B15157" t="s">
        <v>29</v>
      </c>
      <c r="C15157">
        <v>56671</v>
      </c>
      <c r="D15157" t="str">
        <f>"56671"</f>
        <v>56671</v>
      </c>
      <c r="E15157" t="s">
        <v>6</v>
      </c>
    </row>
    <row r="15158" spans="1:5" x14ac:dyDescent="0.2">
      <c r="A15158">
        <v>56672</v>
      </c>
      <c r="B15158" t="s">
        <v>29</v>
      </c>
      <c r="C15158">
        <v>56672</v>
      </c>
      <c r="D15158" t="str">
        <f>"56672"</f>
        <v>56672</v>
      </c>
      <c r="E15158">
        <v>70.11</v>
      </c>
    </row>
    <row r="15159" spans="1:5" x14ac:dyDescent="0.2">
      <c r="A15159">
        <v>56673</v>
      </c>
      <c r="B15159" t="s">
        <v>29</v>
      </c>
      <c r="C15159">
        <v>56673</v>
      </c>
      <c r="D15159" t="str">
        <f>"56673"</f>
        <v>56673</v>
      </c>
      <c r="E15159">
        <v>74.19</v>
      </c>
    </row>
    <row r="15160" spans="1:5" x14ac:dyDescent="0.2">
      <c r="A15160">
        <v>56676</v>
      </c>
      <c r="B15160" t="s">
        <v>29</v>
      </c>
      <c r="C15160">
        <v>56676</v>
      </c>
      <c r="D15160" t="str">
        <f>"56676"</f>
        <v>56676</v>
      </c>
      <c r="E15160">
        <v>74.03</v>
      </c>
    </row>
    <row r="15161" spans="1:5" x14ac:dyDescent="0.2">
      <c r="A15161">
        <v>56678</v>
      </c>
      <c r="B15161" t="s">
        <v>29</v>
      </c>
      <c r="C15161">
        <v>56678</v>
      </c>
      <c r="D15161" t="str">
        <f>"56678"</f>
        <v>56678</v>
      </c>
      <c r="E15161">
        <v>73.680000000000007</v>
      </c>
    </row>
    <row r="15162" spans="1:5" x14ac:dyDescent="0.2">
      <c r="A15162">
        <v>56680</v>
      </c>
      <c r="B15162" t="s">
        <v>29</v>
      </c>
      <c r="C15162">
        <v>56680</v>
      </c>
      <c r="D15162" t="str">
        <f>"56680"</f>
        <v>56680</v>
      </c>
      <c r="E15162" t="s">
        <v>6</v>
      </c>
    </row>
    <row r="15163" spans="1:5" x14ac:dyDescent="0.2">
      <c r="A15163">
        <v>56681</v>
      </c>
      <c r="B15163" t="s">
        <v>29</v>
      </c>
      <c r="C15163">
        <v>56681</v>
      </c>
      <c r="D15163" t="str">
        <f>"56681"</f>
        <v>56681</v>
      </c>
      <c r="E15163">
        <v>58.33</v>
      </c>
    </row>
    <row r="15164" spans="1:5" x14ac:dyDescent="0.2">
      <c r="A15164">
        <v>56683</v>
      </c>
      <c r="B15164" t="s">
        <v>29</v>
      </c>
      <c r="C15164">
        <v>56683</v>
      </c>
      <c r="D15164" t="str">
        <f>"56683"</f>
        <v>56683</v>
      </c>
      <c r="E15164">
        <v>75.760000000000005</v>
      </c>
    </row>
    <row r="15165" spans="1:5" x14ac:dyDescent="0.2">
      <c r="A15165">
        <v>56684</v>
      </c>
      <c r="B15165" t="s">
        <v>29</v>
      </c>
      <c r="C15165">
        <v>56684</v>
      </c>
      <c r="D15165" t="str">
        <f>"56684"</f>
        <v>56684</v>
      </c>
      <c r="E15165">
        <v>76.47</v>
      </c>
    </row>
    <row r="15166" spans="1:5" x14ac:dyDescent="0.2">
      <c r="A15166">
        <v>56685</v>
      </c>
      <c r="B15166" t="s">
        <v>29</v>
      </c>
      <c r="C15166">
        <v>56685</v>
      </c>
      <c r="D15166" t="str">
        <f>"56685"</f>
        <v>56685</v>
      </c>
      <c r="E15166" t="s">
        <v>6</v>
      </c>
    </row>
    <row r="15167" spans="1:5" x14ac:dyDescent="0.2">
      <c r="A15167">
        <v>56686</v>
      </c>
      <c r="B15167" t="s">
        <v>29</v>
      </c>
      <c r="C15167">
        <v>56686</v>
      </c>
      <c r="D15167" t="str">
        <f>"56686"</f>
        <v>56686</v>
      </c>
      <c r="E15167">
        <v>69.77</v>
      </c>
    </row>
    <row r="15168" spans="1:5" x14ac:dyDescent="0.2">
      <c r="A15168">
        <v>56688</v>
      </c>
      <c r="B15168" t="s">
        <v>29</v>
      </c>
      <c r="C15168">
        <v>56688</v>
      </c>
      <c r="D15168" t="str">
        <f>"56688"</f>
        <v>56688</v>
      </c>
      <c r="E15168" t="s">
        <v>6</v>
      </c>
    </row>
    <row r="15169" spans="1:5" x14ac:dyDescent="0.2">
      <c r="A15169">
        <v>56701</v>
      </c>
      <c r="B15169" t="s">
        <v>29</v>
      </c>
      <c r="C15169">
        <v>56701</v>
      </c>
      <c r="D15169" t="str">
        <f>"56701"</f>
        <v>56701</v>
      </c>
      <c r="E15169">
        <v>77.040000000000006</v>
      </c>
    </row>
    <row r="15170" spans="1:5" x14ac:dyDescent="0.2">
      <c r="A15170">
        <v>56710</v>
      </c>
      <c r="B15170" t="s">
        <v>29</v>
      </c>
      <c r="C15170">
        <v>56710</v>
      </c>
      <c r="D15170" t="str">
        <f>"56710"</f>
        <v>56710</v>
      </c>
      <c r="E15170">
        <v>81.819999999999993</v>
      </c>
    </row>
    <row r="15171" spans="1:5" x14ac:dyDescent="0.2">
      <c r="A15171">
        <v>56711</v>
      </c>
      <c r="B15171" t="s">
        <v>29</v>
      </c>
      <c r="C15171">
        <v>56711</v>
      </c>
      <c r="D15171" t="str">
        <f>"56711"</f>
        <v>56711</v>
      </c>
      <c r="E15171" t="s">
        <v>6</v>
      </c>
    </row>
    <row r="15172" spans="1:5" x14ac:dyDescent="0.2">
      <c r="A15172">
        <v>56713</v>
      </c>
      <c r="B15172" t="s">
        <v>29</v>
      </c>
      <c r="C15172">
        <v>56713</v>
      </c>
      <c r="D15172" t="str">
        <f>"56713"</f>
        <v>56713</v>
      </c>
      <c r="E15172">
        <v>75.56</v>
      </c>
    </row>
    <row r="15173" spans="1:5" x14ac:dyDescent="0.2">
      <c r="A15173">
        <v>56714</v>
      </c>
      <c r="B15173" t="s">
        <v>29</v>
      </c>
      <c r="C15173">
        <v>56714</v>
      </c>
      <c r="D15173" t="str">
        <f>"56714"</f>
        <v>56714</v>
      </c>
      <c r="E15173">
        <v>71.430000000000007</v>
      </c>
    </row>
    <row r="15174" spans="1:5" x14ac:dyDescent="0.2">
      <c r="A15174">
        <v>56715</v>
      </c>
      <c r="B15174" t="s">
        <v>29</v>
      </c>
      <c r="C15174">
        <v>56715</v>
      </c>
      <c r="D15174" t="str">
        <f>"56715"</f>
        <v>56715</v>
      </c>
      <c r="E15174">
        <v>70.59</v>
      </c>
    </row>
    <row r="15175" spans="1:5" x14ac:dyDescent="0.2">
      <c r="A15175">
        <v>56716</v>
      </c>
      <c r="B15175" t="s">
        <v>29</v>
      </c>
      <c r="C15175">
        <v>56716</v>
      </c>
      <c r="D15175" t="str">
        <f>"56716"</f>
        <v>56716</v>
      </c>
      <c r="E15175">
        <v>73.45</v>
      </c>
    </row>
    <row r="15176" spans="1:5" x14ac:dyDescent="0.2">
      <c r="A15176">
        <v>56720</v>
      </c>
      <c r="B15176" t="s">
        <v>29</v>
      </c>
      <c r="C15176">
        <v>56720</v>
      </c>
      <c r="D15176" t="str">
        <f>"56720"</f>
        <v>56720</v>
      </c>
      <c r="E15176" t="s">
        <v>6</v>
      </c>
    </row>
    <row r="15177" spans="1:5" x14ac:dyDescent="0.2">
      <c r="A15177">
        <v>56721</v>
      </c>
      <c r="B15177" t="s">
        <v>29</v>
      </c>
      <c r="C15177">
        <v>56721</v>
      </c>
      <c r="D15177" t="str">
        <f>"56721"</f>
        <v>56721</v>
      </c>
      <c r="E15177">
        <v>75.86</v>
      </c>
    </row>
    <row r="15178" spans="1:5" x14ac:dyDescent="0.2">
      <c r="A15178">
        <v>56722</v>
      </c>
      <c r="B15178" t="s">
        <v>29</v>
      </c>
      <c r="C15178">
        <v>56722</v>
      </c>
      <c r="D15178" t="str">
        <f>"56722"</f>
        <v>56722</v>
      </c>
      <c r="E15178">
        <v>83.33</v>
      </c>
    </row>
    <row r="15179" spans="1:5" x14ac:dyDescent="0.2">
      <c r="A15179">
        <v>56723</v>
      </c>
      <c r="B15179" t="s">
        <v>29</v>
      </c>
      <c r="C15179">
        <v>56723</v>
      </c>
      <c r="D15179" t="str">
        <f>"56723"</f>
        <v>56723</v>
      </c>
      <c r="E15179">
        <v>82.98</v>
      </c>
    </row>
    <row r="15180" spans="1:5" x14ac:dyDescent="0.2">
      <c r="A15180">
        <v>56724</v>
      </c>
      <c r="B15180" t="s">
        <v>29</v>
      </c>
      <c r="C15180">
        <v>56724</v>
      </c>
      <c r="D15180" t="str">
        <f>"56724"</f>
        <v>56724</v>
      </c>
      <c r="E15180" t="s">
        <v>6</v>
      </c>
    </row>
    <row r="15181" spans="1:5" x14ac:dyDescent="0.2">
      <c r="A15181">
        <v>56725</v>
      </c>
      <c r="B15181" t="s">
        <v>29</v>
      </c>
      <c r="C15181">
        <v>56725</v>
      </c>
      <c r="D15181" t="str">
        <f>"56725"</f>
        <v>56725</v>
      </c>
      <c r="E15181">
        <v>67.44</v>
      </c>
    </row>
    <row r="15182" spans="1:5" x14ac:dyDescent="0.2">
      <c r="A15182">
        <v>56726</v>
      </c>
      <c r="B15182" t="s">
        <v>29</v>
      </c>
      <c r="C15182">
        <v>56726</v>
      </c>
      <c r="D15182" t="str">
        <f>"56726"</f>
        <v>56726</v>
      </c>
      <c r="E15182">
        <v>72</v>
      </c>
    </row>
    <row r="15183" spans="1:5" x14ac:dyDescent="0.2">
      <c r="A15183">
        <v>56727</v>
      </c>
      <c r="B15183" t="s">
        <v>29</v>
      </c>
      <c r="C15183">
        <v>56727</v>
      </c>
      <c r="D15183" t="str">
        <f>"56727"</f>
        <v>56727</v>
      </c>
      <c r="E15183">
        <v>76.47</v>
      </c>
    </row>
    <row r="15184" spans="1:5" x14ac:dyDescent="0.2">
      <c r="A15184">
        <v>56728</v>
      </c>
      <c r="B15184" t="s">
        <v>29</v>
      </c>
      <c r="C15184">
        <v>56728</v>
      </c>
      <c r="D15184" t="str">
        <f>"56728"</f>
        <v>56728</v>
      </c>
      <c r="E15184">
        <v>79.099999999999994</v>
      </c>
    </row>
    <row r="15185" spans="1:5" x14ac:dyDescent="0.2">
      <c r="A15185">
        <v>56729</v>
      </c>
      <c r="B15185" t="s">
        <v>29</v>
      </c>
      <c r="C15185">
        <v>56729</v>
      </c>
      <c r="D15185" t="str">
        <f>"56729"</f>
        <v>56729</v>
      </c>
      <c r="E15185" t="s">
        <v>6</v>
      </c>
    </row>
    <row r="15186" spans="1:5" x14ac:dyDescent="0.2">
      <c r="A15186">
        <v>56731</v>
      </c>
      <c r="B15186" t="s">
        <v>29</v>
      </c>
      <c r="C15186">
        <v>56731</v>
      </c>
      <c r="D15186" t="str">
        <f>"56731"</f>
        <v>56731</v>
      </c>
      <c r="E15186" t="s">
        <v>6</v>
      </c>
    </row>
    <row r="15187" spans="1:5" x14ac:dyDescent="0.2">
      <c r="A15187">
        <v>56732</v>
      </c>
      <c r="B15187" t="s">
        <v>29</v>
      </c>
      <c r="C15187">
        <v>56732</v>
      </c>
      <c r="D15187" t="str">
        <f>"56732"</f>
        <v>56732</v>
      </c>
      <c r="E15187">
        <v>70.59</v>
      </c>
    </row>
    <row r="15188" spans="1:5" x14ac:dyDescent="0.2">
      <c r="A15188">
        <v>56733</v>
      </c>
      <c r="B15188" t="s">
        <v>29</v>
      </c>
      <c r="C15188">
        <v>56733</v>
      </c>
      <c r="D15188" t="str">
        <f>"56733"</f>
        <v>56733</v>
      </c>
      <c r="E15188">
        <v>75</v>
      </c>
    </row>
    <row r="15189" spans="1:5" x14ac:dyDescent="0.2">
      <c r="A15189">
        <v>56734</v>
      </c>
      <c r="B15189" t="s">
        <v>29</v>
      </c>
      <c r="C15189">
        <v>56734</v>
      </c>
      <c r="D15189" t="str">
        <f>"56734"</f>
        <v>56734</v>
      </c>
      <c r="E15189">
        <v>71.430000000000007</v>
      </c>
    </row>
    <row r="15190" spans="1:5" x14ac:dyDescent="0.2">
      <c r="A15190">
        <v>56735</v>
      </c>
      <c r="B15190" t="s">
        <v>29</v>
      </c>
      <c r="C15190">
        <v>56735</v>
      </c>
      <c r="D15190" t="str">
        <f>"56735"</f>
        <v>56735</v>
      </c>
      <c r="E15190">
        <v>72.97</v>
      </c>
    </row>
    <row r="15191" spans="1:5" x14ac:dyDescent="0.2">
      <c r="A15191">
        <v>56736</v>
      </c>
      <c r="B15191" t="s">
        <v>29</v>
      </c>
      <c r="C15191">
        <v>56736</v>
      </c>
      <c r="D15191" t="str">
        <f>"56736"</f>
        <v>56736</v>
      </c>
      <c r="E15191">
        <v>78.569999999999993</v>
      </c>
    </row>
    <row r="15192" spans="1:5" x14ac:dyDescent="0.2">
      <c r="A15192">
        <v>56737</v>
      </c>
      <c r="B15192" t="s">
        <v>29</v>
      </c>
      <c r="C15192">
        <v>56737</v>
      </c>
      <c r="D15192" t="str">
        <f>"56737"</f>
        <v>56737</v>
      </c>
      <c r="E15192">
        <v>77.5</v>
      </c>
    </row>
    <row r="15193" spans="1:5" x14ac:dyDescent="0.2">
      <c r="A15193">
        <v>56738</v>
      </c>
      <c r="B15193" t="s">
        <v>29</v>
      </c>
      <c r="C15193">
        <v>56738</v>
      </c>
      <c r="D15193" t="str">
        <f>"56738"</f>
        <v>56738</v>
      </c>
      <c r="E15193">
        <v>78.69</v>
      </c>
    </row>
    <row r="15194" spans="1:5" x14ac:dyDescent="0.2">
      <c r="A15194">
        <v>56740</v>
      </c>
      <c r="B15194" t="s">
        <v>29</v>
      </c>
      <c r="C15194">
        <v>56740</v>
      </c>
      <c r="D15194" t="str">
        <f>"56740"</f>
        <v>56740</v>
      </c>
      <c r="E15194" t="s">
        <v>6</v>
      </c>
    </row>
    <row r="15195" spans="1:5" x14ac:dyDescent="0.2">
      <c r="A15195">
        <v>56741</v>
      </c>
      <c r="B15195" t="s">
        <v>29</v>
      </c>
      <c r="C15195">
        <v>56741</v>
      </c>
      <c r="D15195" t="str">
        <f>"56741"</f>
        <v>56741</v>
      </c>
      <c r="E15195" t="s">
        <v>6</v>
      </c>
    </row>
    <row r="15196" spans="1:5" x14ac:dyDescent="0.2">
      <c r="A15196">
        <v>56742</v>
      </c>
      <c r="B15196" t="s">
        <v>29</v>
      </c>
      <c r="C15196">
        <v>56742</v>
      </c>
      <c r="D15196" t="str">
        <f>"56742"</f>
        <v>56742</v>
      </c>
      <c r="E15196">
        <v>75.680000000000007</v>
      </c>
    </row>
    <row r="15197" spans="1:5" x14ac:dyDescent="0.2">
      <c r="A15197">
        <v>56744</v>
      </c>
      <c r="B15197" t="s">
        <v>29</v>
      </c>
      <c r="C15197">
        <v>56744</v>
      </c>
      <c r="D15197" t="str">
        <f>"56744"</f>
        <v>56744</v>
      </c>
      <c r="E15197">
        <v>80</v>
      </c>
    </row>
    <row r="15198" spans="1:5" x14ac:dyDescent="0.2">
      <c r="A15198">
        <v>56748</v>
      </c>
      <c r="B15198" t="s">
        <v>29</v>
      </c>
      <c r="C15198">
        <v>56748</v>
      </c>
      <c r="D15198" t="str">
        <f>"56748"</f>
        <v>56748</v>
      </c>
      <c r="E15198">
        <v>81.48</v>
      </c>
    </row>
    <row r="15199" spans="1:5" x14ac:dyDescent="0.2">
      <c r="A15199">
        <v>56750</v>
      </c>
      <c r="B15199" t="s">
        <v>29</v>
      </c>
      <c r="C15199">
        <v>56750</v>
      </c>
      <c r="D15199" t="str">
        <f>"56750"</f>
        <v>56750</v>
      </c>
      <c r="E15199">
        <v>75.42</v>
      </c>
    </row>
    <row r="15200" spans="1:5" x14ac:dyDescent="0.2">
      <c r="A15200">
        <v>56751</v>
      </c>
      <c r="B15200" t="s">
        <v>29</v>
      </c>
      <c r="C15200">
        <v>56751</v>
      </c>
      <c r="D15200" t="str">
        <f>"56751"</f>
        <v>56751</v>
      </c>
      <c r="E15200">
        <v>76.069999999999993</v>
      </c>
    </row>
    <row r="15201" spans="1:5" x14ac:dyDescent="0.2">
      <c r="A15201">
        <v>56754</v>
      </c>
      <c r="B15201" t="s">
        <v>29</v>
      </c>
      <c r="C15201">
        <v>56754</v>
      </c>
      <c r="D15201" t="str">
        <f>"56754"</f>
        <v>56754</v>
      </c>
      <c r="E15201">
        <v>75</v>
      </c>
    </row>
    <row r="15202" spans="1:5" x14ac:dyDescent="0.2">
      <c r="A15202">
        <v>56755</v>
      </c>
      <c r="B15202" t="s">
        <v>29</v>
      </c>
      <c r="C15202">
        <v>56755</v>
      </c>
      <c r="D15202" t="str">
        <f>"56755"</f>
        <v>56755</v>
      </c>
      <c r="E15202" t="s">
        <v>6</v>
      </c>
    </row>
    <row r="15203" spans="1:5" x14ac:dyDescent="0.2">
      <c r="A15203">
        <v>56756</v>
      </c>
      <c r="B15203" t="s">
        <v>29</v>
      </c>
      <c r="C15203">
        <v>56756</v>
      </c>
      <c r="D15203" t="str">
        <f>"56756"</f>
        <v>56756</v>
      </c>
      <c r="E15203">
        <v>73.53</v>
      </c>
    </row>
    <row r="15204" spans="1:5" x14ac:dyDescent="0.2">
      <c r="A15204">
        <v>56757</v>
      </c>
      <c r="B15204" t="s">
        <v>29</v>
      </c>
      <c r="C15204">
        <v>56757</v>
      </c>
      <c r="D15204" t="str">
        <f>"56757"</f>
        <v>56757</v>
      </c>
      <c r="E15204">
        <v>79.55</v>
      </c>
    </row>
    <row r="15205" spans="1:5" x14ac:dyDescent="0.2">
      <c r="A15205">
        <v>56758</v>
      </c>
      <c r="B15205" t="s">
        <v>29</v>
      </c>
      <c r="C15205">
        <v>56758</v>
      </c>
      <c r="D15205" t="str">
        <f>"56758"</f>
        <v>56758</v>
      </c>
      <c r="E15205">
        <v>73.680000000000007</v>
      </c>
    </row>
    <row r="15206" spans="1:5" x14ac:dyDescent="0.2">
      <c r="A15206">
        <v>56759</v>
      </c>
      <c r="B15206" t="s">
        <v>29</v>
      </c>
      <c r="C15206">
        <v>56759</v>
      </c>
      <c r="D15206" t="str">
        <f>"56759"</f>
        <v>56759</v>
      </c>
      <c r="E15206">
        <v>71.430000000000007</v>
      </c>
    </row>
    <row r="15207" spans="1:5" x14ac:dyDescent="0.2">
      <c r="A15207">
        <v>56760</v>
      </c>
      <c r="B15207" t="s">
        <v>29</v>
      </c>
      <c r="C15207">
        <v>56760</v>
      </c>
      <c r="D15207" t="str">
        <f>"56760"</f>
        <v>56760</v>
      </c>
      <c r="E15207">
        <v>73.680000000000007</v>
      </c>
    </row>
    <row r="15208" spans="1:5" x14ac:dyDescent="0.2">
      <c r="A15208">
        <v>56761</v>
      </c>
      <c r="B15208" t="s">
        <v>29</v>
      </c>
      <c r="C15208">
        <v>56761</v>
      </c>
      <c r="D15208" t="str">
        <f>"56761"</f>
        <v>56761</v>
      </c>
      <c r="E15208">
        <v>71.430000000000007</v>
      </c>
    </row>
    <row r="15209" spans="1:5" x14ac:dyDescent="0.2">
      <c r="A15209">
        <v>56762</v>
      </c>
      <c r="B15209" t="s">
        <v>29</v>
      </c>
      <c r="C15209">
        <v>56762</v>
      </c>
      <c r="D15209" t="str">
        <f>"56762"</f>
        <v>56762</v>
      </c>
      <c r="E15209">
        <v>76.03</v>
      </c>
    </row>
    <row r="15210" spans="1:5" x14ac:dyDescent="0.2">
      <c r="A15210">
        <v>56763</v>
      </c>
      <c r="B15210" t="s">
        <v>29</v>
      </c>
      <c r="C15210">
        <v>56763</v>
      </c>
      <c r="D15210" t="str">
        <f>"56763"</f>
        <v>56763</v>
      </c>
      <c r="E15210">
        <v>73.36</v>
      </c>
    </row>
    <row r="15211" spans="1:5" x14ac:dyDescent="0.2">
      <c r="A15211">
        <v>63005</v>
      </c>
      <c r="B15211" t="s">
        <v>30</v>
      </c>
      <c r="C15211">
        <v>63005</v>
      </c>
      <c r="D15211" t="str">
        <f>"63005"</f>
        <v>63005</v>
      </c>
      <c r="E15211">
        <v>81.510000000000005</v>
      </c>
    </row>
    <row r="15212" spans="1:5" x14ac:dyDescent="0.2">
      <c r="A15212">
        <v>63010</v>
      </c>
      <c r="B15212" t="s">
        <v>30</v>
      </c>
      <c r="C15212">
        <v>63010</v>
      </c>
      <c r="D15212" t="str">
        <f>"63010"</f>
        <v>63010</v>
      </c>
      <c r="E15212">
        <v>75.98</v>
      </c>
    </row>
    <row r="15213" spans="1:5" x14ac:dyDescent="0.2">
      <c r="A15213">
        <v>63011</v>
      </c>
      <c r="B15213" t="s">
        <v>30</v>
      </c>
      <c r="C15213">
        <v>63011</v>
      </c>
      <c r="D15213" t="str">
        <f>"63011"</f>
        <v>63011</v>
      </c>
      <c r="E15213">
        <v>80.2</v>
      </c>
    </row>
    <row r="15214" spans="1:5" x14ac:dyDescent="0.2">
      <c r="A15214">
        <v>63012</v>
      </c>
      <c r="B15214" t="s">
        <v>30</v>
      </c>
      <c r="C15214">
        <v>63012</v>
      </c>
      <c r="D15214" t="str">
        <f>"63012"</f>
        <v>63012</v>
      </c>
      <c r="E15214">
        <v>77.58</v>
      </c>
    </row>
    <row r="15215" spans="1:5" x14ac:dyDescent="0.2">
      <c r="A15215">
        <v>63013</v>
      </c>
      <c r="B15215" t="s">
        <v>30</v>
      </c>
      <c r="C15215">
        <v>63013</v>
      </c>
      <c r="D15215" t="str">
        <f>"63013"</f>
        <v>63013</v>
      </c>
      <c r="E15215">
        <v>75.95</v>
      </c>
    </row>
    <row r="15216" spans="1:5" x14ac:dyDescent="0.2">
      <c r="A15216">
        <v>63014</v>
      </c>
      <c r="B15216" t="s">
        <v>30</v>
      </c>
      <c r="C15216">
        <v>63014</v>
      </c>
      <c r="D15216" t="str">
        <f>"63014"</f>
        <v>63014</v>
      </c>
      <c r="E15216">
        <v>68.42</v>
      </c>
    </row>
    <row r="15217" spans="1:5" x14ac:dyDescent="0.2">
      <c r="A15217">
        <v>63015</v>
      </c>
      <c r="B15217" t="s">
        <v>30</v>
      </c>
      <c r="C15217">
        <v>63015</v>
      </c>
      <c r="D15217" t="str">
        <f>"63015"</f>
        <v>63015</v>
      </c>
      <c r="E15217">
        <v>71.959999999999994</v>
      </c>
    </row>
    <row r="15218" spans="1:5" x14ac:dyDescent="0.2">
      <c r="A15218">
        <v>63016</v>
      </c>
      <c r="B15218" t="s">
        <v>30</v>
      </c>
      <c r="C15218">
        <v>63016</v>
      </c>
      <c r="D15218" t="str">
        <f>"63016"</f>
        <v>63016</v>
      </c>
      <c r="E15218">
        <v>74.34</v>
      </c>
    </row>
    <row r="15219" spans="1:5" x14ac:dyDescent="0.2">
      <c r="A15219">
        <v>63017</v>
      </c>
      <c r="B15219" t="s">
        <v>30</v>
      </c>
      <c r="C15219">
        <v>63017</v>
      </c>
      <c r="D15219" t="str">
        <f>"63017"</f>
        <v>63017</v>
      </c>
      <c r="E15219">
        <v>81.819999999999993</v>
      </c>
    </row>
    <row r="15220" spans="1:5" x14ac:dyDescent="0.2">
      <c r="A15220">
        <v>63019</v>
      </c>
      <c r="B15220" t="s">
        <v>30</v>
      </c>
      <c r="C15220">
        <v>63019</v>
      </c>
      <c r="D15220" t="str">
        <f>"63019"</f>
        <v>63019</v>
      </c>
      <c r="E15220">
        <v>70.48</v>
      </c>
    </row>
    <row r="15221" spans="1:5" x14ac:dyDescent="0.2">
      <c r="A15221">
        <v>63020</v>
      </c>
      <c r="B15221" t="s">
        <v>30</v>
      </c>
      <c r="C15221">
        <v>63020</v>
      </c>
      <c r="D15221" t="str">
        <f>"63020"</f>
        <v>63020</v>
      </c>
      <c r="E15221">
        <v>70.099999999999994</v>
      </c>
    </row>
    <row r="15222" spans="1:5" x14ac:dyDescent="0.2">
      <c r="A15222">
        <v>63021</v>
      </c>
      <c r="B15222" t="s">
        <v>30</v>
      </c>
      <c r="C15222">
        <v>63021</v>
      </c>
      <c r="D15222" t="str">
        <f>"63021"</f>
        <v>63021</v>
      </c>
      <c r="E15222">
        <v>80.09</v>
      </c>
    </row>
    <row r="15223" spans="1:5" x14ac:dyDescent="0.2">
      <c r="A15223">
        <v>63023</v>
      </c>
      <c r="B15223" t="s">
        <v>30</v>
      </c>
      <c r="C15223">
        <v>63023</v>
      </c>
      <c r="D15223" t="str">
        <f>"63023"</f>
        <v>63023</v>
      </c>
      <c r="E15223">
        <v>74.319999999999993</v>
      </c>
    </row>
    <row r="15224" spans="1:5" x14ac:dyDescent="0.2">
      <c r="A15224">
        <v>63025</v>
      </c>
      <c r="B15224" t="s">
        <v>30</v>
      </c>
      <c r="C15224">
        <v>63025</v>
      </c>
      <c r="D15224" t="str">
        <f>"63025"</f>
        <v>63025</v>
      </c>
      <c r="E15224">
        <v>79.92</v>
      </c>
    </row>
    <row r="15225" spans="1:5" x14ac:dyDescent="0.2">
      <c r="A15225">
        <v>63026</v>
      </c>
      <c r="B15225" t="s">
        <v>30</v>
      </c>
      <c r="C15225">
        <v>63026</v>
      </c>
      <c r="D15225" t="str">
        <f>"63026"</f>
        <v>63026</v>
      </c>
      <c r="E15225">
        <v>77.25</v>
      </c>
    </row>
    <row r="15226" spans="1:5" x14ac:dyDescent="0.2">
      <c r="A15226">
        <v>63028</v>
      </c>
      <c r="B15226" t="s">
        <v>30</v>
      </c>
      <c r="C15226">
        <v>63028</v>
      </c>
      <c r="D15226" t="str">
        <f>"63028"</f>
        <v>63028</v>
      </c>
      <c r="E15226">
        <v>73.7</v>
      </c>
    </row>
    <row r="15227" spans="1:5" x14ac:dyDescent="0.2">
      <c r="A15227">
        <v>63030</v>
      </c>
      <c r="B15227" t="s">
        <v>30</v>
      </c>
      <c r="C15227">
        <v>63030</v>
      </c>
      <c r="D15227" t="str">
        <f>"63030"</f>
        <v>63030</v>
      </c>
      <c r="E15227">
        <v>75</v>
      </c>
    </row>
    <row r="15228" spans="1:5" x14ac:dyDescent="0.2">
      <c r="A15228">
        <v>63031</v>
      </c>
      <c r="B15228" t="s">
        <v>30</v>
      </c>
      <c r="C15228">
        <v>63031</v>
      </c>
      <c r="D15228" t="str">
        <f>"63031"</f>
        <v>63031</v>
      </c>
      <c r="E15228">
        <v>70.239999999999995</v>
      </c>
    </row>
    <row r="15229" spans="1:5" x14ac:dyDescent="0.2">
      <c r="A15229">
        <v>63033</v>
      </c>
      <c r="B15229" t="s">
        <v>30</v>
      </c>
      <c r="C15229">
        <v>63033</v>
      </c>
      <c r="D15229" t="str">
        <f>"63033"</f>
        <v>63033</v>
      </c>
      <c r="E15229">
        <v>66.62</v>
      </c>
    </row>
    <row r="15230" spans="1:5" x14ac:dyDescent="0.2">
      <c r="A15230">
        <v>63034</v>
      </c>
      <c r="B15230" t="s">
        <v>30</v>
      </c>
      <c r="C15230">
        <v>63034</v>
      </c>
      <c r="D15230" t="str">
        <f>"63034"</f>
        <v>63034</v>
      </c>
      <c r="E15230">
        <v>75.23</v>
      </c>
    </row>
    <row r="15231" spans="1:5" x14ac:dyDescent="0.2">
      <c r="A15231">
        <v>63036</v>
      </c>
      <c r="B15231" t="s">
        <v>30</v>
      </c>
      <c r="C15231">
        <v>63036</v>
      </c>
      <c r="D15231" t="str">
        <f>"63036"</f>
        <v>63036</v>
      </c>
      <c r="E15231">
        <v>76.09</v>
      </c>
    </row>
    <row r="15232" spans="1:5" x14ac:dyDescent="0.2">
      <c r="A15232">
        <v>63037</v>
      </c>
      <c r="B15232" t="s">
        <v>30</v>
      </c>
      <c r="C15232">
        <v>63037</v>
      </c>
      <c r="D15232" t="str">
        <f>"63037"</f>
        <v>63037</v>
      </c>
      <c r="E15232">
        <v>68.42</v>
      </c>
    </row>
    <row r="15233" spans="1:5" x14ac:dyDescent="0.2">
      <c r="A15233">
        <v>63038</v>
      </c>
      <c r="B15233" t="s">
        <v>30</v>
      </c>
      <c r="C15233">
        <v>63038</v>
      </c>
      <c r="D15233" t="str">
        <f>"63038"</f>
        <v>63038</v>
      </c>
      <c r="E15233">
        <v>80.3</v>
      </c>
    </row>
    <row r="15234" spans="1:5" x14ac:dyDescent="0.2">
      <c r="A15234">
        <v>63039</v>
      </c>
      <c r="B15234" t="s">
        <v>30</v>
      </c>
      <c r="C15234">
        <v>63039</v>
      </c>
      <c r="D15234" t="str">
        <f>"63039"</f>
        <v>63039</v>
      </c>
      <c r="E15234">
        <v>77.5</v>
      </c>
    </row>
    <row r="15235" spans="1:5" x14ac:dyDescent="0.2">
      <c r="A15235">
        <v>63040</v>
      </c>
      <c r="B15235" t="s">
        <v>30</v>
      </c>
      <c r="C15235">
        <v>63040</v>
      </c>
      <c r="D15235" t="str">
        <f>"63040"</f>
        <v>63040</v>
      </c>
      <c r="E15235">
        <v>80.47</v>
      </c>
    </row>
    <row r="15236" spans="1:5" x14ac:dyDescent="0.2">
      <c r="A15236">
        <v>63041</v>
      </c>
      <c r="B15236" t="s">
        <v>30</v>
      </c>
      <c r="C15236">
        <v>63041</v>
      </c>
      <c r="D15236" t="str">
        <f>"63041"</f>
        <v>63041</v>
      </c>
      <c r="E15236">
        <v>69.569999999999993</v>
      </c>
    </row>
    <row r="15237" spans="1:5" x14ac:dyDescent="0.2">
      <c r="A15237">
        <v>63042</v>
      </c>
      <c r="B15237" t="s">
        <v>30</v>
      </c>
      <c r="C15237">
        <v>63042</v>
      </c>
      <c r="D15237" t="str">
        <f>"63042"</f>
        <v>63042</v>
      </c>
      <c r="E15237">
        <v>67.209999999999994</v>
      </c>
    </row>
    <row r="15238" spans="1:5" x14ac:dyDescent="0.2">
      <c r="A15238">
        <v>63043</v>
      </c>
      <c r="B15238" t="s">
        <v>30</v>
      </c>
      <c r="C15238">
        <v>63043</v>
      </c>
      <c r="D15238" t="str">
        <f>"63043"</f>
        <v>63043</v>
      </c>
      <c r="E15238">
        <v>78.78</v>
      </c>
    </row>
    <row r="15239" spans="1:5" x14ac:dyDescent="0.2">
      <c r="A15239">
        <v>63044</v>
      </c>
      <c r="B15239" t="s">
        <v>30</v>
      </c>
      <c r="C15239">
        <v>63044</v>
      </c>
      <c r="D15239" t="str">
        <f>"63044"</f>
        <v>63044</v>
      </c>
      <c r="E15239">
        <v>71.56</v>
      </c>
    </row>
    <row r="15240" spans="1:5" x14ac:dyDescent="0.2">
      <c r="A15240">
        <v>63045</v>
      </c>
      <c r="B15240" t="s">
        <v>30</v>
      </c>
      <c r="C15240">
        <v>63045</v>
      </c>
      <c r="D15240" t="str">
        <f>"63045"</f>
        <v>63045</v>
      </c>
      <c r="E15240" t="s">
        <v>6</v>
      </c>
    </row>
    <row r="15241" spans="1:5" x14ac:dyDescent="0.2">
      <c r="A15241">
        <v>63048</v>
      </c>
      <c r="B15241" t="s">
        <v>30</v>
      </c>
      <c r="C15241">
        <v>63048</v>
      </c>
      <c r="D15241" t="str">
        <f>"63048"</f>
        <v>63048</v>
      </c>
      <c r="E15241">
        <v>78.209999999999994</v>
      </c>
    </row>
    <row r="15242" spans="1:5" x14ac:dyDescent="0.2">
      <c r="A15242">
        <v>63049</v>
      </c>
      <c r="B15242" t="s">
        <v>30</v>
      </c>
      <c r="C15242">
        <v>63049</v>
      </c>
      <c r="D15242" t="str">
        <f>"63049"</f>
        <v>63049</v>
      </c>
      <c r="E15242">
        <v>75.5</v>
      </c>
    </row>
    <row r="15243" spans="1:5" x14ac:dyDescent="0.2">
      <c r="A15243">
        <v>63050</v>
      </c>
      <c r="B15243" t="s">
        <v>30</v>
      </c>
      <c r="C15243">
        <v>63050</v>
      </c>
      <c r="D15243" t="str">
        <f>"63050"</f>
        <v>63050</v>
      </c>
      <c r="E15243">
        <v>75.66</v>
      </c>
    </row>
    <row r="15244" spans="1:5" x14ac:dyDescent="0.2">
      <c r="A15244">
        <v>63051</v>
      </c>
      <c r="B15244" t="s">
        <v>30</v>
      </c>
      <c r="C15244">
        <v>63051</v>
      </c>
      <c r="D15244" t="str">
        <f>"63051"</f>
        <v>63051</v>
      </c>
      <c r="E15244">
        <v>72.430000000000007</v>
      </c>
    </row>
    <row r="15245" spans="1:5" x14ac:dyDescent="0.2">
      <c r="A15245">
        <v>63052</v>
      </c>
      <c r="B15245" t="s">
        <v>30</v>
      </c>
      <c r="C15245">
        <v>63052</v>
      </c>
      <c r="D15245" t="str">
        <f>"63052"</f>
        <v>63052</v>
      </c>
      <c r="E15245">
        <v>77.06</v>
      </c>
    </row>
    <row r="15246" spans="1:5" x14ac:dyDescent="0.2">
      <c r="A15246">
        <v>63055</v>
      </c>
      <c r="B15246" t="s">
        <v>30</v>
      </c>
      <c r="C15246">
        <v>63055</v>
      </c>
      <c r="D15246" t="str">
        <f>"63055"</f>
        <v>63055</v>
      </c>
      <c r="E15246">
        <v>75.61</v>
      </c>
    </row>
    <row r="15247" spans="1:5" x14ac:dyDescent="0.2">
      <c r="A15247">
        <v>63056</v>
      </c>
      <c r="B15247" t="s">
        <v>30</v>
      </c>
      <c r="C15247">
        <v>63056</v>
      </c>
      <c r="D15247" t="str">
        <f>"63056"</f>
        <v>63056</v>
      </c>
      <c r="E15247">
        <v>75.53</v>
      </c>
    </row>
    <row r="15248" spans="1:5" x14ac:dyDescent="0.2">
      <c r="A15248">
        <v>63057</v>
      </c>
      <c r="B15248" t="s">
        <v>30</v>
      </c>
      <c r="C15248">
        <v>63057</v>
      </c>
      <c r="D15248" t="str">
        <f>"63057"</f>
        <v>63057</v>
      </c>
      <c r="E15248" t="s">
        <v>6</v>
      </c>
    </row>
    <row r="15249" spans="1:5" x14ac:dyDescent="0.2">
      <c r="A15249">
        <v>63060</v>
      </c>
      <c r="B15249" t="s">
        <v>30</v>
      </c>
      <c r="C15249">
        <v>63060</v>
      </c>
      <c r="D15249" t="str">
        <f>"63060"</f>
        <v>63060</v>
      </c>
      <c r="E15249">
        <v>73</v>
      </c>
    </row>
    <row r="15250" spans="1:5" x14ac:dyDescent="0.2">
      <c r="A15250">
        <v>63061</v>
      </c>
      <c r="B15250" t="s">
        <v>30</v>
      </c>
      <c r="C15250">
        <v>63061</v>
      </c>
      <c r="D15250" t="str">
        <f>"63061"</f>
        <v>63061</v>
      </c>
      <c r="E15250" t="s">
        <v>6</v>
      </c>
    </row>
    <row r="15251" spans="1:5" x14ac:dyDescent="0.2">
      <c r="A15251">
        <v>63068</v>
      </c>
      <c r="B15251" t="s">
        <v>30</v>
      </c>
      <c r="C15251">
        <v>63068</v>
      </c>
      <c r="D15251" t="str">
        <f>"63068"</f>
        <v>63068</v>
      </c>
      <c r="E15251">
        <v>75</v>
      </c>
    </row>
    <row r="15252" spans="1:5" x14ac:dyDescent="0.2">
      <c r="A15252">
        <v>63069</v>
      </c>
      <c r="B15252" t="s">
        <v>30</v>
      </c>
      <c r="C15252">
        <v>63069</v>
      </c>
      <c r="D15252" t="str">
        <f>"63069"</f>
        <v>63069</v>
      </c>
      <c r="E15252">
        <v>75</v>
      </c>
    </row>
    <row r="15253" spans="1:5" x14ac:dyDescent="0.2">
      <c r="A15253">
        <v>63070</v>
      </c>
      <c r="B15253" t="s">
        <v>30</v>
      </c>
      <c r="C15253">
        <v>63070</v>
      </c>
      <c r="D15253" t="str">
        <f>"63070"</f>
        <v>63070</v>
      </c>
      <c r="E15253">
        <v>69.03</v>
      </c>
    </row>
    <row r="15254" spans="1:5" x14ac:dyDescent="0.2">
      <c r="A15254">
        <v>63071</v>
      </c>
      <c r="B15254" t="s">
        <v>30</v>
      </c>
      <c r="C15254">
        <v>63071</v>
      </c>
      <c r="D15254" t="str">
        <f>"63071"</f>
        <v>63071</v>
      </c>
      <c r="E15254">
        <v>59.09</v>
      </c>
    </row>
    <row r="15255" spans="1:5" x14ac:dyDescent="0.2">
      <c r="A15255">
        <v>63072</v>
      </c>
      <c r="B15255" t="s">
        <v>30</v>
      </c>
      <c r="C15255">
        <v>63072</v>
      </c>
      <c r="D15255" t="str">
        <f>"63072"</f>
        <v>63072</v>
      </c>
      <c r="E15255">
        <v>73.33</v>
      </c>
    </row>
    <row r="15256" spans="1:5" x14ac:dyDescent="0.2">
      <c r="A15256">
        <v>63073</v>
      </c>
      <c r="B15256" t="s">
        <v>30</v>
      </c>
      <c r="C15256">
        <v>63073</v>
      </c>
      <c r="D15256" t="str">
        <f>"63073"</f>
        <v>63073</v>
      </c>
      <c r="E15256" t="s">
        <v>6</v>
      </c>
    </row>
    <row r="15257" spans="1:5" x14ac:dyDescent="0.2">
      <c r="A15257">
        <v>63074</v>
      </c>
      <c r="B15257" t="s">
        <v>30</v>
      </c>
      <c r="C15257">
        <v>63074</v>
      </c>
      <c r="D15257" t="str">
        <f>"63074"</f>
        <v>63074</v>
      </c>
      <c r="E15257">
        <v>65.06</v>
      </c>
    </row>
    <row r="15258" spans="1:5" x14ac:dyDescent="0.2">
      <c r="A15258">
        <v>63077</v>
      </c>
      <c r="B15258" t="s">
        <v>30</v>
      </c>
      <c r="C15258">
        <v>63077</v>
      </c>
      <c r="D15258" t="str">
        <f>"63077"</f>
        <v>63077</v>
      </c>
      <c r="E15258">
        <v>67.11</v>
      </c>
    </row>
    <row r="15259" spans="1:5" x14ac:dyDescent="0.2">
      <c r="A15259">
        <v>63080</v>
      </c>
      <c r="B15259" t="s">
        <v>30</v>
      </c>
      <c r="C15259">
        <v>63080</v>
      </c>
      <c r="D15259" t="str">
        <f>"63080"</f>
        <v>63080</v>
      </c>
      <c r="E15259">
        <v>67.48</v>
      </c>
    </row>
    <row r="15260" spans="1:5" x14ac:dyDescent="0.2">
      <c r="A15260">
        <v>63084</v>
      </c>
      <c r="B15260" t="s">
        <v>30</v>
      </c>
      <c r="C15260">
        <v>63084</v>
      </c>
      <c r="D15260" t="str">
        <f>"63084"</f>
        <v>63084</v>
      </c>
      <c r="E15260">
        <v>71.040000000000006</v>
      </c>
    </row>
    <row r="15261" spans="1:5" x14ac:dyDescent="0.2">
      <c r="A15261">
        <v>63087</v>
      </c>
      <c r="B15261" t="s">
        <v>30</v>
      </c>
      <c r="C15261">
        <v>63087</v>
      </c>
      <c r="D15261" t="str">
        <f>"63087"</f>
        <v>63087</v>
      </c>
      <c r="E15261">
        <v>73.17</v>
      </c>
    </row>
    <row r="15262" spans="1:5" x14ac:dyDescent="0.2">
      <c r="A15262">
        <v>63088</v>
      </c>
      <c r="B15262" t="s">
        <v>30</v>
      </c>
      <c r="C15262">
        <v>63088</v>
      </c>
      <c r="D15262" t="str">
        <f>"63088"</f>
        <v>63088</v>
      </c>
      <c r="E15262">
        <v>79.91</v>
      </c>
    </row>
    <row r="15263" spans="1:5" x14ac:dyDescent="0.2">
      <c r="A15263">
        <v>63089</v>
      </c>
      <c r="B15263" t="s">
        <v>30</v>
      </c>
      <c r="C15263">
        <v>63089</v>
      </c>
      <c r="D15263" t="str">
        <f>"63089"</f>
        <v>63089</v>
      </c>
      <c r="E15263">
        <v>70.98</v>
      </c>
    </row>
    <row r="15264" spans="1:5" x14ac:dyDescent="0.2">
      <c r="A15264">
        <v>63090</v>
      </c>
      <c r="B15264" t="s">
        <v>30</v>
      </c>
      <c r="C15264">
        <v>63090</v>
      </c>
      <c r="D15264" t="str">
        <f>"63090"</f>
        <v>63090</v>
      </c>
      <c r="E15264">
        <v>74.8</v>
      </c>
    </row>
    <row r="15265" spans="1:5" x14ac:dyDescent="0.2">
      <c r="A15265">
        <v>63091</v>
      </c>
      <c r="B15265" t="s">
        <v>30</v>
      </c>
      <c r="C15265">
        <v>63091</v>
      </c>
      <c r="D15265" t="str">
        <f>"63091"</f>
        <v>63091</v>
      </c>
      <c r="E15265">
        <v>71.88</v>
      </c>
    </row>
    <row r="15266" spans="1:5" x14ac:dyDescent="0.2">
      <c r="A15266">
        <v>63099</v>
      </c>
      <c r="B15266" t="s">
        <v>30</v>
      </c>
      <c r="C15266">
        <v>63099</v>
      </c>
      <c r="D15266" t="str">
        <f>"63099"</f>
        <v>63099</v>
      </c>
      <c r="E15266" t="s">
        <v>6</v>
      </c>
    </row>
    <row r="15267" spans="1:5" x14ac:dyDescent="0.2">
      <c r="A15267">
        <v>63101</v>
      </c>
      <c r="B15267" t="s">
        <v>30</v>
      </c>
      <c r="C15267">
        <v>63101</v>
      </c>
      <c r="D15267" t="str">
        <f>"63101"</f>
        <v>63101</v>
      </c>
      <c r="E15267">
        <v>73.23</v>
      </c>
    </row>
    <row r="15268" spans="1:5" x14ac:dyDescent="0.2">
      <c r="A15268">
        <v>63102</v>
      </c>
      <c r="B15268" t="s">
        <v>30</v>
      </c>
      <c r="C15268">
        <v>63102</v>
      </c>
      <c r="D15268" t="str">
        <f>"63102"</f>
        <v>63102</v>
      </c>
      <c r="E15268">
        <v>77.91</v>
      </c>
    </row>
    <row r="15269" spans="1:5" x14ac:dyDescent="0.2">
      <c r="A15269">
        <v>63103</v>
      </c>
      <c r="B15269" t="s">
        <v>30</v>
      </c>
      <c r="C15269">
        <v>63103</v>
      </c>
      <c r="D15269" t="str">
        <f>"63103"</f>
        <v>63103</v>
      </c>
      <c r="E15269">
        <v>72.14</v>
      </c>
    </row>
    <row r="15270" spans="1:5" x14ac:dyDescent="0.2">
      <c r="A15270">
        <v>63104</v>
      </c>
      <c r="B15270" t="s">
        <v>30</v>
      </c>
      <c r="C15270">
        <v>63104</v>
      </c>
      <c r="D15270" t="str">
        <f>"63104"</f>
        <v>63104</v>
      </c>
      <c r="E15270">
        <v>73.63</v>
      </c>
    </row>
    <row r="15271" spans="1:5" x14ac:dyDescent="0.2">
      <c r="A15271">
        <v>63105</v>
      </c>
      <c r="B15271" t="s">
        <v>30</v>
      </c>
      <c r="C15271">
        <v>63105</v>
      </c>
      <c r="D15271" t="str">
        <f>"63105"</f>
        <v>63105</v>
      </c>
      <c r="E15271">
        <v>83.24</v>
      </c>
    </row>
    <row r="15272" spans="1:5" x14ac:dyDescent="0.2">
      <c r="A15272">
        <v>63106</v>
      </c>
      <c r="B15272" t="s">
        <v>30</v>
      </c>
      <c r="C15272">
        <v>63106</v>
      </c>
      <c r="D15272" t="str">
        <f>"63106"</f>
        <v>63106</v>
      </c>
      <c r="E15272">
        <v>35.81</v>
      </c>
    </row>
    <row r="15273" spans="1:5" x14ac:dyDescent="0.2">
      <c r="A15273">
        <v>63107</v>
      </c>
      <c r="B15273" t="s">
        <v>30</v>
      </c>
      <c r="C15273">
        <v>63107</v>
      </c>
      <c r="D15273" t="str">
        <f>"63107"</f>
        <v>63107</v>
      </c>
      <c r="E15273">
        <v>45.45</v>
      </c>
    </row>
    <row r="15274" spans="1:5" x14ac:dyDescent="0.2">
      <c r="A15274">
        <v>63108</v>
      </c>
      <c r="B15274" t="s">
        <v>30</v>
      </c>
      <c r="C15274">
        <v>63108</v>
      </c>
      <c r="D15274" t="str">
        <f>"63108"</f>
        <v>63108</v>
      </c>
      <c r="E15274">
        <v>78.099999999999994</v>
      </c>
    </row>
    <row r="15275" spans="1:5" x14ac:dyDescent="0.2">
      <c r="A15275">
        <v>63109</v>
      </c>
      <c r="B15275" t="s">
        <v>30</v>
      </c>
      <c r="C15275">
        <v>63109</v>
      </c>
      <c r="D15275" t="str">
        <f>"63109"</f>
        <v>63109</v>
      </c>
      <c r="E15275">
        <v>81.7</v>
      </c>
    </row>
    <row r="15276" spans="1:5" x14ac:dyDescent="0.2">
      <c r="A15276">
        <v>63110</v>
      </c>
      <c r="B15276" t="s">
        <v>30</v>
      </c>
      <c r="C15276">
        <v>63110</v>
      </c>
      <c r="D15276" t="str">
        <f>"63110"</f>
        <v>63110</v>
      </c>
      <c r="E15276">
        <v>78.62</v>
      </c>
    </row>
    <row r="15277" spans="1:5" x14ac:dyDescent="0.2">
      <c r="A15277">
        <v>63111</v>
      </c>
      <c r="B15277" t="s">
        <v>30</v>
      </c>
      <c r="C15277">
        <v>63111</v>
      </c>
      <c r="D15277" t="str">
        <f>"63111"</f>
        <v>63111</v>
      </c>
      <c r="E15277">
        <v>54.32</v>
      </c>
    </row>
    <row r="15278" spans="1:5" x14ac:dyDescent="0.2">
      <c r="A15278">
        <v>63112</v>
      </c>
      <c r="B15278" t="s">
        <v>30</v>
      </c>
      <c r="C15278">
        <v>63112</v>
      </c>
      <c r="D15278" t="str">
        <f>"63112"</f>
        <v>63112</v>
      </c>
      <c r="E15278">
        <v>60.39</v>
      </c>
    </row>
    <row r="15279" spans="1:5" x14ac:dyDescent="0.2">
      <c r="A15279">
        <v>63113</v>
      </c>
      <c r="B15279" t="s">
        <v>30</v>
      </c>
      <c r="C15279">
        <v>63113</v>
      </c>
      <c r="D15279" t="str">
        <f>"63113"</f>
        <v>63113</v>
      </c>
      <c r="E15279">
        <v>45.02</v>
      </c>
    </row>
    <row r="15280" spans="1:5" x14ac:dyDescent="0.2">
      <c r="A15280">
        <v>63114</v>
      </c>
      <c r="B15280" t="s">
        <v>30</v>
      </c>
      <c r="C15280">
        <v>63114</v>
      </c>
      <c r="D15280" t="str">
        <f>"63114"</f>
        <v>63114</v>
      </c>
      <c r="E15280">
        <v>64.58</v>
      </c>
    </row>
    <row r="15281" spans="1:5" x14ac:dyDescent="0.2">
      <c r="A15281">
        <v>63115</v>
      </c>
      <c r="B15281" t="s">
        <v>30</v>
      </c>
      <c r="C15281">
        <v>63115</v>
      </c>
      <c r="D15281" t="str">
        <f>"63115"</f>
        <v>63115</v>
      </c>
      <c r="E15281">
        <v>48.65</v>
      </c>
    </row>
    <row r="15282" spans="1:5" x14ac:dyDescent="0.2">
      <c r="A15282">
        <v>63116</v>
      </c>
      <c r="B15282" t="s">
        <v>30</v>
      </c>
      <c r="C15282">
        <v>63116</v>
      </c>
      <c r="D15282" t="str">
        <f>"63116"</f>
        <v>63116</v>
      </c>
      <c r="E15282">
        <v>68.290000000000006</v>
      </c>
    </row>
    <row r="15283" spans="1:5" x14ac:dyDescent="0.2">
      <c r="A15283">
        <v>63117</v>
      </c>
      <c r="B15283" t="s">
        <v>30</v>
      </c>
      <c r="C15283">
        <v>63117</v>
      </c>
      <c r="D15283" t="str">
        <f>"63117"</f>
        <v>63117</v>
      </c>
      <c r="E15283">
        <v>83.5</v>
      </c>
    </row>
    <row r="15284" spans="1:5" x14ac:dyDescent="0.2">
      <c r="A15284">
        <v>63118</v>
      </c>
      <c r="B15284" t="s">
        <v>30</v>
      </c>
      <c r="C15284">
        <v>63118</v>
      </c>
      <c r="D15284" t="str">
        <f>"63118"</f>
        <v>63118</v>
      </c>
      <c r="E15284">
        <v>58.16</v>
      </c>
    </row>
    <row r="15285" spans="1:5" x14ac:dyDescent="0.2">
      <c r="A15285">
        <v>63119</v>
      </c>
      <c r="B15285" t="s">
        <v>30</v>
      </c>
      <c r="C15285">
        <v>63119</v>
      </c>
      <c r="D15285" t="str">
        <f>"63119"</f>
        <v>63119</v>
      </c>
      <c r="E15285">
        <v>80.739999999999995</v>
      </c>
    </row>
    <row r="15286" spans="1:5" x14ac:dyDescent="0.2">
      <c r="A15286">
        <v>63120</v>
      </c>
      <c r="B15286" t="s">
        <v>30</v>
      </c>
      <c r="C15286">
        <v>63120</v>
      </c>
      <c r="D15286" t="str">
        <f>"63120"</f>
        <v>63120</v>
      </c>
      <c r="E15286">
        <v>42.67</v>
      </c>
    </row>
    <row r="15287" spans="1:5" x14ac:dyDescent="0.2">
      <c r="A15287">
        <v>63121</v>
      </c>
      <c r="B15287" t="s">
        <v>30</v>
      </c>
      <c r="C15287">
        <v>63121</v>
      </c>
      <c r="D15287" t="str">
        <f>"63121"</f>
        <v>63121</v>
      </c>
      <c r="E15287">
        <v>57.35</v>
      </c>
    </row>
    <row r="15288" spans="1:5" x14ac:dyDescent="0.2">
      <c r="A15288">
        <v>63122</v>
      </c>
      <c r="B15288" t="s">
        <v>30</v>
      </c>
      <c r="C15288">
        <v>63122</v>
      </c>
      <c r="D15288" t="str">
        <f>"63122"</f>
        <v>63122</v>
      </c>
      <c r="E15288">
        <v>81.150000000000006</v>
      </c>
    </row>
    <row r="15289" spans="1:5" x14ac:dyDescent="0.2">
      <c r="A15289">
        <v>63123</v>
      </c>
      <c r="B15289" t="s">
        <v>30</v>
      </c>
      <c r="C15289">
        <v>63123</v>
      </c>
      <c r="D15289" t="str">
        <f>"63123"</f>
        <v>63123</v>
      </c>
      <c r="E15289">
        <v>77.040000000000006</v>
      </c>
    </row>
    <row r="15290" spans="1:5" x14ac:dyDescent="0.2">
      <c r="A15290">
        <v>63124</v>
      </c>
      <c r="B15290" t="s">
        <v>30</v>
      </c>
      <c r="C15290">
        <v>63124</v>
      </c>
      <c r="D15290" t="str">
        <f>"63124"</f>
        <v>63124</v>
      </c>
      <c r="E15290">
        <v>82.83</v>
      </c>
    </row>
    <row r="15291" spans="1:5" x14ac:dyDescent="0.2">
      <c r="A15291">
        <v>63125</v>
      </c>
      <c r="B15291" t="s">
        <v>30</v>
      </c>
      <c r="C15291">
        <v>63125</v>
      </c>
      <c r="D15291" t="str">
        <f>"63125"</f>
        <v>63125</v>
      </c>
      <c r="E15291">
        <v>72</v>
      </c>
    </row>
    <row r="15292" spans="1:5" x14ac:dyDescent="0.2">
      <c r="A15292">
        <v>63126</v>
      </c>
      <c r="B15292" t="s">
        <v>30</v>
      </c>
      <c r="C15292">
        <v>63126</v>
      </c>
      <c r="D15292" t="str">
        <f>"63126"</f>
        <v>63126</v>
      </c>
      <c r="E15292">
        <v>79.489999999999995</v>
      </c>
    </row>
    <row r="15293" spans="1:5" x14ac:dyDescent="0.2">
      <c r="A15293">
        <v>63127</v>
      </c>
      <c r="B15293" t="s">
        <v>30</v>
      </c>
      <c r="C15293">
        <v>63127</v>
      </c>
      <c r="D15293" t="str">
        <f>"63127"</f>
        <v>63127</v>
      </c>
      <c r="E15293">
        <v>80.290000000000006</v>
      </c>
    </row>
    <row r="15294" spans="1:5" x14ac:dyDescent="0.2">
      <c r="A15294">
        <v>63128</v>
      </c>
      <c r="B15294" t="s">
        <v>30</v>
      </c>
      <c r="C15294">
        <v>63128</v>
      </c>
      <c r="D15294" t="str">
        <f>"63128"</f>
        <v>63128</v>
      </c>
      <c r="E15294">
        <v>80.2</v>
      </c>
    </row>
    <row r="15295" spans="1:5" x14ac:dyDescent="0.2">
      <c r="A15295">
        <v>63129</v>
      </c>
      <c r="B15295" t="s">
        <v>30</v>
      </c>
      <c r="C15295">
        <v>63129</v>
      </c>
      <c r="D15295" t="str">
        <f>"63129"</f>
        <v>63129</v>
      </c>
      <c r="E15295">
        <v>80.17</v>
      </c>
    </row>
    <row r="15296" spans="1:5" x14ac:dyDescent="0.2">
      <c r="A15296">
        <v>63130</v>
      </c>
      <c r="B15296" t="s">
        <v>30</v>
      </c>
      <c r="C15296">
        <v>63130</v>
      </c>
      <c r="D15296" t="str">
        <f>"63130"</f>
        <v>63130</v>
      </c>
      <c r="E15296">
        <v>73.63</v>
      </c>
    </row>
    <row r="15297" spans="1:5" x14ac:dyDescent="0.2">
      <c r="A15297">
        <v>63131</v>
      </c>
      <c r="B15297" t="s">
        <v>30</v>
      </c>
      <c r="C15297">
        <v>63131</v>
      </c>
      <c r="D15297" t="str">
        <f>"63131"</f>
        <v>63131</v>
      </c>
      <c r="E15297">
        <v>81.78</v>
      </c>
    </row>
    <row r="15298" spans="1:5" x14ac:dyDescent="0.2">
      <c r="A15298">
        <v>63132</v>
      </c>
      <c r="B15298" t="s">
        <v>30</v>
      </c>
      <c r="C15298">
        <v>63132</v>
      </c>
      <c r="D15298" t="str">
        <f>"63132"</f>
        <v>63132</v>
      </c>
      <c r="E15298">
        <v>71.489999999999995</v>
      </c>
    </row>
    <row r="15299" spans="1:5" x14ac:dyDescent="0.2">
      <c r="A15299">
        <v>63133</v>
      </c>
      <c r="B15299" t="s">
        <v>30</v>
      </c>
      <c r="C15299">
        <v>63133</v>
      </c>
      <c r="D15299" t="str">
        <f>"63133"</f>
        <v>63133</v>
      </c>
      <c r="E15299">
        <v>42.11</v>
      </c>
    </row>
    <row r="15300" spans="1:5" x14ac:dyDescent="0.2">
      <c r="A15300">
        <v>63134</v>
      </c>
      <c r="B15300" t="s">
        <v>30</v>
      </c>
      <c r="C15300">
        <v>63134</v>
      </c>
      <c r="D15300" t="str">
        <f>"63134"</f>
        <v>63134</v>
      </c>
      <c r="E15300">
        <v>52.05</v>
      </c>
    </row>
    <row r="15301" spans="1:5" x14ac:dyDescent="0.2">
      <c r="A15301">
        <v>63135</v>
      </c>
      <c r="B15301" t="s">
        <v>30</v>
      </c>
      <c r="C15301">
        <v>63135</v>
      </c>
      <c r="D15301" t="str">
        <f>"63135"</f>
        <v>63135</v>
      </c>
      <c r="E15301">
        <v>57.81</v>
      </c>
    </row>
    <row r="15302" spans="1:5" x14ac:dyDescent="0.2">
      <c r="A15302">
        <v>63136</v>
      </c>
      <c r="B15302" t="s">
        <v>30</v>
      </c>
      <c r="C15302">
        <v>63136</v>
      </c>
      <c r="D15302" t="str">
        <f>"63136"</f>
        <v>63136</v>
      </c>
      <c r="E15302">
        <v>50.54</v>
      </c>
    </row>
    <row r="15303" spans="1:5" x14ac:dyDescent="0.2">
      <c r="A15303">
        <v>63137</v>
      </c>
      <c r="B15303" t="s">
        <v>30</v>
      </c>
      <c r="C15303">
        <v>63137</v>
      </c>
      <c r="D15303" t="str">
        <f>"63137"</f>
        <v>63137</v>
      </c>
      <c r="E15303">
        <v>52.89</v>
      </c>
    </row>
    <row r="15304" spans="1:5" x14ac:dyDescent="0.2">
      <c r="A15304">
        <v>63138</v>
      </c>
      <c r="B15304" t="s">
        <v>30</v>
      </c>
      <c r="C15304">
        <v>63138</v>
      </c>
      <c r="D15304" t="str">
        <f>"63138"</f>
        <v>63138</v>
      </c>
      <c r="E15304">
        <v>55.09</v>
      </c>
    </row>
    <row r="15305" spans="1:5" x14ac:dyDescent="0.2">
      <c r="A15305">
        <v>63139</v>
      </c>
      <c r="B15305" t="s">
        <v>30</v>
      </c>
      <c r="C15305">
        <v>63139</v>
      </c>
      <c r="D15305" t="str">
        <f>"63139"</f>
        <v>63139</v>
      </c>
      <c r="E15305">
        <v>81.61</v>
      </c>
    </row>
    <row r="15306" spans="1:5" x14ac:dyDescent="0.2">
      <c r="A15306">
        <v>63140</v>
      </c>
      <c r="B15306" t="s">
        <v>30</v>
      </c>
      <c r="C15306">
        <v>63140</v>
      </c>
      <c r="D15306" t="str">
        <f>"63140"</f>
        <v>63140</v>
      </c>
      <c r="E15306">
        <v>53.33</v>
      </c>
    </row>
    <row r="15307" spans="1:5" x14ac:dyDescent="0.2">
      <c r="A15307">
        <v>63141</v>
      </c>
      <c r="B15307" t="s">
        <v>30</v>
      </c>
      <c r="C15307">
        <v>63141</v>
      </c>
      <c r="D15307" t="str">
        <f>"63141"</f>
        <v>63141</v>
      </c>
      <c r="E15307">
        <v>82.15</v>
      </c>
    </row>
    <row r="15308" spans="1:5" x14ac:dyDescent="0.2">
      <c r="A15308">
        <v>63143</v>
      </c>
      <c r="B15308" t="s">
        <v>30</v>
      </c>
      <c r="C15308">
        <v>63143</v>
      </c>
      <c r="D15308" t="str">
        <f>"63143"</f>
        <v>63143</v>
      </c>
      <c r="E15308">
        <v>77.05</v>
      </c>
    </row>
    <row r="15309" spans="1:5" x14ac:dyDescent="0.2">
      <c r="A15309">
        <v>63144</v>
      </c>
      <c r="B15309" t="s">
        <v>30</v>
      </c>
      <c r="C15309">
        <v>63144</v>
      </c>
      <c r="D15309" t="str">
        <f>"63144"</f>
        <v>63144</v>
      </c>
      <c r="E15309">
        <v>84.8</v>
      </c>
    </row>
    <row r="15310" spans="1:5" x14ac:dyDescent="0.2">
      <c r="A15310">
        <v>63146</v>
      </c>
      <c r="B15310" t="s">
        <v>30</v>
      </c>
      <c r="C15310">
        <v>63146</v>
      </c>
      <c r="D15310" t="str">
        <f>"63146"</f>
        <v>63146</v>
      </c>
      <c r="E15310">
        <v>80.25</v>
      </c>
    </row>
    <row r="15311" spans="1:5" x14ac:dyDescent="0.2">
      <c r="A15311">
        <v>63147</v>
      </c>
      <c r="B15311" t="s">
        <v>30</v>
      </c>
      <c r="C15311">
        <v>63147</v>
      </c>
      <c r="D15311" t="str">
        <f>"63147"</f>
        <v>63147</v>
      </c>
      <c r="E15311">
        <v>52.84</v>
      </c>
    </row>
    <row r="15312" spans="1:5" x14ac:dyDescent="0.2">
      <c r="A15312">
        <v>63167</v>
      </c>
      <c r="B15312" t="s">
        <v>30</v>
      </c>
      <c r="C15312">
        <v>63167</v>
      </c>
      <c r="D15312" t="str">
        <f>"63167"</f>
        <v>63167</v>
      </c>
      <c r="E15312" t="s">
        <v>6</v>
      </c>
    </row>
    <row r="15313" spans="1:5" x14ac:dyDescent="0.2">
      <c r="A15313">
        <v>63180</v>
      </c>
      <c r="B15313" t="s">
        <v>30</v>
      </c>
      <c r="C15313">
        <v>63180</v>
      </c>
      <c r="D15313" t="str">
        <f>"63180"</f>
        <v>63180</v>
      </c>
      <c r="E15313" t="s">
        <v>6</v>
      </c>
    </row>
    <row r="15314" spans="1:5" x14ac:dyDescent="0.2">
      <c r="A15314">
        <v>63301</v>
      </c>
      <c r="B15314" t="s">
        <v>30</v>
      </c>
      <c r="C15314">
        <v>63301</v>
      </c>
      <c r="D15314" t="str">
        <f>"63301"</f>
        <v>63301</v>
      </c>
      <c r="E15314">
        <v>77.5</v>
      </c>
    </row>
    <row r="15315" spans="1:5" x14ac:dyDescent="0.2">
      <c r="A15315">
        <v>63303</v>
      </c>
      <c r="B15315" t="s">
        <v>30</v>
      </c>
      <c r="C15315">
        <v>63303</v>
      </c>
      <c r="D15315" t="str">
        <f>"63303"</f>
        <v>63303</v>
      </c>
      <c r="E15315">
        <v>80.53</v>
      </c>
    </row>
    <row r="15316" spans="1:5" x14ac:dyDescent="0.2">
      <c r="A15316">
        <v>63304</v>
      </c>
      <c r="B15316" t="s">
        <v>30</v>
      </c>
      <c r="C15316">
        <v>63304</v>
      </c>
      <c r="D15316" t="str">
        <f>"63304"</f>
        <v>63304</v>
      </c>
      <c r="E15316">
        <v>80.31</v>
      </c>
    </row>
    <row r="15317" spans="1:5" x14ac:dyDescent="0.2">
      <c r="A15317">
        <v>63330</v>
      </c>
      <c r="B15317" t="s">
        <v>30</v>
      </c>
      <c r="C15317">
        <v>63330</v>
      </c>
      <c r="D15317" t="str">
        <f>"63330"</f>
        <v>63330</v>
      </c>
      <c r="E15317" t="s">
        <v>6</v>
      </c>
    </row>
    <row r="15318" spans="1:5" x14ac:dyDescent="0.2">
      <c r="A15318">
        <v>63332</v>
      </c>
      <c r="B15318" t="s">
        <v>30</v>
      </c>
      <c r="C15318">
        <v>63332</v>
      </c>
      <c r="D15318" t="str">
        <f>"63332"</f>
        <v>63332</v>
      </c>
      <c r="E15318">
        <v>80.88</v>
      </c>
    </row>
    <row r="15319" spans="1:5" x14ac:dyDescent="0.2">
      <c r="A15319">
        <v>63333</v>
      </c>
      <c r="B15319" t="s">
        <v>30</v>
      </c>
      <c r="C15319">
        <v>63333</v>
      </c>
      <c r="D15319" t="str">
        <f>"63333"</f>
        <v>63333</v>
      </c>
      <c r="E15319">
        <v>63.33</v>
      </c>
    </row>
    <row r="15320" spans="1:5" x14ac:dyDescent="0.2">
      <c r="A15320">
        <v>63334</v>
      </c>
      <c r="B15320" t="s">
        <v>30</v>
      </c>
      <c r="C15320">
        <v>63334</v>
      </c>
      <c r="D15320" t="str">
        <f>"63334"</f>
        <v>63334</v>
      </c>
      <c r="E15320">
        <v>67.47</v>
      </c>
    </row>
    <row r="15321" spans="1:5" x14ac:dyDescent="0.2">
      <c r="A15321">
        <v>63336</v>
      </c>
      <c r="B15321" t="s">
        <v>30</v>
      </c>
      <c r="C15321">
        <v>63336</v>
      </c>
      <c r="D15321" t="str">
        <f>"63336"</f>
        <v>63336</v>
      </c>
      <c r="E15321">
        <v>68.09</v>
      </c>
    </row>
    <row r="15322" spans="1:5" x14ac:dyDescent="0.2">
      <c r="A15322">
        <v>63338</v>
      </c>
      <c r="B15322" t="s">
        <v>30</v>
      </c>
      <c r="C15322">
        <v>63338</v>
      </c>
      <c r="D15322" t="str">
        <f>"63338"</f>
        <v>63338</v>
      </c>
      <c r="E15322" t="s">
        <v>6</v>
      </c>
    </row>
    <row r="15323" spans="1:5" x14ac:dyDescent="0.2">
      <c r="A15323">
        <v>63339</v>
      </c>
      <c r="B15323" t="s">
        <v>30</v>
      </c>
      <c r="C15323">
        <v>63339</v>
      </c>
      <c r="D15323" t="str">
        <f>"63339"</f>
        <v>63339</v>
      </c>
      <c r="E15323">
        <v>67.44</v>
      </c>
    </row>
    <row r="15324" spans="1:5" x14ac:dyDescent="0.2">
      <c r="A15324">
        <v>63341</v>
      </c>
      <c r="B15324" t="s">
        <v>30</v>
      </c>
      <c r="C15324">
        <v>63341</v>
      </c>
      <c r="D15324" t="str">
        <f>"63341"</f>
        <v>63341</v>
      </c>
      <c r="E15324">
        <v>80.42</v>
      </c>
    </row>
    <row r="15325" spans="1:5" x14ac:dyDescent="0.2">
      <c r="A15325">
        <v>63343</v>
      </c>
      <c r="B15325" t="s">
        <v>30</v>
      </c>
      <c r="C15325">
        <v>63343</v>
      </c>
      <c r="D15325" t="str">
        <f>"63343"</f>
        <v>63343</v>
      </c>
      <c r="E15325">
        <v>66.84</v>
      </c>
    </row>
    <row r="15326" spans="1:5" x14ac:dyDescent="0.2">
      <c r="A15326">
        <v>63344</v>
      </c>
      <c r="B15326" t="s">
        <v>30</v>
      </c>
      <c r="C15326">
        <v>63344</v>
      </c>
      <c r="D15326" t="str">
        <f>"63344"</f>
        <v>63344</v>
      </c>
      <c r="E15326">
        <v>70.83</v>
      </c>
    </row>
    <row r="15327" spans="1:5" x14ac:dyDescent="0.2">
      <c r="A15327">
        <v>63345</v>
      </c>
      <c r="B15327" t="s">
        <v>30</v>
      </c>
      <c r="C15327">
        <v>63345</v>
      </c>
      <c r="D15327" t="str">
        <f>"63345"</f>
        <v>63345</v>
      </c>
      <c r="E15327">
        <v>64.709999999999994</v>
      </c>
    </row>
    <row r="15328" spans="1:5" x14ac:dyDescent="0.2">
      <c r="A15328">
        <v>63347</v>
      </c>
      <c r="B15328" t="s">
        <v>30</v>
      </c>
      <c r="C15328">
        <v>63347</v>
      </c>
      <c r="D15328" t="str">
        <f>"63347"</f>
        <v>63347</v>
      </c>
      <c r="E15328">
        <v>70.540000000000006</v>
      </c>
    </row>
    <row r="15329" spans="1:5" x14ac:dyDescent="0.2">
      <c r="A15329">
        <v>63348</v>
      </c>
      <c r="B15329" t="s">
        <v>30</v>
      </c>
      <c r="C15329">
        <v>63348</v>
      </c>
      <c r="D15329" t="str">
        <f>"63348"</f>
        <v>63348</v>
      </c>
      <c r="E15329">
        <v>82.12</v>
      </c>
    </row>
    <row r="15330" spans="1:5" x14ac:dyDescent="0.2">
      <c r="A15330">
        <v>63349</v>
      </c>
      <c r="B15330" t="s">
        <v>30</v>
      </c>
      <c r="C15330">
        <v>63349</v>
      </c>
      <c r="D15330" t="str">
        <f>"63349"</f>
        <v>63349</v>
      </c>
      <c r="E15330">
        <v>75</v>
      </c>
    </row>
    <row r="15331" spans="1:5" x14ac:dyDescent="0.2">
      <c r="A15331">
        <v>63350</v>
      </c>
      <c r="B15331" t="s">
        <v>30</v>
      </c>
      <c r="C15331">
        <v>63350</v>
      </c>
      <c r="D15331" t="str">
        <f>"63350"</f>
        <v>63350</v>
      </c>
      <c r="E15331">
        <v>72.73</v>
      </c>
    </row>
    <row r="15332" spans="1:5" x14ac:dyDescent="0.2">
      <c r="A15332">
        <v>63351</v>
      </c>
      <c r="B15332" t="s">
        <v>30</v>
      </c>
      <c r="C15332">
        <v>63351</v>
      </c>
      <c r="D15332" t="str">
        <f>"63351"</f>
        <v>63351</v>
      </c>
      <c r="E15332">
        <v>72.290000000000006</v>
      </c>
    </row>
    <row r="15333" spans="1:5" x14ac:dyDescent="0.2">
      <c r="A15333">
        <v>63352</v>
      </c>
      <c r="B15333" t="s">
        <v>30</v>
      </c>
      <c r="C15333">
        <v>63352</v>
      </c>
      <c r="D15333" t="str">
        <f>"63352"</f>
        <v>63352</v>
      </c>
      <c r="E15333">
        <v>64.58</v>
      </c>
    </row>
    <row r="15334" spans="1:5" x14ac:dyDescent="0.2">
      <c r="A15334">
        <v>63353</v>
      </c>
      <c r="B15334" t="s">
        <v>30</v>
      </c>
      <c r="C15334">
        <v>63353</v>
      </c>
      <c r="D15334" t="str">
        <f>"63353"</f>
        <v>63353</v>
      </c>
      <c r="E15334">
        <v>60.7</v>
      </c>
    </row>
    <row r="15335" spans="1:5" x14ac:dyDescent="0.2">
      <c r="A15335">
        <v>63357</v>
      </c>
      <c r="B15335" t="s">
        <v>30</v>
      </c>
      <c r="C15335">
        <v>63357</v>
      </c>
      <c r="D15335" t="str">
        <f>"63357"</f>
        <v>63357</v>
      </c>
      <c r="E15335">
        <v>77.86</v>
      </c>
    </row>
    <row r="15336" spans="1:5" x14ac:dyDescent="0.2">
      <c r="A15336">
        <v>63359</v>
      </c>
      <c r="B15336" t="s">
        <v>30</v>
      </c>
      <c r="C15336">
        <v>63359</v>
      </c>
      <c r="D15336" t="str">
        <f>"63359"</f>
        <v>63359</v>
      </c>
      <c r="E15336">
        <v>67.8</v>
      </c>
    </row>
    <row r="15337" spans="1:5" x14ac:dyDescent="0.2">
      <c r="A15337">
        <v>63361</v>
      </c>
      <c r="B15337" t="s">
        <v>30</v>
      </c>
      <c r="C15337">
        <v>63361</v>
      </c>
      <c r="D15337" t="str">
        <f>"63361"</f>
        <v>63361</v>
      </c>
      <c r="E15337">
        <v>68.180000000000007</v>
      </c>
    </row>
    <row r="15338" spans="1:5" x14ac:dyDescent="0.2">
      <c r="A15338">
        <v>63362</v>
      </c>
      <c r="B15338" t="s">
        <v>30</v>
      </c>
      <c r="C15338">
        <v>63362</v>
      </c>
      <c r="D15338" t="str">
        <f>"63362"</f>
        <v>63362</v>
      </c>
      <c r="E15338">
        <v>73.099999999999994</v>
      </c>
    </row>
    <row r="15339" spans="1:5" x14ac:dyDescent="0.2">
      <c r="A15339">
        <v>63363</v>
      </c>
      <c r="B15339" t="s">
        <v>30</v>
      </c>
      <c r="C15339">
        <v>63363</v>
      </c>
      <c r="D15339" t="str">
        <f>"63363"</f>
        <v>63363</v>
      </c>
      <c r="E15339">
        <v>71.88</v>
      </c>
    </row>
    <row r="15340" spans="1:5" x14ac:dyDescent="0.2">
      <c r="A15340">
        <v>63365</v>
      </c>
      <c r="B15340" t="s">
        <v>30</v>
      </c>
      <c r="C15340">
        <v>63365</v>
      </c>
      <c r="D15340" t="str">
        <f>"63365"</f>
        <v>63365</v>
      </c>
      <c r="E15340" t="s">
        <v>6</v>
      </c>
    </row>
    <row r="15341" spans="1:5" x14ac:dyDescent="0.2">
      <c r="A15341">
        <v>63366</v>
      </c>
      <c r="B15341" t="s">
        <v>30</v>
      </c>
      <c r="C15341">
        <v>63366</v>
      </c>
      <c r="D15341" t="str">
        <f>"63366"</f>
        <v>63366</v>
      </c>
      <c r="E15341">
        <v>77.55</v>
      </c>
    </row>
    <row r="15342" spans="1:5" x14ac:dyDescent="0.2">
      <c r="A15342">
        <v>63367</v>
      </c>
      <c r="B15342" t="s">
        <v>30</v>
      </c>
      <c r="C15342">
        <v>63367</v>
      </c>
      <c r="D15342" t="str">
        <f>"63367"</f>
        <v>63367</v>
      </c>
      <c r="E15342">
        <v>82.44</v>
      </c>
    </row>
    <row r="15343" spans="1:5" x14ac:dyDescent="0.2">
      <c r="A15343">
        <v>63368</v>
      </c>
      <c r="B15343" t="s">
        <v>30</v>
      </c>
      <c r="C15343">
        <v>63368</v>
      </c>
      <c r="D15343" t="str">
        <f>"63368"</f>
        <v>63368</v>
      </c>
      <c r="E15343">
        <v>79.849999999999994</v>
      </c>
    </row>
    <row r="15344" spans="1:5" x14ac:dyDescent="0.2">
      <c r="A15344">
        <v>63369</v>
      </c>
      <c r="B15344" t="s">
        <v>30</v>
      </c>
      <c r="C15344">
        <v>63369</v>
      </c>
      <c r="D15344" t="str">
        <f>"63369"</f>
        <v>63369</v>
      </c>
      <c r="E15344">
        <v>76.8</v>
      </c>
    </row>
    <row r="15345" spans="1:5" x14ac:dyDescent="0.2">
      <c r="A15345">
        <v>63373</v>
      </c>
      <c r="B15345" t="s">
        <v>30</v>
      </c>
      <c r="C15345">
        <v>63373</v>
      </c>
      <c r="D15345" t="str">
        <f>"63373"</f>
        <v>63373</v>
      </c>
      <c r="E15345">
        <v>75</v>
      </c>
    </row>
    <row r="15346" spans="1:5" x14ac:dyDescent="0.2">
      <c r="A15346">
        <v>63376</v>
      </c>
      <c r="B15346" t="s">
        <v>30</v>
      </c>
      <c r="C15346">
        <v>63376</v>
      </c>
      <c r="D15346" t="str">
        <f>"63376"</f>
        <v>63376</v>
      </c>
      <c r="E15346">
        <v>79.31</v>
      </c>
    </row>
    <row r="15347" spans="1:5" x14ac:dyDescent="0.2">
      <c r="A15347">
        <v>63377</v>
      </c>
      <c r="B15347" t="s">
        <v>30</v>
      </c>
      <c r="C15347">
        <v>63377</v>
      </c>
      <c r="D15347" t="str">
        <f>"63377"</f>
        <v>63377</v>
      </c>
      <c r="E15347">
        <v>72.73</v>
      </c>
    </row>
    <row r="15348" spans="1:5" x14ac:dyDescent="0.2">
      <c r="A15348">
        <v>63379</v>
      </c>
      <c r="B15348" t="s">
        <v>30</v>
      </c>
      <c r="C15348">
        <v>63379</v>
      </c>
      <c r="D15348" t="str">
        <f>"63379"</f>
        <v>63379</v>
      </c>
      <c r="E15348">
        <v>73.48</v>
      </c>
    </row>
    <row r="15349" spans="1:5" x14ac:dyDescent="0.2">
      <c r="A15349">
        <v>63380</v>
      </c>
      <c r="B15349" t="s">
        <v>30</v>
      </c>
      <c r="C15349">
        <v>63380</v>
      </c>
      <c r="D15349" t="str">
        <f>"63380"</f>
        <v>63380</v>
      </c>
      <c r="E15349" t="s">
        <v>6</v>
      </c>
    </row>
    <row r="15350" spans="1:5" x14ac:dyDescent="0.2">
      <c r="A15350">
        <v>63381</v>
      </c>
      <c r="B15350" t="s">
        <v>30</v>
      </c>
      <c r="C15350">
        <v>63381</v>
      </c>
      <c r="D15350" t="str">
        <f>"63381"</f>
        <v>63381</v>
      </c>
      <c r="E15350">
        <v>68.42</v>
      </c>
    </row>
    <row r="15351" spans="1:5" x14ac:dyDescent="0.2">
      <c r="A15351">
        <v>63382</v>
      </c>
      <c r="B15351" t="s">
        <v>30</v>
      </c>
      <c r="C15351">
        <v>63382</v>
      </c>
      <c r="D15351" t="str">
        <f>"63382"</f>
        <v>63382</v>
      </c>
      <c r="E15351">
        <v>64</v>
      </c>
    </row>
    <row r="15352" spans="1:5" x14ac:dyDescent="0.2">
      <c r="A15352">
        <v>63383</v>
      </c>
      <c r="B15352" t="s">
        <v>30</v>
      </c>
      <c r="C15352">
        <v>63383</v>
      </c>
      <c r="D15352" t="str">
        <f>"63383"</f>
        <v>63383</v>
      </c>
      <c r="E15352">
        <v>70.38</v>
      </c>
    </row>
    <row r="15353" spans="1:5" x14ac:dyDescent="0.2">
      <c r="A15353">
        <v>63384</v>
      </c>
      <c r="B15353" t="s">
        <v>30</v>
      </c>
      <c r="C15353">
        <v>63384</v>
      </c>
      <c r="D15353" t="str">
        <f>"63384"</f>
        <v>63384</v>
      </c>
      <c r="E15353">
        <v>66.22</v>
      </c>
    </row>
    <row r="15354" spans="1:5" x14ac:dyDescent="0.2">
      <c r="A15354">
        <v>63385</v>
      </c>
      <c r="B15354" t="s">
        <v>30</v>
      </c>
      <c r="C15354">
        <v>63385</v>
      </c>
      <c r="D15354" t="str">
        <f>"63385"</f>
        <v>63385</v>
      </c>
      <c r="E15354">
        <v>78.33</v>
      </c>
    </row>
    <row r="15355" spans="1:5" x14ac:dyDescent="0.2">
      <c r="A15355">
        <v>63386</v>
      </c>
      <c r="B15355" t="s">
        <v>30</v>
      </c>
      <c r="C15355">
        <v>63386</v>
      </c>
      <c r="D15355" t="str">
        <f>"63386"</f>
        <v>63386</v>
      </c>
      <c r="E15355">
        <v>76</v>
      </c>
    </row>
    <row r="15356" spans="1:5" x14ac:dyDescent="0.2">
      <c r="A15356">
        <v>63387</v>
      </c>
      <c r="B15356" t="s">
        <v>30</v>
      </c>
      <c r="C15356">
        <v>63387</v>
      </c>
      <c r="D15356" t="str">
        <f>"63387"</f>
        <v>63387</v>
      </c>
      <c r="E15356" t="s">
        <v>6</v>
      </c>
    </row>
    <row r="15357" spans="1:5" x14ac:dyDescent="0.2">
      <c r="A15357">
        <v>63388</v>
      </c>
      <c r="B15357" t="s">
        <v>30</v>
      </c>
      <c r="C15357">
        <v>63388</v>
      </c>
      <c r="D15357" t="str">
        <f>"63388"</f>
        <v>63388</v>
      </c>
      <c r="E15357">
        <v>64.709999999999994</v>
      </c>
    </row>
    <row r="15358" spans="1:5" x14ac:dyDescent="0.2">
      <c r="A15358">
        <v>63389</v>
      </c>
      <c r="B15358" t="s">
        <v>30</v>
      </c>
      <c r="C15358">
        <v>63389</v>
      </c>
      <c r="D15358" t="str">
        <f>"63389"</f>
        <v>63389</v>
      </c>
      <c r="E15358">
        <v>74.53</v>
      </c>
    </row>
    <row r="15359" spans="1:5" x14ac:dyDescent="0.2">
      <c r="A15359">
        <v>63390</v>
      </c>
      <c r="B15359" t="s">
        <v>30</v>
      </c>
      <c r="C15359">
        <v>63390</v>
      </c>
      <c r="D15359" t="str">
        <f>"63390"</f>
        <v>63390</v>
      </c>
      <c r="E15359">
        <v>72.16</v>
      </c>
    </row>
    <row r="15360" spans="1:5" x14ac:dyDescent="0.2">
      <c r="A15360">
        <v>63401</v>
      </c>
      <c r="B15360" t="s">
        <v>30</v>
      </c>
      <c r="C15360">
        <v>63401</v>
      </c>
      <c r="D15360" t="str">
        <f>"63401"</f>
        <v>63401</v>
      </c>
      <c r="E15360">
        <v>67.55</v>
      </c>
    </row>
    <row r="15361" spans="1:5" x14ac:dyDescent="0.2">
      <c r="A15361">
        <v>63430</v>
      </c>
      <c r="B15361" t="s">
        <v>30</v>
      </c>
      <c r="C15361">
        <v>63430</v>
      </c>
      <c r="D15361" t="str">
        <f>"63430"</f>
        <v>63430</v>
      </c>
      <c r="E15361">
        <v>70.83</v>
      </c>
    </row>
    <row r="15362" spans="1:5" x14ac:dyDescent="0.2">
      <c r="A15362">
        <v>63431</v>
      </c>
      <c r="B15362" t="s">
        <v>30</v>
      </c>
      <c r="C15362">
        <v>63431</v>
      </c>
      <c r="D15362" t="str">
        <f>"63431"</f>
        <v>63431</v>
      </c>
      <c r="E15362">
        <v>64.290000000000006</v>
      </c>
    </row>
    <row r="15363" spans="1:5" x14ac:dyDescent="0.2">
      <c r="A15363">
        <v>63432</v>
      </c>
      <c r="B15363" t="s">
        <v>30</v>
      </c>
      <c r="C15363">
        <v>63432</v>
      </c>
      <c r="D15363" t="str">
        <f>"63432"</f>
        <v>63432</v>
      </c>
      <c r="E15363">
        <v>60.87</v>
      </c>
    </row>
    <row r="15364" spans="1:5" x14ac:dyDescent="0.2">
      <c r="A15364">
        <v>63433</v>
      </c>
      <c r="B15364" t="s">
        <v>30</v>
      </c>
      <c r="C15364">
        <v>63433</v>
      </c>
      <c r="D15364" t="str">
        <f>"63433"</f>
        <v>63433</v>
      </c>
      <c r="E15364" t="s">
        <v>6</v>
      </c>
    </row>
    <row r="15365" spans="1:5" x14ac:dyDescent="0.2">
      <c r="A15365">
        <v>63434</v>
      </c>
      <c r="B15365" t="s">
        <v>30</v>
      </c>
      <c r="C15365">
        <v>63434</v>
      </c>
      <c r="D15365" t="str">
        <f>"63434"</f>
        <v>63434</v>
      </c>
      <c r="E15365">
        <v>56</v>
      </c>
    </row>
    <row r="15366" spans="1:5" x14ac:dyDescent="0.2">
      <c r="A15366">
        <v>63435</v>
      </c>
      <c r="B15366" t="s">
        <v>30</v>
      </c>
      <c r="C15366">
        <v>63435</v>
      </c>
      <c r="D15366" t="str">
        <f>"63435"</f>
        <v>63435</v>
      </c>
      <c r="E15366">
        <v>70.59</v>
      </c>
    </row>
    <row r="15367" spans="1:5" x14ac:dyDescent="0.2">
      <c r="A15367">
        <v>63436</v>
      </c>
      <c r="B15367" t="s">
        <v>30</v>
      </c>
      <c r="C15367">
        <v>63436</v>
      </c>
      <c r="D15367" t="str">
        <f>"63436"</f>
        <v>63436</v>
      </c>
      <c r="E15367">
        <v>69.81</v>
      </c>
    </row>
    <row r="15368" spans="1:5" x14ac:dyDescent="0.2">
      <c r="A15368">
        <v>63437</v>
      </c>
      <c r="B15368" t="s">
        <v>30</v>
      </c>
      <c r="C15368">
        <v>63437</v>
      </c>
      <c r="D15368" t="str">
        <f>"63437"</f>
        <v>63437</v>
      </c>
      <c r="E15368">
        <v>57.38</v>
      </c>
    </row>
    <row r="15369" spans="1:5" x14ac:dyDescent="0.2">
      <c r="A15369">
        <v>63438</v>
      </c>
      <c r="B15369" t="s">
        <v>30</v>
      </c>
      <c r="C15369">
        <v>63438</v>
      </c>
      <c r="D15369" t="str">
        <f>"63438"</f>
        <v>63438</v>
      </c>
      <c r="E15369">
        <v>68.42</v>
      </c>
    </row>
    <row r="15370" spans="1:5" x14ac:dyDescent="0.2">
      <c r="A15370">
        <v>63439</v>
      </c>
      <c r="B15370" t="s">
        <v>30</v>
      </c>
      <c r="C15370">
        <v>63439</v>
      </c>
      <c r="D15370" t="str">
        <f>"63439"</f>
        <v>63439</v>
      </c>
      <c r="E15370" t="s">
        <v>6</v>
      </c>
    </row>
    <row r="15371" spans="1:5" x14ac:dyDescent="0.2">
      <c r="A15371">
        <v>63440</v>
      </c>
      <c r="B15371" t="s">
        <v>30</v>
      </c>
      <c r="C15371">
        <v>63440</v>
      </c>
      <c r="D15371" t="str">
        <f>"63440"</f>
        <v>63440</v>
      </c>
      <c r="E15371">
        <v>67.86</v>
      </c>
    </row>
    <row r="15372" spans="1:5" x14ac:dyDescent="0.2">
      <c r="A15372">
        <v>63441</v>
      </c>
      <c r="B15372" t="s">
        <v>30</v>
      </c>
      <c r="C15372">
        <v>63441</v>
      </c>
      <c r="D15372" t="str">
        <f>"63441"</f>
        <v>63441</v>
      </c>
      <c r="E15372">
        <v>70</v>
      </c>
    </row>
    <row r="15373" spans="1:5" x14ac:dyDescent="0.2">
      <c r="A15373">
        <v>63442</v>
      </c>
      <c r="B15373" t="s">
        <v>30</v>
      </c>
      <c r="C15373">
        <v>63442</v>
      </c>
      <c r="D15373" t="str">
        <f>"63442"</f>
        <v>63442</v>
      </c>
      <c r="E15373" t="s">
        <v>6</v>
      </c>
    </row>
    <row r="15374" spans="1:5" x14ac:dyDescent="0.2">
      <c r="A15374">
        <v>63443</v>
      </c>
      <c r="B15374" t="s">
        <v>30</v>
      </c>
      <c r="C15374">
        <v>63443</v>
      </c>
      <c r="D15374" t="str">
        <f>"63443"</f>
        <v>63443</v>
      </c>
      <c r="E15374">
        <v>66.67</v>
      </c>
    </row>
    <row r="15375" spans="1:5" x14ac:dyDescent="0.2">
      <c r="A15375">
        <v>63445</v>
      </c>
      <c r="B15375" t="s">
        <v>30</v>
      </c>
      <c r="C15375">
        <v>63445</v>
      </c>
      <c r="D15375" t="str">
        <f>"63445"</f>
        <v>63445</v>
      </c>
      <c r="E15375">
        <v>66.239999999999995</v>
      </c>
    </row>
    <row r="15376" spans="1:5" x14ac:dyDescent="0.2">
      <c r="A15376">
        <v>63446</v>
      </c>
      <c r="B15376" t="s">
        <v>30</v>
      </c>
      <c r="C15376">
        <v>63446</v>
      </c>
      <c r="D15376" t="str">
        <f>"63446"</f>
        <v>63446</v>
      </c>
      <c r="E15376">
        <v>56</v>
      </c>
    </row>
    <row r="15377" spans="1:5" x14ac:dyDescent="0.2">
      <c r="A15377">
        <v>63447</v>
      </c>
      <c r="B15377" t="s">
        <v>30</v>
      </c>
      <c r="C15377">
        <v>63447</v>
      </c>
      <c r="D15377" t="str">
        <f>"63447"</f>
        <v>63447</v>
      </c>
      <c r="E15377">
        <v>61.9</v>
      </c>
    </row>
    <row r="15378" spans="1:5" x14ac:dyDescent="0.2">
      <c r="A15378">
        <v>63448</v>
      </c>
      <c r="B15378" t="s">
        <v>30</v>
      </c>
      <c r="C15378">
        <v>63448</v>
      </c>
      <c r="D15378" t="str">
        <f>"63448"</f>
        <v>63448</v>
      </c>
      <c r="E15378">
        <v>73.239999999999995</v>
      </c>
    </row>
    <row r="15379" spans="1:5" x14ac:dyDescent="0.2">
      <c r="A15379">
        <v>63450</v>
      </c>
      <c r="B15379" t="s">
        <v>30</v>
      </c>
      <c r="C15379">
        <v>63450</v>
      </c>
      <c r="D15379" t="str">
        <f>"63450"</f>
        <v>63450</v>
      </c>
      <c r="E15379" t="s">
        <v>6</v>
      </c>
    </row>
    <row r="15380" spans="1:5" x14ac:dyDescent="0.2">
      <c r="A15380">
        <v>63451</v>
      </c>
      <c r="B15380" t="s">
        <v>30</v>
      </c>
      <c r="C15380">
        <v>63451</v>
      </c>
      <c r="D15380" t="str">
        <f>"63451"</f>
        <v>63451</v>
      </c>
      <c r="E15380">
        <v>69.23</v>
      </c>
    </row>
    <row r="15381" spans="1:5" x14ac:dyDescent="0.2">
      <c r="A15381">
        <v>63452</v>
      </c>
      <c r="B15381" t="s">
        <v>30</v>
      </c>
      <c r="C15381">
        <v>63452</v>
      </c>
      <c r="D15381" t="str">
        <f>"63452"</f>
        <v>63452</v>
      </c>
      <c r="E15381">
        <v>70.59</v>
      </c>
    </row>
    <row r="15382" spans="1:5" x14ac:dyDescent="0.2">
      <c r="A15382">
        <v>63453</v>
      </c>
      <c r="B15382" t="s">
        <v>30</v>
      </c>
      <c r="C15382">
        <v>63453</v>
      </c>
      <c r="D15382" t="str">
        <f>"63453"</f>
        <v>63453</v>
      </c>
      <c r="E15382">
        <v>61.11</v>
      </c>
    </row>
    <row r="15383" spans="1:5" x14ac:dyDescent="0.2">
      <c r="A15383">
        <v>63454</v>
      </c>
      <c r="B15383" t="s">
        <v>30</v>
      </c>
      <c r="C15383">
        <v>63454</v>
      </c>
      <c r="D15383" t="str">
        <f>"63454"</f>
        <v>63454</v>
      </c>
      <c r="E15383">
        <v>72.09</v>
      </c>
    </row>
    <row r="15384" spans="1:5" x14ac:dyDescent="0.2">
      <c r="A15384">
        <v>63456</v>
      </c>
      <c r="B15384" t="s">
        <v>30</v>
      </c>
      <c r="C15384">
        <v>63456</v>
      </c>
      <c r="D15384" t="str">
        <f>"63456"</f>
        <v>63456</v>
      </c>
      <c r="E15384">
        <v>68.37</v>
      </c>
    </row>
    <row r="15385" spans="1:5" x14ac:dyDescent="0.2">
      <c r="A15385">
        <v>63457</v>
      </c>
      <c r="B15385" t="s">
        <v>30</v>
      </c>
      <c r="C15385">
        <v>63457</v>
      </c>
      <c r="D15385" t="str">
        <f>"63457"</f>
        <v>63457</v>
      </c>
      <c r="E15385">
        <v>69.23</v>
      </c>
    </row>
    <row r="15386" spans="1:5" x14ac:dyDescent="0.2">
      <c r="A15386">
        <v>63458</v>
      </c>
      <c r="B15386" t="s">
        <v>30</v>
      </c>
      <c r="C15386">
        <v>63458</v>
      </c>
      <c r="D15386" t="str">
        <f>"63458"</f>
        <v>63458</v>
      </c>
      <c r="E15386" t="s">
        <v>6</v>
      </c>
    </row>
    <row r="15387" spans="1:5" x14ac:dyDescent="0.2">
      <c r="A15387">
        <v>63459</v>
      </c>
      <c r="B15387" t="s">
        <v>30</v>
      </c>
      <c r="C15387">
        <v>63459</v>
      </c>
      <c r="D15387" t="str">
        <f>"63459"</f>
        <v>63459</v>
      </c>
      <c r="E15387">
        <v>72.680000000000007</v>
      </c>
    </row>
    <row r="15388" spans="1:5" x14ac:dyDescent="0.2">
      <c r="A15388">
        <v>63460</v>
      </c>
      <c r="B15388" t="s">
        <v>30</v>
      </c>
      <c r="C15388">
        <v>63460</v>
      </c>
      <c r="D15388" t="str">
        <f>"63460"</f>
        <v>63460</v>
      </c>
      <c r="E15388">
        <v>61.54</v>
      </c>
    </row>
    <row r="15389" spans="1:5" x14ac:dyDescent="0.2">
      <c r="A15389">
        <v>63461</v>
      </c>
      <c r="B15389" t="s">
        <v>30</v>
      </c>
      <c r="C15389">
        <v>63461</v>
      </c>
      <c r="D15389" t="str">
        <f>"63461"</f>
        <v>63461</v>
      </c>
      <c r="E15389">
        <v>71.11</v>
      </c>
    </row>
    <row r="15390" spans="1:5" x14ac:dyDescent="0.2">
      <c r="A15390">
        <v>63462</v>
      </c>
      <c r="B15390" t="s">
        <v>30</v>
      </c>
      <c r="C15390">
        <v>63462</v>
      </c>
      <c r="D15390" t="str">
        <f>"63462"</f>
        <v>63462</v>
      </c>
      <c r="E15390">
        <v>69.44</v>
      </c>
    </row>
    <row r="15391" spans="1:5" x14ac:dyDescent="0.2">
      <c r="A15391">
        <v>63463</v>
      </c>
      <c r="B15391" t="s">
        <v>30</v>
      </c>
      <c r="C15391">
        <v>63463</v>
      </c>
      <c r="D15391" t="str">
        <f>"63463"</f>
        <v>63463</v>
      </c>
      <c r="E15391">
        <v>70.37</v>
      </c>
    </row>
    <row r="15392" spans="1:5" x14ac:dyDescent="0.2">
      <c r="A15392">
        <v>63465</v>
      </c>
      <c r="B15392" t="s">
        <v>30</v>
      </c>
      <c r="C15392">
        <v>63465</v>
      </c>
      <c r="D15392" t="str">
        <f>"63465"</f>
        <v>63465</v>
      </c>
      <c r="E15392">
        <v>65.22</v>
      </c>
    </row>
    <row r="15393" spans="1:5" x14ac:dyDescent="0.2">
      <c r="A15393">
        <v>63467</v>
      </c>
      <c r="B15393" t="s">
        <v>30</v>
      </c>
      <c r="C15393">
        <v>63467</v>
      </c>
      <c r="D15393" t="str">
        <f>"63467"</f>
        <v>63467</v>
      </c>
      <c r="E15393" t="s">
        <v>6</v>
      </c>
    </row>
    <row r="15394" spans="1:5" x14ac:dyDescent="0.2">
      <c r="A15394">
        <v>63468</v>
      </c>
      <c r="B15394" t="s">
        <v>30</v>
      </c>
      <c r="C15394">
        <v>63468</v>
      </c>
      <c r="D15394" t="str">
        <f>"63468"</f>
        <v>63468</v>
      </c>
      <c r="E15394">
        <v>62.1</v>
      </c>
    </row>
    <row r="15395" spans="1:5" x14ac:dyDescent="0.2">
      <c r="A15395">
        <v>63469</v>
      </c>
      <c r="B15395" t="s">
        <v>30</v>
      </c>
      <c r="C15395">
        <v>63469</v>
      </c>
      <c r="D15395" t="str">
        <f>"63469"</f>
        <v>63469</v>
      </c>
      <c r="E15395">
        <v>66.040000000000006</v>
      </c>
    </row>
    <row r="15396" spans="1:5" x14ac:dyDescent="0.2">
      <c r="A15396">
        <v>63471</v>
      </c>
      <c r="B15396" t="s">
        <v>30</v>
      </c>
      <c r="C15396">
        <v>63471</v>
      </c>
      <c r="D15396" t="str">
        <f>"63471"</f>
        <v>63471</v>
      </c>
      <c r="E15396">
        <v>69.23</v>
      </c>
    </row>
    <row r="15397" spans="1:5" x14ac:dyDescent="0.2">
      <c r="A15397">
        <v>63472</v>
      </c>
      <c r="B15397" t="s">
        <v>30</v>
      </c>
      <c r="C15397">
        <v>63472</v>
      </c>
      <c r="D15397" t="str">
        <f>"63472"</f>
        <v>63472</v>
      </c>
      <c r="E15397">
        <v>65</v>
      </c>
    </row>
    <row r="15398" spans="1:5" x14ac:dyDescent="0.2">
      <c r="A15398">
        <v>63473</v>
      </c>
      <c r="B15398" t="s">
        <v>30</v>
      </c>
      <c r="C15398">
        <v>63473</v>
      </c>
      <c r="D15398" t="str">
        <f>"63473"</f>
        <v>63473</v>
      </c>
      <c r="E15398">
        <v>60</v>
      </c>
    </row>
    <row r="15399" spans="1:5" x14ac:dyDescent="0.2">
      <c r="A15399">
        <v>63474</v>
      </c>
      <c r="B15399" t="s">
        <v>30</v>
      </c>
      <c r="C15399">
        <v>63474</v>
      </c>
      <c r="D15399" t="str">
        <f>"63474"</f>
        <v>63474</v>
      </c>
      <c r="E15399">
        <v>65</v>
      </c>
    </row>
    <row r="15400" spans="1:5" x14ac:dyDescent="0.2">
      <c r="A15400">
        <v>63501</v>
      </c>
      <c r="B15400" t="s">
        <v>30</v>
      </c>
      <c r="C15400">
        <v>63501</v>
      </c>
      <c r="D15400" t="str">
        <f>"63501"</f>
        <v>63501</v>
      </c>
      <c r="E15400">
        <v>63.85</v>
      </c>
    </row>
    <row r="15401" spans="1:5" x14ac:dyDescent="0.2">
      <c r="A15401">
        <v>63530</v>
      </c>
      <c r="B15401" t="s">
        <v>30</v>
      </c>
      <c r="C15401">
        <v>63530</v>
      </c>
      <c r="D15401" t="str">
        <f>"63530"</f>
        <v>63530</v>
      </c>
      <c r="E15401">
        <v>64.099999999999994</v>
      </c>
    </row>
    <row r="15402" spans="1:5" x14ac:dyDescent="0.2">
      <c r="A15402">
        <v>63531</v>
      </c>
      <c r="B15402" t="s">
        <v>30</v>
      </c>
      <c r="C15402">
        <v>63531</v>
      </c>
      <c r="D15402" t="str">
        <f>"63531"</f>
        <v>63531</v>
      </c>
      <c r="E15402">
        <v>57.89</v>
      </c>
    </row>
    <row r="15403" spans="1:5" x14ac:dyDescent="0.2">
      <c r="A15403">
        <v>63532</v>
      </c>
      <c r="B15403" t="s">
        <v>30</v>
      </c>
      <c r="C15403">
        <v>63532</v>
      </c>
      <c r="D15403" t="str">
        <f>"63532"</f>
        <v>63532</v>
      </c>
      <c r="E15403">
        <v>64.41</v>
      </c>
    </row>
    <row r="15404" spans="1:5" x14ac:dyDescent="0.2">
      <c r="A15404">
        <v>63533</v>
      </c>
      <c r="B15404" t="s">
        <v>30</v>
      </c>
      <c r="C15404">
        <v>63533</v>
      </c>
      <c r="D15404" t="str">
        <f>"63533"</f>
        <v>63533</v>
      </c>
      <c r="E15404">
        <v>62.86</v>
      </c>
    </row>
    <row r="15405" spans="1:5" x14ac:dyDescent="0.2">
      <c r="A15405">
        <v>63534</v>
      </c>
      <c r="B15405" t="s">
        <v>30</v>
      </c>
      <c r="C15405">
        <v>63534</v>
      </c>
      <c r="D15405" t="str">
        <f>"63534"</f>
        <v>63534</v>
      </c>
      <c r="E15405">
        <v>66.67</v>
      </c>
    </row>
    <row r="15406" spans="1:5" x14ac:dyDescent="0.2">
      <c r="A15406">
        <v>63535</v>
      </c>
      <c r="B15406" t="s">
        <v>30</v>
      </c>
      <c r="C15406">
        <v>63535</v>
      </c>
      <c r="D15406" t="str">
        <f>"63535"</f>
        <v>63535</v>
      </c>
      <c r="E15406" t="s">
        <v>6</v>
      </c>
    </row>
    <row r="15407" spans="1:5" x14ac:dyDescent="0.2">
      <c r="A15407">
        <v>63536</v>
      </c>
      <c r="B15407" t="s">
        <v>30</v>
      </c>
      <c r="C15407">
        <v>63536</v>
      </c>
      <c r="D15407" t="str">
        <f>"63536"</f>
        <v>63536</v>
      </c>
      <c r="E15407">
        <v>57.58</v>
      </c>
    </row>
    <row r="15408" spans="1:5" x14ac:dyDescent="0.2">
      <c r="A15408">
        <v>63537</v>
      </c>
      <c r="B15408" t="s">
        <v>30</v>
      </c>
      <c r="C15408">
        <v>63537</v>
      </c>
      <c r="D15408" t="str">
        <f>"63537"</f>
        <v>63537</v>
      </c>
      <c r="E15408">
        <v>59.72</v>
      </c>
    </row>
    <row r="15409" spans="1:5" x14ac:dyDescent="0.2">
      <c r="A15409">
        <v>63538</v>
      </c>
      <c r="B15409" t="s">
        <v>30</v>
      </c>
      <c r="C15409">
        <v>63538</v>
      </c>
      <c r="D15409" t="str">
        <f>"63538"</f>
        <v>63538</v>
      </c>
      <c r="E15409">
        <v>54.55</v>
      </c>
    </row>
    <row r="15410" spans="1:5" x14ac:dyDescent="0.2">
      <c r="A15410">
        <v>63539</v>
      </c>
      <c r="B15410" t="s">
        <v>30</v>
      </c>
      <c r="C15410">
        <v>63539</v>
      </c>
      <c r="D15410" t="str">
        <f>"63539"</f>
        <v>63539</v>
      </c>
      <c r="E15410">
        <v>60</v>
      </c>
    </row>
    <row r="15411" spans="1:5" x14ac:dyDescent="0.2">
      <c r="A15411">
        <v>63540</v>
      </c>
      <c r="B15411" t="s">
        <v>30</v>
      </c>
      <c r="C15411">
        <v>63540</v>
      </c>
      <c r="D15411" t="str">
        <f>"63540"</f>
        <v>63540</v>
      </c>
      <c r="E15411" t="s">
        <v>6</v>
      </c>
    </row>
    <row r="15412" spans="1:5" x14ac:dyDescent="0.2">
      <c r="A15412">
        <v>63541</v>
      </c>
      <c r="B15412" t="s">
        <v>30</v>
      </c>
      <c r="C15412">
        <v>63541</v>
      </c>
      <c r="D15412" t="str">
        <f>"63541"</f>
        <v>63541</v>
      </c>
      <c r="E15412">
        <v>56.25</v>
      </c>
    </row>
    <row r="15413" spans="1:5" x14ac:dyDescent="0.2">
      <c r="A15413">
        <v>63543</v>
      </c>
      <c r="B15413" t="s">
        <v>30</v>
      </c>
      <c r="C15413">
        <v>63543</v>
      </c>
      <c r="D15413" t="str">
        <f>"63543"</f>
        <v>63543</v>
      </c>
      <c r="E15413">
        <v>58.33</v>
      </c>
    </row>
    <row r="15414" spans="1:5" x14ac:dyDescent="0.2">
      <c r="A15414">
        <v>63544</v>
      </c>
      <c r="B15414" t="s">
        <v>30</v>
      </c>
      <c r="C15414">
        <v>63544</v>
      </c>
      <c r="D15414" t="str">
        <f>"63544"</f>
        <v>63544</v>
      </c>
      <c r="E15414">
        <v>59.38</v>
      </c>
    </row>
    <row r="15415" spans="1:5" x14ac:dyDescent="0.2">
      <c r="A15415">
        <v>63545</v>
      </c>
      <c r="B15415" t="s">
        <v>30</v>
      </c>
      <c r="C15415">
        <v>63545</v>
      </c>
      <c r="D15415" t="str">
        <f>"63545"</f>
        <v>63545</v>
      </c>
      <c r="E15415">
        <v>65</v>
      </c>
    </row>
    <row r="15416" spans="1:5" x14ac:dyDescent="0.2">
      <c r="A15416">
        <v>63546</v>
      </c>
      <c r="B15416" t="s">
        <v>30</v>
      </c>
      <c r="C15416">
        <v>63546</v>
      </c>
      <c r="D15416" t="str">
        <f>"63546"</f>
        <v>63546</v>
      </c>
      <c r="E15416">
        <v>62.32</v>
      </c>
    </row>
    <row r="15417" spans="1:5" x14ac:dyDescent="0.2">
      <c r="A15417">
        <v>63547</v>
      </c>
      <c r="B15417" t="s">
        <v>30</v>
      </c>
      <c r="C15417">
        <v>63547</v>
      </c>
      <c r="D15417" t="str">
        <f>"63547"</f>
        <v>63547</v>
      </c>
      <c r="E15417">
        <v>55.56</v>
      </c>
    </row>
    <row r="15418" spans="1:5" x14ac:dyDescent="0.2">
      <c r="A15418">
        <v>63548</v>
      </c>
      <c r="B15418" t="s">
        <v>30</v>
      </c>
      <c r="C15418">
        <v>63548</v>
      </c>
      <c r="D15418" t="str">
        <f>"63548"</f>
        <v>63548</v>
      </c>
      <c r="E15418">
        <v>58.93</v>
      </c>
    </row>
    <row r="15419" spans="1:5" x14ac:dyDescent="0.2">
      <c r="A15419">
        <v>63549</v>
      </c>
      <c r="B15419" t="s">
        <v>30</v>
      </c>
      <c r="C15419">
        <v>63549</v>
      </c>
      <c r="D15419" t="str">
        <f>"63549"</f>
        <v>63549</v>
      </c>
      <c r="E15419">
        <v>64.650000000000006</v>
      </c>
    </row>
    <row r="15420" spans="1:5" x14ac:dyDescent="0.2">
      <c r="A15420">
        <v>63551</v>
      </c>
      <c r="B15420" t="s">
        <v>30</v>
      </c>
      <c r="C15420">
        <v>63551</v>
      </c>
      <c r="D15420" t="str">
        <f>"63551"</f>
        <v>63551</v>
      </c>
      <c r="E15420">
        <v>61.54</v>
      </c>
    </row>
    <row r="15421" spans="1:5" x14ac:dyDescent="0.2">
      <c r="A15421">
        <v>63552</v>
      </c>
      <c r="B15421" t="s">
        <v>30</v>
      </c>
      <c r="C15421">
        <v>63552</v>
      </c>
      <c r="D15421" t="str">
        <f>"63552"</f>
        <v>63552</v>
      </c>
      <c r="E15421">
        <v>64.78</v>
      </c>
    </row>
    <row r="15422" spans="1:5" x14ac:dyDescent="0.2">
      <c r="A15422">
        <v>63555</v>
      </c>
      <c r="B15422" t="s">
        <v>30</v>
      </c>
      <c r="C15422">
        <v>63555</v>
      </c>
      <c r="D15422" t="str">
        <f>"63555"</f>
        <v>63555</v>
      </c>
      <c r="E15422">
        <v>63.7</v>
      </c>
    </row>
    <row r="15423" spans="1:5" x14ac:dyDescent="0.2">
      <c r="A15423">
        <v>63556</v>
      </c>
      <c r="B15423" t="s">
        <v>30</v>
      </c>
      <c r="C15423">
        <v>63556</v>
      </c>
      <c r="D15423" t="str">
        <f>"63556"</f>
        <v>63556</v>
      </c>
      <c r="E15423">
        <v>62.09</v>
      </c>
    </row>
    <row r="15424" spans="1:5" x14ac:dyDescent="0.2">
      <c r="A15424">
        <v>63557</v>
      </c>
      <c r="B15424" t="s">
        <v>30</v>
      </c>
      <c r="C15424">
        <v>63557</v>
      </c>
      <c r="D15424" t="str">
        <f>"63557"</f>
        <v>63557</v>
      </c>
      <c r="E15424">
        <v>58.33</v>
      </c>
    </row>
    <row r="15425" spans="1:5" x14ac:dyDescent="0.2">
      <c r="A15425">
        <v>63558</v>
      </c>
      <c r="B15425" t="s">
        <v>30</v>
      </c>
      <c r="C15425">
        <v>63558</v>
      </c>
      <c r="D15425" t="str">
        <f>"63558"</f>
        <v>63558</v>
      </c>
      <c r="E15425">
        <v>63.33</v>
      </c>
    </row>
    <row r="15426" spans="1:5" x14ac:dyDescent="0.2">
      <c r="A15426">
        <v>63559</v>
      </c>
      <c r="B15426" t="s">
        <v>30</v>
      </c>
      <c r="C15426">
        <v>63559</v>
      </c>
      <c r="D15426" t="str">
        <f>"63559"</f>
        <v>63559</v>
      </c>
      <c r="E15426">
        <v>64.91</v>
      </c>
    </row>
    <row r="15427" spans="1:5" x14ac:dyDescent="0.2">
      <c r="A15427">
        <v>63560</v>
      </c>
      <c r="B15427" t="s">
        <v>30</v>
      </c>
      <c r="C15427">
        <v>63560</v>
      </c>
      <c r="D15427" t="str">
        <f>"63560"</f>
        <v>63560</v>
      </c>
      <c r="E15427" t="s">
        <v>6</v>
      </c>
    </row>
    <row r="15428" spans="1:5" x14ac:dyDescent="0.2">
      <c r="A15428">
        <v>63561</v>
      </c>
      <c r="B15428" t="s">
        <v>30</v>
      </c>
      <c r="C15428">
        <v>63561</v>
      </c>
      <c r="D15428" t="str">
        <f>"63561"</f>
        <v>63561</v>
      </c>
      <c r="E15428">
        <v>61.54</v>
      </c>
    </row>
    <row r="15429" spans="1:5" x14ac:dyDescent="0.2">
      <c r="A15429">
        <v>63563</v>
      </c>
      <c r="B15429" t="s">
        <v>30</v>
      </c>
      <c r="C15429">
        <v>63563</v>
      </c>
      <c r="D15429" t="str">
        <f>"63563"</f>
        <v>63563</v>
      </c>
      <c r="E15429">
        <v>58.33</v>
      </c>
    </row>
    <row r="15430" spans="1:5" x14ac:dyDescent="0.2">
      <c r="A15430">
        <v>63565</v>
      </c>
      <c r="B15430" t="s">
        <v>30</v>
      </c>
      <c r="C15430">
        <v>63565</v>
      </c>
      <c r="D15430" t="str">
        <f>"63565"</f>
        <v>63565</v>
      </c>
      <c r="E15430">
        <v>62.5</v>
      </c>
    </row>
    <row r="15431" spans="1:5" x14ac:dyDescent="0.2">
      <c r="A15431">
        <v>63566</v>
      </c>
      <c r="B15431" t="s">
        <v>30</v>
      </c>
      <c r="C15431">
        <v>63566</v>
      </c>
      <c r="D15431" t="str">
        <f>"63566"</f>
        <v>63566</v>
      </c>
      <c r="E15431" t="s">
        <v>6</v>
      </c>
    </row>
    <row r="15432" spans="1:5" x14ac:dyDescent="0.2">
      <c r="A15432">
        <v>63567</v>
      </c>
      <c r="B15432" t="s">
        <v>30</v>
      </c>
      <c r="C15432">
        <v>63567</v>
      </c>
      <c r="D15432" t="str">
        <f>"63567"</f>
        <v>63567</v>
      </c>
      <c r="E15432" t="s">
        <v>6</v>
      </c>
    </row>
    <row r="15433" spans="1:5" x14ac:dyDescent="0.2">
      <c r="A15433">
        <v>63601</v>
      </c>
      <c r="B15433" t="s">
        <v>30</v>
      </c>
      <c r="C15433">
        <v>63601</v>
      </c>
      <c r="D15433" t="str">
        <f>"63601"</f>
        <v>63601</v>
      </c>
      <c r="E15433">
        <v>63.84</v>
      </c>
    </row>
    <row r="15434" spans="1:5" x14ac:dyDescent="0.2">
      <c r="A15434">
        <v>63620</v>
      </c>
      <c r="B15434" t="s">
        <v>30</v>
      </c>
      <c r="C15434">
        <v>63620</v>
      </c>
      <c r="D15434" t="str">
        <f>"63620"</f>
        <v>63620</v>
      </c>
      <c r="E15434">
        <v>56</v>
      </c>
    </row>
    <row r="15435" spans="1:5" x14ac:dyDescent="0.2">
      <c r="A15435">
        <v>63621</v>
      </c>
      <c r="B15435" t="s">
        <v>30</v>
      </c>
      <c r="C15435">
        <v>63621</v>
      </c>
      <c r="D15435" t="str">
        <f>"63621"</f>
        <v>63621</v>
      </c>
      <c r="E15435">
        <v>60.42</v>
      </c>
    </row>
    <row r="15436" spans="1:5" x14ac:dyDescent="0.2">
      <c r="A15436">
        <v>63622</v>
      </c>
      <c r="B15436" t="s">
        <v>30</v>
      </c>
      <c r="C15436">
        <v>63622</v>
      </c>
      <c r="D15436" t="str">
        <f>"63622"</f>
        <v>63622</v>
      </c>
      <c r="E15436">
        <v>58.33</v>
      </c>
    </row>
    <row r="15437" spans="1:5" x14ac:dyDescent="0.2">
      <c r="A15437">
        <v>63623</v>
      </c>
      <c r="B15437" t="s">
        <v>30</v>
      </c>
      <c r="C15437">
        <v>63623</v>
      </c>
      <c r="D15437" t="str">
        <f>"63623"</f>
        <v>63623</v>
      </c>
      <c r="E15437">
        <v>65.52</v>
      </c>
    </row>
    <row r="15438" spans="1:5" x14ac:dyDescent="0.2">
      <c r="A15438">
        <v>63624</v>
      </c>
      <c r="B15438" t="s">
        <v>30</v>
      </c>
      <c r="C15438">
        <v>63624</v>
      </c>
      <c r="D15438" t="str">
        <f>"63624"</f>
        <v>63624</v>
      </c>
      <c r="E15438">
        <v>61.11</v>
      </c>
    </row>
    <row r="15439" spans="1:5" x14ac:dyDescent="0.2">
      <c r="A15439">
        <v>63625</v>
      </c>
      <c r="B15439" t="s">
        <v>30</v>
      </c>
      <c r="C15439">
        <v>63625</v>
      </c>
      <c r="D15439" t="str">
        <f>"63625"</f>
        <v>63625</v>
      </c>
      <c r="E15439">
        <v>64.290000000000006</v>
      </c>
    </row>
    <row r="15440" spans="1:5" x14ac:dyDescent="0.2">
      <c r="A15440">
        <v>63626</v>
      </c>
      <c r="B15440" t="s">
        <v>30</v>
      </c>
      <c r="C15440">
        <v>63626</v>
      </c>
      <c r="D15440" t="str">
        <f>"63626"</f>
        <v>63626</v>
      </c>
      <c r="E15440">
        <v>70</v>
      </c>
    </row>
    <row r="15441" spans="1:5" x14ac:dyDescent="0.2">
      <c r="A15441">
        <v>63627</v>
      </c>
      <c r="B15441" t="s">
        <v>30</v>
      </c>
      <c r="C15441">
        <v>63627</v>
      </c>
      <c r="D15441" t="str">
        <f>"63627"</f>
        <v>63627</v>
      </c>
      <c r="E15441">
        <v>71.209999999999994</v>
      </c>
    </row>
    <row r="15442" spans="1:5" x14ac:dyDescent="0.2">
      <c r="A15442">
        <v>63628</v>
      </c>
      <c r="B15442" t="s">
        <v>30</v>
      </c>
      <c r="C15442">
        <v>63628</v>
      </c>
      <c r="D15442" t="str">
        <f>"63628"</f>
        <v>63628</v>
      </c>
      <c r="E15442">
        <v>66.84</v>
      </c>
    </row>
    <row r="15443" spans="1:5" x14ac:dyDescent="0.2">
      <c r="A15443">
        <v>63629</v>
      </c>
      <c r="B15443" t="s">
        <v>30</v>
      </c>
      <c r="C15443">
        <v>63629</v>
      </c>
      <c r="D15443" t="str">
        <f>"63629"</f>
        <v>63629</v>
      </c>
      <c r="E15443">
        <v>53.33</v>
      </c>
    </row>
    <row r="15444" spans="1:5" x14ac:dyDescent="0.2">
      <c r="A15444">
        <v>63630</v>
      </c>
      <c r="B15444" t="s">
        <v>30</v>
      </c>
      <c r="C15444">
        <v>63630</v>
      </c>
      <c r="D15444" t="str">
        <f>"63630"</f>
        <v>63630</v>
      </c>
      <c r="E15444">
        <v>58.6</v>
      </c>
    </row>
    <row r="15445" spans="1:5" x14ac:dyDescent="0.2">
      <c r="A15445">
        <v>63631</v>
      </c>
      <c r="B15445" t="s">
        <v>30</v>
      </c>
      <c r="C15445">
        <v>63631</v>
      </c>
      <c r="D15445" t="str">
        <f>"63631"</f>
        <v>63631</v>
      </c>
      <c r="E15445">
        <v>65.63</v>
      </c>
    </row>
    <row r="15446" spans="1:5" x14ac:dyDescent="0.2">
      <c r="A15446">
        <v>63633</v>
      </c>
      <c r="B15446" t="s">
        <v>30</v>
      </c>
      <c r="C15446">
        <v>63633</v>
      </c>
      <c r="D15446" t="str">
        <f>"63633"</f>
        <v>63633</v>
      </c>
      <c r="E15446">
        <v>54.55</v>
      </c>
    </row>
    <row r="15447" spans="1:5" x14ac:dyDescent="0.2">
      <c r="A15447">
        <v>63636</v>
      </c>
      <c r="B15447" t="s">
        <v>30</v>
      </c>
      <c r="C15447">
        <v>63636</v>
      </c>
      <c r="D15447" t="str">
        <f>"63636"</f>
        <v>63636</v>
      </c>
      <c r="E15447">
        <v>52.63</v>
      </c>
    </row>
    <row r="15448" spans="1:5" x14ac:dyDescent="0.2">
      <c r="A15448">
        <v>63637</v>
      </c>
      <c r="B15448" t="s">
        <v>30</v>
      </c>
      <c r="C15448">
        <v>63637</v>
      </c>
      <c r="D15448" t="str">
        <f>"63637"</f>
        <v>63637</v>
      </c>
      <c r="E15448">
        <v>65.959999999999994</v>
      </c>
    </row>
    <row r="15449" spans="1:5" x14ac:dyDescent="0.2">
      <c r="A15449">
        <v>63638</v>
      </c>
      <c r="B15449" t="s">
        <v>30</v>
      </c>
      <c r="C15449">
        <v>63638</v>
      </c>
      <c r="D15449" t="str">
        <f>"63638"</f>
        <v>63638</v>
      </c>
      <c r="E15449">
        <v>57.55</v>
      </c>
    </row>
    <row r="15450" spans="1:5" x14ac:dyDescent="0.2">
      <c r="A15450">
        <v>63640</v>
      </c>
      <c r="B15450" t="s">
        <v>30</v>
      </c>
      <c r="C15450">
        <v>63640</v>
      </c>
      <c r="D15450" t="str">
        <f>"63640"</f>
        <v>63640</v>
      </c>
      <c r="E15450">
        <v>68.790000000000006</v>
      </c>
    </row>
    <row r="15451" spans="1:5" x14ac:dyDescent="0.2">
      <c r="A15451">
        <v>63645</v>
      </c>
      <c r="B15451" t="s">
        <v>30</v>
      </c>
      <c r="C15451">
        <v>63645</v>
      </c>
      <c r="D15451" t="str">
        <f>"63645"</f>
        <v>63645</v>
      </c>
      <c r="E15451">
        <v>63.11</v>
      </c>
    </row>
    <row r="15452" spans="1:5" x14ac:dyDescent="0.2">
      <c r="A15452">
        <v>63648</v>
      </c>
      <c r="B15452" t="s">
        <v>30</v>
      </c>
      <c r="C15452">
        <v>63648</v>
      </c>
      <c r="D15452" t="str">
        <f>"63648"</f>
        <v>63648</v>
      </c>
      <c r="E15452">
        <v>59.32</v>
      </c>
    </row>
    <row r="15453" spans="1:5" x14ac:dyDescent="0.2">
      <c r="A15453">
        <v>63650</v>
      </c>
      <c r="B15453" t="s">
        <v>30</v>
      </c>
      <c r="C15453">
        <v>63650</v>
      </c>
      <c r="D15453" t="str">
        <f>"63650"</f>
        <v>63650</v>
      </c>
      <c r="E15453">
        <v>61.35</v>
      </c>
    </row>
    <row r="15454" spans="1:5" x14ac:dyDescent="0.2">
      <c r="A15454">
        <v>63653</v>
      </c>
      <c r="B15454" t="s">
        <v>30</v>
      </c>
      <c r="C15454">
        <v>63653</v>
      </c>
      <c r="D15454" t="str">
        <f>"63653"</f>
        <v>63653</v>
      </c>
      <c r="E15454">
        <v>52.63</v>
      </c>
    </row>
    <row r="15455" spans="1:5" x14ac:dyDescent="0.2">
      <c r="A15455">
        <v>63654</v>
      </c>
      <c r="B15455" t="s">
        <v>30</v>
      </c>
      <c r="C15455">
        <v>63654</v>
      </c>
      <c r="D15455" t="str">
        <f>"63654"</f>
        <v>63654</v>
      </c>
      <c r="E15455">
        <v>65.38</v>
      </c>
    </row>
    <row r="15456" spans="1:5" x14ac:dyDescent="0.2">
      <c r="A15456">
        <v>63655</v>
      </c>
      <c r="B15456" t="s">
        <v>30</v>
      </c>
      <c r="C15456">
        <v>63655</v>
      </c>
      <c r="D15456" t="str">
        <f>"63655"</f>
        <v>63655</v>
      </c>
      <c r="E15456">
        <v>62.96</v>
      </c>
    </row>
    <row r="15457" spans="1:5" x14ac:dyDescent="0.2">
      <c r="A15457">
        <v>63656</v>
      </c>
      <c r="B15457" t="s">
        <v>30</v>
      </c>
      <c r="C15457">
        <v>63656</v>
      </c>
      <c r="D15457" t="str">
        <f>"63656"</f>
        <v>63656</v>
      </c>
      <c r="E15457">
        <v>59.09</v>
      </c>
    </row>
    <row r="15458" spans="1:5" x14ac:dyDescent="0.2">
      <c r="A15458">
        <v>63660</v>
      </c>
      <c r="B15458" t="s">
        <v>30</v>
      </c>
      <c r="C15458">
        <v>63660</v>
      </c>
      <c r="D15458" t="str">
        <f>"63660"</f>
        <v>63660</v>
      </c>
      <c r="E15458">
        <v>57.66</v>
      </c>
    </row>
    <row r="15459" spans="1:5" x14ac:dyDescent="0.2">
      <c r="A15459">
        <v>63662</v>
      </c>
      <c r="B15459" t="s">
        <v>30</v>
      </c>
      <c r="C15459">
        <v>63662</v>
      </c>
      <c r="D15459" t="str">
        <f>"63662"</f>
        <v>63662</v>
      </c>
      <c r="E15459">
        <v>64.709999999999994</v>
      </c>
    </row>
    <row r="15460" spans="1:5" x14ac:dyDescent="0.2">
      <c r="A15460">
        <v>63663</v>
      </c>
      <c r="B15460" t="s">
        <v>30</v>
      </c>
      <c r="C15460">
        <v>63663</v>
      </c>
      <c r="D15460" t="str">
        <f>"63663"</f>
        <v>63663</v>
      </c>
      <c r="E15460" t="s">
        <v>6</v>
      </c>
    </row>
    <row r="15461" spans="1:5" x14ac:dyDescent="0.2">
      <c r="A15461">
        <v>63664</v>
      </c>
      <c r="B15461" t="s">
        <v>30</v>
      </c>
      <c r="C15461">
        <v>63664</v>
      </c>
      <c r="D15461" t="str">
        <f>"63664"</f>
        <v>63664</v>
      </c>
      <c r="E15461">
        <v>62.58</v>
      </c>
    </row>
    <row r="15462" spans="1:5" x14ac:dyDescent="0.2">
      <c r="A15462">
        <v>63665</v>
      </c>
      <c r="B15462" t="s">
        <v>30</v>
      </c>
      <c r="C15462">
        <v>63665</v>
      </c>
      <c r="D15462" t="str">
        <f>"63665"</f>
        <v>63665</v>
      </c>
      <c r="E15462" t="s">
        <v>6</v>
      </c>
    </row>
    <row r="15463" spans="1:5" x14ac:dyDescent="0.2">
      <c r="A15463">
        <v>63666</v>
      </c>
      <c r="B15463" t="s">
        <v>30</v>
      </c>
      <c r="C15463">
        <v>63666</v>
      </c>
      <c r="D15463" t="str">
        <f>"63666"</f>
        <v>63666</v>
      </c>
      <c r="E15463" t="s">
        <v>6</v>
      </c>
    </row>
    <row r="15464" spans="1:5" x14ac:dyDescent="0.2">
      <c r="A15464">
        <v>63670</v>
      </c>
      <c r="B15464" t="s">
        <v>30</v>
      </c>
      <c r="C15464">
        <v>63670</v>
      </c>
      <c r="D15464" t="str">
        <f>"63670"</f>
        <v>63670</v>
      </c>
      <c r="E15464">
        <v>71.88</v>
      </c>
    </row>
    <row r="15465" spans="1:5" x14ac:dyDescent="0.2">
      <c r="A15465">
        <v>63673</v>
      </c>
      <c r="B15465" t="s">
        <v>30</v>
      </c>
      <c r="C15465">
        <v>63673</v>
      </c>
      <c r="D15465" t="str">
        <f>"63673"</f>
        <v>63673</v>
      </c>
      <c r="E15465">
        <v>71.84</v>
      </c>
    </row>
    <row r="15466" spans="1:5" x14ac:dyDescent="0.2">
      <c r="A15466">
        <v>63674</v>
      </c>
      <c r="B15466" t="s">
        <v>30</v>
      </c>
      <c r="C15466">
        <v>63674</v>
      </c>
      <c r="D15466" t="str">
        <f>"63674"</f>
        <v>63674</v>
      </c>
      <c r="E15466" t="s">
        <v>6</v>
      </c>
    </row>
    <row r="15467" spans="1:5" x14ac:dyDescent="0.2">
      <c r="A15467">
        <v>63675</v>
      </c>
      <c r="B15467" t="s">
        <v>30</v>
      </c>
      <c r="C15467">
        <v>63675</v>
      </c>
      <c r="D15467" t="str">
        <f>"63675"</f>
        <v>63675</v>
      </c>
      <c r="E15467" t="s">
        <v>6</v>
      </c>
    </row>
    <row r="15468" spans="1:5" x14ac:dyDescent="0.2">
      <c r="A15468">
        <v>63701</v>
      </c>
      <c r="B15468" t="s">
        <v>30</v>
      </c>
      <c r="C15468">
        <v>63701</v>
      </c>
      <c r="D15468" t="str">
        <f>"63701"</f>
        <v>63701</v>
      </c>
      <c r="E15468">
        <v>72</v>
      </c>
    </row>
    <row r="15469" spans="1:5" x14ac:dyDescent="0.2">
      <c r="A15469">
        <v>63703</v>
      </c>
      <c r="B15469" t="s">
        <v>30</v>
      </c>
      <c r="C15469">
        <v>63703</v>
      </c>
      <c r="D15469" t="str">
        <f>"63703"</f>
        <v>63703</v>
      </c>
      <c r="E15469">
        <v>57.06</v>
      </c>
    </row>
    <row r="15470" spans="1:5" x14ac:dyDescent="0.2">
      <c r="A15470">
        <v>63730</v>
      </c>
      <c r="B15470" t="s">
        <v>30</v>
      </c>
      <c r="C15470">
        <v>63730</v>
      </c>
      <c r="D15470" t="str">
        <f>"63730"</f>
        <v>63730</v>
      </c>
      <c r="E15470">
        <v>68.150000000000006</v>
      </c>
    </row>
    <row r="15471" spans="1:5" x14ac:dyDescent="0.2">
      <c r="A15471">
        <v>63732</v>
      </c>
      <c r="B15471" t="s">
        <v>30</v>
      </c>
      <c r="C15471">
        <v>63732</v>
      </c>
      <c r="D15471" t="str">
        <f>"63732"</f>
        <v>63732</v>
      </c>
      <c r="E15471">
        <v>73.17</v>
      </c>
    </row>
    <row r="15472" spans="1:5" x14ac:dyDescent="0.2">
      <c r="A15472">
        <v>63735</v>
      </c>
      <c r="B15472" t="s">
        <v>30</v>
      </c>
      <c r="C15472">
        <v>63735</v>
      </c>
      <c r="D15472" t="str">
        <f>"63735"</f>
        <v>63735</v>
      </c>
      <c r="E15472">
        <v>62.07</v>
      </c>
    </row>
    <row r="15473" spans="1:5" x14ac:dyDescent="0.2">
      <c r="A15473">
        <v>63736</v>
      </c>
      <c r="B15473" t="s">
        <v>30</v>
      </c>
      <c r="C15473">
        <v>63736</v>
      </c>
      <c r="D15473" t="str">
        <f>"63736"</f>
        <v>63736</v>
      </c>
      <c r="E15473">
        <v>70.14</v>
      </c>
    </row>
    <row r="15474" spans="1:5" x14ac:dyDescent="0.2">
      <c r="A15474">
        <v>63737</v>
      </c>
      <c r="B15474" t="s">
        <v>30</v>
      </c>
      <c r="C15474">
        <v>63737</v>
      </c>
      <c r="D15474" t="str">
        <f>"63737"</f>
        <v>63737</v>
      </c>
      <c r="E15474" t="s">
        <v>6</v>
      </c>
    </row>
    <row r="15475" spans="1:5" x14ac:dyDescent="0.2">
      <c r="A15475">
        <v>63738</v>
      </c>
      <c r="B15475" t="s">
        <v>30</v>
      </c>
      <c r="C15475">
        <v>63738</v>
      </c>
      <c r="D15475" t="str">
        <f>"63738"</f>
        <v>63738</v>
      </c>
      <c r="E15475" t="s">
        <v>6</v>
      </c>
    </row>
    <row r="15476" spans="1:5" x14ac:dyDescent="0.2">
      <c r="A15476">
        <v>63739</v>
      </c>
      <c r="B15476" t="s">
        <v>30</v>
      </c>
      <c r="C15476">
        <v>63739</v>
      </c>
      <c r="D15476" t="str">
        <f>"63739"</f>
        <v>63739</v>
      </c>
      <c r="E15476">
        <v>68.180000000000007</v>
      </c>
    </row>
    <row r="15477" spans="1:5" x14ac:dyDescent="0.2">
      <c r="A15477">
        <v>63740</v>
      </c>
      <c r="B15477" t="s">
        <v>30</v>
      </c>
      <c r="C15477">
        <v>63740</v>
      </c>
      <c r="D15477" t="str">
        <f>"63740"</f>
        <v>63740</v>
      </c>
      <c r="E15477">
        <v>67.63</v>
      </c>
    </row>
    <row r="15478" spans="1:5" x14ac:dyDescent="0.2">
      <c r="A15478">
        <v>63742</v>
      </c>
      <c r="B15478" t="s">
        <v>30</v>
      </c>
      <c r="C15478">
        <v>63742</v>
      </c>
      <c r="D15478" t="str">
        <f>"63742"</f>
        <v>63742</v>
      </c>
      <c r="E15478" t="s">
        <v>6</v>
      </c>
    </row>
    <row r="15479" spans="1:5" x14ac:dyDescent="0.2">
      <c r="A15479">
        <v>63743</v>
      </c>
      <c r="B15479" t="s">
        <v>30</v>
      </c>
      <c r="C15479">
        <v>63743</v>
      </c>
      <c r="D15479" t="str">
        <f>"63743"</f>
        <v>63743</v>
      </c>
      <c r="E15479" t="s">
        <v>6</v>
      </c>
    </row>
    <row r="15480" spans="1:5" x14ac:dyDescent="0.2">
      <c r="A15480">
        <v>63744</v>
      </c>
      <c r="B15480" t="s">
        <v>30</v>
      </c>
      <c r="C15480">
        <v>63744</v>
      </c>
      <c r="D15480" t="str">
        <f>"63744"</f>
        <v>63744</v>
      </c>
      <c r="E15480" t="s">
        <v>6</v>
      </c>
    </row>
    <row r="15481" spans="1:5" x14ac:dyDescent="0.2">
      <c r="A15481">
        <v>63745</v>
      </c>
      <c r="B15481" t="s">
        <v>30</v>
      </c>
      <c r="C15481">
        <v>63745</v>
      </c>
      <c r="D15481" t="str">
        <f>"63745"</f>
        <v>63745</v>
      </c>
      <c r="E15481" t="s">
        <v>6</v>
      </c>
    </row>
    <row r="15482" spans="1:5" x14ac:dyDescent="0.2">
      <c r="A15482">
        <v>63746</v>
      </c>
      <c r="B15482" t="s">
        <v>30</v>
      </c>
      <c r="C15482">
        <v>63746</v>
      </c>
      <c r="D15482" t="str">
        <f>"63746"</f>
        <v>63746</v>
      </c>
      <c r="E15482" t="s">
        <v>6</v>
      </c>
    </row>
    <row r="15483" spans="1:5" x14ac:dyDescent="0.2">
      <c r="A15483">
        <v>63747</v>
      </c>
      <c r="B15483" t="s">
        <v>30</v>
      </c>
      <c r="C15483">
        <v>63747</v>
      </c>
      <c r="D15483" t="str">
        <f>"63747"</f>
        <v>63747</v>
      </c>
      <c r="E15483">
        <v>71.430000000000007</v>
      </c>
    </row>
    <row r="15484" spans="1:5" x14ac:dyDescent="0.2">
      <c r="A15484">
        <v>63748</v>
      </c>
      <c r="B15484" t="s">
        <v>30</v>
      </c>
      <c r="C15484">
        <v>63748</v>
      </c>
      <c r="D15484" t="str">
        <f>"63748"</f>
        <v>63748</v>
      </c>
      <c r="E15484">
        <v>79.069999999999993</v>
      </c>
    </row>
    <row r="15485" spans="1:5" x14ac:dyDescent="0.2">
      <c r="A15485">
        <v>63750</v>
      </c>
      <c r="B15485" t="s">
        <v>30</v>
      </c>
      <c r="C15485">
        <v>63750</v>
      </c>
      <c r="D15485" t="str">
        <f>"63750"</f>
        <v>63750</v>
      </c>
      <c r="E15485" t="s">
        <v>6</v>
      </c>
    </row>
    <row r="15486" spans="1:5" x14ac:dyDescent="0.2">
      <c r="A15486">
        <v>63751</v>
      </c>
      <c r="B15486" t="s">
        <v>30</v>
      </c>
      <c r="C15486">
        <v>63751</v>
      </c>
      <c r="D15486" t="str">
        <f>"63751"</f>
        <v>63751</v>
      </c>
      <c r="E15486">
        <v>59.18</v>
      </c>
    </row>
    <row r="15487" spans="1:5" x14ac:dyDescent="0.2">
      <c r="A15487">
        <v>63755</v>
      </c>
      <c r="B15487" t="s">
        <v>30</v>
      </c>
      <c r="C15487">
        <v>63755</v>
      </c>
      <c r="D15487" t="str">
        <f>"63755"</f>
        <v>63755</v>
      </c>
      <c r="E15487">
        <v>74.03</v>
      </c>
    </row>
    <row r="15488" spans="1:5" x14ac:dyDescent="0.2">
      <c r="A15488">
        <v>63760</v>
      </c>
      <c r="B15488" t="s">
        <v>30</v>
      </c>
      <c r="C15488">
        <v>63760</v>
      </c>
      <c r="D15488" t="str">
        <f>"63760"</f>
        <v>63760</v>
      </c>
      <c r="E15488">
        <v>68.97</v>
      </c>
    </row>
    <row r="15489" spans="1:5" x14ac:dyDescent="0.2">
      <c r="A15489">
        <v>63763</v>
      </c>
      <c r="B15489" t="s">
        <v>30</v>
      </c>
      <c r="C15489">
        <v>63763</v>
      </c>
      <c r="D15489" t="str">
        <f>"63763"</f>
        <v>63763</v>
      </c>
      <c r="E15489" t="s">
        <v>6</v>
      </c>
    </row>
    <row r="15490" spans="1:5" x14ac:dyDescent="0.2">
      <c r="A15490">
        <v>63764</v>
      </c>
      <c r="B15490" t="s">
        <v>30</v>
      </c>
      <c r="C15490">
        <v>63764</v>
      </c>
      <c r="D15490" t="str">
        <f>"63764"</f>
        <v>63764</v>
      </c>
      <c r="E15490">
        <v>61.33</v>
      </c>
    </row>
    <row r="15491" spans="1:5" x14ac:dyDescent="0.2">
      <c r="A15491">
        <v>63766</v>
      </c>
      <c r="B15491" t="s">
        <v>30</v>
      </c>
      <c r="C15491">
        <v>63766</v>
      </c>
      <c r="D15491" t="str">
        <f>"63766"</f>
        <v>63766</v>
      </c>
      <c r="E15491">
        <v>70.489999999999995</v>
      </c>
    </row>
    <row r="15492" spans="1:5" x14ac:dyDescent="0.2">
      <c r="A15492">
        <v>63767</v>
      </c>
      <c r="B15492" t="s">
        <v>30</v>
      </c>
      <c r="C15492">
        <v>63767</v>
      </c>
      <c r="D15492" t="str">
        <f>"63767"</f>
        <v>63767</v>
      </c>
      <c r="E15492" t="s">
        <v>6</v>
      </c>
    </row>
    <row r="15493" spans="1:5" x14ac:dyDescent="0.2">
      <c r="A15493">
        <v>63769</v>
      </c>
      <c r="B15493" t="s">
        <v>30</v>
      </c>
      <c r="C15493">
        <v>63769</v>
      </c>
      <c r="D15493" t="str">
        <f>"63769"</f>
        <v>63769</v>
      </c>
      <c r="E15493">
        <v>69.7</v>
      </c>
    </row>
    <row r="15494" spans="1:5" x14ac:dyDescent="0.2">
      <c r="A15494">
        <v>63770</v>
      </c>
      <c r="B15494" t="s">
        <v>30</v>
      </c>
      <c r="C15494">
        <v>63770</v>
      </c>
      <c r="D15494" t="str">
        <f>"63770"</f>
        <v>63770</v>
      </c>
      <c r="E15494" t="s">
        <v>6</v>
      </c>
    </row>
    <row r="15495" spans="1:5" x14ac:dyDescent="0.2">
      <c r="A15495">
        <v>63771</v>
      </c>
      <c r="B15495" t="s">
        <v>30</v>
      </c>
      <c r="C15495">
        <v>63771</v>
      </c>
      <c r="D15495" t="str">
        <f>"63771"</f>
        <v>63771</v>
      </c>
      <c r="E15495">
        <v>68.069999999999993</v>
      </c>
    </row>
    <row r="15496" spans="1:5" x14ac:dyDescent="0.2">
      <c r="A15496">
        <v>63775</v>
      </c>
      <c r="B15496" t="s">
        <v>30</v>
      </c>
      <c r="C15496">
        <v>63775</v>
      </c>
      <c r="D15496" t="str">
        <f>"63775"</f>
        <v>63775</v>
      </c>
      <c r="E15496">
        <v>69.7</v>
      </c>
    </row>
    <row r="15497" spans="1:5" x14ac:dyDescent="0.2">
      <c r="A15497">
        <v>63780</v>
      </c>
      <c r="B15497" t="s">
        <v>30</v>
      </c>
      <c r="C15497">
        <v>63780</v>
      </c>
      <c r="D15497" t="str">
        <f>"63780"</f>
        <v>63780</v>
      </c>
      <c r="E15497">
        <v>70.400000000000006</v>
      </c>
    </row>
    <row r="15498" spans="1:5" x14ac:dyDescent="0.2">
      <c r="A15498">
        <v>63781</v>
      </c>
      <c r="B15498" t="s">
        <v>30</v>
      </c>
      <c r="C15498">
        <v>63781</v>
      </c>
      <c r="D15498" t="str">
        <f>"63781"</f>
        <v>63781</v>
      </c>
      <c r="E15498">
        <v>68.63</v>
      </c>
    </row>
    <row r="15499" spans="1:5" x14ac:dyDescent="0.2">
      <c r="A15499">
        <v>63782</v>
      </c>
      <c r="B15499" t="s">
        <v>30</v>
      </c>
      <c r="C15499">
        <v>63782</v>
      </c>
      <c r="D15499" t="str">
        <f>"63782"</f>
        <v>63782</v>
      </c>
      <c r="E15499" t="s">
        <v>6</v>
      </c>
    </row>
    <row r="15500" spans="1:5" x14ac:dyDescent="0.2">
      <c r="A15500">
        <v>63783</v>
      </c>
      <c r="B15500" t="s">
        <v>30</v>
      </c>
      <c r="C15500">
        <v>63783</v>
      </c>
      <c r="D15500" t="str">
        <f>"63783"</f>
        <v>63783</v>
      </c>
      <c r="E15500" t="s">
        <v>6</v>
      </c>
    </row>
    <row r="15501" spans="1:5" x14ac:dyDescent="0.2">
      <c r="A15501">
        <v>63784</v>
      </c>
      <c r="B15501" t="s">
        <v>30</v>
      </c>
      <c r="C15501">
        <v>63784</v>
      </c>
      <c r="D15501" t="str">
        <f>"63784"</f>
        <v>63784</v>
      </c>
      <c r="E15501" t="s">
        <v>6</v>
      </c>
    </row>
    <row r="15502" spans="1:5" x14ac:dyDescent="0.2">
      <c r="A15502">
        <v>63785</v>
      </c>
      <c r="B15502" t="s">
        <v>30</v>
      </c>
      <c r="C15502">
        <v>63785</v>
      </c>
      <c r="D15502" t="str">
        <f>"63785"</f>
        <v>63785</v>
      </c>
      <c r="E15502">
        <v>75.61</v>
      </c>
    </row>
    <row r="15503" spans="1:5" x14ac:dyDescent="0.2">
      <c r="A15503">
        <v>63787</v>
      </c>
      <c r="B15503" t="s">
        <v>30</v>
      </c>
      <c r="C15503">
        <v>63787</v>
      </c>
      <c r="D15503" t="str">
        <f>"63787"</f>
        <v>63787</v>
      </c>
      <c r="E15503">
        <v>60</v>
      </c>
    </row>
    <row r="15504" spans="1:5" x14ac:dyDescent="0.2">
      <c r="A15504">
        <v>63801</v>
      </c>
      <c r="B15504" t="s">
        <v>30</v>
      </c>
      <c r="C15504">
        <v>63801</v>
      </c>
      <c r="D15504" t="str">
        <f>"63801"</f>
        <v>63801</v>
      </c>
      <c r="E15504">
        <v>63.28</v>
      </c>
    </row>
    <row r="15505" spans="1:5" x14ac:dyDescent="0.2">
      <c r="A15505">
        <v>63820</v>
      </c>
      <c r="B15505" t="s">
        <v>30</v>
      </c>
      <c r="C15505">
        <v>63820</v>
      </c>
      <c r="D15505" t="str">
        <f>"63820"</f>
        <v>63820</v>
      </c>
      <c r="E15505" t="s">
        <v>6</v>
      </c>
    </row>
    <row r="15506" spans="1:5" x14ac:dyDescent="0.2">
      <c r="A15506">
        <v>63821</v>
      </c>
      <c r="B15506" t="s">
        <v>30</v>
      </c>
      <c r="C15506">
        <v>63821</v>
      </c>
      <c r="D15506" t="str">
        <f>"63821"</f>
        <v>63821</v>
      </c>
      <c r="E15506">
        <v>59.09</v>
      </c>
    </row>
    <row r="15507" spans="1:5" x14ac:dyDescent="0.2">
      <c r="A15507">
        <v>63822</v>
      </c>
      <c r="B15507" t="s">
        <v>30</v>
      </c>
      <c r="C15507">
        <v>63822</v>
      </c>
      <c r="D15507" t="str">
        <f>"63822"</f>
        <v>63822</v>
      </c>
      <c r="E15507">
        <v>61.61</v>
      </c>
    </row>
    <row r="15508" spans="1:5" x14ac:dyDescent="0.2">
      <c r="A15508">
        <v>63823</v>
      </c>
      <c r="B15508" t="s">
        <v>30</v>
      </c>
      <c r="C15508">
        <v>63823</v>
      </c>
      <c r="D15508" t="str">
        <f>"63823"</f>
        <v>63823</v>
      </c>
      <c r="E15508">
        <v>65.22</v>
      </c>
    </row>
    <row r="15509" spans="1:5" x14ac:dyDescent="0.2">
      <c r="A15509">
        <v>63825</v>
      </c>
      <c r="B15509" t="s">
        <v>30</v>
      </c>
      <c r="C15509">
        <v>63825</v>
      </c>
      <c r="D15509" t="str">
        <f>"63825"</f>
        <v>63825</v>
      </c>
      <c r="E15509">
        <v>66.27</v>
      </c>
    </row>
    <row r="15510" spans="1:5" x14ac:dyDescent="0.2">
      <c r="A15510">
        <v>63826</v>
      </c>
      <c r="B15510" t="s">
        <v>30</v>
      </c>
      <c r="C15510">
        <v>63826</v>
      </c>
      <c r="D15510" t="str">
        <f>"63826"</f>
        <v>63826</v>
      </c>
      <c r="E15510" t="s">
        <v>6</v>
      </c>
    </row>
    <row r="15511" spans="1:5" x14ac:dyDescent="0.2">
      <c r="A15511">
        <v>63827</v>
      </c>
      <c r="B15511" t="s">
        <v>30</v>
      </c>
      <c r="C15511">
        <v>63827</v>
      </c>
      <c r="D15511" t="str">
        <f>"63827"</f>
        <v>63827</v>
      </c>
      <c r="E15511">
        <v>61.11</v>
      </c>
    </row>
    <row r="15512" spans="1:5" x14ac:dyDescent="0.2">
      <c r="A15512">
        <v>63828</v>
      </c>
      <c r="B15512" t="s">
        <v>30</v>
      </c>
      <c r="C15512">
        <v>63828</v>
      </c>
      <c r="D15512" t="str">
        <f>"63828"</f>
        <v>63828</v>
      </c>
      <c r="E15512" t="s">
        <v>6</v>
      </c>
    </row>
    <row r="15513" spans="1:5" x14ac:dyDescent="0.2">
      <c r="A15513">
        <v>63829</v>
      </c>
      <c r="B15513" t="s">
        <v>30</v>
      </c>
      <c r="C15513">
        <v>63829</v>
      </c>
      <c r="D15513" t="str">
        <f>"63829"</f>
        <v>63829</v>
      </c>
      <c r="E15513">
        <v>54.29</v>
      </c>
    </row>
    <row r="15514" spans="1:5" x14ac:dyDescent="0.2">
      <c r="A15514">
        <v>63830</v>
      </c>
      <c r="B15514" t="s">
        <v>30</v>
      </c>
      <c r="C15514">
        <v>63830</v>
      </c>
      <c r="D15514" t="str">
        <f>"63830"</f>
        <v>63830</v>
      </c>
      <c r="E15514">
        <v>54.31</v>
      </c>
    </row>
    <row r="15515" spans="1:5" x14ac:dyDescent="0.2">
      <c r="A15515">
        <v>63833</v>
      </c>
      <c r="B15515" t="s">
        <v>30</v>
      </c>
      <c r="C15515">
        <v>63833</v>
      </c>
      <c r="D15515" t="str">
        <f>"63833"</f>
        <v>63833</v>
      </c>
      <c r="E15515" t="s">
        <v>6</v>
      </c>
    </row>
    <row r="15516" spans="1:5" x14ac:dyDescent="0.2">
      <c r="A15516">
        <v>63834</v>
      </c>
      <c r="B15516" t="s">
        <v>30</v>
      </c>
      <c r="C15516">
        <v>63834</v>
      </c>
      <c r="D15516" t="str">
        <f>"63834"</f>
        <v>63834</v>
      </c>
      <c r="E15516">
        <v>59.91</v>
      </c>
    </row>
    <row r="15517" spans="1:5" x14ac:dyDescent="0.2">
      <c r="A15517">
        <v>63837</v>
      </c>
      <c r="B15517" t="s">
        <v>30</v>
      </c>
      <c r="C15517">
        <v>63837</v>
      </c>
      <c r="D15517" t="str">
        <f>"63837"</f>
        <v>63837</v>
      </c>
      <c r="E15517">
        <v>54</v>
      </c>
    </row>
    <row r="15518" spans="1:5" x14ac:dyDescent="0.2">
      <c r="A15518">
        <v>63839</v>
      </c>
      <c r="B15518" t="s">
        <v>30</v>
      </c>
      <c r="C15518">
        <v>63839</v>
      </c>
      <c r="D15518" t="str">
        <f>"63839"</f>
        <v>63839</v>
      </c>
      <c r="E15518" t="s">
        <v>6</v>
      </c>
    </row>
    <row r="15519" spans="1:5" x14ac:dyDescent="0.2">
      <c r="A15519">
        <v>63840</v>
      </c>
      <c r="B15519" t="s">
        <v>30</v>
      </c>
      <c r="C15519">
        <v>63840</v>
      </c>
      <c r="D15519" t="str">
        <f>"63840"</f>
        <v>63840</v>
      </c>
      <c r="E15519" t="s">
        <v>6</v>
      </c>
    </row>
    <row r="15520" spans="1:5" x14ac:dyDescent="0.2">
      <c r="A15520">
        <v>63841</v>
      </c>
      <c r="B15520" t="s">
        <v>30</v>
      </c>
      <c r="C15520">
        <v>63841</v>
      </c>
      <c r="D15520" t="str">
        <f>"63841"</f>
        <v>63841</v>
      </c>
      <c r="E15520">
        <v>67.63</v>
      </c>
    </row>
    <row r="15521" spans="1:5" x14ac:dyDescent="0.2">
      <c r="A15521">
        <v>63845</v>
      </c>
      <c r="B15521" t="s">
        <v>30</v>
      </c>
      <c r="C15521">
        <v>63845</v>
      </c>
      <c r="D15521" t="str">
        <f>"63845"</f>
        <v>63845</v>
      </c>
      <c r="E15521">
        <v>61.86</v>
      </c>
    </row>
    <row r="15522" spans="1:5" x14ac:dyDescent="0.2">
      <c r="A15522">
        <v>63846</v>
      </c>
      <c r="B15522" t="s">
        <v>30</v>
      </c>
      <c r="C15522">
        <v>63846</v>
      </c>
      <c r="D15522" t="str">
        <f>"63846"</f>
        <v>63846</v>
      </c>
      <c r="E15522">
        <v>65.52</v>
      </c>
    </row>
    <row r="15523" spans="1:5" x14ac:dyDescent="0.2">
      <c r="A15523">
        <v>63847</v>
      </c>
      <c r="B15523" t="s">
        <v>30</v>
      </c>
      <c r="C15523">
        <v>63847</v>
      </c>
      <c r="D15523" t="str">
        <f>"63847"</f>
        <v>63847</v>
      </c>
      <c r="E15523" t="s">
        <v>6</v>
      </c>
    </row>
    <row r="15524" spans="1:5" x14ac:dyDescent="0.2">
      <c r="A15524">
        <v>63848</v>
      </c>
      <c r="B15524" t="s">
        <v>30</v>
      </c>
      <c r="C15524">
        <v>63848</v>
      </c>
      <c r="D15524" t="str">
        <f>"63848"</f>
        <v>63848</v>
      </c>
      <c r="E15524">
        <v>65.91</v>
      </c>
    </row>
    <row r="15525" spans="1:5" x14ac:dyDescent="0.2">
      <c r="A15525">
        <v>63849</v>
      </c>
      <c r="B15525" t="s">
        <v>30</v>
      </c>
      <c r="C15525">
        <v>63849</v>
      </c>
      <c r="D15525" t="str">
        <f>"63849"</f>
        <v>63849</v>
      </c>
      <c r="E15525" t="s">
        <v>6</v>
      </c>
    </row>
    <row r="15526" spans="1:5" x14ac:dyDescent="0.2">
      <c r="A15526">
        <v>63850</v>
      </c>
      <c r="B15526" t="s">
        <v>30</v>
      </c>
      <c r="C15526">
        <v>63850</v>
      </c>
      <c r="D15526" t="str">
        <f>"63850"</f>
        <v>63850</v>
      </c>
      <c r="E15526" t="s">
        <v>6</v>
      </c>
    </row>
    <row r="15527" spans="1:5" x14ac:dyDescent="0.2">
      <c r="A15527">
        <v>63851</v>
      </c>
      <c r="B15527" t="s">
        <v>30</v>
      </c>
      <c r="C15527">
        <v>63851</v>
      </c>
      <c r="D15527" t="str">
        <f>"63851"</f>
        <v>63851</v>
      </c>
      <c r="E15527">
        <v>50.36</v>
      </c>
    </row>
    <row r="15528" spans="1:5" x14ac:dyDescent="0.2">
      <c r="A15528">
        <v>63852</v>
      </c>
      <c r="B15528" t="s">
        <v>30</v>
      </c>
      <c r="C15528">
        <v>63852</v>
      </c>
      <c r="D15528" t="str">
        <f>"63852"</f>
        <v>63852</v>
      </c>
      <c r="E15528">
        <v>59.57</v>
      </c>
    </row>
    <row r="15529" spans="1:5" x14ac:dyDescent="0.2">
      <c r="A15529">
        <v>63853</v>
      </c>
      <c r="B15529" t="s">
        <v>30</v>
      </c>
      <c r="C15529">
        <v>63853</v>
      </c>
      <c r="D15529" t="str">
        <f>"63853"</f>
        <v>63853</v>
      </c>
      <c r="E15529" t="s">
        <v>6</v>
      </c>
    </row>
    <row r="15530" spans="1:5" x14ac:dyDescent="0.2">
      <c r="A15530">
        <v>63855</v>
      </c>
      <c r="B15530" t="s">
        <v>30</v>
      </c>
      <c r="C15530">
        <v>63855</v>
      </c>
      <c r="D15530" t="str">
        <f>"63855"</f>
        <v>63855</v>
      </c>
      <c r="E15530">
        <v>70.27</v>
      </c>
    </row>
    <row r="15531" spans="1:5" x14ac:dyDescent="0.2">
      <c r="A15531">
        <v>63857</v>
      </c>
      <c r="B15531" t="s">
        <v>30</v>
      </c>
      <c r="C15531">
        <v>63857</v>
      </c>
      <c r="D15531" t="str">
        <f>"63857"</f>
        <v>63857</v>
      </c>
      <c r="E15531">
        <v>58.57</v>
      </c>
    </row>
    <row r="15532" spans="1:5" x14ac:dyDescent="0.2">
      <c r="A15532">
        <v>63862</v>
      </c>
      <c r="B15532" t="s">
        <v>30</v>
      </c>
      <c r="C15532">
        <v>63862</v>
      </c>
      <c r="D15532" t="str">
        <f>"63862"</f>
        <v>63862</v>
      </c>
      <c r="E15532">
        <v>54</v>
      </c>
    </row>
    <row r="15533" spans="1:5" x14ac:dyDescent="0.2">
      <c r="A15533">
        <v>63863</v>
      </c>
      <c r="B15533" t="s">
        <v>30</v>
      </c>
      <c r="C15533">
        <v>63863</v>
      </c>
      <c r="D15533" t="str">
        <f>"63863"</f>
        <v>63863</v>
      </c>
      <c r="E15533">
        <v>57.73</v>
      </c>
    </row>
    <row r="15534" spans="1:5" x14ac:dyDescent="0.2">
      <c r="A15534">
        <v>63866</v>
      </c>
      <c r="B15534" t="s">
        <v>30</v>
      </c>
      <c r="C15534">
        <v>63866</v>
      </c>
      <c r="D15534" t="str">
        <f>"63866"</f>
        <v>63866</v>
      </c>
      <c r="E15534" t="s">
        <v>6</v>
      </c>
    </row>
    <row r="15535" spans="1:5" x14ac:dyDescent="0.2">
      <c r="A15535">
        <v>63867</v>
      </c>
      <c r="B15535" t="s">
        <v>30</v>
      </c>
      <c r="C15535">
        <v>63867</v>
      </c>
      <c r="D15535" t="str">
        <f>"63867"</f>
        <v>63867</v>
      </c>
      <c r="E15535">
        <v>63.16</v>
      </c>
    </row>
    <row r="15536" spans="1:5" x14ac:dyDescent="0.2">
      <c r="A15536">
        <v>63868</v>
      </c>
      <c r="B15536" t="s">
        <v>30</v>
      </c>
      <c r="C15536">
        <v>63868</v>
      </c>
      <c r="D15536" t="str">
        <f>"63868"</f>
        <v>63868</v>
      </c>
      <c r="E15536" t="s">
        <v>6</v>
      </c>
    </row>
    <row r="15537" spans="1:5" x14ac:dyDescent="0.2">
      <c r="A15537">
        <v>63869</v>
      </c>
      <c r="B15537" t="s">
        <v>30</v>
      </c>
      <c r="C15537">
        <v>63869</v>
      </c>
      <c r="D15537" t="str">
        <f>"63869"</f>
        <v>63869</v>
      </c>
      <c r="E15537">
        <v>63.45</v>
      </c>
    </row>
    <row r="15538" spans="1:5" x14ac:dyDescent="0.2">
      <c r="A15538">
        <v>63870</v>
      </c>
      <c r="B15538" t="s">
        <v>30</v>
      </c>
      <c r="C15538">
        <v>63870</v>
      </c>
      <c r="D15538" t="str">
        <f>"63870"</f>
        <v>63870</v>
      </c>
      <c r="E15538">
        <v>57.58</v>
      </c>
    </row>
    <row r="15539" spans="1:5" x14ac:dyDescent="0.2">
      <c r="A15539">
        <v>63873</v>
      </c>
      <c r="B15539" t="s">
        <v>30</v>
      </c>
      <c r="C15539">
        <v>63873</v>
      </c>
      <c r="D15539" t="str">
        <f>"63873"</f>
        <v>63873</v>
      </c>
      <c r="E15539">
        <v>63.1</v>
      </c>
    </row>
    <row r="15540" spans="1:5" x14ac:dyDescent="0.2">
      <c r="A15540">
        <v>63874</v>
      </c>
      <c r="B15540" t="s">
        <v>30</v>
      </c>
      <c r="C15540">
        <v>63874</v>
      </c>
      <c r="D15540" t="str">
        <f>"63874"</f>
        <v>63874</v>
      </c>
      <c r="E15540" t="s">
        <v>6</v>
      </c>
    </row>
    <row r="15541" spans="1:5" x14ac:dyDescent="0.2">
      <c r="A15541">
        <v>63876</v>
      </c>
      <c r="B15541" t="s">
        <v>30</v>
      </c>
      <c r="C15541">
        <v>63876</v>
      </c>
      <c r="D15541" t="str">
        <f>"63876"</f>
        <v>63876</v>
      </c>
      <c r="E15541">
        <v>59.74</v>
      </c>
    </row>
    <row r="15542" spans="1:5" x14ac:dyDescent="0.2">
      <c r="A15542">
        <v>63877</v>
      </c>
      <c r="B15542" t="s">
        <v>30</v>
      </c>
      <c r="C15542">
        <v>63877</v>
      </c>
      <c r="D15542" t="str">
        <f>"63877"</f>
        <v>63877</v>
      </c>
      <c r="E15542">
        <v>62.3</v>
      </c>
    </row>
    <row r="15543" spans="1:5" x14ac:dyDescent="0.2">
      <c r="A15543">
        <v>63878</v>
      </c>
      <c r="B15543" t="s">
        <v>30</v>
      </c>
      <c r="C15543">
        <v>63878</v>
      </c>
      <c r="D15543" t="str">
        <f>"63878"</f>
        <v>63878</v>
      </c>
      <c r="E15543" t="s">
        <v>6</v>
      </c>
    </row>
    <row r="15544" spans="1:5" x14ac:dyDescent="0.2">
      <c r="A15544">
        <v>63879</v>
      </c>
      <c r="B15544" t="s">
        <v>30</v>
      </c>
      <c r="C15544">
        <v>63879</v>
      </c>
      <c r="D15544" t="str">
        <f>"63879"</f>
        <v>63879</v>
      </c>
      <c r="E15544">
        <v>59.09</v>
      </c>
    </row>
    <row r="15545" spans="1:5" x14ac:dyDescent="0.2">
      <c r="A15545">
        <v>63880</v>
      </c>
      <c r="B15545" t="s">
        <v>30</v>
      </c>
      <c r="C15545">
        <v>63880</v>
      </c>
      <c r="D15545" t="str">
        <f>"63880"</f>
        <v>63880</v>
      </c>
      <c r="E15545" t="s">
        <v>6</v>
      </c>
    </row>
    <row r="15546" spans="1:5" x14ac:dyDescent="0.2">
      <c r="A15546">
        <v>63881</v>
      </c>
      <c r="B15546" t="s">
        <v>30</v>
      </c>
      <c r="C15546">
        <v>63881</v>
      </c>
      <c r="D15546" t="str">
        <f>"63881"</f>
        <v>63881</v>
      </c>
      <c r="E15546" t="s">
        <v>6</v>
      </c>
    </row>
    <row r="15547" spans="1:5" x14ac:dyDescent="0.2">
      <c r="A15547">
        <v>63882</v>
      </c>
      <c r="B15547" t="s">
        <v>30</v>
      </c>
      <c r="C15547">
        <v>63882</v>
      </c>
      <c r="D15547" t="str">
        <f>"63882"</f>
        <v>63882</v>
      </c>
      <c r="E15547" t="s">
        <v>6</v>
      </c>
    </row>
    <row r="15548" spans="1:5" x14ac:dyDescent="0.2">
      <c r="A15548">
        <v>63901</v>
      </c>
      <c r="B15548" t="s">
        <v>30</v>
      </c>
      <c r="C15548">
        <v>63901</v>
      </c>
      <c r="D15548" t="str">
        <f>"63901"</f>
        <v>63901</v>
      </c>
      <c r="E15548">
        <v>60.63</v>
      </c>
    </row>
    <row r="15549" spans="1:5" x14ac:dyDescent="0.2">
      <c r="A15549">
        <v>63932</v>
      </c>
      <c r="B15549" t="s">
        <v>30</v>
      </c>
      <c r="C15549">
        <v>63932</v>
      </c>
      <c r="D15549" t="str">
        <f>"63932"</f>
        <v>63932</v>
      </c>
      <c r="E15549">
        <v>63.83</v>
      </c>
    </row>
    <row r="15550" spans="1:5" x14ac:dyDescent="0.2">
      <c r="A15550">
        <v>63933</v>
      </c>
      <c r="B15550" t="s">
        <v>30</v>
      </c>
      <c r="C15550">
        <v>63933</v>
      </c>
      <c r="D15550" t="str">
        <f>"63933"</f>
        <v>63933</v>
      </c>
      <c r="E15550">
        <v>64.290000000000006</v>
      </c>
    </row>
    <row r="15551" spans="1:5" x14ac:dyDescent="0.2">
      <c r="A15551">
        <v>63935</v>
      </c>
      <c r="B15551" t="s">
        <v>30</v>
      </c>
      <c r="C15551">
        <v>63935</v>
      </c>
      <c r="D15551" t="str">
        <f>"63935"</f>
        <v>63935</v>
      </c>
      <c r="E15551">
        <v>56.52</v>
      </c>
    </row>
    <row r="15552" spans="1:5" x14ac:dyDescent="0.2">
      <c r="A15552">
        <v>63936</v>
      </c>
      <c r="B15552" t="s">
        <v>30</v>
      </c>
      <c r="C15552">
        <v>63936</v>
      </c>
      <c r="D15552" t="str">
        <f>"63936"</f>
        <v>63936</v>
      </c>
      <c r="E15552">
        <v>69.23</v>
      </c>
    </row>
    <row r="15553" spans="1:5" x14ac:dyDescent="0.2">
      <c r="A15553">
        <v>63937</v>
      </c>
      <c r="B15553" t="s">
        <v>30</v>
      </c>
      <c r="C15553">
        <v>63937</v>
      </c>
      <c r="D15553" t="str">
        <f>"63937"</f>
        <v>63937</v>
      </c>
      <c r="E15553">
        <v>57.55</v>
      </c>
    </row>
    <row r="15554" spans="1:5" x14ac:dyDescent="0.2">
      <c r="A15554">
        <v>63939</v>
      </c>
      <c r="B15554" t="s">
        <v>30</v>
      </c>
      <c r="C15554">
        <v>63939</v>
      </c>
      <c r="D15554" t="str">
        <f>"63939"</f>
        <v>63939</v>
      </c>
      <c r="E15554">
        <v>55.36</v>
      </c>
    </row>
    <row r="15555" spans="1:5" x14ac:dyDescent="0.2">
      <c r="A15555">
        <v>63940</v>
      </c>
      <c r="B15555" t="s">
        <v>30</v>
      </c>
      <c r="C15555">
        <v>63940</v>
      </c>
      <c r="D15555" t="str">
        <f>"63940"</f>
        <v>63940</v>
      </c>
      <c r="E15555">
        <v>60.78</v>
      </c>
    </row>
    <row r="15556" spans="1:5" x14ac:dyDescent="0.2">
      <c r="A15556">
        <v>63941</v>
      </c>
      <c r="B15556" t="s">
        <v>30</v>
      </c>
      <c r="C15556">
        <v>63941</v>
      </c>
      <c r="D15556" t="str">
        <f>"63941"</f>
        <v>63941</v>
      </c>
      <c r="E15556">
        <v>42.86</v>
      </c>
    </row>
    <row r="15557" spans="1:5" x14ac:dyDescent="0.2">
      <c r="A15557">
        <v>63942</v>
      </c>
      <c r="B15557" t="s">
        <v>30</v>
      </c>
      <c r="C15557">
        <v>63942</v>
      </c>
      <c r="D15557" t="str">
        <f>"63942"</f>
        <v>63942</v>
      </c>
      <c r="E15557">
        <v>57.89</v>
      </c>
    </row>
    <row r="15558" spans="1:5" x14ac:dyDescent="0.2">
      <c r="A15558">
        <v>63943</v>
      </c>
      <c r="B15558" t="s">
        <v>30</v>
      </c>
      <c r="C15558">
        <v>63943</v>
      </c>
      <c r="D15558" t="str">
        <f>"63943"</f>
        <v>63943</v>
      </c>
      <c r="E15558">
        <v>55.17</v>
      </c>
    </row>
    <row r="15559" spans="1:5" x14ac:dyDescent="0.2">
      <c r="A15559">
        <v>63944</v>
      </c>
      <c r="B15559" t="s">
        <v>30</v>
      </c>
      <c r="C15559">
        <v>63944</v>
      </c>
      <c r="D15559" t="str">
        <f>"63944"</f>
        <v>63944</v>
      </c>
      <c r="E15559">
        <v>57.14</v>
      </c>
    </row>
    <row r="15560" spans="1:5" x14ac:dyDescent="0.2">
      <c r="A15560">
        <v>63945</v>
      </c>
      <c r="B15560" t="s">
        <v>30</v>
      </c>
      <c r="C15560">
        <v>63945</v>
      </c>
      <c r="D15560" t="str">
        <f>"63945"</f>
        <v>63945</v>
      </c>
      <c r="E15560">
        <v>64.150000000000006</v>
      </c>
    </row>
    <row r="15561" spans="1:5" x14ac:dyDescent="0.2">
      <c r="A15561">
        <v>63950</v>
      </c>
      <c r="B15561" t="s">
        <v>30</v>
      </c>
      <c r="C15561">
        <v>63950</v>
      </c>
      <c r="D15561" t="str">
        <f>"63950"</f>
        <v>63950</v>
      </c>
      <c r="E15561" t="s">
        <v>6</v>
      </c>
    </row>
    <row r="15562" spans="1:5" x14ac:dyDescent="0.2">
      <c r="A15562">
        <v>63951</v>
      </c>
      <c r="B15562" t="s">
        <v>30</v>
      </c>
      <c r="C15562">
        <v>63951</v>
      </c>
      <c r="D15562" t="str">
        <f>"63951"</f>
        <v>63951</v>
      </c>
      <c r="E15562" t="s">
        <v>6</v>
      </c>
    </row>
    <row r="15563" spans="1:5" x14ac:dyDescent="0.2">
      <c r="A15563">
        <v>63952</v>
      </c>
      <c r="B15563" t="s">
        <v>30</v>
      </c>
      <c r="C15563">
        <v>63952</v>
      </c>
      <c r="D15563" t="str">
        <f>"63952"</f>
        <v>63952</v>
      </c>
      <c r="E15563">
        <v>50</v>
      </c>
    </row>
    <row r="15564" spans="1:5" x14ac:dyDescent="0.2">
      <c r="A15564">
        <v>63953</v>
      </c>
      <c r="B15564" t="s">
        <v>30</v>
      </c>
      <c r="C15564">
        <v>63953</v>
      </c>
      <c r="D15564" t="str">
        <f>"63953"</f>
        <v>63953</v>
      </c>
      <c r="E15564">
        <v>53.33</v>
      </c>
    </row>
    <row r="15565" spans="1:5" x14ac:dyDescent="0.2">
      <c r="A15565">
        <v>63954</v>
      </c>
      <c r="B15565" t="s">
        <v>30</v>
      </c>
      <c r="C15565">
        <v>63954</v>
      </c>
      <c r="D15565" t="str">
        <f>"63954"</f>
        <v>63954</v>
      </c>
      <c r="E15565">
        <v>53.85</v>
      </c>
    </row>
    <row r="15566" spans="1:5" x14ac:dyDescent="0.2">
      <c r="A15566">
        <v>63955</v>
      </c>
      <c r="B15566" t="s">
        <v>30</v>
      </c>
      <c r="C15566">
        <v>63955</v>
      </c>
      <c r="D15566" t="str">
        <f>"63955"</f>
        <v>63955</v>
      </c>
      <c r="E15566">
        <v>70</v>
      </c>
    </row>
    <row r="15567" spans="1:5" x14ac:dyDescent="0.2">
      <c r="A15567">
        <v>63956</v>
      </c>
      <c r="B15567" t="s">
        <v>30</v>
      </c>
      <c r="C15567">
        <v>63956</v>
      </c>
      <c r="D15567" t="str">
        <f>"63956"</f>
        <v>63956</v>
      </c>
      <c r="E15567">
        <v>60</v>
      </c>
    </row>
    <row r="15568" spans="1:5" x14ac:dyDescent="0.2">
      <c r="A15568">
        <v>63957</v>
      </c>
      <c r="B15568" t="s">
        <v>30</v>
      </c>
      <c r="C15568">
        <v>63957</v>
      </c>
      <c r="D15568" t="str">
        <f>"63957"</f>
        <v>63957</v>
      </c>
      <c r="E15568">
        <v>55.88</v>
      </c>
    </row>
    <row r="15569" spans="1:5" x14ac:dyDescent="0.2">
      <c r="A15569">
        <v>63960</v>
      </c>
      <c r="B15569" t="s">
        <v>30</v>
      </c>
      <c r="C15569">
        <v>63960</v>
      </c>
      <c r="D15569" t="str">
        <f>"63960"</f>
        <v>63960</v>
      </c>
      <c r="E15569">
        <v>62.39</v>
      </c>
    </row>
    <row r="15570" spans="1:5" x14ac:dyDescent="0.2">
      <c r="A15570">
        <v>63961</v>
      </c>
      <c r="B15570" t="s">
        <v>30</v>
      </c>
      <c r="C15570">
        <v>63961</v>
      </c>
      <c r="D15570" t="str">
        <f>"63961"</f>
        <v>63961</v>
      </c>
      <c r="E15570">
        <v>61.82</v>
      </c>
    </row>
    <row r="15571" spans="1:5" x14ac:dyDescent="0.2">
      <c r="A15571">
        <v>63964</v>
      </c>
      <c r="B15571" t="s">
        <v>30</v>
      </c>
      <c r="C15571">
        <v>63964</v>
      </c>
      <c r="D15571" t="str">
        <f>"63964"</f>
        <v>63964</v>
      </c>
      <c r="E15571">
        <v>53.85</v>
      </c>
    </row>
    <row r="15572" spans="1:5" x14ac:dyDescent="0.2">
      <c r="A15572">
        <v>63965</v>
      </c>
      <c r="B15572" t="s">
        <v>30</v>
      </c>
      <c r="C15572">
        <v>63965</v>
      </c>
      <c r="D15572" t="str">
        <f>"63965"</f>
        <v>63965</v>
      </c>
      <c r="E15572">
        <v>55.45</v>
      </c>
    </row>
    <row r="15573" spans="1:5" x14ac:dyDescent="0.2">
      <c r="A15573">
        <v>63966</v>
      </c>
      <c r="B15573" t="s">
        <v>30</v>
      </c>
      <c r="C15573">
        <v>63966</v>
      </c>
      <c r="D15573" t="str">
        <f>"63966"</f>
        <v>63966</v>
      </c>
      <c r="E15573">
        <v>60</v>
      </c>
    </row>
    <row r="15574" spans="1:5" x14ac:dyDescent="0.2">
      <c r="A15574">
        <v>63967</v>
      </c>
      <c r="B15574" t="s">
        <v>30</v>
      </c>
      <c r="C15574">
        <v>63967</v>
      </c>
      <c r="D15574" t="str">
        <f>"63967"</f>
        <v>63967</v>
      </c>
      <c r="E15574">
        <v>61.54</v>
      </c>
    </row>
    <row r="15575" spans="1:5" x14ac:dyDescent="0.2">
      <c r="A15575">
        <v>64001</v>
      </c>
      <c r="B15575" t="s">
        <v>30</v>
      </c>
      <c r="C15575">
        <v>64001</v>
      </c>
      <c r="D15575" t="str">
        <f>"64001"</f>
        <v>64001</v>
      </c>
      <c r="E15575">
        <v>70.97</v>
      </c>
    </row>
    <row r="15576" spans="1:5" x14ac:dyDescent="0.2">
      <c r="A15576">
        <v>64011</v>
      </c>
      <c r="B15576" t="s">
        <v>30</v>
      </c>
      <c r="C15576">
        <v>64011</v>
      </c>
      <c r="D15576" t="str">
        <f>"64011"</f>
        <v>64011</v>
      </c>
      <c r="E15576">
        <v>74.67</v>
      </c>
    </row>
    <row r="15577" spans="1:5" x14ac:dyDescent="0.2">
      <c r="A15577">
        <v>64012</v>
      </c>
      <c r="B15577" t="s">
        <v>30</v>
      </c>
      <c r="C15577">
        <v>64012</v>
      </c>
      <c r="D15577" t="str">
        <f>"64012"</f>
        <v>64012</v>
      </c>
      <c r="E15577">
        <v>72.48</v>
      </c>
    </row>
    <row r="15578" spans="1:5" x14ac:dyDescent="0.2">
      <c r="A15578">
        <v>64014</v>
      </c>
      <c r="B15578" t="s">
        <v>30</v>
      </c>
      <c r="C15578">
        <v>64014</v>
      </c>
      <c r="D15578" t="str">
        <f>"64014"</f>
        <v>64014</v>
      </c>
      <c r="E15578">
        <v>75.77</v>
      </c>
    </row>
    <row r="15579" spans="1:5" x14ac:dyDescent="0.2">
      <c r="A15579">
        <v>64015</v>
      </c>
      <c r="B15579" t="s">
        <v>30</v>
      </c>
      <c r="C15579">
        <v>64015</v>
      </c>
      <c r="D15579" t="str">
        <f>"64015"</f>
        <v>64015</v>
      </c>
      <c r="E15579">
        <v>76.19</v>
      </c>
    </row>
    <row r="15580" spans="1:5" x14ac:dyDescent="0.2">
      <c r="A15580">
        <v>64016</v>
      </c>
      <c r="B15580" t="s">
        <v>30</v>
      </c>
      <c r="C15580">
        <v>64016</v>
      </c>
      <c r="D15580" t="str">
        <f>"64016"</f>
        <v>64016</v>
      </c>
      <c r="E15580">
        <v>74.41</v>
      </c>
    </row>
    <row r="15581" spans="1:5" x14ac:dyDescent="0.2">
      <c r="A15581">
        <v>64017</v>
      </c>
      <c r="B15581" t="s">
        <v>30</v>
      </c>
      <c r="C15581">
        <v>64017</v>
      </c>
      <c r="D15581" t="str">
        <f>"64017"</f>
        <v>64017</v>
      </c>
      <c r="E15581">
        <v>63.16</v>
      </c>
    </row>
    <row r="15582" spans="1:5" x14ac:dyDescent="0.2">
      <c r="A15582">
        <v>64018</v>
      </c>
      <c r="B15582" t="s">
        <v>30</v>
      </c>
      <c r="C15582">
        <v>64018</v>
      </c>
      <c r="D15582" t="str">
        <f>"64018"</f>
        <v>64018</v>
      </c>
      <c r="E15582">
        <v>80.95</v>
      </c>
    </row>
    <row r="15583" spans="1:5" x14ac:dyDescent="0.2">
      <c r="A15583">
        <v>64019</v>
      </c>
      <c r="B15583" t="s">
        <v>30</v>
      </c>
      <c r="C15583">
        <v>64019</v>
      </c>
      <c r="D15583" t="str">
        <f>"64019"</f>
        <v>64019</v>
      </c>
      <c r="E15583">
        <v>72.64</v>
      </c>
    </row>
    <row r="15584" spans="1:5" x14ac:dyDescent="0.2">
      <c r="A15584">
        <v>64020</v>
      </c>
      <c r="B15584" t="s">
        <v>30</v>
      </c>
      <c r="C15584">
        <v>64020</v>
      </c>
      <c r="D15584" t="str">
        <f>"64020"</f>
        <v>64020</v>
      </c>
      <c r="E15584">
        <v>68.099999999999994</v>
      </c>
    </row>
    <row r="15585" spans="1:5" x14ac:dyDescent="0.2">
      <c r="A15585">
        <v>64021</v>
      </c>
      <c r="B15585" t="s">
        <v>30</v>
      </c>
      <c r="C15585">
        <v>64021</v>
      </c>
      <c r="D15585" t="str">
        <f>"64021"</f>
        <v>64021</v>
      </c>
      <c r="E15585">
        <v>72.41</v>
      </c>
    </row>
    <row r="15586" spans="1:5" x14ac:dyDescent="0.2">
      <c r="A15586">
        <v>64022</v>
      </c>
      <c r="B15586" t="s">
        <v>30</v>
      </c>
      <c r="C15586">
        <v>64022</v>
      </c>
      <c r="D15586" t="str">
        <f>"64022"</f>
        <v>64022</v>
      </c>
      <c r="E15586" t="s">
        <v>6</v>
      </c>
    </row>
    <row r="15587" spans="1:5" x14ac:dyDescent="0.2">
      <c r="A15587">
        <v>64024</v>
      </c>
      <c r="B15587" t="s">
        <v>30</v>
      </c>
      <c r="C15587">
        <v>64024</v>
      </c>
      <c r="D15587" t="str">
        <f>"64024"</f>
        <v>64024</v>
      </c>
      <c r="E15587">
        <v>70.94</v>
      </c>
    </row>
    <row r="15588" spans="1:5" x14ac:dyDescent="0.2">
      <c r="A15588">
        <v>64028</v>
      </c>
      <c r="B15588" t="s">
        <v>30</v>
      </c>
      <c r="C15588">
        <v>64028</v>
      </c>
      <c r="D15588" t="str">
        <f>"64028"</f>
        <v>64028</v>
      </c>
      <c r="E15588" t="s">
        <v>6</v>
      </c>
    </row>
    <row r="15589" spans="1:5" x14ac:dyDescent="0.2">
      <c r="A15589">
        <v>64029</v>
      </c>
      <c r="B15589" t="s">
        <v>30</v>
      </c>
      <c r="C15589">
        <v>64029</v>
      </c>
      <c r="D15589" t="str">
        <f>"64029"</f>
        <v>64029</v>
      </c>
      <c r="E15589">
        <v>78.290000000000006</v>
      </c>
    </row>
    <row r="15590" spans="1:5" x14ac:dyDescent="0.2">
      <c r="A15590">
        <v>64030</v>
      </c>
      <c r="B15590" t="s">
        <v>30</v>
      </c>
      <c r="C15590">
        <v>64030</v>
      </c>
      <c r="D15590" t="str">
        <f>"64030"</f>
        <v>64030</v>
      </c>
      <c r="E15590">
        <v>66.5</v>
      </c>
    </row>
    <row r="15591" spans="1:5" x14ac:dyDescent="0.2">
      <c r="A15591">
        <v>64034</v>
      </c>
      <c r="B15591" t="s">
        <v>30</v>
      </c>
      <c r="C15591">
        <v>64034</v>
      </c>
      <c r="D15591" t="str">
        <f>"64034"</f>
        <v>64034</v>
      </c>
      <c r="E15591">
        <v>81.66</v>
      </c>
    </row>
    <row r="15592" spans="1:5" x14ac:dyDescent="0.2">
      <c r="A15592">
        <v>64035</v>
      </c>
      <c r="B15592" t="s">
        <v>30</v>
      </c>
      <c r="C15592">
        <v>64035</v>
      </c>
      <c r="D15592" t="str">
        <f>"64035"</f>
        <v>64035</v>
      </c>
      <c r="E15592">
        <v>73.81</v>
      </c>
    </row>
    <row r="15593" spans="1:5" x14ac:dyDescent="0.2">
      <c r="A15593">
        <v>64036</v>
      </c>
      <c r="B15593" t="s">
        <v>30</v>
      </c>
      <c r="C15593">
        <v>64036</v>
      </c>
      <c r="D15593" t="str">
        <f>"64036"</f>
        <v>64036</v>
      </c>
      <c r="E15593">
        <v>63.64</v>
      </c>
    </row>
    <row r="15594" spans="1:5" x14ac:dyDescent="0.2">
      <c r="A15594">
        <v>64037</v>
      </c>
      <c r="B15594" t="s">
        <v>30</v>
      </c>
      <c r="C15594">
        <v>64037</v>
      </c>
      <c r="D15594" t="str">
        <f>"64037"</f>
        <v>64037</v>
      </c>
      <c r="E15594">
        <v>71.12</v>
      </c>
    </row>
    <row r="15595" spans="1:5" x14ac:dyDescent="0.2">
      <c r="A15595">
        <v>64040</v>
      </c>
      <c r="B15595" t="s">
        <v>30</v>
      </c>
      <c r="C15595">
        <v>64040</v>
      </c>
      <c r="D15595" t="str">
        <f>"64040"</f>
        <v>64040</v>
      </c>
      <c r="E15595">
        <v>72.599999999999994</v>
      </c>
    </row>
    <row r="15596" spans="1:5" x14ac:dyDescent="0.2">
      <c r="A15596">
        <v>64048</v>
      </c>
      <c r="B15596" t="s">
        <v>30</v>
      </c>
      <c r="C15596">
        <v>64048</v>
      </c>
      <c r="D15596" t="str">
        <f>"64048"</f>
        <v>64048</v>
      </c>
      <c r="E15596">
        <v>79.33</v>
      </c>
    </row>
    <row r="15597" spans="1:5" x14ac:dyDescent="0.2">
      <c r="A15597">
        <v>64050</v>
      </c>
      <c r="B15597" t="s">
        <v>30</v>
      </c>
      <c r="C15597">
        <v>64050</v>
      </c>
      <c r="D15597" t="str">
        <f>"64050"</f>
        <v>64050</v>
      </c>
      <c r="E15597">
        <v>63.57</v>
      </c>
    </row>
    <row r="15598" spans="1:5" x14ac:dyDescent="0.2">
      <c r="A15598">
        <v>64052</v>
      </c>
      <c r="B15598" t="s">
        <v>30</v>
      </c>
      <c r="C15598">
        <v>64052</v>
      </c>
      <c r="D15598" t="str">
        <f>"64052"</f>
        <v>64052</v>
      </c>
      <c r="E15598">
        <v>65.8</v>
      </c>
    </row>
    <row r="15599" spans="1:5" x14ac:dyDescent="0.2">
      <c r="A15599">
        <v>64053</v>
      </c>
      <c r="B15599" t="s">
        <v>30</v>
      </c>
      <c r="C15599">
        <v>64053</v>
      </c>
      <c r="D15599" t="str">
        <f>"64053"</f>
        <v>64053</v>
      </c>
      <c r="E15599">
        <v>59.47</v>
      </c>
    </row>
    <row r="15600" spans="1:5" x14ac:dyDescent="0.2">
      <c r="A15600">
        <v>64054</v>
      </c>
      <c r="B15600" t="s">
        <v>30</v>
      </c>
      <c r="C15600">
        <v>64054</v>
      </c>
      <c r="D15600" t="str">
        <f>"64054"</f>
        <v>64054</v>
      </c>
      <c r="E15600">
        <v>65.5</v>
      </c>
    </row>
    <row r="15601" spans="1:5" x14ac:dyDescent="0.2">
      <c r="A15601">
        <v>64055</v>
      </c>
      <c r="B15601" t="s">
        <v>30</v>
      </c>
      <c r="C15601">
        <v>64055</v>
      </c>
      <c r="D15601" t="str">
        <f>"64055"</f>
        <v>64055</v>
      </c>
      <c r="E15601">
        <v>73.650000000000006</v>
      </c>
    </row>
    <row r="15602" spans="1:5" x14ac:dyDescent="0.2">
      <c r="A15602">
        <v>64056</v>
      </c>
      <c r="B15602" t="s">
        <v>30</v>
      </c>
      <c r="C15602">
        <v>64056</v>
      </c>
      <c r="D15602" t="str">
        <f>"64056"</f>
        <v>64056</v>
      </c>
      <c r="E15602">
        <v>69.569999999999993</v>
      </c>
    </row>
    <row r="15603" spans="1:5" x14ac:dyDescent="0.2">
      <c r="A15603">
        <v>64057</v>
      </c>
      <c r="B15603" t="s">
        <v>30</v>
      </c>
      <c r="C15603">
        <v>64057</v>
      </c>
      <c r="D15603" t="str">
        <f>"64057"</f>
        <v>64057</v>
      </c>
      <c r="E15603">
        <v>76.38</v>
      </c>
    </row>
    <row r="15604" spans="1:5" x14ac:dyDescent="0.2">
      <c r="A15604">
        <v>64058</v>
      </c>
      <c r="B15604" t="s">
        <v>30</v>
      </c>
      <c r="C15604">
        <v>64058</v>
      </c>
      <c r="D15604" t="str">
        <f>"64058"</f>
        <v>64058</v>
      </c>
      <c r="E15604">
        <v>71.11</v>
      </c>
    </row>
    <row r="15605" spans="1:5" x14ac:dyDescent="0.2">
      <c r="A15605">
        <v>64060</v>
      </c>
      <c r="B15605" t="s">
        <v>30</v>
      </c>
      <c r="C15605">
        <v>64060</v>
      </c>
      <c r="D15605" t="str">
        <f>"64060"</f>
        <v>64060</v>
      </c>
      <c r="E15605">
        <v>79.569999999999993</v>
      </c>
    </row>
    <row r="15606" spans="1:5" x14ac:dyDescent="0.2">
      <c r="A15606">
        <v>64061</v>
      </c>
      <c r="B15606" t="s">
        <v>30</v>
      </c>
      <c r="C15606">
        <v>64061</v>
      </c>
      <c r="D15606" t="str">
        <f>"64061"</f>
        <v>64061</v>
      </c>
      <c r="E15606">
        <v>77.5</v>
      </c>
    </row>
    <row r="15607" spans="1:5" x14ac:dyDescent="0.2">
      <c r="A15607">
        <v>64062</v>
      </c>
      <c r="B15607" t="s">
        <v>30</v>
      </c>
      <c r="C15607">
        <v>64062</v>
      </c>
      <c r="D15607" t="str">
        <f>"64062"</f>
        <v>64062</v>
      </c>
      <c r="E15607">
        <v>75.09</v>
      </c>
    </row>
    <row r="15608" spans="1:5" x14ac:dyDescent="0.2">
      <c r="A15608">
        <v>64063</v>
      </c>
      <c r="B15608" t="s">
        <v>30</v>
      </c>
      <c r="C15608">
        <v>64063</v>
      </c>
      <c r="D15608" t="str">
        <f>"64063"</f>
        <v>64063</v>
      </c>
      <c r="E15608">
        <v>76.53</v>
      </c>
    </row>
    <row r="15609" spans="1:5" x14ac:dyDescent="0.2">
      <c r="A15609">
        <v>64064</v>
      </c>
      <c r="B15609" t="s">
        <v>30</v>
      </c>
      <c r="C15609">
        <v>64064</v>
      </c>
      <c r="D15609" t="str">
        <f>"64064"</f>
        <v>64064</v>
      </c>
      <c r="E15609">
        <v>80.069999999999993</v>
      </c>
    </row>
    <row r="15610" spans="1:5" x14ac:dyDescent="0.2">
      <c r="A15610">
        <v>64065</v>
      </c>
      <c r="B15610" t="s">
        <v>30</v>
      </c>
      <c r="C15610">
        <v>64065</v>
      </c>
      <c r="D15610" t="str">
        <f>"64065"</f>
        <v>64065</v>
      </c>
      <c r="E15610" t="s">
        <v>6</v>
      </c>
    </row>
    <row r="15611" spans="1:5" x14ac:dyDescent="0.2">
      <c r="A15611">
        <v>64066</v>
      </c>
      <c r="B15611" t="s">
        <v>30</v>
      </c>
      <c r="C15611">
        <v>64066</v>
      </c>
      <c r="D15611" t="str">
        <f>"64066"</f>
        <v>64066</v>
      </c>
      <c r="E15611" t="s">
        <v>6</v>
      </c>
    </row>
    <row r="15612" spans="1:5" x14ac:dyDescent="0.2">
      <c r="A15612">
        <v>64067</v>
      </c>
      <c r="B15612" t="s">
        <v>30</v>
      </c>
      <c r="C15612">
        <v>64067</v>
      </c>
      <c r="D15612" t="str">
        <f>"64067"</f>
        <v>64067</v>
      </c>
      <c r="E15612">
        <v>67.5</v>
      </c>
    </row>
    <row r="15613" spans="1:5" x14ac:dyDescent="0.2">
      <c r="A15613">
        <v>64068</v>
      </c>
      <c r="B15613" t="s">
        <v>30</v>
      </c>
      <c r="C15613">
        <v>64068</v>
      </c>
      <c r="D15613" t="str">
        <f>"64068"</f>
        <v>64068</v>
      </c>
      <c r="E15613">
        <v>77.040000000000006</v>
      </c>
    </row>
    <row r="15614" spans="1:5" x14ac:dyDescent="0.2">
      <c r="A15614">
        <v>64070</v>
      </c>
      <c r="B15614" t="s">
        <v>30</v>
      </c>
      <c r="C15614">
        <v>64070</v>
      </c>
      <c r="D15614" t="str">
        <f>"64070"</f>
        <v>64070</v>
      </c>
      <c r="E15614">
        <v>79.290000000000006</v>
      </c>
    </row>
    <row r="15615" spans="1:5" x14ac:dyDescent="0.2">
      <c r="A15615">
        <v>64071</v>
      </c>
      <c r="B15615" t="s">
        <v>30</v>
      </c>
      <c r="C15615">
        <v>64071</v>
      </c>
      <c r="D15615" t="str">
        <f>"64071"</f>
        <v>64071</v>
      </c>
      <c r="E15615">
        <v>70.59</v>
      </c>
    </row>
    <row r="15616" spans="1:5" x14ac:dyDescent="0.2">
      <c r="A15616">
        <v>64072</v>
      </c>
      <c r="B15616" t="s">
        <v>30</v>
      </c>
      <c r="C15616">
        <v>64072</v>
      </c>
      <c r="D15616" t="str">
        <f>"64072"</f>
        <v>64072</v>
      </c>
      <c r="E15616" t="s">
        <v>6</v>
      </c>
    </row>
    <row r="15617" spans="1:5" x14ac:dyDescent="0.2">
      <c r="A15617">
        <v>64074</v>
      </c>
      <c r="B15617" t="s">
        <v>30</v>
      </c>
      <c r="C15617">
        <v>64074</v>
      </c>
      <c r="D15617" t="str">
        <f>"64074"</f>
        <v>64074</v>
      </c>
      <c r="E15617">
        <v>72.73</v>
      </c>
    </row>
    <row r="15618" spans="1:5" x14ac:dyDescent="0.2">
      <c r="A15618">
        <v>64075</v>
      </c>
      <c r="B15618" t="s">
        <v>30</v>
      </c>
      <c r="C15618">
        <v>64075</v>
      </c>
      <c r="D15618" t="str">
        <f>"64075"</f>
        <v>64075</v>
      </c>
      <c r="E15618">
        <v>72.42</v>
      </c>
    </row>
    <row r="15619" spans="1:5" x14ac:dyDescent="0.2">
      <c r="A15619">
        <v>64076</v>
      </c>
      <c r="B15619" t="s">
        <v>30</v>
      </c>
      <c r="C15619">
        <v>64076</v>
      </c>
      <c r="D15619" t="str">
        <f>"64076"</f>
        <v>64076</v>
      </c>
      <c r="E15619">
        <v>72.489999999999995</v>
      </c>
    </row>
    <row r="15620" spans="1:5" x14ac:dyDescent="0.2">
      <c r="A15620">
        <v>64077</v>
      </c>
      <c r="B15620" t="s">
        <v>30</v>
      </c>
      <c r="C15620">
        <v>64077</v>
      </c>
      <c r="D15620" t="str">
        <f>"64077"</f>
        <v>64077</v>
      </c>
      <c r="E15620">
        <v>75.95</v>
      </c>
    </row>
    <row r="15621" spans="1:5" x14ac:dyDescent="0.2">
      <c r="A15621">
        <v>64078</v>
      </c>
      <c r="B15621" t="s">
        <v>30</v>
      </c>
      <c r="C15621">
        <v>64078</v>
      </c>
      <c r="D15621" t="str">
        <f>"64078"</f>
        <v>64078</v>
      </c>
      <c r="E15621">
        <v>76.84</v>
      </c>
    </row>
    <row r="15622" spans="1:5" x14ac:dyDescent="0.2">
      <c r="A15622">
        <v>64079</v>
      </c>
      <c r="B15622" t="s">
        <v>30</v>
      </c>
      <c r="C15622">
        <v>64079</v>
      </c>
      <c r="D15622" t="str">
        <f>"64079"</f>
        <v>64079</v>
      </c>
      <c r="E15622">
        <v>80.75</v>
      </c>
    </row>
    <row r="15623" spans="1:5" x14ac:dyDescent="0.2">
      <c r="A15623">
        <v>64080</v>
      </c>
      <c r="B15623" t="s">
        <v>30</v>
      </c>
      <c r="C15623">
        <v>64080</v>
      </c>
      <c r="D15623" t="str">
        <f>"64080"</f>
        <v>64080</v>
      </c>
      <c r="E15623">
        <v>76.39</v>
      </c>
    </row>
    <row r="15624" spans="1:5" x14ac:dyDescent="0.2">
      <c r="A15624">
        <v>64081</v>
      </c>
      <c r="B15624" t="s">
        <v>30</v>
      </c>
      <c r="C15624">
        <v>64081</v>
      </c>
      <c r="D15624" t="str">
        <f>"64081"</f>
        <v>64081</v>
      </c>
      <c r="E15624">
        <v>79.81</v>
      </c>
    </row>
    <row r="15625" spans="1:5" x14ac:dyDescent="0.2">
      <c r="A15625">
        <v>64082</v>
      </c>
      <c r="B15625" t="s">
        <v>30</v>
      </c>
      <c r="C15625">
        <v>64082</v>
      </c>
      <c r="D15625" t="str">
        <f>"64082"</f>
        <v>64082</v>
      </c>
      <c r="E15625">
        <v>82.68</v>
      </c>
    </row>
    <row r="15626" spans="1:5" x14ac:dyDescent="0.2">
      <c r="A15626">
        <v>64083</v>
      </c>
      <c r="B15626" t="s">
        <v>30</v>
      </c>
      <c r="C15626">
        <v>64083</v>
      </c>
      <c r="D15626" t="str">
        <f>"64083"</f>
        <v>64083</v>
      </c>
      <c r="E15626">
        <v>79.209999999999994</v>
      </c>
    </row>
    <row r="15627" spans="1:5" x14ac:dyDescent="0.2">
      <c r="A15627">
        <v>64084</v>
      </c>
      <c r="B15627" t="s">
        <v>30</v>
      </c>
      <c r="C15627">
        <v>64084</v>
      </c>
      <c r="D15627" t="str">
        <f>"64084"</f>
        <v>64084</v>
      </c>
      <c r="E15627">
        <v>75</v>
      </c>
    </row>
    <row r="15628" spans="1:5" x14ac:dyDescent="0.2">
      <c r="A15628">
        <v>64085</v>
      </c>
      <c r="B15628" t="s">
        <v>30</v>
      </c>
      <c r="C15628">
        <v>64085</v>
      </c>
      <c r="D15628" t="str">
        <f>"64085"</f>
        <v>64085</v>
      </c>
      <c r="E15628">
        <v>70.5</v>
      </c>
    </row>
    <row r="15629" spans="1:5" x14ac:dyDescent="0.2">
      <c r="A15629">
        <v>64086</v>
      </c>
      <c r="B15629" t="s">
        <v>30</v>
      </c>
      <c r="C15629">
        <v>64086</v>
      </c>
      <c r="D15629" t="str">
        <f>"64086"</f>
        <v>64086</v>
      </c>
      <c r="E15629">
        <v>80.319999999999993</v>
      </c>
    </row>
    <row r="15630" spans="1:5" x14ac:dyDescent="0.2">
      <c r="A15630">
        <v>64088</v>
      </c>
      <c r="B15630" t="s">
        <v>30</v>
      </c>
      <c r="C15630">
        <v>64088</v>
      </c>
      <c r="D15630" t="str">
        <f>"64088"</f>
        <v>64088</v>
      </c>
      <c r="E15630">
        <v>73.77</v>
      </c>
    </row>
    <row r="15631" spans="1:5" x14ac:dyDescent="0.2">
      <c r="A15631">
        <v>64089</v>
      </c>
      <c r="B15631" t="s">
        <v>30</v>
      </c>
      <c r="C15631">
        <v>64089</v>
      </c>
      <c r="D15631" t="str">
        <f>"64089"</f>
        <v>64089</v>
      </c>
      <c r="E15631">
        <v>80.48</v>
      </c>
    </row>
    <row r="15632" spans="1:5" x14ac:dyDescent="0.2">
      <c r="A15632">
        <v>64090</v>
      </c>
      <c r="B15632" t="s">
        <v>30</v>
      </c>
      <c r="C15632">
        <v>64090</v>
      </c>
      <c r="D15632" t="str">
        <f>"64090"</f>
        <v>64090</v>
      </c>
      <c r="E15632" t="s">
        <v>6</v>
      </c>
    </row>
    <row r="15633" spans="1:5" x14ac:dyDescent="0.2">
      <c r="A15633">
        <v>64092</v>
      </c>
      <c r="B15633" t="s">
        <v>30</v>
      </c>
      <c r="C15633">
        <v>64092</v>
      </c>
      <c r="D15633" t="str">
        <f>"64092"</f>
        <v>64092</v>
      </c>
      <c r="E15633" t="s">
        <v>6</v>
      </c>
    </row>
    <row r="15634" spans="1:5" x14ac:dyDescent="0.2">
      <c r="A15634">
        <v>64093</v>
      </c>
      <c r="B15634" t="s">
        <v>30</v>
      </c>
      <c r="C15634">
        <v>64093</v>
      </c>
      <c r="D15634" t="str">
        <f>"64093"</f>
        <v>64093</v>
      </c>
      <c r="E15634">
        <v>71.180000000000007</v>
      </c>
    </row>
    <row r="15635" spans="1:5" x14ac:dyDescent="0.2">
      <c r="A15635">
        <v>64096</v>
      </c>
      <c r="B15635" t="s">
        <v>30</v>
      </c>
      <c r="C15635">
        <v>64096</v>
      </c>
      <c r="D15635" t="str">
        <f>"64096"</f>
        <v>64096</v>
      </c>
      <c r="E15635">
        <v>68.09</v>
      </c>
    </row>
    <row r="15636" spans="1:5" x14ac:dyDescent="0.2">
      <c r="A15636">
        <v>64097</v>
      </c>
      <c r="B15636" t="s">
        <v>30</v>
      </c>
      <c r="C15636">
        <v>64097</v>
      </c>
      <c r="D15636" t="str">
        <f>"64097"</f>
        <v>64097</v>
      </c>
      <c r="E15636">
        <v>78.69</v>
      </c>
    </row>
    <row r="15637" spans="1:5" x14ac:dyDescent="0.2">
      <c r="A15637">
        <v>64098</v>
      </c>
      <c r="B15637" t="s">
        <v>30</v>
      </c>
      <c r="C15637">
        <v>64098</v>
      </c>
      <c r="D15637" t="str">
        <f>"64098"</f>
        <v>64098</v>
      </c>
      <c r="E15637">
        <v>76.760000000000005</v>
      </c>
    </row>
    <row r="15638" spans="1:5" x14ac:dyDescent="0.2">
      <c r="A15638">
        <v>64101</v>
      </c>
      <c r="B15638" t="s">
        <v>30</v>
      </c>
      <c r="C15638">
        <v>64101</v>
      </c>
      <c r="D15638" t="str">
        <f>"64101"</f>
        <v>64101</v>
      </c>
      <c r="E15638" t="s">
        <v>6</v>
      </c>
    </row>
    <row r="15639" spans="1:5" x14ac:dyDescent="0.2">
      <c r="A15639">
        <v>64102</v>
      </c>
      <c r="B15639" t="s">
        <v>30</v>
      </c>
      <c r="C15639">
        <v>64102</v>
      </c>
      <c r="D15639" t="str">
        <f>"64102"</f>
        <v>64102</v>
      </c>
      <c r="E15639" t="s">
        <v>6</v>
      </c>
    </row>
    <row r="15640" spans="1:5" x14ac:dyDescent="0.2">
      <c r="A15640">
        <v>64105</v>
      </c>
      <c r="B15640" t="s">
        <v>30</v>
      </c>
      <c r="C15640">
        <v>64105</v>
      </c>
      <c r="D15640" t="str">
        <f>"64105"</f>
        <v>64105</v>
      </c>
      <c r="E15640">
        <v>90.31</v>
      </c>
    </row>
    <row r="15641" spans="1:5" x14ac:dyDescent="0.2">
      <c r="A15641">
        <v>64106</v>
      </c>
      <c r="B15641" t="s">
        <v>30</v>
      </c>
      <c r="C15641">
        <v>64106</v>
      </c>
      <c r="D15641" t="str">
        <f>"64106"</f>
        <v>64106</v>
      </c>
      <c r="E15641">
        <v>66.67</v>
      </c>
    </row>
    <row r="15642" spans="1:5" x14ac:dyDescent="0.2">
      <c r="A15642">
        <v>64108</v>
      </c>
      <c r="B15642" t="s">
        <v>30</v>
      </c>
      <c r="C15642">
        <v>64108</v>
      </c>
      <c r="D15642" t="str">
        <f>"64108"</f>
        <v>64108</v>
      </c>
      <c r="E15642">
        <v>76.040000000000006</v>
      </c>
    </row>
    <row r="15643" spans="1:5" x14ac:dyDescent="0.2">
      <c r="A15643">
        <v>64109</v>
      </c>
      <c r="B15643" t="s">
        <v>30</v>
      </c>
      <c r="C15643">
        <v>64109</v>
      </c>
      <c r="D15643" t="str">
        <f>"64109"</f>
        <v>64109</v>
      </c>
      <c r="E15643">
        <v>59.7</v>
      </c>
    </row>
    <row r="15644" spans="1:5" x14ac:dyDescent="0.2">
      <c r="A15644">
        <v>64110</v>
      </c>
      <c r="B15644" t="s">
        <v>30</v>
      </c>
      <c r="C15644">
        <v>64110</v>
      </c>
      <c r="D15644" t="str">
        <f>"64110"</f>
        <v>64110</v>
      </c>
      <c r="E15644">
        <v>69.930000000000007</v>
      </c>
    </row>
    <row r="15645" spans="1:5" x14ac:dyDescent="0.2">
      <c r="A15645">
        <v>64111</v>
      </c>
      <c r="B15645" t="s">
        <v>30</v>
      </c>
      <c r="C15645">
        <v>64111</v>
      </c>
      <c r="D15645" t="str">
        <f>"64111"</f>
        <v>64111</v>
      </c>
      <c r="E15645">
        <v>83.51</v>
      </c>
    </row>
    <row r="15646" spans="1:5" x14ac:dyDescent="0.2">
      <c r="A15646">
        <v>64112</v>
      </c>
      <c r="B15646" t="s">
        <v>30</v>
      </c>
      <c r="C15646">
        <v>64112</v>
      </c>
      <c r="D15646" t="str">
        <f>"64112"</f>
        <v>64112</v>
      </c>
      <c r="E15646">
        <v>86.05</v>
      </c>
    </row>
    <row r="15647" spans="1:5" x14ac:dyDescent="0.2">
      <c r="A15647">
        <v>64113</v>
      </c>
      <c r="B15647" t="s">
        <v>30</v>
      </c>
      <c r="C15647">
        <v>64113</v>
      </c>
      <c r="D15647" t="str">
        <f>"64113"</f>
        <v>64113</v>
      </c>
      <c r="E15647">
        <v>86.03</v>
      </c>
    </row>
    <row r="15648" spans="1:5" x14ac:dyDescent="0.2">
      <c r="A15648">
        <v>64114</v>
      </c>
      <c r="B15648" t="s">
        <v>30</v>
      </c>
      <c r="C15648">
        <v>64114</v>
      </c>
      <c r="D15648" t="str">
        <f>"64114"</f>
        <v>64114</v>
      </c>
      <c r="E15648">
        <v>83.11</v>
      </c>
    </row>
    <row r="15649" spans="1:5" x14ac:dyDescent="0.2">
      <c r="A15649">
        <v>64116</v>
      </c>
      <c r="B15649" t="s">
        <v>30</v>
      </c>
      <c r="C15649">
        <v>64116</v>
      </c>
      <c r="D15649" t="str">
        <f>"64116"</f>
        <v>64116</v>
      </c>
      <c r="E15649">
        <v>75.19</v>
      </c>
    </row>
    <row r="15650" spans="1:5" x14ac:dyDescent="0.2">
      <c r="A15650">
        <v>64117</v>
      </c>
      <c r="B15650" t="s">
        <v>30</v>
      </c>
      <c r="C15650">
        <v>64117</v>
      </c>
      <c r="D15650" t="str">
        <f>"64117"</f>
        <v>64117</v>
      </c>
      <c r="E15650">
        <v>68.87</v>
      </c>
    </row>
    <row r="15651" spans="1:5" x14ac:dyDescent="0.2">
      <c r="A15651">
        <v>64118</v>
      </c>
      <c r="B15651" t="s">
        <v>30</v>
      </c>
      <c r="C15651">
        <v>64118</v>
      </c>
      <c r="D15651" t="str">
        <f>"64118"</f>
        <v>64118</v>
      </c>
      <c r="E15651">
        <v>73.61</v>
      </c>
    </row>
    <row r="15652" spans="1:5" x14ac:dyDescent="0.2">
      <c r="A15652">
        <v>64119</v>
      </c>
      <c r="B15652" t="s">
        <v>30</v>
      </c>
      <c r="C15652">
        <v>64119</v>
      </c>
      <c r="D15652" t="str">
        <f>"64119"</f>
        <v>64119</v>
      </c>
      <c r="E15652">
        <v>77.540000000000006</v>
      </c>
    </row>
    <row r="15653" spans="1:5" x14ac:dyDescent="0.2">
      <c r="A15653">
        <v>64120</v>
      </c>
      <c r="B15653" t="s">
        <v>30</v>
      </c>
      <c r="C15653">
        <v>64120</v>
      </c>
      <c r="D15653" t="str">
        <f>"64120"</f>
        <v>64120</v>
      </c>
      <c r="E15653">
        <v>75</v>
      </c>
    </row>
    <row r="15654" spans="1:5" x14ac:dyDescent="0.2">
      <c r="A15654">
        <v>64121</v>
      </c>
      <c r="B15654" t="s">
        <v>30</v>
      </c>
      <c r="C15654">
        <v>64121</v>
      </c>
      <c r="D15654" t="str">
        <f>"64121"</f>
        <v>64121</v>
      </c>
      <c r="E15654" t="s">
        <v>6</v>
      </c>
    </row>
    <row r="15655" spans="1:5" x14ac:dyDescent="0.2">
      <c r="A15655">
        <v>64123</v>
      </c>
      <c r="B15655" t="s">
        <v>30</v>
      </c>
      <c r="C15655">
        <v>64123</v>
      </c>
      <c r="D15655" t="str">
        <f>"64123"</f>
        <v>64123</v>
      </c>
      <c r="E15655">
        <v>51.48</v>
      </c>
    </row>
    <row r="15656" spans="1:5" x14ac:dyDescent="0.2">
      <c r="A15656">
        <v>64124</v>
      </c>
      <c r="B15656" t="s">
        <v>30</v>
      </c>
      <c r="C15656">
        <v>64124</v>
      </c>
      <c r="D15656" t="str">
        <f>"64124"</f>
        <v>64124</v>
      </c>
      <c r="E15656">
        <v>48.78</v>
      </c>
    </row>
    <row r="15657" spans="1:5" x14ac:dyDescent="0.2">
      <c r="A15657">
        <v>64125</v>
      </c>
      <c r="B15657" t="s">
        <v>30</v>
      </c>
      <c r="C15657">
        <v>64125</v>
      </c>
      <c r="D15657" t="str">
        <f>"64125"</f>
        <v>64125</v>
      </c>
      <c r="E15657">
        <v>47.76</v>
      </c>
    </row>
    <row r="15658" spans="1:5" x14ac:dyDescent="0.2">
      <c r="A15658">
        <v>64126</v>
      </c>
      <c r="B15658" t="s">
        <v>30</v>
      </c>
      <c r="C15658">
        <v>64126</v>
      </c>
      <c r="D15658" t="str">
        <f>"64126"</f>
        <v>64126</v>
      </c>
      <c r="E15658">
        <v>42.79</v>
      </c>
    </row>
    <row r="15659" spans="1:5" x14ac:dyDescent="0.2">
      <c r="A15659">
        <v>64127</v>
      </c>
      <c r="B15659" t="s">
        <v>30</v>
      </c>
      <c r="C15659">
        <v>64127</v>
      </c>
      <c r="D15659" t="str">
        <f>"64127"</f>
        <v>64127</v>
      </c>
      <c r="E15659">
        <v>46.46</v>
      </c>
    </row>
    <row r="15660" spans="1:5" x14ac:dyDescent="0.2">
      <c r="A15660">
        <v>64128</v>
      </c>
      <c r="B15660" t="s">
        <v>30</v>
      </c>
      <c r="C15660">
        <v>64128</v>
      </c>
      <c r="D15660" t="str">
        <f>"64128"</f>
        <v>64128</v>
      </c>
      <c r="E15660">
        <v>46.8</v>
      </c>
    </row>
    <row r="15661" spans="1:5" x14ac:dyDescent="0.2">
      <c r="A15661">
        <v>64129</v>
      </c>
      <c r="B15661" t="s">
        <v>30</v>
      </c>
      <c r="C15661">
        <v>64129</v>
      </c>
      <c r="D15661" t="str">
        <f>"64129"</f>
        <v>64129</v>
      </c>
      <c r="E15661">
        <v>60.69</v>
      </c>
    </row>
    <row r="15662" spans="1:5" x14ac:dyDescent="0.2">
      <c r="A15662">
        <v>64130</v>
      </c>
      <c r="B15662" t="s">
        <v>30</v>
      </c>
      <c r="C15662">
        <v>64130</v>
      </c>
      <c r="D15662" t="str">
        <f>"64130"</f>
        <v>64130</v>
      </c>
      <c r="E15662">
        <v>51.33</v>
      </c>
    </row>
    <row r="15663" spans="1:5" x14ac:dyDescent="0.2">
      <c r="A15663">
        <v>64131</v>
      </c>
      <c r="B15663" t="s">
        <v>30</v>
      </c>
      <c r="C15663">
        <v>64131</v>
      </c>
      <c r="D15663" t="str">
        <f>"64131"</f>
        <v>64131</v>
      </c>
      <c r="E15663">
        <v>70.569999999999993</v>
      </c>
    </row>
    <row r="15664" spans="1:5" x14ac:dyDescent="0.2">
      <c r="A15664">
        <v>64132</v>
      </c>
      <c r="B15664" t="s">
        <v>30</v>
      </c>
      <c r="C15664">
        <v>64132</v>
      </c>
      <c r="D15664" t="str">
        <f>"64132"</f>
        <v>64132</v>
      </c>
      <c r="E15664">
        <v>50.7</v>
      </c>
    </row>
    <row r="15665" spans="1:5" x14ac:dyDescent="0.2">
      <c r="A15665">
        <v>64133</v>
      </c>
      <c r="B15665" t="s">
        <v>30</v>
      </c>
      <c r="C15665">
        <v>64133</v>
      </c>
      <c r="D15665" t="str">
        <f>"64133"</f>
        <v>64133</v>
      </c>
      <c r="E15665">
        <v>70.650000000000006</v>
      </c>
    </row>
    <row r="15666" spans="1:5" x14ac:dyDescent="0.2">
      <c r="A15666">
        <v>64134</v>
      </c>
      <c r="B15666" t="s">
        <v>30</v>
      </c>
      <c r="C15666">
        <v>64134</v>
      </c>
      <c r="D15666" t="str">
        <f>"64134"</f>
        <v>64134</v>
      </c>
      <c r="E15666">
        <v>60.69</v>
      </c>
    </row>
    <row r="15667" spans="1:5" x14ac:dyDescent="0.2">
      <c r="A15667">
        <v>64136</v>
      </c>
      <c r="B15667" t="s">
        <v>30</v>
      </c>
      <c r="C15667">
        <v>64136</v>
      </c>
      <c r="D15667" t="str">
        <f>"64136"</f>
        <v>64136</v>
      </c>
      <c r="E15667">
        <v>65.349999999999994</v>
      </c>
    </row>
    <row r="15668" spans="1:5" x14ac:dyDescent="0.2">
      <c r="A15668">
        <v>64137</v>
      </c>
      <c r="B15668" t="s">
        <v>30</v>
      </c>
      <c r="C15668">
        <v>64137</v>
      </c>
      <c r="D15668" t="str">
        <f>"64137"</f>
        <v>64137</v>
      </c>
      <c r="E15668">
        <v>70.06</v>
      </c>
    </row>
    <row r="15669" spans="1:5" x14ac:dyDescent="0.2">
      <c r="A15669">
        <v>64138</v>
      </c>
      <c r="B15669" t="s">
        <v>30</v>
      </c>
      <c r="C15669">
        <v>64138</v>
      </c>
      <c r="D15669" t="str">
        <f>"64138"</f>
        <v>64138</v>
      </c>
      <c r="E15669">
        <v>68.03</v>
      </c>
    </row>
    <row r="15670" spans="1:5" x14ac:dyDescent="0.2">
      <c r="A15670">
        <v>64139</v>
      </c>
      <c r="B15670" t="s">
        <v>30</v>
      </c>
      <c r="C15670">
        <v>64139</v>
      </c>
      <c r="D15670" t="str">
        <f>"64139"</f>
        <v>64139</v>
      </c>
      <c r="E15670">
        <v>82.11</v>
      </c>
    </row>
    <row r="15671" spans="1:5" x14ac:dyDescent="0.2">
      <c r="A15671">
        <v>64145</v>
      </c>
      <c r="B15671" t="s">
        <v>30</v>
      </c>
      <c r="C15671">
        <v>64145</v>
      </c>
      <c r="D15671" t="str">
        <f>"64145"</f>
        <v>64145</v>
      </c>
      <c r="E15671">
        <v>79.930000000000007</v>
      </c>
    </row>
    <row r="15672" spans="1:5" x14ac:dyDescent="0.2">
      <c r="A15672">
        <v>64146</v>
      </c>
      <c r="B15672" t="s">
        <v>30</v>
      </c>
      <c r="C15672">
        <v>64146</v>
      </c>
      <c r="D15672" t="str">
        <f>"64146"</f>
        <v>64146</v>
      </c>
      <c r="E15672">
        <v>81.010000000000005</v>
      </c>
    </row>
    <row r="15673" spans="1:5" x14ac:dyDescent="0.2">
      <c r="A15673">
        <v>64147</v>
      </c>
      <c r="B15673" t="s">
        <v>30</v>
      </c>
      <c r="C15673">
        <v>64147</v>
      </c>
      <c r="D15673" t="str">
        <f>"64147"</f>
        <v>64147</v>
      </c>
      <c r="E15673">
        <v>12.5</v>
      </c>
    </row>
    <row r="15674" spans="1:5" x14ac:dyDescent="0.2">
      <c r="A15674">
        <v>64149</v>
      </c>
      <c r="B15674" t="s">
        <v>30</v>
      </c>
      <c r="C15674">
        <v>64149</v>
      </c>
      <c r="D15674" t="str">
        <f>"64149"</f>
        <v>64149</v>
      </c>
      <c r="E15674">
        <v>77.78</v>
      </c>
    </row>
    <row r="15675" spans="1:5" x14ac:dyDescent="0.2">
      <c r="A15675">
        <v>64150</v>
      </c>
      <c r="B15675" t="s">
        <v>30</v>
      </c>
      <c r="C15675">
        <v>64150</v>
      </c>
      <c r="D15675" t="str">
        <f>"64150"</f>
        <v>64150</v>
      </c>
      <c r="E15675">
        <v>70.86</v>
      </c>
    </row>
    <row r="15676" spans="1:5" x14ac:dyDescent="0.2">
      <c r="A15676">
        <v>64151</v>
      </c>
      <c r="B15676" t="s">
        <v>30</v>
      </c>
      <c r="C15676">
        <v>64151</v>
      </c>
      <c r="D15676" t="str">
        <f>"64151"</f>
        <v>64151</v>
      </c>
      <c r="E15676">
        <v>78.37</v>
      </c>
    </row>
    <row r="15677" spans="1:5" x14ac:dyDescent="0.2">
      <c r="A15677">
        <v>64152</v>
      </c>
      <c r="B15677" t="s">
        <v>30</v>
      </c>
      <c r="C15677">
        <v>64152</v>
      </c>
      <c r="D15677" t="str">
        <f>"64152"</f>
        <v>64152</v>
      </c>
      <c r="E15677">
        <v>79.650000000000006</v>
      </c>
    </row>
    <row r="15678" spans="1:5" x14ac:dyDescent="0.2">
      <c r="A15678">
        <v>64153</v>
      </c>
      <c r="B15678" t="s">
        <v>30</v>
      </c>
      <c r="C15678">
        <v>64153</v>
      </c>
      <c r="D15678" t="str">
        <f>"64153"</f>
        <v>64153</v>
      </c>
      <c r="E15678">
        <v>82.7</v>
      </c>
    </row>
    <row r="15679" spans="1:5" x14ac:dyDescent="0.2">
      <c r="A15679">
        <v>64154</v>
      </c>
      <c r="B15679" t="s">
        <v>30</v>
      </c>
      <c r="C15679">
        <v>64154</v>
      </c>
      <c r="D15679" t="str">
        <f>"64154"</f>
        <v>64154</v>
      </c>
      <c r="E15679">
        <v>81.05</v>
      </c>
    </row>
    <row r="15680" spans="1:5" x14ac:dyDescent="0.2">
      <c r="A15680">
        <v>64155</v>
      </c>
      <c r="B15680" t="s">
        <v>30</v>
      </c>
      <c r="C15680">
        <v>64155</v>
      </c>
      <c r="D15680" t="str">
        <f>"64155"</f>
        <v>64155</v>
      </c>
      <c r="E15680">
        <v>80.31</v>
      </c>
    </row>
    <row r="15681" spans="1:5" x14ac:dyDescent="0.2">
      <c r="A15681">
        <v>64156</v>
      </c>
      <c r="B15681" t="s">
        <v>30</v>
      </c>
      <c r="C15681">
        <v>64156</v>
      </c>
      <c r="D15681" t="str">
        <f>"64156"</f>
        <v>64156</v>
      </c>
      <c r="E15681">
        <v>82.84</v>
      </c>
    </row>
    <row r="15682" spans="1:5" x14ac:dyDescent="0.2">
      <c r="A15682">
        <v>64157</v>
      </c>
      <c r="B15682" t="s">
        <v>30</v>
      </c>
      <c r="C15682">
        <v>64157</v>
      </c>
      <c r="D15682" t="str">
        <f>"64157"</f>
        <v>64157</v>
      </c>
      <c r="E15682">
        <v>83.72</v>
      </c>
    </row>
    <row r="15683" spans="1:5" x14ac:dyDescent="0.2">
      <c r="A15683">
        <v>64158</v>
      </c>
      <c r="B15683" t="s">
        <v>30</v>
      </c>
      <c r="C15683">
        <v>64158</v>
      </c>
      <c r="D15683" t="str">
        <f>"64158"</f>
        <v>64158</v>
      </c>
      <c r="E15683">
        <v>78.91</v>
      </c>
    </row>
    <row r="15684" spans="1:5" x14ac:dyDescent="0.2">
      <c r="A15684">
        <v>64161</v>
      </c>
      <c r="B15684" t="s">
        <v>30</v>
      </c>
      <c r="C15684">
        <v>64161</v>
      </c>
      <c r="D15684" t="str">
        <f>"64161"</f>
        <v>64161</v>
      </c>
      <c r="E15684">
        <v>66.67</v>
      </c>
    </row>
    <row r="15685" spans="1:5" x14ac:dyDescent="0.2">
      <c r="A15685">
        <v>64163</v>
      </c>
      <c r="B15685" t="s">
        <v>30</v>
      </c>
      <c r="C15685">
        <v>64163</v>
      </c>
      <c r="D15685" t="str">
        <f>"64163"</f>
        <v>64163</v>
      </c>
      <c r="E15685">
        <v>67.349999999999994</v>
      </c>
    </row>
    <row r="15686" spans="1:5" x14ac:dyDescent="0.2">
      <c r="A15686">
        <v>64164</v>
      </c>
      <c r="B15686" t="s">
        <v>30</v>
      </c>
      <c r="C15686">
        <v>64164</v>
      </c>
      <c r="D15686" t="str">
        <f>"64164"</f>
        <v>64164</v>
      </c>
      <c r="E15686">
        <v>66.67</v>
      </c>
    </row>
    <row r="15687" spans="1:5" x14ac:dyDescent="0.2">
      <c r="A15687">
        <v>64165</v>
      </c>
      <c r="B15687" t="s">
        <v>30</v>
      </c>
      <c r="C15687">
        <v>64165</v>
      </c>
      <c r="D15687" t="str">
        <f>"64165"</f>
        <v>64165</v>
      </c>
      <c r="E15687">
        <v>83.33</v>
      </c>
    </row>
    <row r="15688" spans="1:5" x14ac:dyDescent="0.2">
      <c r="A15688">
        <v>64166</v>
      </c>
      <c r="B15688" t="s">
        <v>30</v>
      </c>
      <c r="C15688">
        <v>64166</v>
      </c>
      <c r="D15688" t="str">
        <f>"64166"</f>
        <v>64166</v>
      </c>
      <c r="E15688">
        <v>78.569999999999993</v>
      </c>
    </row>
    <row r="15689" spans="1:5" x14ac:dyDescent="0.2">
      <c r="A15689">
        <v>64167</v>
      </c>
      <c r="B15689" t="s">
        <v>30</v>
      </c>
      <c r="C15689">
        <v>64167</v>
      </c>
      <c r="D15689" t="str">
        <f>"64167"</f>
        <v>64167</v>
      </c>
      <c r="E15689">
        <v>81.25</v>
      </c>
    </row>
    <row r="15690" spans="1:5" x14ac:dyDescent="0.2">
      <c r="A15690">
        <v>64401</v>
      </c>
      <c r="B15690" t="s">
        <v>30</v>
      </c>
      <c r="C15690">
        <v>64401</v>
      </c>
      <c r="D15690" t="str">
        <f>"64401"</f>
        <v>64401</v>
      </c>
      <c r="E15690">
        <v>76.81</v>
      </c>
    </row>
    <row r="15691" spans="1:5" x14ac:dyDescent="0.2">
      <c r="A15691">
        <v>64402</v>
      </c>
      <c r="B15691" t="s">
        <v>30</v>
      </c>
      <c r="C15691">
        <v>64402</v>
      </c>
      <c r="D15691" t="str">
        <f>"64402"</f>
        <v>64402</v>
      </c>
      <c r="E15691">
        <v>67.959999999999994</v>
      </c>
    </row>
    <row r="15692" spans="1:5" x14ac:dyDescent="0.2">
      <c r="A15692">
        <v>64420</v>
      </c>
      <c r="B15692" t="s">
        <v>30</v>
      </c>
      <c r="C15692">
        <v>64420</v>
      </c>
      <c r="D15692" t="str">
        <f>"64420"</f>
        <v>64420</v>
      </c>
      <c r="E15692" t="s">
        <v>6</v>
      </c>
    </row>
    <row r="15693" spans="1:5" x14ac:dyDescent="0.2">
      <c r="A15693">
        <v>64421</v>
      </c>
      <c r="B15693" t="s">
        <v>30</v>
      </c>
      <c r="C15693">
        <v>64421</v>
      </c>
      <c r="D15693" t="str">
        <f>"64421"</f>
        <v>64421</v>
      </c>
      <c r="E15693">
        <v>68.42</v>
      </c>
    </row>
    <row r="15694" spans="1:5" x14ac:dyDescent="0.2">
      <c r="A15694">
        <v>64422</v>
      </c>
      <c r="B15694" t="s">
        <v>30</v>
      </c>
      <c r="C15694">
        <v>64422</v>
      </c>
      <c r="D15694" t="str">
        <f>"64422"</f>
        <v>64422</v>
      </c>
      <c r="E15694">
        <v>66.67</v>
      </c>
    </row>
    <row r="15695" spans="1:5" x14ac:dyDescent="0.2">
      <c r="A15695">
        <v>64423</v>
      </c>
      <c r="B15695" t="s">
        <v>30</v>
      </c>
      <c r="C15695">
        <v>64423</v>
      </c>
      <c r="D15695" t="str">
        <f>"64423"</f>
        <v>64423</v>
      </c>
      <c r="E15695">
        <v>71.430000000000007</v>
      </c>
    </row>
    <row r="15696" spans="1:5" x14ac:dyDescent="0.2">
      <c r="A15696">
        <v>64424</v>
      </c>
      <c r="B15696" t="s">
        <v>30</v>
      </c>
      <c r="C15696">
        <v>64424</v>
      </c>
      <c r="D15696" t="str">
        <f>"64424"</f>
        <v>64424</v>
      </c>
      <c r="E15696">
        <v>60.75</v>
      </c>
    </row>
    <row r="15697" spans="1:5" x14ac:dyDescent="0.2">
      <c r="A15697">
        <v>64426</v>
      </c>
      <c r="B15697" t="s">
        <v>30</v>
      </c>
      <c r="C15697">
        <v>64426</v>
      </c>
      <c r="D15697" t="str">
        <f>"64426"</f>
        <v>64426</v>
      </c>
      <c r="E15697">
        <v>56.25</v>
      </c>
    </row>
    <row r="15698" spans="1:5" x14ac:dyDescent="0.2">
      <c r="A15698">
        <v>64427</v>
      </c>
      <c r="B15698" t="s">
        <v>30</v>
      </c>
      <c r="C15698">
        <v>64427</v>
      </c>
      <c r="D15698" t="str">
        <f>"64427"</f>
        <v>64427</v>
      </c>
      <c r="E15698">
        <v>74.069999999999993</v>
      </c>
    </row>
    <row r="15699" spans="1:5" x14ac:dyDescent="0.2">
      <c r="A15699">
        <v>64428</v>
      </c>
      <c r="B15699" t="s">
        <v>30</v>
      </c>
      <c r="C15699">
        <v>64428</v>
      </c>
      <c r="D15699" t="str">
        <f>"64428"</f>
        <v>64428</v>
      </c>
      <c r="E15699">
        <v>65.790000000000006</v>
      </c>
    </row>
    <row r="15700" spans="1:5" x14ac:dyDescent="0.2">
      <c r="A15700">
        <v>64429</v>
      </c>
      <c r="B15700" t="s">
        <v>30</v>
      </c>
      <c r="C15700">
        <v>64429</v>
      </c>
      <c r="D15700" t="str">
        <f>"64429"</f>
        <v>64429</v>
      </c>
      <c r="E15700">
        <v>66.510000000000005</v>
      </c>
    </row>
    <row r="15701" spans="1:5" x14ac:dyDescent="0.2">
      <c r="A15701">
        <v>64430</v>
      </c>
      <c r="B15701" t="s">
        <v>30</v>
      </c>
      <c r="C15701">
        <v>64430</v>
      </c>
      <c r="D15701" t="str">
        <f>"64430"</f>
        <v>64430</v>
      </c>
      <c r="E15701">
        <v>80.650000000000006</v>
      </c>
    </row>
    <row r="15702" spans="1:5" x14ac:dyDescent="0.2">
      <c r="A15702">
        <v>64431</v>
      </c>
      <c r="B15702" t="s">
        <v>30</v>
      </c>
      <c r="C15702">
        <v>64431</v>
      </c>
      <c r="D15702" t="str">
        <f>"64431"</f>
        <v>64431</v>
      </c>
      <c r="E15702">
        <v>66.67</v>
      </c>
    </row>
    <row r="15703" spans="1:5" x14ac:dyDescent="0.2">
      <c r="A15703">
        <v>64432</v>
      </c>
      <c r="B15703" t="s">
        <v>30</v>
      </c>
      <c r="C15703">
        <v>64432</v>
      </c>
      <c r="D15703" t="str">
        <f>"64432"</f>
        <v>64432</v>
      </c>
      <c r="E15703" t="s">
        <v>6</v>
      </c>
    </row>
    <row r="15704" spans="1:5" x14ac:dyDescent="0.2">
      <c r="A15704">
        <v>64433</v>
      </c>
      <c r="B15704" t="s">
        <v>30</v>
      </c>
      <c r="C15704">
        <v>64433</v>
      </c>
      <c r="D15704" t="str">
        <f>"64433"</f>
        <v>64433</v>
      </c>
      <c r="E15704" t="s">
        <v>6</v>
      </c>
    </row>
    <row r="15705" spans="1:5" x14ac:dyDescent="0.2">
      <c r="A15705">
        <v>64434</v>
      </c>
      <c r="B15705" t="s">
        <v>30</v>
      </c>
      <c r="C15705">
        <v>64434</v>
      </c>
      <c r="D15705" t="str">
        <f>"64434"</f>
        <v>64434</v>
      </c>
      <c r="E15705">
        <v>73.91</v>
      </c>
    </row>
    <row r="15706" spans="1:5" x14ac:dyDescent="0.2">
      <c r="A15706">
        <v>64436</v>
      </c>
      <c r="B15706" t="s">
        <v>30</v>
      </c>
      <c r="C15706">
        <v>64436</v>
      </c>
      <c r="D15706" t="str">
        <f>"64436"</f>
        <v>64436</v>
      </c>
      <c r="E15706">
        <v>80.56</v>
      </c>
    </row>
    <row r="15707" spans="1:5" x14ac:dyDescent="0.2">
      <c r="A15707">
        <v>64437</v>
      </c>
      <c r="B15707" t="s">
        <v>30</v>
      </c>
      <c r="C15707">
        <v>64437</v>
      </c>
      <c r="D15707" t="str">
        <f>"64437"</f>
        <v>64437</v>
      </c>
      <c r="E15707">
        <v>63.33</v>
      </c>
    </row>
    <row r="15708" spans="1:5" x14ac:dyDescent="0.2">
      <c r="A15708">
        <v>64438</v>
      </c>
      <c r="B15708" t="s">
        <v>30</v>
      </c>
      <c r="C15708">
        <v>64438</v>
      </c>
      <c r="D15708" t="str">
        <f>"64438"</f>
        <v>64438</v>
      </c>
      <c r="E15708" t="s">
        <v>6</v>
      </c>
    </row>
    <row r="15709" spans="1:5" x14ac:dyDescent="0.2">
      <c r="A15709">
        <v>64439</v>
      </c>
      <c r="B15709" t="s">
        <v>30</v>
      </c>
      <c r="C15709">
        <v>64439</v>
      </c>
      <c r="D15709" t="str">
        <f>"64439"</f>
        <v>64439</v>
      </c>
      <c r="E15709">
        <v>78.05</v>
      </c>
    </row>
    <row r="15710" spans="1:5" x14ac:dyDescent="0.2">
      <c r="A15710">
        <v>64440</v>
      </c>
      <c r="B15710" t="s">
        <v>30</v>
      </c>
      <c r="C15710">
        <v>64440</v>
      </c>
      <c r="D15710" t="str">
        <f>"64440"</f>
        <v>64440</v>
      </c>
      <c r="E15710">
        <v>79.41</v>
      </c>
    </row>
    <row r="15711" spans="1:5" x14ac:dyDescent="0.2">
      <c r="A15711">
        <v>64441</v>
      </c>
      <c r="B15711" t="s">
        <v>30</v>
      </c>
      <c r="C15711">
        <v>64441</v>
      </c>
      <c r="D15711" t="str">
        <f>"64441"</f>
        <v>64441</v>
      </c>
      <c r="E15711" t="s">
        <v>6</v>
      </c>
    </row>
    <row r="15712" spans="1:5" x14ac:dyDescent="0.2">
      <c r="A15712">
        <v>64442</v>
      </c>
      <c r="B15712" t="s">
        <v>30</v>
      </c>
      <c r="C15712">
        <v>64442</v>
      </c>
      <c r="D15712" t="str">
        <f>"64442"</f>
        <v>64442</v>
      </c>
      <c r="E15712">
        <v>57.58</v>
      </c>
    </row>
    <row r="15713" spans="1:5" x14ac:dyDescent="0.2">
      <c r="A15713">
        <v>64443</v>
      </c>
      <c r="B15713" t="s">
        <v>30</v>
      </c>
      <c r="C15713">
        <v>64443</v>
      </c>
      <c r="D15713" t="str">
        <f>"64443"</f>
        <v>64443</v>
      </c>
      <c r="E15713">
        <v>76.36</v>
      </c>
    </row>
    <row r="15714" spans="1:5" x14ac:dyDescent="0.2">
      <c r="A15714">
        <v>64444</v>
      </c>
      <c r="B15714" t="s">
        <v>30</v>
      </c>
      <c r="C15714">
        <v>64444</v>
      </c>
      <c r="D15714" t="str">
        <f>"64444"</f>
        <v>64444</v>
      </c>
      <c r="E15714">
        <v>75</v>
      </c>
    </row>
    <row r="15715" spans="1:5" x14ac:dyDescent="0.2">
      <c r="A15715">
        <v>64445</v>
      </c>
      <c r="B15715" t="s">
        <v>30</v>
      </c>
      <c r="C15715">
        <v>64445</v>
      </c>
      <c r="D15715" t="str">
        <f>"64445"</f>
        <v>64445</v>
      </c>
      <c r="E15715">
        <v>66.67</v>
      </c>
    </row>
    <row r="15716" spans="1:5" x14ac:dyDescent="0.2">
      <c r="A15716">
        <v>64446</v>
      </c>
      <c r="B15716" t="s">
        <v>30</v>
      </c>
      <c r="C15716">
        <v>64446</v>
      </c>
      <c r="D15716" t="str">
        <f>"64446"</f>
        <v>64446</v>
      </c>
      <c r="E15716">
        <v>68.75</v>
      </c>
    </row>
    <row r="15717" spans="1:5" x14ac:dyDescent="0.2">
      <c r="A15717">
        <v>64448</v>
      </c>
      <c r="B15717" t="s">
        <v>30</v>
      </c>
      <c r="C15717">
        <v>64448</v>
      </c>
      <c r="D15717" t="str">
        <f>"64448"</f>
        <v>64448</v>
      </c>
      <c r="E15717">
        <v>75.510000000000005</v>
      </c>
    </row>
    <row r="15718" spans="1:5" x14ac:dyDescent="0.2">
      <c r="A15718">
        <v>64449</v>
      </c>
      <c r="B15718" t="s">
        <v>30</v>
      </c>
      <c r="C15718">
        <v>64449</v>
      </c>
      <c r="D15718" t="str">
        <f>"64449"</f>
        <v>64449</v>
      </c>
      <c r="E15718">
        <v>71.430000000000007</v>
      </c>
    </row>
    <row r="15719" spans="1:5" x14ac:dyDescent="0.2">
      <c r="A15719">
        <v>64451</v>
      </c>
      <c r="B15719" t="s">
        <v>30</v>
      </c>
      <c r="C15719">
        <v>64451</v>
      </c>
      <c r="D15719" t="str">
        <f>"64451"</f>
        <v>64451</v>
      </c>
      <c r="E15719">
        <v>65</v>
      </c>
    </row>
    <row r="15720" spans="1:5" x14ac:dyDescent="0.2">
      <c r="A15720">
        <v>64453</v>
      </c>
      <c r="B15720" t="s">
        <v>30</v>
      </c>
      <c r="C15720">
        <v>64453</v>
      </c>
      <c r="D15720" t="str">
        <f>"64453"</f>
        <v>64453</v>
      </c>
      <c r="E15720" t="s">
        <v>6</v>
      </c>
    </row>
    <row r="15721" spans="1:5" x14ac:dyDescent="0.2">
      <c r="A15721">
        <v>64454</v>
      </c>
      <c r="B15721" t="s">
        <v>30</v>
      </c>
      <c r="C15721">
        <v>64454</v>
      </c>
      <c r="D15721" t="str">
        <f>"64454"</f>
        <v>64454</v>
      </c>
      <c r="E15721">
        <v>75.209999999999994</v>
      </c>
    </row>
    <row r="15722" spans="1:5" x14ac:dyDescent="0.2">
      <c r="A15722">
        <v>64455</v>
      </c>
      <c r="B15722" t="s">
        <v>30</v>
      </c>
      <c r="C15722">
        <v>64455</v>
      </c>
      <c r="D15722" t="str">
        <f>"64455"</f>
        <v>64455</v>
      </c>
      <c r="E15722">
        <v>76.47</v>
      </c>
    </row>
    <row r="15723" spans="1:5" x14ac:dyDescent="0.2">
      <c r="A15723">
        <v>64456</v>
      </c>
      <c r="B15723" t="s">
        <v>30</v>
      </c>
      <c r="C15723">
        <v>64456</v>
      </c>
      <c r="D15723" t="str">
        <f>"64456"</f>
        <v>64456</v>
      </c>
      <c r="E15723">
        <v>65.52</v>
      </c>
    </row>
    <row r="15724" spans="1:5" x14ac:dyDescent="0.2">
      <c r="A15724">
        <v>64457</v>
      </c>
      <c r="B15724" t="s">
        <v>30</v>
      </c>
      <c r="C15724">
        <v>64457</v>
      </c>
      <c r="D15724" t="str">
        <f>"64457"</f>
        <v>64457</v>
      </c>
      <c r="E15724">
        <v>69.23</v>
      </c>
    </row>
    <row r="15725" spans="1:5" x14ac:dyDescent="0.2">
      <c r="A15725">
        <v>64458</v>
      </c>
      <c r="B15725" t="s">
        <v>30</v>
      </c>
      <c r="C15725">
        <v>64458</v>
      </c>
      <c r="D15725" t="str">
        <f>"64458"</f>
        <v>64458</v>
      </c>
      <c r="E15725" t="s">
        <v>6</v>
      </c>
    </row>
    <row r="15726" spans="1:5" x14ac:dyDescent="0.2">
      <c r="A15726">
        <v>64459</v>
      </c>
      <c r="B15726" t="s">
        <v>30</v>
      </c>
      <c r="C15726">
        <v>64459</v>
      </c>
      <c r="D15726" t="str">
        <f>"64459"</f>
        <v>64459</v>
      </c>
      <c r="E15726">
        <v>80</v>
      </c>
    </row>
    <row r="15727" spans="1:5" x14ac:dyDescent="0.2">
      <c r="A15727">
        <v>64461</v>
      </c>
      <c r="B15727" t="s">
        <v>30</v>
      </c>
      <c r="C15727">
        <v>64461</v>
      </c>
      <c r="D15727" t="str">
        <f>"64461"</f>
        <v>64461</v>
      </c>
      <c r="E15727">
        <v>63.89</v>
      </c>
    </row>
    <row r="15728" spans="1:5" x14ac:dyDescent="0.2">
      <c r="A15728">
        <v>64463</v>
      </c>
      <c r="B15728" t="s">
        <v>30</v>
      </c>
      <c r="C15728">
        <v>64463</v>
      </c>
      <c r="D15728" t="str">
        <f>"64463"</f>
        <v>64463</v>
      </c>
      <c r="E15728">
        <v>64.62</v>
      </c>
    </row>
    <row r="15729" spans="1:5" x14ac:dyDescent="0.2">
      <c r="A15729">
        <v>64465</v>
      </c>
      <c r="B15729" t="s">
        <v>30</v>
      </c>
      <c r="C15729">
        <v>64465</v>
      </c>
      <c r="D15729" t="str">
        <f>"64465"</f>
        <v>64465</v>
      </c>
      <c r="E15729">
        <v>74.260000000000005</v>
      </c>
    </row>
    <row r="15730" spans="1:5" x14ac:dyDescent="0.2">
      <c r="A15730">
        <v>64466</v>
      </c>
      <c r="B15730" t="s">
        <v>30</v>
      </c>
      <c r="C15730">
        <v>64466</v>
      </c>
      <c r="D15730" t="str">
        <f>"64466"</f>
        <v>64466</v>
      </c>
      <c r="E15730">
        <v>71.430000000000007</v>
      </c>
    </row>
    <row r="15731" spans="1:5" x14ac:dyDescent="0.2">
      <c r="A15731">
        <v>64467</v>
      </c>
      <c r="B15731" t="s">
        <v>30</v>
      </c>
      <c r="C15731">
        <v>64467</v>
      </c>
      <c r="D15731" t="str">
        <f>"64467"</f>
        <v>64467</v>
      </c>
      <c r="E15731" t="s">
        <v>6</v>
      </c>
    </row>
    <row r="15732" spans="1:5" x14ac:dyDescent="0.2">
      <c r="A15732">
        <v>64468</v>
      </c>
      <c r="B15732" t="s">
        <v>30</v>
      </c>
      <c r="C15732">
        <v>64468</v>
      </c>
      <c r="D15732" t="str">
        <f>"64468"</f>
        <v>64468</v>
      </c>
      <c r="E15732">
        <v>70.790000000000006</v>
      </c>
    </row>
    <row r="15733" spans="1:5" x14ac:dyDescent="0.2">
      <c r="A15733">
        <v>64469</v>
      </c>
      <c r="B15733" t="s">
        <v>30</v>
      </c>
      <c r="C15733">
        <v>64469</v>
      </c>
      <c r="D15733" t="str">
        <f>"64469"</f>
        <v>64469</v>
      </c>
      <c r="E15733">
        <v>67.709999999999994</v>
      </c>
    </row>
    <row r="15734" spans="1:5" x14ac:dyDescent="0.2">
      <c r="A15734">
        <v>64470</v>
      </c>
      <c r="B15734" t="s">
        <v>30</v>
      </c>
      <c r="C15734">
        <v>64470</v>
      </c>
      <c r="D15734" t="str">
        <f>"64470"</f>
        <v>64470</v>
      </c>
      <c r="E15734">
        <v>66.180000000000007</v>
      </c>
    </row>
    <row r="15735" spans="1:5" x14ac:dyDescent="0.2">
      <c r="A15735">
        <v>64471</v>
      </c>
      <c r="B15735" t="s">
        <v>30</v>
      </c>
      <c r="C15735">
        <v>64471</v>
      </c>
      <c r="D15735" t="str">
        <f>"64471"</f>
        <v>64471</v>
      </c>
      <c r="E15735">
        <v>57.14</v>
      </c>
    </row>
    <row r="15736" spans="1:5" x14ac:dyDescent="0.2">
      <c r="A15736">
        <v>64473</v>
      </c>
      <c r="B15736" t="s">
        <v>30</v>
      </c>
      <c r="C15736">
        <v>64473</v>
      </c>
      <c r="D15736" t="str">
        <f>"64473"</f>
        <v>64473</v>
      </c>
      <c r="E15736">
        <v>71.88</v>
      </c>
    </row>
    <row r="15737" spans="1:5" x14ac:dyDescent="0.2">
      <c r="A15737">
        <v>64474</v>
      </c>
      <c r="B15737" t="s">
        <v>30</v>
      </c>
      <c r="C15737">
        <v>64474</v>
      </c>
      <c r="D15737" t="str">
        <f>"64474"</f>
        <v>64474</v>
      </c>
      <c r="E15737">
        <v>76.319999999999993</v>
      </c>
    </row>
    <row r="15738" spans="1:5" x14ac:dyDescent="0.2">
      <c r="A15738">
        <v>64475</v>
      </c>
      <c r="B15738" t="s">
        <v>30</v>
      </c>
      <c r="C15738">
        <v>64475</v>
      </c>
      <c r="D15738" t="str">
        <f>"64475"</f>
        <v>64475</v>
      </c>
      <c r="E15738">
        <v>70.59</v>
      </c>
    </row>
    <row r="15739" spans="1:5" x14ac:dyDescent="0.2">
      <c r="A15739">
        <v>64476</v>
      </c>
      <c r="B15739" t="s">
        <v>30</v>
      </c>
      <c r="C15739">
        <v>64476</v>
      </c>
      <c r="D15739" t="str">
        <f>"64476"</f>
        <v>64476</v>
      </c>
      <c r="E15739">
        <v>75</v>
      </c>
    </row>
    <row r="15740" spans="1:5" x14ac:dyDescent="0.2">
      <c r="A15740">
        <v>64477</v>
      </c>
      <c r="B15740" t="s">
        <v>30</v>
      </c>
      <c r="C15740">
        <v>64477</v>
      </c>
      <c r="D15740" t="str">
        <f>"64477"</f>
        <v>64477</v>
      </c>
      <c r="E15740">
        <v>73.58</v>
      </c>
    </row>
    <row r="15741" spans="1:5" x14ac:dyDescent="0.2">
      <c r="A15741">
        <v>64479</v>
      </c>
      <c r="B15741" t="s">
        <v>30</v>
      </c>
      <c r="C15741">
        <v>64479</v>
      </c>
      <c r="D15741" t="str">
        <f>"64479"</f>
        <v>64479</v>
      </c>
      <c r="E15741">
        <v>68.569999999999993</v>
      </c>
    </row>
    <row r="15742" spans="1:5" x14ac:dyDescent="0.2">
      <c r="A15742">
        <v>64480</v>
      </c>
      <c r="B15742" t="s">
        <v>30</v>
      </c>
      <c r="C15742">
        <v>64480</v>
      </c>
      <c r="D15742" t="str">
        <f>"64480"</f>
        <v>64480</v>
      </c>
      <c r="E15742">
        <v>78.569999999999993</v>
      </c>
    </row>
    <row r="15743" spans="1:5" x14ac:dyDescent="0.2">
      <c r="A15743">
        <v>64481</v>
      </c>
      <c r="B15743" t="s">
        <v>30</v>
      </c>
      <c r="C15743">
        <v>64481</v>
      </c>
      <c r="D15743" t="str">
        <f>"64481"</f>
        <v>64481</v>
      </c>
      <c r="E15743">
        <v>57.14</v>
      </c>
    </row>
    <row r="15744" spans="1:5" x14ac:dyDescent="0.2">
      <c r="A15744">
        <v>64482</v>
      </c>
      <c r="B15744" t="s">
        <v>30</v>
      </c>
      <c r="C15744">
        <v>64482</v>
      </c>
      <c r="D15744" t="str">
        <f>"64482"</f>
        <v>64482</v>
      </c>
      <c r="E15744">
        <v>73.86</v>
      </c>
    </row>
    <row r="15745" spans="1:5" x14ac:dyDescent="0.2">
      <c r="A15745">
        <v>64483</v>
      </c>
      <c r="B15745" t="s">
        <v>30</v>
      </c>
      <c r="C15745">
        <v>64483</v>
      </c>
      <c r="D15745" t="str">
        <f>"64483"</f>
        <v>64483</v>
      </c>
      <c r="E15745">
        <v>70</v>
      </c>
    </row>
    <row r="15746" spans="1:5" x14ac:dyDescent="0.2">
      <c r="A15746">
        <v>64484</v>
      </c>
      <c r="B15746" t="s">
        <v>30</v>
      </c>
      <c r="C15746">
        <v>64484</v>
      </c>
      <c r="D15746" t="str">
        <f>"64484"</f>
        <v>64484</v>
      </c>
      <c r="E15746">
        <v>68.75</v>
      </c>
    </row>
    <row r="15747" spans="1:5" x14ac:dyDescent="0.2">
      <c r="A15747">
        <v>64485</v>
      </c>
      <c r="B15747" t="s">
        <v>30</v>
      </c>
      <c r="C15747">
        <v>64485</v>
      </c>
      <c r="D15747" t="str">
        <f>"64485"</f>
        <v>64485</v>
      </c>
      <c r="E15747">
        <v>72.849999999999994</v>
      </c>
    </row>
    <row r="15748" spans="1:5" x14ac:dyDescent="0.2">
      <c r="A15748">
        <v>64486</v>
      </c>
      <c r="B15748" t="s">
        <v>30</v>
      </c>
      <c r="C15748">
        <v>64486</v>
      </c>
      <c r="D15748" t="str">
        <f>"64486"</f>
        <v>64486</v>
      </c>
      <c r="E15748">
        <v>56.25</v>
      </c>
    </row>
    <row r="15749" spans="1:5" x14ac:dyDescent="0.2">
      <c r="A15749">
        <v>64487</v>
      </c>
      <c r="B15749" t="s">
        <v>30</v>
      </c>
      <c r="C15749">
        <v>64487</v>
      </c>
      <c r="D15749" t="str">
        <f>"64487"</f>
        <v>64487</v>
      </c>
      <c r="E15749">
        <v>70</v>
      </c>
    </row>
    <row r="15750" spans="1:5" x14ac:dyDescent="0.2">
      <c r="A15750">
        <v>64489</v>
      </c>
      <c r="B15750" t="s">
        <v>30</v>
      </c>
      <c r="C15750">
        <v>64489</v>
      </c>
      <c r="D15750" t="str">
        <f>"64489"</f>
        <v>64489</v>
      </c>
      <c r="E15750">
        <v>66.27</v>
      </c>
    </row>
    <row r="15751" spans="1:5" x14ac:dyDescent="0.2">
      <c r="A15751">
        <v>64490</v>
      </c>
      <c r="B15751" t="s">
        <v>30</v>
      </c>
      <c r="C15751">
        <v>64490</v>
      </c>
      <c r="D15751" t="str">
        <f>"64490"</f>
        <v>64490</v>
      </c>
      <c r="E15751">
        <v>74.47</v>
      </c>
    </row>
    <row r="15752" spans="1:5" x14ac:dyDescent="0.2">
      <c r="A15752">
        <v>64491</v>
      </c>
      <c r="B15752" t="s">
        <v>30</v>
      </c>
      <c r="C15752">
        <v>64491</v>
      </c>
      <c r="D15752" t="str">
        <f>"64491"</f>
        <v>64491</v>
      </c>
      <c r="E15752">
        <v>70</v>
      </c>
    </row>
    <row r="15753" spans="1:5" x14ac:dyDescent="0.2">
      <c r="A15753">
        <v>64492</v>
      </c>
      <c r="B15753" t="s">
        <v>30</v>
      </c>
      <c r="C15753">
        <v>64492</v>
      </c>
      <c r="D15753" t="str">
        <f>"64492"</f>
        <v>64492</v>
      </c>
      <c r="E15753">
        <v>80.23</v>
      </c>
    </row>
    <row r="15754" spans="1:5" x14ac:dyDescent="0.2">
      <c r="A15754">
        <v>64493</v>
      </c>
      <c r="B15754" t="s">
        <v>30</v>
      </c>
      <c r="C15754">
        <v>64493</v>
      </c>
      <c r="D15754" t="str">
        <f>"64493"</f>
        <v>64493</v>
      </c>
      <c r="E15754">
        <v>67.86</v>
      </c>
    </row>
    <row r="15755" spans="1:5" x14ac:dyDescent="0.2">
      <c r="A15755">
        <v>64494</v>
      </c>
      <c r="B15755" t="s">
        <v>30</v>
      </c>
      <c r="C15755">
        <v>64494</v>
      </c>
      <c r="D15755" t="str">
        <f>"64494"</f>
        <v>64494</v>
      </c>
      <c r="E15755">
        <v>73.33</v>
      </c>
    </row>
    <row r="15756" spans="1:5" x14ac:dyDescent="0.2">
      <c r="A15756">
        <v>64496</v>
      </c>
      <c r="B15756" t="s">
        <v>30</v>
      </c>
      <c r="C15756">
        <v>64496</v>
      </c>
      <c r="D15756" t="str">
        <f>"64496"</f>
        <v>64496</v>
      </c>
      <c r="E15756" t="s">
        <v>6</v>
      </c>
    </row>
    <row r="15757" spans="1:5" x14ac:dyDescent="0.2">
      <c r="A15757">
        <v>64497</v>
      </c>
      <c r="B15757" t="s">
        <v>30</v>
      </c>
      <c r="C15757">
        <v>64497</v>
      </c>
      <c r="D15757" t="str">
        <f>"64497"</f>
        <v>64497</v>
      </c>
      <c r="E15757">
        <v>62.5</v>
      </c>
    </row>
    <row r="15758" spans="1:5" x14ac:dyDescent="0.2">
      <c r="A15758">
        <v>64498</v>
      </c>
      <c r="B15758" t="s">
        <v>30</v>
      </c>
      <c r="C15758">
        <v>64498</v>
      </c>
      <c r="D15758" t="str">
        <f>"64498"</f>
        <v>64498</v>
      </c>
      <c r="E15758">
        <v>73.33</v>
      </c>
    </row>
    <row r="15759" spans="1:5" x14ac:dyDescent="0.2">
      <c r="A15759">
        <v>64499</v>
      </c>
      <c r="B15759" t="s">
        <v>30</v>
      </c>
      <c r="C15759">
        <v>64499</v>
      </c>
      <c r="D15759" t="str">
        <f>"64499"</f>
        <v>64499</v>
      </c>
      <c r="E15759" t="s">
        <v>6</v>
      </c>
    </row>
    <row r="15760" spans="1:5" x14ac:dyDescent="0.2">
      <c r="A15760">
        <v>64501</v>
      </c>
      <c r="B15760" t="s">
        <v>30</v>
      </c>
      <c r="C15760">
        <v>64501</v>
      </c>
      <c r="D15760" t="str">
        <f>"64501"</f>
        <v>64501</v>
      </c>
      <c r="E15760">
        <v>58.76</v>
      </c>
    </row>
    <row r="15761" spans="1:5" x14ac:dyDescent="0.2">
      <c r="A15761">
        <v>64502</v>
      </c>
      <c r="B15761" t="s">
        <v>30</v>
      </c>
      <c r="C15761">
        <v>64502</v>
      </c>
      <c r="D15761" t="str">
        <f>"64502"</f>
        <v>64502</v>
      </c>
      <c r="E15761" t="s">
        <v>6</v>
      </c>
    </row>
    <row r="15762" spans="1:5" x14ac:dyDescent="0.2">
      <c r="A15762">
        <v>64503</v>
      </c>
      <c r="B15762" t="s">
        <v>30</v>
      </c>
      <c r="C15762">
        <v>64503</v>
      </c>
      <c r="D15762" t="str">
        <f>"64503"</f>
        <v>64503</v>
      </c>
      <c r="E15762">
        <v>69.180000000000007</v>
      </c>
    </row>
    <row r="15763" spans="1:5" x14ac:dyDescent="0.2">
      <c r="A15763">
        <v>64504</v>
      </c>
      <c r="B15763" t="s">
        <v>30</v>
      </c>
      <c r="C15763">
        <v>64504</v>
      </c>
      <c r="D15763" t="str">
        <f>"64504"</f>
        <v>64504</v>
      </c>
      <c r="E15763">
        <v>66.81</v>
      </c>
    </row>
    <row r="15764" spans="1:5" x14ac:dyDescent="0.2">
      <c r="A15764">
        <v>64505</v>
      </c>
      <c r="B15764" t="s">
        <v>30</v>
      </c>
      <c r="C15764">
        <v>64505</v>
      </c>
      <c r="D15764" t="str">
        <f>"64505"</f>
        <v>64505</v>
      </c>
      <c r="E15764">
        <v>71.36</v>
      </c>
    </row>
    <row r="15765" spans="1:5" x14ac:dyDescent="0.2">
      <c r="A15765">
        <v>64506</v>
      </c>
      <c r="B15765" t="s">
        <v>30</v>
      </c>
      <c r="C15765">
        <v>64506</v>
      </c>
      <c r="D15765" t="str">
        <f>"64506"</f>
        <v>64506</v>
      </c>
      <c r="E15765">
        <v>74.53</v>
      </c>
    </row>
    <row r="15766" spans="1:5" x14ac:dyDescent="0.2">
      <c r="A15766">
        <v>64507</v>
      </c>
      <c r="B15766" t="s">
        <v>30</v>
      </c>
      <c r="C15766">
        <v>64507</v>
      </c>
      <c r="D15766" t="str">
        <f>"64507"</f>
        <v>64507</v>
      </c>
      <c r="E15766">
        <v>70.790000000000006</v>
      </c>
    </row>
    <row r="15767" spans="1:5" x14ac:dyDescent="0.2">
      <c r="A15767">
        <v>64601</v>
      </c>
      <c r="B15767" t="s">
        <v>30</v>
      </c>
      <c r="C15767">
        <v>64601</v>
      </c>
      <c r="D15767" t="str">
        <f>"64601"</f>
        <v>64601</v>
      </c>
      <c r="E15767">
        <v>66.010000000000005</v>
      </c>
    </row>
    <row r="15768" spans="1:5" x14ac:dyDescent="0.2">
      <c r="A15768">
        <v>64620</v>
      </c>
      <c r="B15768" t="s">
        <v>30</v>
      </c>
      <c r="C15768">
        <v>64620</v>
      </c>
      <c r="D15768" t="str">
        <f>"64620"</f>
        <v>64620</v>
      </c>
      <c r="E15768">
        <v>65</v>
      </c>
    </row>
    <row r="15769" spans="1:5" x14ac:dyDescent="0.2">
      <c r="A15769">
        <v>64622</v>
      </c>
      <c r="B15769" t="s">
        <v>30</v>
      </c>
      <c r="C15769">
        <v>64622</v>
      </c>
      <c r="D15769" t="str">
        <f>"64622"</f>
        <v>64622</v>
      </c>
      <c r="E15769">
        <v>69.23</v>
      </c>
    </row>
    <row r="15770" spans="1:5" x14ac:dyDescent="0.2">
      <c r="A15770">
        <v>64623</v>
      </c>
      <c r="B15770" t="s">
        <v>30</v>
      </c>
      <c r="C15770">
        <v>64623</v>
      </c>
      <c r="D15770" t="str">
        <f>"64623"</f>
        <v>64623</v>
      </c>
      <c r="E15770">
        <v>61.9</v>
      </c>
    </row>
    <row r="15771" spans="1:5" x14ac:dyDescent="0.2">
      <c r="A15771">
        <v>64624</v>
      </c>
      <c r="B15771" t="s">
        <v>30</v>
      </c>
      <c r="C15771">
        <v>64624</v>
      </c>
      <c r="D15771" t="str">
        <f>"64624"</f>
        <v>64624</v>
      </c>
      <c r="E15771">
        <v>67.69</v>
      </c>
    </row>
    <row r="15772" spans="1:5" x14ac:dyDescent="0.2">
      <c r="A15772">
        <v>64625</v>
      </c>
      <c r="B15772" t="s">
        <v>30</v>
      </c>
      <c r="C15772">
        <v>64625</v>
      </c>
      <c r="D15772" t="str">
        <f>"64625"</f>
        <v>64625</v>
      </c>
      <c r="E15772">
        <v>65.38</v>
      </c>
    </row>
    <row r="15773" spans="1:5" x14ac:dyDescent="0.2">
      <c r="A15773">
        <v>64628</v>
      </c>
      <c r="B15773" t="s">
        <v>30</v>
      </c>
      <c r="C15773">
        <v>64628</v>
      </c>
      <c r="D15773" t="str">
        <f>"64628"</f>
        <v>64628</v>
      </c>
      <c r="E15773">
        <v>64.959999999999994</v>
      </c>
    </row>
    <row r="15774" spans="1:5" x14ac:dyDescent="0.2">
      <c r="A15774">
        <v>64630</v>
      </c>
      <c r="B15774" t="s">
        <v>30</v>
      </c>
      <c r="C15774">
        <v>64630</v>
      </c>
      <c r="D15774" t="str">
        <f>"64630"</f>
        <v>64630</v>
      </c>
      <c r="E15774">
        <v>63.64</v>
      </c>
    </row>
    <row r="15775" spans="1:5" x14ac:dyDescent="0.2">
      <c r="A15775">
        <v>64631</v>
      </c>
      <c r="B15775" t="s">
        <v>30</v>
      </c>
      <c r="C15775">
        <v>64631</v>
      </c>
      <c r="D15775" t="str">
        <f>"64631"</f>
        <v>64631</v>
      </c>
      <c r="E15775">
        <v>55.56</v>
      </c>
    </row>
    <row r="15776" spans="1:5" x14ac:dyDescent="0.2">
      <c r="A15776">
        <v>64632</v>
      </c>
      <c r="B15776" t="s">
        <v>30</v>
      </c>
      <c r="C15776">
        <v>64632</v>
      </c>
      <c r="D15776" t="str">
        <f>"64632"</f>
        <v>64632</v>
      </c>
      <c r="E15776">
        <v>65.52</v>
      </c>
    </row>
    <row r="15777" spans="1:5" x14ac:dyDescent="0.2">
      <c r="A15777">
        <v>64633</v>
      </c>
      <c r="B15777" t="s">
        <v>30</v>
      </c>
      <c r="C15777">
        <v>64633</v>
      </c>
      <c r="D15777" t="str">
        <f>"64633"</f>
        <v>64633</v>
      </c>
      <c r="E15777">
        <v>65.92</v>
      </c>
    </row>
    <row r="15778" spans="1:5" x14ac:dyDescent="0.2">
      <c r="A15778">
        <v>64635</v>
      </c>
      <c r="B15778" t="s">
        <v>30</v>
      </c>
      <c r="C15778">
        <v>64635</v>
      </c>
      <c r="D15778" t="str">
        <f>"64635"</f>
        <v>64635</v>
      </c>
      <c r="E15778">
        <v>58.33</v>
      </c>
    </row>
    <row r="15779" spans="1:5" x14ac:dyDescent="0.2">
      <c r="A15779">
        <v>64636</v>
      </c>
      <c r="B15779" t="s">
        <v>30</v>
      </c>
      <c r="C15779">
        <v>64636</v>
      </c>
      <c r="D15779" t="str">
        <f>"64636"</f>
        <v>64636</v>
      </c>
      <c r="E15779">
        <v>54.55</v>
      </c>
    </row>
    <row r="15780" spans="1:5" x14ac:dyDescent="0.2">
      <c r="A15780">
        <v>64637</v>
      </c>
      <c r="B15780" t="s">
        <v>30</v>
      </c>
      <c r="C15780">
        <v>64637</v>
      </c>
      <c r="D15780" t="str">
        <f>"64637"</f>
        <v>64637</v>
      </c>
      <c r="E15780">
        <v>64</v>
      </c>
    </row>
    <row r="15781" spans="1:5" x14ac:dyDescent="0.2">
      <c r="A15781">
        <v>64638</v>
      </c>
      <c r="B15781" t="s">
        <v>30</v>
      </c>
      <c r="C15781">
        <v>64638</v>
      </c>
      <c r="D15781" t="str">
        <f>"64638"</f>
        <v>64638</v>
      </c>
      <c r="E15781">
        <v>62.5</v>
      </c>
    </row>
    <row r="15782" spans="1:5" x14ac:dyDescent="0.2">
      <c r="A15782">
        <v>64639</v>
      </c>
      <c r="B15782" t="s">
        <v>30</v>
      </c>
      <c r="C15782">
        <v>64639</v>
      </c>
      <c r="D15782" t="str">
        <f>"64639"</f>
        <v>64639</v>
      </c>
      <c r="E15782" t="s">
        <v>6</v>
      </c>
    </row>
    <row r="15783" spans="1:5" x14ac:dyDescent="0.2">
      <c r="A15783">
        <v>64640</v>
      </c>
      <c r="B15783" t="s">
        <v>30</v>
      </c>
      <c r="C15783">
        <v>64640</v>
      </c>
      <c r="D15783" t="str">
        <f>"64640"</f>
        <v>64640</v>
      </c>
      <c r="E15783">
        <v>64.709999999999994</v>
      </c>
    </row>
    <row r="15784" spans="1:5" x14ac:dyDescent="0.2">
      <c r="A15784">
        <v>64641</v>
      </c>
      <c r="B15784" t="s">
        <v>30</v>
      </c>
      <c r="C15784">
        <v>64641</v>
      </c>
      <c r="D15784" t="str">
        <f>"64641"</f>
        <v>64641</v>
      </c>
      <c r="E15784">
        <v>63.64</v>
      </c>
    </row>
    <row r="15785" spans="1:5" x14ac:dyDescent="0.2">
      <c r="A15785">
        <v>64642</v>
      </c>
      <c r="B15785" t="s">
        <v>30</v>
      </c>
      <c r="C15785">
        <v>64642</v>
      </c>
      <c r="D15785" t="str">
        <f>"64642"</f>
        <v>64642</v>
      </c>
      <c r="E15785">
        <v>62.5</v>
      </c>
    </row>
    <row r="15786" spans="1:5" x14ac:dyDescent="0.2">
      <c r="A15786">
        <v>64643</v>
      </c>
      <c r="B15786" t="s">
        <v>30</v>
      </c>
      <c r="C15786">
        <v>64643</v>
      </c>
      <c r="D15786" t="str">
        <f>"64643"</f>
        <v>64643</v>
      </c>
      <c r="E15786">
        <v>64.44</v>
      </c>
    </row>
    <row r="15787" spans="1:5" x14ac:dyDescent="0.2">
      <c r="A15787">
        <v>64644</v>
      </c>
      <c r="B15787" t="s">
        <v>30</v>
      </c>
      <c r="C15787">
        <v>64644</v>
      </c>
      <c r="D15787" t="str">
        <f>"64644"</f>
        <v>64644</v>
      </c>
      <c r="E15787">
        <v>66.400000000000006</v>
      </c>
    </row>
    <row r="15788" spans="1:5" x14ac:dyDescent="0.2">
      <c r="A15788">
        <v>64645</v>
      </c>
      <c r="B15788" t="s">
        <v>30</v>
      </c>
      <c r="C15788">
        <v>64645</v>
      </c>
      <c r="D15788" t="str">
        <f>"64645"</f>
        <v>64645</v>
      </c>
      <c r="E15788">
        <v>70</v>
      </c>
    </row>
    <row r="15789" spans="1:5" x14ac:dyDescent="0.2">
      <c r="A15789">
        <v>64646</v>
      </c>
      <c r="B15789" t="s">
        <v>30</v>
      </c>
      <c r="C15789">
        <v>64646</v>
      </c>
      <c r="D15789" t="str">
        <f>"64646"</f>
        <v>64646</v>
      </c>
      <c r="E15789">
        <v>58.33</v>
      </c>
    </row>
    <row r="15790" spans="1:5" x14ac:dyDescent="0.2">
      <c r="A15790">
        <v>64647</v>
      </c>
      <c r="B15790" t="s">
        <v>30</v>
      </c>
      <c r="C15790">
        <v>64647</v>
      </c>
      <c r="D15790" t="str">
        <f>"64647"</f>
        <v>64647</v>
      </c>
      <c r="E15790">
        <v>53.85</v>
      </c>
    </row>
    <row r="15791" spans="1:5" x14ac:dyDescent="0.2">
      <c r="A15791">
        <v>64648</v>
      </c>
      <c r="B15791" t="s">
        <v>30</v>
      </c>
      <c r="C15791">
        <v>64648</v>
      </c>
      <c r="D15791" t="str">
        <f>"64648"</f>
        <v>64648</v>
      </c>
      <c r="E15791">
        <v>57.53</v>
      </c>
    </row>
    <row r="15792" spans="1:5" x14ac:dyDescent="0.2">
      <c r="A15792">
        <v>64649</v>
      </c>
      <c r="B15792" t="s">
        <v>30</v>
      </c>
      <c r="C15792">
        <v>64649</v>
      </c>
      <c r="D15792" t="str">
        <f>"64649"</f>
        <v>64649</v>
      </c>
      <c r="E15792">
        <v>65.709999999999994</v>
      </c>
    </row>
    <row r="15793" spans="1:5" x14ac:dyDescent="0.2">
      <c r="A15793">
        <v>64650</v>
      </c>
      <c r="B15793" t="s">
        <v>30</v>
      </c>
      <c r="C15793">
        <v>64650</v>
      </c>
      <c r="D15793" t="str">
        <f>"64650"</f>
        <v>64650</v>
      </c>
      <c r="E15793">
        <v>60.71</v>
      </c>
    </row>
    <row r="15794" spans="1:5" x14ac:dyDescent="0.2">
      <c r="A15794">
        <v>64651</v>
      </c>
      <c r="B15794" t="s">
        <v>30</v>
      </c>
      <c r="C15794">
        <v>64651</v>
      </c>
      <c r="D15794" t="str">
        <f>"64651"</f>
        <v>64651</v>
      </c>
      <c r="E15794">
        <v>64</v>
      </c>
    </row>
    <row r="15795" spans="1:5" x14ac:dyDescent="0.2">
      <c r="A15795">
        <v>64652</v>
      </c>
      <c r="B15795" t="s">
        <v>30</v>
      </c>
      <c r="C15795">
        <v>64652</v>
      </c>
      <c r="D15795" t="str">
        <f>"64652"</f>
        <v>64652</v>
      </c>
      <c r="E15795">
        <v>62.5</v>
      </c>
    </row>
    <row r="15796" spans="1:5" x14ac:dyDescent="0.2">
      <c r="A15796">
        <v>64653</v>
      </c>
      <c r="B15796" t="s">
        <v>30</v>
      </c>
      <c r="C15796">
        <v>64653</v>
      </c>
      <c r="D15796" t="str">
        <f>"64653"</f>
        <v>64653</v>
      </c>
      <c r="E15796">
        <v>65.38</v>
      </c>
    </row>
    <row r="15797" spans="1:5" x14ac:dyDescent="0.2">
      <c r="A15797">
        <v>64655</v>
      </c>
      <c r="B15797" t="s">
        <v>30</v>
      </c>
      <c r="C15797">
        <v>64655</v>
      </c>
      <c r="D15797" t="str">
        <f>"64655"</f>
        <v>64655</v>
      </c>
      <c r="E15797" t="s">
        <v>6</v>
      </c>
    </row>
    <row r="15798" spans="1:5" x14ac:dyDescent="0.2">
      <c r="A15798">
        <v>64656</v>
      </c>
      <c r="B15798" t="s">
        <v>30</v>
      </c>
      <c r="C15798">
        <v>64656</v>
      </c>
      <c r="D15798" t="str">
        <f>"64656"</f>
        <v>64656</v>
      </c>
      <c r="E15798" t="s">
        <v>6</v>
      </c>
    </row>
    <row r="15799" spans="1:5" x14ac:dyDescent="0.2">
      <c r="A15799">
        <v>64657</v>
      </c>
      <c r="B15799" t="s">
        <v>30</v>
      </c>
      <c r="C15799">
        <v>64657</v>
      </c>
      <c r="D15799" t="str">
        <f>"64657"</f>
        <v>64657</v>
      </c>
      <c r="E15799">
        <v>57.14</v>
      </c>
    </row>
    <row r="15800" spans="1:5" x14ac:dyDescent="0.2">
      <c r="A15800">
        <v>64658</v>
      </c>
      <c r="B15800" t="s">
        <v>30</v>
      </c>
      <c r="C15800">
        <v>64658</v>
      </c>
      <c r="D15800" t="str">
        <f>"64658"</f>
        <v>64658</v>
      </c>
      <c r="E15800">
        <v>63.77</v>
      </c>
    </row>
    <row r="15801" spans="1:5" x14ac:dyDescent="0.2">
      <c r="A15801">
        <v>64659</v>
      </c>
      <c r="B15801" t="s">
        <v>30</v>
      </c>
      <c r="C15801">
        <v>64659</v>
      </c>
      <c r="D15801" t="str">
        <f>"64659"</f>
        <v>64659</v>
      </c>
      <c r="E15801">
        <v>68.290000000000006</v>
      </c>
    </row>
    <row r="15802" spans="1:5" x14ac:dyDescent="0.2">
      <c r="A15802">
        <v>64660</v>
      </c>
      <c r="B15802" t="s">
        <v>30</v>
      </c>
      <c r="C15802">
        <v>64660</v>
      </c>
      <c r="D15802" t="str">
        <f>"64660"</f>
        <v>64660</v>
      </c>
      <c r="E15802">
        <v>69.569999999999993</v>
      </c>
    </row>
    <row r="15803" spans="1:5" x14ac:dyDescent="0.2">
      <c r="A15803">
        <v>64661</v>
      </c>
      <c r="B15803" t="s">
        <v>30</v>
      </c>
      <c r="C15803">
        <v>64661</v>
      </c>
      <c r="D15803" t="str">
        <f>"64661"</f>
        <v>64661</v>
      </c>
      <c r="E15803">
        <v>63.64</v>
      </c>
    </row>
    <row r="15804" spans="1:5" x14ac:dyDescent="0.2">
      <c r="A15804">
        <v>64664</v>
      </c>
      <c r="B15804" t="s">
        <v>30</v>
      </c>
      <c r="C15804">
        <v>64664</v>
      </c>
      <c r="D15804" t="str">
        <f>"64664"</f>
        <v>64664</v>
      </c>
      <c r="E15804">
        <v>75</v>
      </c>
    </row>
    <row r="15805" spans="1:5" x14ac:dyDescent="0.2">
      <c r="A15805">
        <v>64667</v>
      </c>
      <c r="B15805" t="s">
        <v>30</v>
      </c>
      <c r="C15805">
        <v>64667</v>
      </c>
      <c r="D15805" t="str">
        <f>"64667"</f>
        <v>64667</v>
      </c>
      <c r="E15805">
        <v>50</v>
      </c>
    </row>
    <row r="15806" spans="1:5" x14ac:dyDescent="0.2">
      <c r="A15806">
        <v>64668</v>
      </c>
      <c r="B15806" t="s">
        <v>30</v>
      </c>
      <c r="C15806">
        <v>64668</v>
      </c>
      <c r="D15806" t="str">
        <f>"64668"</f>
        <v>64668</v>
      </c>
      <c r="E15806">
        <v>75</v>
      </c>
    </row>
    <row r="15807" spans="1:5" x14ac:dyDescent="0.2">
      <c r="A15807">
        <v>64670</v>
      </c>
      <c r="B15807" t="s">
        <v>30</v>
      </c>
      <c r="C15807">
        <v>64670</v>
      </c>
      <c r="D15807" t="str">
        <f>"64670"</f>
        <v>64670</v>
      </c>
      <c r="E15807">
        <v>63.41</v>
      </c>
    </row>
    <row r="15808" spans="1:5" x14ac:dyDescent="0.2">
      <c r="A15808">
        <v>64671</v>
      </c>
      <c r="B15808" t="s">
        <v>30</v>
      </c>
      <c r="C15808">
        <v>64671</v>
      </c>
      <c r="D15808" t="str">
        <f>"64671"</f>
        <v>64671</v>
      </c>
      <c r="E15808">
        <v>72.41</v>
      </c>
    </row>
    <row r="15809" spans="1:5" x14ac:dyDescent="0.2">
      <c r="A15809">
        <v>64672</v>
      </c>
      <c r="B15809" t="s">
        <v>30</v>
      </c>
      <c r="C15809">
        <v>64672</v>
      </c>
      <c r="D15809" t="str">
        <f>"64672"</f>
        <v>64672</v>
      </c>
      <c r="E15809">
        <v>55.56</v>
      </c>
    </row>
    <row r="15810" spans="1:5" x14ac:dyDescent="0.2">
      <c r="A15810">
        <v>64673</v>
      </c>
      <c r="B15810" t="s">
        <v>30</v>
      </c>
      <c r="C15810">
        <v>64673</v>
      </c>
      <c r="D15810" t="str">
        <f>"64673"</f>
        <v>64673</v>
      </c>
      <c r="E15810">
        <v>66.33</v>
      </c>
    </row>
    <row r="15811" spans="1:5" x14ac:dyDescent="0.2">
      <c r="A15811">
        <v>64674</v>
      </c>
      <c r="B15811" t="s">
        <v>30</v>
      </c>
      <c r="C15811">
        <v>64674</v>
      </c>
      <c r="D15811" t="str">
        <f>"64674"</f>
        <v>64674</v>
      </c>
      <c r="E15811">
        <v>66.67</v>
      </c>
    </row>
    <row r="15812" spans="1:5" x14ac:dyDescent="0.2">
      <c r="A15812">
        <v>64676</v>
      </c>
      <c r="B15812" t="s">
        <v>30</v>
      </c>
      <c r="C15812">
        <v>64676</v>
      </c>
      <c r="D15812" t="str">
        <f>"64676"</f>
        <v>64676</v>
      </c>
      <c r="E15812" t="s">
        <v>6</v>
      </c>
    </row>
    <row r="15813" spans="1:5" x14ac:dyDescent="0.2">
      <c r="A15813">
        <v>64679</v>
      </c>
      <c r="B15813" t="s">
        <v>30</v>
      </c>
      <c r="C15813">
        <v>64679</v>
      </c>
      <c r="D15813" t="str">
        <f>"64679"</f>
        <v>64679</v>
      </c>
      <c r="E15813">
        <v>62.96</v>
      </c>
    </row>
    <row r="15814" spans="1:5" x14ac:dyDescent="0.2">
      <c r="A15814">
        <v>64681</v>
      </c>
      <c r="B15814" t="s">
        <v>30</v>
      </c>
      <c r="C15814">
        <v>64681</v>
      </c>
      <c r="D15814" t="str">
        <f>"64681"</f>
        <v>64681</v>
      </c>
      <c r="E15814">
        <v>81.819999999999993</v>
      </c>
    </row>
    <row r="15815" spans="1:5" x14ac:dyDescent="0.2">
      <c r="A15815">
        <v>64682</v>
      </c>
      <c r="B15815" t="s">
        <v>30</v>
      </c>
      <c r="C15815">
        <v>64682</v>
      </c>
      <c r="D15815" t="str">
        <f>"64682"</f>
        <v>64682</v>
      </c>
      <c r="E15815">
        <v>64.709999999999994</v>
      </c>
    </row>
    <row r="15816" spans="1:5" x14ac:dyDescent="0.2">
      <c r="A15816">
        <v>64683</v>
      </c>
      <c r="B15816" t="s">
        <v>30</v>
      </c>
      <c r="C15816">
        <v>64683</v>
      </c>
      <c r="D15816" t="str">
        <f>"64683"</f>
        <v>64683</v>
      </c>
      <c r="E15816">
        <v>64.37</v>
      </c>
    </row>
    <row r="15817" spans="1:5" x14ac:dyDescent="0.2">
      <c r="A15817">
        <v>64686</v>
      </c>
      <c r="B15817" t="s">
        <v>30</v>
      </c>
      <c r="C15817">
        <v>64686</v>
      </c>
      <c r="D15817" t="str">
        <f>"64686"</f>
        <v>64686</v>
      </c>
      <c r="E15817" t="s">
        <v>6</v>
      </c>
    </row>
    <row r="15818" spans="1:5" x14ac:dyDescent="0.2">
      <c r="A15818">
        <v>64688</v>
      </c>
      <c r="B15818" t="s">
        <v>30</v>
      </c>
      <c r="C15818">
        <v>64688</v>
      </c>
      <c r="D15818" t="str">
        <f>"64688"</f>
        <v>64688</v>
      </c>
      <c r="E15818">
        <v>64</v>
      </c>
    </row>
    <row r="15819" spans="1:5" x14ac:dyDescent="0.2">
      <c r="A15819">
        <v>64689</v>
      </c>
      <c r="B15819" t="s">
        <v>30</v>
      </c>
      <c r="C15819">
        <v>64689</v>
      </c>
      <c r="D15819" t="str">
        <f>"64689"</f>
        <v>64689</v>
      </c>
      <c r="E15819">
        <v>55.56</v>
      </c>
    </row>
    <row r="15820" spans="1:5" x14ac:dyDescent="0.2">
      <c r="A15820">
        <v>64701</v>
      </c>
      <c r="B15820" t="s">
        <v>30</v>
      </c>
      <c r="C15820">
        <v>64701</v>
      </c>
      <c r="D15820" t="str">
        <f>"64701"</f>
        <v>64701</v>
      </c>
      <c r="E15820">
        <v>70.48</v>
      </c>
    </row>
    <row r="15821" spans="1:5" x14ac:dyDescent="0.2">
      <c r="A15821">
        <v>64720</v>
      </c>
      <c r="B15821" t="s">
        <v>30</v>
      </c>
      <c r="C15821">
        <v>64720</v>
      </c>
      <c r="D15821" t="str">
        <f>"64720"</f>
        <v>64720</v>
      </c>
      <c r="E15821">
        <v>69.319999999999993</v>
      </c>
    </row>
    <row r="15822" spans="1:5" x14ac:dyDescent="0.2">
      <c r="A15822">
        <v>64722</v>
      </c>
      <c r="B15822" t="s">
        <v>30</v>
      </c>
      <c r="C15822">
        <v>64722</v>
      </c>
      <c r="D15822" t="str">
        <f>"64722"</f>
        <v>64722</v>
      </c>
      <c r="E15822">
        <v>58.82</v>
      </c>
    </row>
    <row r="15823" spans="1:5" x14ac:dyDescent="0.2">
      <c r="A15823">
        <v>64723</v>
      </c>
      <c r="B15823" t="s">
        <v>30</v>
      </c>
      <c r="C15823">
        <v>64723</v>
      </c>
      <c r="D15823" t="str">
        <f>"64723"</f>
        <v>64723</v>
      </c>
      <c r="E15823">
        <v>68</v>
      </c>
    </row>
    <row r="15824" spans="1:5" x14ac:dyDescent="0.2">
      <c r="A15824">
        <v>64724</v>
      </c>
      <c r="B15824" t="s">
        <v>30</v>
      </c>
      <c r="C15824">
        <v>64724</v>
      </c>
      <c r="D15824" t="str">
        <f>"64724"</f>
        <v>64724</v>
      </c>
      <c r="E15824">
        <v>65.75</v>
      </c>
    </row>
    <row r="15825" spans="1:5" x14ac:dyDescent="0.2">
      <c r="A15825">
        <v>64725</v>
      </c>
      <c r="B15825" t="s">
        <v>30</v>
      </c>
      <c r="C15825">
        <v>64725</v>
      </c>
      <c r="D15825" t="str">
        <f>"64725"</f>
        <v>64725</v>
      </c>
      <c r="E15825">
        <v>72.64</v>
      </c>
    </row>
    <row r="15826" spans="1:5" x14ac:dyDescent="0.2">
      <c r="A15826">
        <v>64726</v>
      </c>
      <c r="B15826" t="s">
        <v>30</v>
      </c>
      <c r="C15826">
        <v>64726</v>
      </c>
      <c r="D15826" t="str">
        <f>"64726"</f>
        <v>64726</v>
      </c>
      <c r="E15826">
        <v>76.47</v>
      </c>
    </row>
    <row r="15827" spans="1:5" x14ac:dyDescent="0.2">
      <c r="A15827">
        <v>64728</v>
      </c>
      <c r="B15827" t="s">
        <v>30</v>
      </c>
      <c r="C15827">
        <v>64728</v>
      </c>
      <c r="D15827" t="str">
        <f>"64728"</f>
        <v>64728</v>
      </c>
      <c r="E15827">
        <v>59.09</v>
      </c>
    </row>
    <row r="15828" spans="1:5" x14ac:dyDescent="0.2">
      <c r="A15828">
        <v>64730</v>
      </c>
      <c r="B15828" t="s">
        <v>30</v>
      </c>
      <c r="C15828">
        <v>64730</v>
      </c>
      <c r="D15828" t="str">
        <f>"64730"</f>
        <v>64730</v>
      </c>
      <c r="E15828">
        <v>64.77</v>
      </c>
    </row>
    <row r="15829" spans="1:5" x14ac:dyDescent="0.2">
      <c r="A15829">
        <v>64733</v>
      </c>
      <c r="B15829" t="s">
        <v>30</v>
      </c>
      <c r="C15829">
        <v>64733</v>
      </c>
      <c r="D15829" t="str">
        <f>"64733"</f>
        <v>64733</v>
      </c>
      <c r="E15829">
        <v>67.44</v>
      </c>
    </row>
    <row r="15830" spans="1:5" x14ac:dyDescent="0.2">
      <c r="A15830">
        <v>64734</v>
      </c>
      <c r="B15830" t="s">
        <v>30</v>
      </c>
      <c r="C15830">
        <v>64734</v>
      </c>
      <c r="D15830" t="str">
        <f>"64734"</f>
        <v>64734</v>
      </c>
      <c r="E15830">
        <v>78.260000000000005</v>
      </c>
    </row>
    <row r="15831" spans="1:5" x14ac:dyDescent="0.2">
      <c r="A15831">
        <v>64735</v>
      </c>
      <c r="B15831" t="s">
        <v>30</v>
      </c>
      <c r="C15831">
        <v>64735</v>
      </c>
      <c r="D15831" t="str">
        <f>"64735"</f>
        <v>64735</v>
      </c>
      <c r="E15831">
        <v>66.84</v>
      </c>
    </row>
    <row r="15832" spans="1:5" x14ac:dyDescent="0.2">
      <c r="A15832">
        <v>64738</v>
      </c>
      <c r="B15832" t="s">
        <v>30</v>
      </c>
      <c r="C15832">
        <v>64738</v>
      </c>
      <c r="D15832" t="str">
        <f>"64738"</f>
        <v>64738</v>
      </c>
      <c r="E15832">
        <v>61.36</v>
      </c>
    </row>
    <row r="15833" spans="1:5" x14ac:dyDescent="0.2">
      <c r="A15833">
        <v>64739</v>
      </c>
      <c r="B15833" t="s">
        <v>30</v>
      </c>
      <c r="C15833">
        <v>64739</v>
      </c>
      <c r="D15833" t="str">
        <f>"64739"</f>
        <v>64739</v>
      </c>
      <c r="E15833">
        <v>74.42</v>
      </c>
    </row>
    <row r="15834" spans="1:5" x14ac:dyDescent="0.2">
      <c r="A15834">
        <v>64740</v>
      </c>
      <c r="B15834" t="s">
        <v>30</v>
      </c>
      <c r="C15834">
        <v>64740</v>
      </c>
      <c r="D15834" t="str">
        <f>"64740"</f>
        <v>64740</v>
      </c>
      <c r="E15834">
        <v>63.51</v>
      </c>
    </row>
    <row r="15835" spans="1:5" x14ac:dyDescent="0.2">
      <c r="A15835">
        <v>64741</v>
      </c>
      <c r="B15835" t="s">
        <v>30</v>
      </c>
      <c r="C15835">
        <v>64741</v>
      </c>
      <c r="D15835" t="str">
        <f>"64741"</f>
        <v>64741</v>
      </c>
      <c r="E15835">
        <v>58.33</v>
      </c>
    </row>
    <row r="15836" spans="1:5" x14ac:dyDescent="0.2">
      <c r="A15836">
        <v>64742</v>
      </c>
      <c r="B15836" t="s">
        <v>30</v>
      </c>
      <c r="C15836">
        <v>64742</v>
      </c>
      <c r="D15836" t="str">
        <f>"64742"</f>
        <v>64742</v>
      </c>
      <c r="E15836">
        <v>74.23</v>
      </c>
    </row>
    <row r="15837" spans="1:5" x14ac:dyDescent="0.2">
      <c r="A15837">
        <v>64743</v>
      </c>
      <c r="B15837" t="s">
        <v>30</v>
      </c>
      <c r="C15837">
        <v>64743</v>
      </c>
      <c r="D15837" t="str">
        <f>"64743"</f>
        <v>64743</v>
      </c>
      <c r="E15837" t="s">
        <v>6</v>
      </c>
    </row>
    <row r="15838" spans="1:5" x14ac:dyDescent="0.2">
      <c r="A15838">
        <v>64744</v>
      </c>
      <c r="B15838" t="s">
        <v>30</v>
      </c>
      <c r="C15838">
        <v>64744</v>
      </c>
      <c r="D15838" t="str">
        <f>"64744"</f>
        <v>64744</v>
      </c>
      <c r="E15838">
        <v>58.72</v>
      </c>
    </row>
    <row r="15839" spans="1:5" x14ac:dyDescent="0.2">
      <c r="A15839">
        <v>64745</v>
      </c>
      <c r="B15839" t="s">
        <v>30</v>
      </c>
      <c r="C15839">
        <v>64745</v>
      </c>
      <c r="D15839" t="str">
        <f>"64745"</f>
        <v>64745</v>
      </c>
      <c r="E15839" t="s">
        <v>6</v>
      </c>
    </row>
    <row r="15840" spans="1:5" x14ac:dyDescent="0.2">
      <c r="A15840">
        <v>64746</v>
      </c>
      <c r="B15840" t="s">
        <v>30</v>
      </c>
      <c r="C15840">
        <v>64746</v>
      </c>
      <c r="D15840" t="str">
        <f>"64746"</f>
        <v>64746</v>
      </c>
      <c r="E15840">
        <v>73.53</v>
      </c>
    </row>
    <row r="15841" spans="1:5" x14ac:dyDescent="0.2">
      <c r="A15841">
        <v>64747</v>
      </c>
      <c r="B15841" t="s">
        <v>30</v>
      </c>
      <c r="C15841">
        <v>64747</v>
      </c>
      <c r="D15841" t="str">
        <f>"64747"</f>
        <v>64747</v>
      </c>
      <c r="E15841">
        <v>73.099999999999994</v>
      </c>
    </row>
    <row r="15842" spans="1:5" x14ac:dyDescent="0.2">
      <c r="A15842">
        <v>64748</v>
      </c>
      <c r="B15842" t="s">
        <v>30</v>
      </c>
      <c r="C15842">
        <v>64748</v>
      </c>
      <c r="D15842" t="str">
        <f>"64748"</f>
        <v>64748</v>
      </c>
      <c r="E15842">
        <v>60</v>
      </c>
    </row>
    <row r="15843" spans="1:5" x14ac:dyDescent="0.2">
      <c r="A15843">
        <v>64750</v>
      </c>
      <c r="B15843" t="s">
        <v>30</v>
      </c>
      <c r="C15843">
        <v>64750</v>
      </c>
      <c r="D15843" t="str">
        <f>"64750"</f>
        <v>64750</v>
      </c>
      <c r="E15843">
        <v>44.44</v>
      </c>
    </row>
    <row r="15844" spans="1:5" x14ac:dyDescent="0.2">
      <c r="A15844">
        <v>64752</v>
      </c>
      <c r="B15844" t="s">
        <v>30</v>
      </c>
      <c r="C15844">
        <v>64752</v>
      </c>
      <c r="D15844" t="str">
        <f>"64752"</f>
        <v>64752</v>
      </c>
      <c r="E15844">
        <v>66.67</v>
      </c>
    </row>
    <row r="15845" spans="1:5" x14ac:dyDescent="0.2">
      <c r="A15845">
        <v>64755</v>
      </c>
      <c r="B15845" t="s">
        <v>30</v>
      </c>
      <c r="C15845">
        <v>64755</v>
      </c>
      <c r="D15845" t="str">
        <f>"64755"</f>
        <v>64755</v>
      </c>
      <c r="E15845">
        <v>66.67</v>
      </c>
    </row>
    <row r="15846" spans="1:5" x14ac:dyDescent="0.2">
      <c r="A15846">
        <v>64756</v>
      </c>
      <c r="B15846" t="s">
        <v>30</v>
      </c>
      <c r="C15846">
        <v>64756</v>
      </c>
      <c r="D15846" t="str">
        <f>"64756"</f>
        <v>64756</v>
      </c>
      <c r="E15846">
        <v>60.87</v>
      </c>
    </row>
    <row r="15847" spans="1:5" x14ac:dyDescent="0.2">
      <c r="A15847">
        <v>64759</v>
      </c>
      <c r="B15847" t="s">
        <v>30</v>
      </c>
      <c r="C15847">
        <v>64759</v>
      </c>
      <c r="D15847" t="str">
        <f>"64759"</f>
        <v>64759</v>
      </c>
      <c r="E15847">
        <v>60.36</v>
      </c>
    </row>
    <row r="15848" spans="1:5" x14ac:dyDescent="0.2">
      <c r="A15848">
        <v>64761</v>
      </c>
      <c r="B15848" t="s">
        <v>30</v>
      </c>
      <c r="C15848">
        <v>64761</v>
      </c>
      <c r="D15848" t="str">
        <f>"64761"</f>
        <v>64761</v>
      </c>
      <c r="E15848">
        <v>68.33</v>
      </c>
    </row>
    <row r="15849" spans="1:5" x14ac:dyDescent="0.2">
      <c r="A15849">
        <v>64762</v>
      </c>
      <c r="B15849" t="s">
        <v>30</v>
      </c>
      <c r="C15849">
        <v>64762</v>
      </c>
      <c r="D15849" t="str">
        <f>"64762"</f>
        <v>64762</v>
      </c>
      <c r="E15849">
        <v>66.67</v>
      </c>
    </row>
    <row r="15850" spans="1:5" x14ac:dyDescent="0.2">
      <c r="A15850">
        <v>64763</v>
      </c>
      <c r="B15850" t="s">
        <v>30</v>
      </c>
      <c r="C15850">
        <v>64763</v>
      </c>
      <c r="D15850" t="str">
        <f>"64763"</f>
        <v>64763</v>
      </c>
      <c r="E15850">
        <v>58.18</v>
      </c>
    </row>
    <row r="15851" spans="1:5" x14ac:dyDescent="0.2">
      <c r="A15851">
        <v>64765</v>
      </c>
      <c r="B15851" t="s">
        <v>30</v>
      </c>
      <c r="C15851">
        <v>64765</v>
      </c>
      <c r="D15851" t="str">
        <f>"64765"</f>
        <v>64765</v>
      </c>
      <c r="E15851" t="s">
        <v>6</v>
      </c>
    </row>
    <row r="15852" spans="1:5" x14ac:dyDescent="0.2">
      <c r="A15852">
        <v>64767</v>
      </c>
      <c r="B15852" t="s">
        <v>30</v>
      </c>
      <c r="C15852">
        <v>64767</v>
      </c>
      <c r="D15852" t="str">
        <f>"64767"</f>
        <v>64767</v>
      </c>
      <c r="E15852">
        <v>58.82</v>
      </c>
    </row>
    <row r="15853" spans="1:5" x14ac:dyDescent="0.2">
      <c r="A15853">
        <v>64769</v>
      </c>
      <c r="B15853" t="s">
        <v>30</v>
      </c>
      <c r="C15853">
        <v>64769</v>
      </c>
      <c r="D15853" t="str">
        <f>"64769"</f>
        <v>64769</v>
      </c>
      <c r="E15853">
        <v>57.89</v>
      </c>
    </row>
    <row r="15854" spans="1:5" x14ac:dyDescent="0.2">
      <c r="A15854">
        <v>64770</v>
      </c>
      <c r="B15854" t="s">
        <v>30</v>
      </c>
      <c r="C15854">
        <v>64770</v>
      </c>
      <c r="D15854" t="str">
        <f>"64770"</f>
        <v>64770</v>
      </c>
      <c r="E15854">
        <v>71.430000000000007</v>
      </c>
    </row>
    <row r="15855" spans="1:5" x14ac:dyDescent="0.2">
      <c r="A15855">
        <v>64771</v>
      </c>
      <c r="B15855" t="s">
        <v>30</v>
      </c>
      <c r="C15855">
        <v>64771</v>
      </c>
      <c r="D15855" t="str">
        <f>"64771"</f>
        <v>64771</v>
      </c>
      <c r="E15855">
        <v>70.83</v>
      </c>
    </row>
    <row r="15856" spans="1:5" x14ac:dyDescent="0.2">
      <c r="A15856">
        <v>64772</v>
      </c>
      <c r="B15856" t="s">
        <v>30</v>
      </c>
      <c r="C15856">
        <v>64772</v>
      </c>
      <c r="D15856" t="str">
        <f>"64772"</f>
        <v>64772</v>
      </c>
      <c r="E15856">
        <v>63.03</v>
      </c>
    </row>
    <row r="15857" spans="1:5" x14ac:dyDescent="0.2">
      <c r="A15857">
        <v>64776</v>
      </c>
      <c r="B15857" t="s">
        <v>30</v>
      </c>
      <c r="C15857">
        <v>64776</v>
      </c>
      <c r="D15857" t="str">
        <f>"64776"</f>
        <v>64776</v>
      </c>
      <c r="E15857">
        <v>60.71</v>
      </c>
    </row>
    <row r="15858" spans="1:5" x14ac:dyDescent="0.2">
      <c r="A15858">
        <v>64778</v>
      </c>
      <c r="B15858" t="s">
        <v>30</v>
      </c>
      <c r="C15858">
        <v>64778</v>
      </c>
      <c r="D15858" t="str">
        <f>"64778"</f>
        <v>64778</v>
      </c>
      <c r="E15858">
        <v>71.430000000000007</v>
      </c>
    </row>
    <row r="15859" spans="1:5" x14ac:dyDescent="0.2">
      <c r="A15859">
        <v>64779</v>
      </c>
      <c r="B15859" t="s">
        <v>30</v>
      </c>
      <c r="C15859">
        <v>64779</v>
      </c>
      <c r="D15859" t="str">
        <f>"64779"</f>
        <v>64779</v>
      </c>
      <c r="E15859">
        <v>61.63</v>
      </c>
    </row>
    <row r="15860" spans="1:5" x14ac:dyDescent="0.2">
      <c r="A15860">
        <v>64780</v>
      </c>
      <c r="B15860" t="s">
        <v>30</v>
      </c>
      <c r="C15860">
        <v>64780</v>
      </c>
      <c r="D15860" t="str">
        <f>"64780"</f>
        <v>64780</v>
      </c>
      <c r="E15860">
        <v>53.85</v>
      </c>
    </row>
    <row r="15861" spans="1:5" x14ac:dyDescent="0.2">
      <c r="A15861">
        <v>64783</v>
      </c>
      <c r="B15861" t="s">
        <v>30</v>
      </c>
      <c r="C15861">
        <v>64783</v>
      </c>
      <c r="D15861" t="str">
        <f>"64783"</f>
        <v>64783</v>
      </c>
      <c r="E15861">
        <v>55.17</v>
      </c>
    </row>
    <row r="15862" spans="1:5" x14ac:dyDescent="0.2">
      <c r="A15862">
        <v>64784</v>
      </c>
      <c r="B15862" t="s">
        <v>30</v>
      </c>
      <c r="C15862">
        <v>64784</v>
      </c>
      <c r="D15862" t="str">
        <f>"64784"</f>
        <v>64784</v>
      </c>
      <c r="E15862">
        <v>61.67</v>
      </c>
    </row>
    <row r="15863" spans="1:5" x14ac:dyDescent="0.2">
      <c r="A15863">
        <v>64788</v>
      </c>
      <c r="B15863" t="s">
        <v>30</v>
      </c>
      <c r="C15863">
        <v>64788</v>
      </c>
      <c r="D15863" t="str">
        <f>"64788"</f>
        <v>64788</v>
      </c>
      <c r="E15863">
        <v>73.02</v>
      </c>
    </row>
    <row r="15864" spans="1:5" x14ac:dyDescent="0.2">
      <c r="A15864">
        <v>64790</v>
      </c>
      <c r="B15864" t="s">
        <v>30</v>
      </c>
      <c r="C15864">
        <v>64790</v>
      </c>
      <c r="D15864" t="str">
        <f>"64790"</f>
        <v>64790</v>
      </c>
      <c r="E15864">
        <v>62.86</v>
      </c>
    </row>
    <row r="15865" spans="1:5" x14ac:dyDescent="0.2">
      <c r="A15865">
        <v>64801</v>
      </c>
      <c r="B15865" t="s">
        <v>30</v>
      </c>
      <c r="C15865">
        <v>64801</v>
      </c>
      <c r="D15865" t="str">
        <f>"64801"</f>
        <v>64801</v>
      </c>
      <c r="E15865">
        <v>65.11</v>
      </c>
    </row>
    <row r="15866" spans="1:5" x14ac:dyDescent="0.2">
      <c r="A15866">
        <v>64804</v>
      </c>
      <c r="B15866" t="s">
        <v>30</v>
      </c>
      <c r="C15866">
        <v>64804</v>
      </c>
      <c r="D15866" t="str">
        <f>"64804"</f>
        <v>64804</v>
      </c>
      <c r="E15866">
        <v>68.44</v>
      </c>
    </row>
    <row r="15867" spans="1:5" x14ac:dyDescent="0.2">
      <c r="A15867">
        <v>64830</v>
      </c>
      <c r="B15867" t="s">
        <v>30</v>
      </c>
      <c r="C15867">
        <v>64830</v>
      </c>
      <c r="D15867" t="str">
        <f>"64830"</f>
        <v>64830</v>
      </c>
      <c r="E15867" t="s">
        <v>6</v>
      </c>
    </row>
    <row r="15868" spans="1:5" x14ac:dyDescent="0.2">
      <c r="A15868">
        <v>64831</v>
      </c>
      <c r="B15868" t="s">
        <v>30</v>
      </c>
      <c r="C15868">
        <v>64831</v>
      </c>
      <c r="D15868" t="str">
        <f>"64831"</f>
        <v>64831</v>
      </c>
      <c r="E15868">
        <v>60.59</v>
      </c>
    </row>
    <row r="15869" spans="1:5" x14ac:dyDescent="0.2">
      <c r="A15869">
        <v>64832</v>
      </c>
      <c r="B15869" t="s">
        <v>30</v>
      </c>
      <c r="C15869">
        <v>64832</v>
      </c>
      <c r="D15869" t="str">
        <f>"64832"</f>
        <v>64832</v>
      </c>
      <c r="E15869">
        <v>74.19</v>
      </c>
    </row>
    <row r="15870" spans="1:5" x14ac:dyDescent="0.2">
      <c r="A15870">
        <v>64834</v>
      </c>
      <c r="B15870" t="s">
        <v>30</v>
      </c>
      <c r="C15870">
        <v>64834</v>
      </c>
      <c r="D15870" t="str">
        <f>"64834"</f>
        <v>64834</v>
      </c>
      <c r="E15870">
        <v>70.260000000000005</v>
      </c>
    </row>
    <row r="15871" spans="1:5" x14ac:dyDescent="0.2">
      <c r="A15871">
        <v>64835</v>
      </c>
      <c r="B15871" t="s">
        <v>30</v>
      </c>
      <c r="C15871">
        <v>64835</v>
      </c>
      <c r="D15871" t="str">
        <f>"64835"</f>
        <v>64835</v>
      </c>
      <c r="E15871">
        <v>58.44</v>
      </c>
    </row>
    <row r="15872" spans="1:5" x14ac:dyDescent="0.2">
      <c r="A15872">
        <v>64836</v>
      </c>
      <c r="B15872" t="s">
        <v>30</v>
      </c>
      <c r="C15872">
        <v>64836</v>
      </c>
      <c r="D15872" t="str">
        <f>"64836"</f>
        <v>64836</v>
      </c>
      <c r="E15872">
        <v>62.13</v>
      </c>
    </row>
    <row r="15873" spans="1:5" x14ac:dyDescent="0.2">
      <c r="A15873">
        <v>64840</v>
      </c>
      <c r="B15873" t="s">
        <v>30</v>
      </c>
      <c r="C15873">
        <v>64840</v>
      </c>
      <c r="D15873" t="str">
        <f>"64840"</f>
        <v>64840</v>
      </c>
      <c r="E15873">
        <v>69.67</v>
      </c>
    </row>
    <row r="15874" spans="1:5" x14ac:dyDescent="0.2">
      <c r="A15874">
        <v>64841</v>
      </c>
      <c r="B15874" t="s">
        <v>30</v>
      </c>
      <c r="C15874">
        <v>64841</v>
      </c>
      <c r="D15874" t="str">
        <f>"64841"</f>
        <v>64841</v>
      </c>
      <c r="E15874">
        <v>70.45</v>
      </c>
    </row>
    <row r="15875" spans="1:5" x14ac:dyDescent="0.2">
      <c r="A15875">
        <v>64842</v>
      </c>
      <c r="B15875" t="s">
        <v>30</v>
      </c>
      <c r="C15875">
        <v>64842</v>
      </c>
      <c r="D15875" t="str">
        <f>"64842"</f>
        <v>64842</v>
      </c>
      <c r="E15875">
        <v>54.84</v>
      </c>
    </row>
    <row r="15876" spans="1:5" x14ac:dyDescent="0.2">
      <c r="A15876">
        <v>64843</v>
      </c>
      <c r="B15876" t="s">
        <v>30</v>
      </c>
      <c r="C15876">
        <v>64843</v>
      </c>
      <c r="D15876" t="str">
        <f>"64843"</f>
        <v>64843</v>
      </c>
      <c r="E15876">
        <v>58.78</v>
      </c>
    </row>
    <row r="15877" spans="1:5" x14ac:dyDescent="0.2">
      <c r="A15877">
        <v>64844</v>
      </c>
      <c r="B15877" t="s">
        <v>30</v>
      </c>
      <c r="C15877">
        <v>64844</v>
      </c>
      <c r="D15877" t="str">
        <f>"64844"</f>
        <v>64844</v>
      </c>
      <c r="E15877">
        <v>62.05</v>
      </c>
    </row>
    <row r="15878" spans="1:5" x14ac:dyDescent="0.2">
      <c r="A15878">
        <v>64847</v>
      </c>
      <c r="B15878" t="s">
        <v>30</v>
      </c>
      <c r="C15878">
        <v>64847</v>
      </c>
      <c r="D15878" t="str">
        <f>"64847"</f>
        <v>64847</v>
      </c>
      <c r="E15878">
        <v>58.33</v>
      </c>
    </row>
    <row r="15879" spans="1:5" x14ac:dyDescent="0.2">
      <c r="A15879">
        <v>64848</v>
      </c>
      <c r="B15879" t="s">
        <v>30</v>
      </c>
      <c r="C15879">
        <v>64848</v>
      </c>
      <c r="D15879" t="str">
        <f>"64848"</f>
        <v>64848</v>
      </c>
      <c r="E15879">
        <v>50</v>
      </c>
    </row>
    <row r="15880" spans="1:5" x14ac:dyDescent="0.2">
      <c r="A15880">
        <v>64850</v>
      </c>
      <c r="B15880" t="s">
        <v>30</v>
      </c>
      <c r="C15880">
        <v>64850</v>
      </c>
      <c r="D15880" t="str">
        <f>"64850"</f>
        <v>64850</v>
      </c>
      <c r="E15880">
        <v>63.16</v>
      </c>
    </row>
    <row r="15881" spans="1:5" x14ac:dyDescent="0.2">
      <c r="A15881">
        <v>64854</v>
      </c>
      <c r="B15881" t="s">
        <v>30</v>
      </c>
      <c r="C15881">
        <v>64854</v>
      </c>
      <c r="D15881" t="str">
        <f>"64854"</f>
        <v>64854</v>
      </c>
      <c r="E15881">
        <v>56.48</v>
      </c>
    </row>
    <row r="15882" spans="1:5" x14ac:dyDescent="0.2">
      <c r="A15882">
        <v>64855</v>
      </c>
      <c r="B15882" t="s">
        <v>30</v>
      </c>
      <c r="C15882">
        <v>64855</v>
      </c>
      <c r="D15882" t="str">
        <f>"64855"</f>
        <v>64855</v>
      </c>
      <c r="E15882">
        <v>70.16</v>
      </c>
    </row>
    <row r="15883" spans="1:5" x14ac:dyDescent="0.2">
      <c r="A15883">
        <v>64856</v>
      </c>
      <c r="B15883" t="s">
        <v>30</v>
      </c>
      <c r="C15883">
        <v>64856</v>
      </c>
      <c r="D15883" t="str">
        <f>"64856"</f>
        <v>64856</v>
      </c>
      <c r="E15883">
        <v>62.82</v>
      </c>
    </row>
    <row r="15884" spans="1:5" x14ac:dyDescent="0.2">
      <c r="A15884">
        <v>64857</v>
      </c>
      <c r="B15884" t="s">
        <v>30</v>
      </c>
      <c r="C15884">
        <v>64857</v>
      </c>
      <c r="D15884" t="str">
        <f>"64857"</f>
        <v>64857</v>
      </c>
      <c r="E15884" t="s">
        <v>6</v>
      </c>
    </row>
    <row r="15885" spans="1:5" x14ac:dyDescent="0.2">
      <c r="A15885">
        <v>64858</v>
      </c>
      <c r="B15885" t="s">
        <v>30</v>
      </c>
      <c r="C15885">
        <v>64858</v>
      </c>
      <c r="D15885" t="str">
        <f>"64858"</f>
        <v>64858</v>
      </c>
      <c r="E15885" t="s">
        <v>6</v>
      </c>
    </row>
    <row r="15886" spans="1:5" x14ac:dyDescent="0.2">
      <c r="A15886">
        <v>64859</v>
      </c>
      <c r="B15886" t="s">
        <v>30</v>
      </c>
      <c r="C15886">
        <v>64859</v>
      </c>
      <c r="D15886" t="str">
        <f>"64859"</f>
        <v>64859</v>
      </c>
      <c r="E15886">
        <v>59.62</v>
      </c>
    </row>
    <row r="15887" spans="1:5" x14ac:dyDescent="0.2">
      <c r="A15887">
        <v>64861</v>
      </c>
      <c r="B15887" t="s">
        <v>30</v>
      </c>
      <c r="C15887">
        <v>64861</v>
      </c>
      <c r="D15887" t="str">
        <f>"64861"</f>
        <v>64861</v>
      </c>
      <c r="E15887">
        <v>60</v>
      </c>
    </row>
    <row r="15888" spans="1:5" x14ac:dyDescent="0.2">
      <c r="A15888">
        <v>64862</v>
      </c>
      <c r="B15888" t="s">
        <v>30</v>
      </c>
      <c r="C15888">
        <v>64862</v>
      </c>
      <c r="D15888" t="str">
        <f>"64862"</f>
        <v>64862</v>
      </c>
      <c r="E15888">
        <v>60.87</v>
      </c>
    </row>
    <row r="15889" spans="1:5" x14ac:dyDescent="0.2">
      <c r="A15889">
        <v>64863</v>
      </c>
      <c r="B15889" t="s">
        <v>30</v>
      </c>
      <c r="C15889">
        <v>64863</v>
      </c>
      <c r="D15889" t="str">
        <f>"64863"</f>
        <v>64863</v>
      </c>
      <c r="E15889">
        <v>54.29</v>
      </c>
    </row>
    <row r="15890" spans="1:5" x14ac:dyDescent="0.2">
      <c r="A15890">
        <v>64865</v>
      </c>
      <c r="B15890" t="s">
        <v>30</v>
      </c>
      <c r="C15890">
        <v>64865</v>
      </c>
      <c r="D15890" t="str">
        <f>"64865"</f>
        <v>64865</v>
      </c>
      <c r="E15890">
        <v>65.37</v>
      </c>
    </row>
    <row r="15891" spans="1:5" x14ac:dyDescent="0.2">
      <c r="A15891">
        <v>64866</v>
      </c>
      <c r="B15891" t="s">
        <v>30</v>
      </c>
      <c r="C15891">
        <v>64866</v>
      </c>
      <c r="D15891" t="str">
        <f>"64866"</f>
        <v>64866</v>
      </c>
      <c r="E15891">
        <v>62.5</v>
      </c>
    </row>
    <row r="15892" spans="1:5" x14ac:dyDescent="0.2">
      <c r="A15892">
        <v>64867</v>
      </c>
      <c r="B15892" t="s">
        <v>30</v>
      </c>
      <c r="C15892">
        <v>64867</v>
      </c>
      <c r="D15892" t="str">
        <f>"64867"</f>
        <v>64867</v>
      </c>
      <c r="E15892">
        <v>57.14</v>
      </c>
    </row>
    <row r="15893" spans="1:5" x14ac:dyDescent="0.2">
      <c r="A15893">
        <v>64868</v>
      </c>
      <c r="B15893" t="s">
        <v>30</v>
      </c>
      <c r="C15893">
        <v>64868</v>
      </c>
      <c r="D15893" t="str">
        <f>"64868"</f>
        <v>64868</v>
      </c>
      <c r="E15893" t="s">
        <v>6</v>
      </c>
    </row>
    <row r="15894" spans="1:5" x14ac:dyDescent="0.2">
      <c r="A15894">
        <v>64870</v>
      </c>
      <c r="B15894" t="s">
        <v>30</v>
      </c>
      <c r="C15894">
        <v>64870</v>
      </c>
      <c r="D15894" t="str">
        <f>"64870"</f>
        <v>64870</v>
      </c>
      <c r="E15894">
        <v>67.010000000000005</v>
      </c>
    </row>
    <row r="15895" spans="1:5" x14ac:dyDescent="0.2">
      <c r="A15895">
        <v>64873</v>
      </c>
      <c r="B15895" t="s">
        <v>30</v>
      </c>
      <c r="C15895">
        <v>64873</v>
      </c>
      <c r="D15895" t="str">
        <f>"64873"</f>
        <v>64873</v>
      </c>
      <c r="E15895">
        <v>67.5</v>
      </c>
    </row>
    <row r="15896" spans="1:5" x14ac:dyDescent="0.2">
      <c r="A15896">
        <v>64874</v>
      </c>
      <c r="B15896" t="s">
        <v>30</v>
      </c>
      <c r="C15896">
        <v>64874</v>
      </c>
      <c r="D15896" t="str">
        <f>"64874"</f>
        <v>64874</v>
      </c>
      <c r="E15896" t="s">
        <v>6</v>
      </c>
    </row>
    <row r="15897" spans="1:5" x14ac:dyDescent="0.2">
      <c r="A15897">
        <v>65001</v>
      </c>
      <c r="B15897" t="s">
        <v>30</v>
      </c>
      <c r="C15897">
        <v>65001</v>
      </c>
      <c r="D15897" t="str">
        <f>"65001"</f>
        <v>65001</v>
      </c>
      <c r="E15897">
        <v>77.78</v>
      </c>
    </row>
    <row r="15898" spans="1:5" x14ac:dyDescent="0.2">
      <c r="A15898">
        <v>65010</v>
      </c>
      <c r="B15898" t="s">
        <v>30</v>
      </c>
      <c r="C15898">
        <v>65010</v>
      </c>
      <c r="D15898" t="str">
        <f>"65010"</f>
        <v>65010</v>
      </c>
      <c r="E15898">
        <v>78.39</v>
      </c>
    </row>
    <row r="15899" spans="1:5" x14ac:dyDescent="0.2">
      <c r="A15899">
        <v>65011</v>
      </c>
      <c r="B15899" t="s">
        <v>30</v>
      </c>
      <c r="C15899">
        <v>65011</v>
      </c>
      <c r="D15899" t="str">
        <f>"65011"</f>
        <v>65011</v>
      </c>
      <c r="E15899">
        <v>61.36</v>
      </c>
    </row>
    <row r="15900" spans="1:5" x14ac:dyDescent="0.2">
      <c r="A15900">
        <v>65013</v>
      </c>
      <c r="B15900" t="s">
        <v>30</v>
      </c>
      <c r="C15900">
        <v>65013</v>
      </c>
      <c r="D15900" t="str">
        <f>"65013"</f>
        <v>65013</v>
      </c>
      <c r="E15900">
        <v>64.540000000000006</v>
      </c>
    </row>
    <row r="15901" spans="1:5" x14ac:dyDescent="0.2">
      <c r="A15901">
        <v>65014</v>
      </c>
      <c r="B15901" t="s">
        <v>30</v>
      </c>
      <c r="C15901">
        <v>65014</v>
      </c>
      <c r="D15901" t="str">
        <f>"65014"</f>
        <v>65014</v>
      </c>
      <c r="E15901">
        <v>64.84</v>
      </c>
    </row>
    <row r="15902" spans="1:5" x14ac:dyDescent="0.2">
      <c r="A15902">
        <v>65016</v>
      </c>
      <c r="B15902" t="s">
        <v>30</v>
      </c>
      <c r="C15902">
        <v>65016</v>
      </c>
      <c r="D15902" t="str">
        <f>"65016"</f>
        <v>65016</v>
      </c>
      <c r="E15902">
        <v>76.56</v>
      </c>
    </row>
    <row r="15903" spans="1:5" x14ac:dyDescent="0.2">
      <c r="A15903">
        <v>65017</v>
      </c>
      <c r="B15903" t="s">
        <v>30</v>
      </c>
      <c r="C15903">
        <v>65017</v>
      </c>
      <c r="D15903" t="str">
        <f>"65017"</f>
        <v>65017</v>
      </c>
      <c r="E15903">
        <v>59.38</v>
      </c>
    </row>
    <row r="15904" spans="1:5" x14ac:dyDescent="0.2">
      <c r="A15904">
        <v>65018</v>
      </c>
      <c r="B15904" t="s">
        <v>30</v>
      </c>
      <c r="C15904">
        <v>65018</v>
      </c>
      <c r="D15904" t="str">
        <f>"65018"</f>
        <v>65018</v>
      </c>
      <c r="E15904">
        <v>67.489999999999995</v>
      </c>
    </row>
    <row r="15905" spans="1:5" x14ac:dyDescent="0.2">
      <c r="A15905">
        <v>65020</v>
      </c>
      <c r="B15905" t="s">
        <v>30</v>
      </c>
      <c r="C15905">
        <v>65020</v>
      </c>
      <c r="D15905" t="str">
        <f>"65020"</f>
        <v>65020</v>
      </c>
      <c r="E15905">
        <v>65.569999999999993</v>
      </c>
    </row>
    <row r="15906" spans="1:5" x14ac:dyDescent="0.2">
      <c r="A15906">
        <v>65023</v>
      </c>
      <c r="B15906" t="s">
        <v>30</v>
      </c>
      <c r="C15906">
        <v>65023</v>
      </c>
      <c r="D15906" t="str">
        <f>"65023"</f>
        <v>65023</v>
      </c>
      <c r="E15906">
        <v>78.89</v>
      </c>
    </row>
    <row r="15907" spans="1:5" x14ac:dyDescent="0.2">
      <c r="A15907">
        <v>65024</v>
      </c>
      <c r="B15907" t="s">
        <v>30</v>
      </c>
      <c r="C15907">
        <v>65024</v>
      </c>
      <c r="D15907" t="str">
        <f>"65024"</f>
        <v>65024</v>
      </c>
      <c r="E15907">
        <v>64.58</v>
      </c>
    </row>
    <row r="15908" spans="1:5" x14ac:dyDescent="0.2">
      <c r="A15908">
        <v>65025</v>
      </c>
      <c r="B15908" t="s">
        <v>30</v>
      </c>
      <c r="C15908">
        <v>65025</v>
      </c>
      <c r="D15908" t="str">
        <f>"65025"</f>
        <v>65025</v>
      </c>
      <c r="E15908">
        <v>72.41</v>
      </c>
    </row>
    <row r="15909" spans="1:5" x14ac:dyDescent="0.2">
      <c r="A15909">
        <v>65026</v>
      </c>
      <c r="B15909" t="s">
        <v>30</v>
      </c>
      <c r="C15909">
        <v>65026</v>
      </c>
      <c r="D15909" t="str">
        <f>"65026"</f>
        <v>65026</v>
      </c>
      <c r="E15909">
        <v>62.55</v>
      </c>
    </row>
    <row r="15910" spans="1:5" x14ac:dyDescent="0.2">
      <c r="A15910">
        <v>65032</v>
      </c>
      <c r="B15910" t="s">
        <v>30</v>
      </c>
      <c r="C15910">
        <v>65032</v>
      </c>
      <c r="D15910" t="str">
        <f>"65032"</f>
        <v>65032</v>
      </c>
      <c r="E15910">
        <v>72.150000000000006</v>
      </c>
    </row>
    <row r="15911" spans="1:5" x14ac:dyDescent="0.2">
      <c r="A15911">
        <v>65034</v>
      </c>
      <c r="B15911" t="s">
        <v>30</v>
      </c>
      <c r="C15911">
        <v>65034</v>
      </c>
      <c r="D15911" t="str">
        <f>"65034"</f>
        <v>65034</v>
      </c>
      <c r="E15911">
        <v>64</v>
      </c>
    </row>
    <row r="15912" spans="1:5" x14ac:dyDescent="0.2">
      <c r="A15912">
        <v>65035</v>
      </c>
      <c r="B15912" t="s">
        <v>30</v>
      </c>
      <c r="C15912">
        <v>65035</v>
      </c>
      <c r="D15912" t="str">
        <f>"65035"</f>
        <v>65035</v>
      </c>
      <c r="E15912">
        <v>75</v>
      </c>
    </row>
    <row r="15913" spans="1:5" x14ac:dyDescent="0.2">
      <c r="A15913">
        <v>65037</v>
      </c>
      <c r="B15913" t="s">
        <v>30</v>
      </c>
      <c r="C15913">
        <v>65037</v>
      </c>
      <c r="D15913" t="str">
        <f>"65037"</f>
        <v>65037</v>
      </c>
      <c r="E15913">
        <v>66.83</v>
      </c>
    </row>
    <row r="15914" spans="1:5" x14ac:dyDescent="0.2">
      <c r="A15914">
        <v>65038</v>
      </c>
      <c r="B15914" t="s">
        <v>30</v>
      </c>
      <c r="C15914">
        <v>65038</v>
      </c>
      <c r="D15914" t="str">
        <f>"65038"</f>
        <v>65038</v>
      </c>
      <c r="E15914" t="s">
        <v>6</v>
      </c>
    </row>
    <row r="15915" spans="1:5" x14ac:dyDescent="0.2">
      <c r="A15915">
        <v>65039</v>
      </c>
      <c r="B15915" t="s">
        <v>30</v>
      </c>
      <c r="C15915">
        <v>65039</v>
      </c>
      <c r="D15915" t="str">
        <f>"65039"</f>
        <v>65039</v>
      </c>
      <c r="E15915">
        <v>78.900000000000006</v>
      </c>
    </row>
    <row r="15916" spans="1:5" x14ac:dyDescent="0.2">
      <c r="A15916">
        <v>65040</v>
      </c>
      <c r="B15916" t="s">
        <v>30</v>
      </c>
      <c r="C15916">
        <v>65040</v>
      </c>
      <c r="D15916" t="str">
        <f>"65040"</f>
        <v>65040</v>
      </c>
      <c r="E15916">
        <v>75.81</v>
      </c>
    </row>
    <row r="15917" spans="1:5" x14ac:dyDescent="0.2">
      <c r="A15917">
        <v>65041</v>
      </c>
      <c r="B15917" t="s">
        <v>30</v>
      </c>
      <c r="C15917">
        <v>65041</v>
      </c>
      <c r="D15917" t="str">
        <f>"65041"</f>
        <v>65041</v>
      </c>
      <c r="E15917">
        <v>70.11</v>
      </c>
    </row>
    <row r="15918" spans="1:5" x14ac:dyDescent="0.2">
      <c r="A15918">
        <v>65042</v>
      </c>
      <c r="B15918" t="s">
        <v>30</v>
      </c>
      <c r="C15918">
        <v>65042</v>
      </c>
      <c r="D15918" t="str">
        <f>"65042"</f>
        <v>65042</v>
      </c>
      <c r="E15918" t="s">
        <v>6</v>
      </c>
    </row>
    <row r="15919" spans="1:5" x14ac:dyDescent="0.2">
      <c r="A15919">
        <v>65043</v>
      </c>
      <c r="B15919" t="s">
        <v>30</v>
      </c>
      <c r="C15919">
        <v>65043</v>
      </c>
      <c r="D15919" t="str">
        <f>"65043"</f>
        <v>65043</v>
      </c>
      <c r="E15919">
        <v>73.61</v>
      </c>
    </row>
    <row r="15920" spans="1:5" x14ac:dyDescent="0.2">
      <c r="A15920">
        <v>65046</v>
      </c>
      <c r="B15920" t="s">
        <v>30</v>
      </c>
      <c r="C15920">
        <v>65046</v>
      </c>
      <c r="D15920" t="str">
        <f>"65046"</f>
        <v>65046</v>
      </c>
      <c r="E15920">
        <v>69.64</v>
      </c>
    </row>
    <row r="15921" spans="1:5" x14ac:dyDescent="0.2">
      <c r="A15921">
        <v>65047</v>
      </c>
      <c r="B15921" t="s">
        <v>30</v>
      </c>
      <c r="C15921">
        <v>65047</v>
      </c>
      <c r="D15921" t="str">
        <f>"65047"</f>
        <v>65047</v>
      </c>
      <c r="E15921">
        <v>59.26</v>
      </c>
    </row>
    <row r="15922" spans="1:5" x14ac:dyDescent="0.2">
      <c r="A15922">
        <v>65048</v>
      </c>
      <c r="B15922" t="s">
        <v>30</v>
      </c>
      <c r="C15922">
        <v>65048</v>
      </c>
      <c r="D15922" t="str">
        <f>"65048"</f>
        <v>65048</v>
      </c>
      <c r="E15922">
        <v>63.64</v>
      </c>
    </row>
    <row r="15923" spans="1:5" x14ac:dyDescent="0.2">
      <c r="A15923">
        <v>65049</v>
      </c>
      <c r="B15923" t="s">
        <v>30</v>
      </c>
      <c r="C15923">
        <v>65049</v>
      </c>
      <c r="D15923" t="str">
        <f>"65049"</f>
        <v>65049</v>
      </c>
      <c r="E15923">
        <v>73.28</v>
      </c>
    </row>
    <row r="15924" spans="1:5" x14ac:dyDescent="0.2">
      <c r="A15924">
        <v>65050</v>
      </c>
      <c r="B15924" t="s">
        <v>30</v>
      </c>
      <c r="C15924">
        <v>65050</v>
      </c>
      <c r="D15924" t="str">
        <f>"65050"</f>
        <v>65050</v>
      </c>
      <c r="E15924">
        <v>50</v>
      </c>
    </row>
    <row r="15925" spans="1:5" x14ac:dyDescent="0.2">
      <c r="A15925">
        <v>65051</v>
      </c>
      <c r="B15925" t="s">
        <v>30</v>
      </c>
      <c r="C15925">
        <v>65051</v>
      </c>
      <c r="D15925" t="str">
        <f>"65051"</f>
        <v>65051</v>
      </c>
      <c r="E15925">
        <v>72.17</v>
      </c>
    </row>
    <row r="15926" spans="1:5" x14ac:dyDescent="0.2">
      <c r="A15926">
        <v>65052</v>
      </c>
      <c r="B15926" t="s">
        <v>30</v>
      </c>
      <c r="C15926">
        <v>65052</v>
      </c>
      <c r="D15926" t="str">
        <f>"65052"</f>
        <v>65052</v>
      </c>
      <c r="E15926">
        <v>65.790000000000006</v>
      </c>
    </row>
    <row r="15927" spans="1:5" x14ac:dyDescent="0.2">
      <c r="A15927">
        <v>65053</v>
      </c>
      <c r="B15927" t="s">
        <v>30</v>
      </c>
      <c r="C15927">
        <v>65053</v>
      </c>
      <c r="D15927" t="str">
        <f>"65053"</f>
        <v>65053</v>
      </c>
      <c r="E15927">
        <v>78.87</v>
      </c>
    </row>
    <row r="15928" spans="1:5" x14ac:dyDescent="0.2">
      <c r="A15928">
        <v>65054</v>
      </c>
      <c r="B15928" t="s">
        <v>30</v>
      </c>
      <c r="C15928">
        <v>65054</v>
      </c>
      <c r="D15928" t="str">
        <f>"65054"</f>
        <v>65054</v>
      </c>
      <c r="E15928">
        <v>76.19</v>
      </c>
    </row>
    <row r="15929" spans="1:5" x14ac:dyDescent="0.2">
      <c r="A15929">
        <v>65055</v>
      </c>
      <c r="B15929" t="s">
        <v>30</v>
      </c>
      <c r="C15929">
        <v>65055</v>
      </c>
      <c r="D15929" t="str">
        <f>"65055"</f>
        <v>65055</v>
      </c>
      <c r="E15929" t="s">
        <v>6</v>
      </c>
    </row>
    <row r="15930" spans="1:5" x14ac:dyDescent="0.2">
      <c r="A15930">
        <v>65058</v>
      </c>
      <c r="B15930" t="s">
        <v>30</v>
      </c>
      <c r="C15930">
        <v>65058</v>
      </c>
      <c r="D15930" t="str">
        <f>"65058"</f>
        <v>65058</v>
      </c>
      <c r="E15930">
        <v>75</v>
      </c>
    </row>
    <row r="15931" spans="1:5" x14ac:dyDescent="0.2">
      <c r="A15931">
        <v>65059</v>
      </c>
      <c r="B15931" t="s">
        <v>30</v>
      </c>
      <c r="C15931">
        <v>65059</v>
      </c>
      <c r="D15931" t="str">
        <f>"65059"</f>
        <v>65059</v>
      </c>
      <c r="E15931">
        <v>72.92</v>
      </c>
    </row>
    <row r="15932" spans="1:5" x14ac:dyDescent="0.2">
      <c r="A15932">
        <v>65061</v>
      </c>
      <c r="B15932" t="s">
        <v>30</v>
      </c>
      <c r="C15932">
        <v>65061</v>
      </c>
      <c r="D15932" t="str">
        <f>"65061"</f>
        <v>65061</v>
      </c>
      <c r="E15932">
        <v>66.67</v>
      </c>
    </row>
    <row r="15933" spans="1:5" x14ac:dyDescent="0.2">
      <c r="A15933">
        <v>65062</v>
      </c>
      <c r="B15933" t="s">
        <v>30</v>
      </c>
      <c r="C15933">
        <v>65062</v>
      </c>
      <c r="D15933" t="str">
        <f>"65062"</f>
        <v>65062</v>
      </c>
      <c r="E15933" t="s">
        <v>6</v>
      </c>
    </row>
    <row r="15934" spans="1:5" x14ac:dyDescent="0.2">
      <c r="A15934">
        <v>65063</v>
      </c>
      <c r="B15934" t="s">
        <v>30</v>
      </c>
      <c r="C15934">
        <v>65063</v>
      </c>
      <c r="D15934" t="str">
        <f>"65063"</f>
        <v>65063</v>
      </c>
      <c r="E15934">
        <v>72.73</v>
      </c>
    </row>
    <row r="15935" spans="1:5" x14ac:dyDescent="0.2">
      <c r="A15935">
        <v>65064</v>
      </c>
      <c r="B15935" t="s">
        <v>30</v>
      </c>
      <c r="C15935">
        <v>65064</v>
      </c>
      <c r="D15935" t="str">
        <f>"65064"</f>
        <v>65064</v>
      </c>
      <c r="E15935">
        <v>69.569999999999993</v>
      </c>
    </row>
    <row r="15936" spans="1:5" x14ac:dyDescent="0.2">
      <c r="A15936">
        <v>65065</v>
      </c>
      <c r="B15936" t="s">
        <v>30</v>
      </c>
      <c r="C15936">
        <v>65065</v>
      </c>
      <c r="D15936" t="str">
        <f>"65065"</f>
        <v>65065</v>
      </c>
      <c r="E15936">
        <v>71.510000000000005</v>
      </c>
    </row>
    <row r="15937" spans="1:5" x14ac:dyDescent="0.2">
      <c r="A15937">
        <v>65066</v>
      </c>
      <c r="B15937" t="s">
        <v>30</v>
      </c>
      <c r="C15937">
        <v>65066</v>
      </c>
      <c r="D15937" t="str">
        <f>"65066"</f>
        <v>65066</v>
      </c>
      <c r="E15937">
        <v>67.44</v>
      </c>
    </row>
    <row r="15938" spans="1:5" x14ac:dyDescent="0.2">
      <c r="A15938">
        <v>65067</v>
      </c>
      <c r="B15938" t="s">
        <v>30</v>
      </c>
      <c r="C15938">
        <v>65067</v>
      </c>
      <c r="D15938" t="str">
        <f>"65067"</f>
        <v>65067</v>
      </c>
      <c r="E15938">
        <v>61.11</v>
      </c>
    </row>
    <row r="15939" spans="1:5" x14ac:dyDescent="0.2">
      <c r="A15939">
        <v>65068</v>
      </c>
      <c r="B15939" t="s">
        <v>30</v>
      </c>
      <c r="C15939">
        <v>65068</v>
      </c>
      <c r="D15939" t="str">
        <f>"65068"</f>
        <v>65068</v>
      </c>
      <c r="E15939">
        <v>68.75</v>
      </c>
    </row>
    <row r="15940" spans="1:5" x14ac:dyDescent="0.2">
      <c r="A15940">
        <v>65069</v>
      </c>
      <c r="B15940" t="s">
        <v>30</v>
      </c>
      <c r="C15940">
        <v>65069</v>
      </c>
      <c r="D15940" t="str">
        <f>"65069"</f>
        <v>65069</v>
      </c>
      <c r="E15940">
        <v>75.86</v>
      </c>
    </row>
    <row r="15941" spans="1:5" x14ac:dyDescent="0.2">
      <c r="A15941">
        <v>65072</v>
      </c>
      <c r="B15941" t="s">
        <v>30</v>
      </c>
      <c r="C15941">
        <v>65072</v>
      </c>
      <c r="D15941" t="str">
        <f>"65072"</f>
        <v>65072</v>
      </c>
      <c r="E15941">
        <v>70.27</v>
      </c>
    </row>
    <row r="15942" spans="1:5" x14ac:dyDescent="0.2">
      <c r="A15942">
        <v>65074</v>
      </c>
      <c r="B15942" t="s">
        <v>30</v>
      </c>
      <c r="C15942">
        <v>65074</v>
      </c>
      <c r="D15942" t="str">
        <f>"65074"</f>
        <v>65074</v>
      </c>
      <c r="E15942">
        <v>73.13</v>
      </c>
    </row>
    <row r="15943" spans="1:5" x14ac:dyDescent="0.2">
      <c r="A15943">
        <v>65075</v>
      </c>
      <c r="B15943" t="s">
        <v>30</v>
      </c>
      <c r="C15943">
        <v>65075</v>
      </c>
      <c r="D15943" t="str">
        <f>"65075"</f>
        <v>65075</v>
      </c>
      <c r="E15943">
        <v>75.680000000000007</v>
      </c>
    </row>
    <row r="15944" spans="1:5" x14ac:dyDescent="0.2">
      <c r="A15944">
        <v>65076</v>
      </c>
      <c r="B15944" t="s">
        <v>30</v>
      </c>
      <c r="C15944">
        <v>65076</v>
      </c>
      <c r="D15944" t="str">
        <f>"65076"</f>
        <v>65076</v>
      </c>
      <c r="E15944">
        <v>78.13</v>
      </c>
    </row>
    <row r="15945" spans="1:5" x14ac:dyDescent="0.2">
      <c r="A15945">
        <v>65077</v>
      </c>
      <c r="B15945" t="s">
        <v>30</v>
      </c>
      <c r="C15945">
        <v>65077</v>
      </c>
      <c r="D15945" t="str">
        <f>"65077"</f>
        <v>65077</v>
      </c>
      <c r="E15945">
        <v>69.569999999999993</v>
      </c>
    </row>
    <row r="15946" spans="1:5" x14ac:dyDescent="0.2">
      <c r="A15946">
        <v>65078</v>
      </c>
      <c r="B15946" t="s">
        <v>30</v>
      </c>
      <c r="C15946">
        <v>65078</v>
      </c>
      <c r="D15946" t="str">
        <f>"65078"</f>
        <v>65078</v>
      </c>
      <c r="E15946">
        <v>56.85</v>
      </c>
    </row>
    <row r="15947" spans="1:5" x14ac:dyDescent="0.2">
      <c r="A15947">
        <v>65079</v>
      </c>
      <c r="B15947" t="s">
        <v>30</v>
      </c>
      <c r="C15947">
        <v>65079</v>
      </c>
      <c r="D15947" t="str">
        <f>"65079"</f>
        <v>65079</v>
      </c>
      <c r="E15947">
        <v>71.22</v>
      </c>
    </row>
    <row r="15948" spans="1:5" x14ac:dyDescent="0.2">
      <c r="A15948">
        <v>65080</v>
      </c>
      <c r="B15948" t="s">
        <v>30</v>
      </c>
      <c r="C15948">
        <v>65080</v>
      </c>
      <c r="D15948" t="str">
        <f>"65080"</f>
        <v>65080</v>
      </c>
      <c r="E15948">
        <v>77.78</v>
      </c>
    </row>
    <row r="15949" spans="1:5" x14ac:dyDescent="0.2">
      <c r="A15949">
        <v>65081</v>
      </c>
      <c r="B15949" t="s">
        <v>30</v>
      </c>
      <c r="C15949">
        <v>65081</v>
      </c>
      <c r="D15949" t="str">
        <f>"65081"</f>
        <v>65081</v>
      </c>
      <c r="E15949">
        <v>69.7</v>
      </c>
    </row>
    <row r="15950" spans="1:5" x14ac:dyDescent="0.2">
      <c r="A15950">
        <v>65082</v>
      </c>
      <c r="B15950" t="s">
        <v>30</v>
      </c>
      <c r="C15950">
        <v>65082</v>
      </c>
      <c r="D15950" t="str">
        <f>"65082"</f>
        <v>65082</v>
      </c>
      <c r="E15950">
        <v>68.180000000000007</v>
      </c>
    </row>
    <row r="15951" spans="1:5" x14ac:dyDescent="0.2">
      <c r="A15951">
        <v>65083</v>
      </c>
      <c r="B15951" t="s">
        <v>30</v>
      </c>
      <c r="C15951">
        <v>65083</v>
      </c>
      <c r="D15951" t="str">
        <f>"65083"</f>
        <v>65083</v>
      </c>
      <c r="E15951">
        <v>58.82</v>
      </c>
    </row>
    <row r="15952" spans="1:5" x14ac:dyDescent="0.2">
      <c r="A15952">
        <v>65084</v>
      </c>
      <c r="B15952" t="s">
        <v>30</v>
      </c>
      <c r="C15952">
        <v>65084</v>
      </c>
      <c r="D15952" t="str">
        <f>"65084"</f>
        <v>65084</v>
      </c>
      <c r="E15952">
        <v>61.92</v>
      </c>
    </row>
    <row r="15953" spans="1:5" x14ac:dyDescent="0.2">
      <c r="A15953">
        <v>65085</v>
      </c>
      <c r="B15953" t="s">
        <v>30</v>
      </c>
      <c r="C15953">
        <v>65085</v>
      </c>
      <c r="D15953" t="str">
        <f>"65085"</f>
        <v>65085</v>
      </c>
      <c r="E15953">
        <v>76.19</v>
      </c>
    </row>
    <row r="15954" spans="1:5" x14ac:dyDescent="0.2">
      <c r="A15954">
        <v>65101</v>
      </c>
      <c r="B15954" t="s">
        <v>30</v>
      </c>
      <c r="C15954">
        <v>65101</v>
      </c>
      <c r="D15954" t="str">
        <f>"65101"</f>
        <v>65101</v>
      </c>
      <c r="E15954">
        <v>72.459999999999994</v>
      </c>
    </row>
    <row r="15955" spans="1:5" x14ac:dyDescent="0.2">
      <c r="A15955">
        <v>65109</v>
      </c>
      <c r="B15955" t="s">
        <v>30</v>
      </c>
      <c r="C15955">
        <v>65109</v>
      </c>
      <c r="D15955" t="str">
        <f>"65109"</f>
        <v>65109</v>
      </c>
      <c r="E15955">
        <v>75.52</v>
      </c>
    </row>
    <row r="15956" spans="1:5" x14ac:dyDescent="0.2">
      <c r="A15956">
        <v>65201</v>
      </c>
      <c r="B15956" t="s">
        <v>30</v>
      </c>
      <c r="C15956">
        <v>65201</v>
      </c>
      <c r="D15956" t="str">
        <f>"65201"</f>
        <v>65201</v>
      </c>
      <c r="E15956">
        <v>67.959999999999994</v>
      </c>
    </row>
    <row r="15957" spans="1:5" x14ac:dyDescent="0.2">
      <c r="A15957">
        <v>65202</v>
      </c>
      <c r="B15957" t="s">
        <v>30</v>
      </c>
      <c r="C15957">
        <v>65202</v>
      </c>
      <c r="D15957" t="str">
        <f>"65202"</f>
        <v>65202</v>
      </c>
      <c r="E15957">
        <v>70.42</v>
      </c>
    </row>
    <row r="15958" spans="1:5" x14ac:dyDescent="0.2">
      <c r="A15958">
        <v>65203</v>
      </c>
      <c r="B15958" t="s">
        <v>30</v>
      </c>
      <c r="C15958">
        <v>65203</v>
      </c>
      <c r="D15958" t="str">
        <f>"65203"</f>
        <v>65203</v>
      </c>
      <c r="E15958">
        <v>76.849999999999994</v>
      </c>
    </row>
    <row r="15959" spans="1:5" x14ac:dyDescent="0.2">
      <c r="A15959">
        <v>65211</v>
      </c>
      <c r="B15959" t="s">
        <v>30</v>
      </c>
      <c r="C15959">
        <v>65211</v>
      </c>
      <c r="D15959" t="str">
        <f>"65211"</f>
        <v>65211</v>
      </c>
      <c r="E15959" t="s">
        <v>6</v>
      </c>
    </row>
    <row r="15960" spans="1:5" x14ac:dyDescent="0.2">
      <c r="A15960">
        <v>65215</v>
      </c>
      <c r="B15960" t="s">
        <v>30</v>
      </c>
      <c r="C15960">
        <v>65215</v>
      </c>
      <c r="D15960" t="str">
        <f>"65215"</f>
        <v>65215</v>
      </c>
      <c r="E15960" t="s">
        <v>6</v>
      </c>
    </row>
    <row r="15961" spans="1:5" x14ac:dyDescent="0.2">
      <c r="A15961">
        <v>65217</v>
      </c>
      <c r="B15961" t="s">
        <v>30</v>
      </c>
      <c r="C15961">
        <v>65217</v>
      </c>
      <c r="D15961" t="str">
        <f>"65217"</f>
        <v>65217</v>
      </c>
      <c r="E15961" t="s">
        <v>6</v>
      </c>
    </row>
    <row r="15962" spans="1:5" x14ac:dyDescent="0.2">
      <c r="A15962">
        <v>65230</v>
      </c>
      <c r="B15962" t="s">
        <v>30</v>
      </c>
      <c r="C15962">
        <v>65230</v>
      </c>
      <c r="D15962" t="str">
        <f>"65230"</f>
        <v>65230</v>
      </c>
      <c r="E15962">
        <v>60</v>
      </c>
    </row>
    <row r="15963" spans="1:5" x14ac:dyDescent="0.2">
      <c r="A15963">
        <v>65231</v>
      </c>
      <c r="B15963" t="s">
        <v>30</v>
      </c>
      <c r="C15963">
        <v>65231</v>
      </c>
      <c r="D15963" t="str">
        <f>"65231"</f>
        <v>65231</v>
      </c>
      <c r="E15963">
        <v>67.790000000000006</v>
      </c>
    </row>
    <row r="15964" spans="1:5" x14ac:dyDescent="0.2">
      <c r="A15964">
        <v>65232</v>
      </c>
      <c r="B15964" t="s">
        <v>30</v>
      </c>
      <c r="C15964">
        <v>65232</v>
      </c>
      <c r="D15964" t="str">
        <f>"65232"</f>
        <v>65232</v>
      </c>
      <c r="E15964">
        <v>69.23</v>
      </c>
    </row>
    <row r="15965" spans="1:5" x14ac:dyDescent="0.2">
      <c r="A15965">
        <v>65233</v>
      </c>
      <c r="B15965" t="s">
        <v>30</v>
      </c>
      <c r="C15965">
        <v>65233</v>
      </c>
      <c r="D15965" t="str">
        <f>"65233"</f>
        <v>65233</v>
      </c>
      <c r="E15965">
        <v>70.650000000000006</v>
      </c>
    </row>
    <row r="15966" spans="1:5" x14ac:dyDescent="0.2">
      <c r="A15966">
        <v>65236</v>
      </c>
      <c r="B15966" t="s">
        <v>30</v>
      </c>
      <c r="C15966">
        <v>65236</v>
      </c>
      <c r="D15966" t="str">
        <f>"65236"</f>
        <v>65236</v>
      </c>
      <c r="E15966">
        <v>63.79</v>
      </c>
    </row>
    <row r="15967" spans="1:5" x14ac:dyDescent="0.2">
      <c r="A15967">
        <v>65237</v>
      </c>
      <c r="B15967" t="s">
        <v>30</v>
      </c>
      <c r="C15967">
        <v>65237</v>
      </c>
      <c r="D15967" t="str">
        <f>"65237"</f>
        <v>65237</v>
      </c>
      <c r="E15967">
        <v>73.17</v>
      </c>
    </row>
    <row r="15968" spans="1:5" x14ac:dyDescent="0.2">
      <c r="A15968">
        <v>65239</v>
      </c>
      <c r="B15968" t="s">
        <v>30</v>
      </c>
      <c r="C15968">
        <v>65239</v>
      </c>
      <c r="D15968" t="str">
        <f>"65239"</f>
        <v>65239</v>
      </c>
      <c r="E15968">
        <v>72.13</v>
      </c>
    </row>
    <row r="15969" spans="1:5" x14ac:dyDescent="0.2">
      <c r="A15969">
        <v>65240</v>
      </c>
      <c r="B15969" t="s">
        <v>30</v>
      </c>
      <c r="C15969">
        <v>65240</v>
      </c>
      <c r="D15969" t="str">
        <f>"65240"</f>
        <v>65240</v>
      </c>
      <c r="E15969">
        <v>71.12</v>
      </c>
    </row>
    <row r="15970" spans="1:5" x14ac:dyDescent="0.2">
      <c r="A15970">
        <v>65243</v>
      </c>
      <c r="B15970" t="s">
        <v>30</v>
      </c>
      <c r="C15970">
        <v>65243</v>
      </c>
      <c r="D15970" t="str">
        <f>"65243"</f>
        <v>65243</v>
      </c>
      <c r="E15970">
        <v>65.63</v>
      </c>
    </row>
    <row r="15971" spans="1:5" x14ac:dyDescent="0.2">
      <c r="A15971">
        <v>65244</v>
      </c>
      <c r="B15971" t="s">
        <v>30</v>
      </c>
      <c r="C15971">
        <v>65244</v>
      </c>
      <c r="D15971" t="str">
        <f>"65244"</f>
        <v>65244</v>
      </c>
      <c r="E15971">
        <v>72.22</v>
      </c>
    </row>
    <row r="15972" spans="1:5" x14ac:dyDescent="0.2">
      <c r="A15972">
        <v>65246</v>
      </c>
      <c r="B15972" t="s">
        <v>30</v>
      </c>
      <c r="C15972">
        <v>65246</v>
      </c>
      <c r="D15972" t="str">
        <f>"65246"</f>
        <v>65246</v>
      </c>
      <c r="E15972" t="s">
        <v>6</v>
      </c>
    </row>
    <row r="15973" spans="1:5" x14ac:dyDescent="0.2">
      <c r="A15973">
        <v>65247</v>
      </c>
      <c r="B15973" t="s">
        <v>30</v>
      </c>
      <c r="C15973">
        <v>65247</v>
      </c>
      <c r="D15973" t="str">
        <f>"65247"</f>
        <v>65247</v>
      </c>
      <c r="E15973">
        <v>73.08</v>
      </c>
    </row>
    <row r="15974" spans="1:5" x14ac:dyDescent="0.2">
      <c r="A15974">
        <v>65248</v>
      </c>
      <c r="B15974" t="s">
        <v>30</v>
      </c>
      <c r="C15974">
        <v>65248</v>
      </c>
      <c r="D15974" t="str">
        <f>"65248"</f>
        <v>65248</v>
      </c>
      <c r="E15974">
        <v>64.319999999999993</v>
      </c>
    </row>
    <row r="15975" spans="1:5" x14ac:dyDescent="0.2">
      <c r="A15975">
        <v>65250</v>
      </c>
      <c r="B15975" t="s">
        <v>30</v>
      </c>
      <c r="C15975">
        <v>65250</v>
      </c>
      <c r="D15975" t="str">
        <f>"65250"</f>
        <v>65250</v>
      </c>
      <c r="E15975">
        <v>66.67</v>
      </c>
    </row>
    <row r="15976" spans="1:5" x14ac:dyDescent="0.2">
      <c r="A15976">
        <v>65251</v>
      </c>
      <c r="B15976" t="s">
        <v>30</v>
      </c>
      <c r="C15976">
        <v>65251</v>
      </c>
      <c r="D15976" t="str">
        <f>"65251"</f>
        <v>65251</v>
      </c>
      <c r="E15976">
        <v>70.319999999999993</v>
      </c>
    </row>
    <row r="15977" spans="1:5" x14ac:dyDescent="0.2">
      <c r="A15977">
        <v>65254</v>
      </c>
      <c r="B15977" t="s">
        <v>30</v>
      </c>
      <c r="C15977">
        <v>65254</v>
      </c>
      <c r="D15977" t="str">
        <f>"65254"</f>
        <v>65254</v>
      </c>
      <c r="E15977">
        <v>70.37</v>
      </c>
    </row>
    <row r="15978" spans="1:5" x14ac:dyDescent="0.2">
      <c r="A15978">
        <v>65255</v>
      </c>
      <c r="B15978" t="s">
        <v>30</v>
      </c>
      <c r="C15978">
        <v>65255</v>
      </c>
      <c r="D15978" t="str">
        <f>"65255"</f>
        <v>65255</v>
      </c>
      <c r="E15978">
        <v>75.25</v>
      </c>
    </row>
    <row r="15979" spans="1:5" x14ac:dyDescent="0.2">
      <c r="A15979">
        <v>65256</v>
      </c>
      <c r="B15979" t="s">
        <v>30</v>
      </c>
      <c r="C15979">
        <v>65256</v>
      </c>
      <c r="D15979" t="str">
        <f>"65256"</f>
        <v>65256</v>
      </c>
      <c r="E15979">
        <v>77.42</v>
      </c>
    </row>
    <row r="15980" spans="1:5" x14ac:dyDescent="0.2">
      <c r="A15980">
        <v>65257</v>
      </c>
      <c r="B15980" t="s">
        <v>30</v>
      </c>
      <c r="C15980">
        <v>65257</v>
      </c>
      <c r="D15980" t="str">
        <f>"65257"</f>
        <v>65257</v>
      </c>
      <c r="E15980">
        <v>71.64</v>
      </c>
    </row>
    <row r="15981" spans="1:5" x14ac:dyDescent="0.2">
      <c r="A15981">
        <v>65258</v>
      </c>
      <c r="B15981" t="s">
        <v>30</v>
      </c>
      <c r="C15981">
        <v>65258</v>
      </c>
      <c r="D15981" t="str">
        <f>"65258"</f>
        <v>65258</v>
      </c>
      <c r="E15981">
        <v>70</v>
      </c>
    </row>
    <row r="15982" spans="1:5" x14ac:dyDescent="0.2">
      <c r="A15982">
        <v>65259</v>
      </c>
      <c r="B15982" t="s">
        <v>30</v>
      </c>
      <c r="C15982">
        <v>65259</v>
      </c>
      <c r="D15982" t="str">
        <f>"65259"</f>
        <v>65259</v>
      </c>
      <c r="E15982">
        <v>68</v>
      </c>
    </row>
    <row r="15983" spans="1:5" x14ac:dyDescent="0.2">
      <c r="A15983">
        <v>65260</v>
      </c>
      <c r="B15983" t="s">
        <v>30</v>
      </c>
      <c r="C15983">
        <v>65260</v>
      </c>
      <c r="D15983" t="str">
        <f>"65260"</f>
        <v>65260</v>
      </c>
      <c r="E15983">
        <v>70.37</v>
      </c>
    </row>
    <row r="15984" spans="1:5" x14ac:dyDescent="0.2">
      <c r="A15984">
        <v>65261</v>
      </c>
      <c r="B15984" t="s">
        <v>30</v>
      </c>
      <c r="C15984">
        <v>65261</v>
      </c>
      <c r="D15984" t="str">
        <f>"65261"</f>
        <v>65261</v>
      </c>
      <c r="E15984">
        <v>64</v>
      </c>
    </row>
    <row r="15985" spans="1:5" x14ac:dyDescent="0.2">
      <c r="A15985">
        <v>65262</v>
      </c>
      <c r="B15985" t="s">
        <v>30</v>
      </c>
      <c r="C15985">
        <v>65262</v>
      </c>
      <c r="D15985" t="str">
        <f>"65262"</f>
        <v>65262</v>
      </c>
      <c r="E15985">
        <v>66.67</v>
      </c>
    </row>
    <row r="15986" spans="1:5" x14ac:dyDescent="0.2">
      <c r="A15986">
        <v>65263</v>
      </c>
      <c r="B15986" t="s">
        <v>30</v>
      </c>
      <c r="C15986">
        <v>65263</v>
      </c>
      <c r="D15986" t="str">
        <f>"65263"</f>
        <v>65263</v>
      </c>
      <c r="E15986">
        <v>65.790000000000006</v>
      </c>
    </row>
    <row r="15987" spans="1:5" x14ac:dyDescent="0.2">
      <c r="A15987">
        <v>65264</v>
      </c>
      <c r="B15987" t="s">
        <v>30</v>
      </c>
      <c r="C15987">
        <v>65264</v>
      </c>
      <c r="D15987" t="str">
        <f>"65264"</f>
        <v>65264</v>
      </c>
      <c r="E15987">
        <v>71.05</v>
      </c>
    </row>
    <row r="15988" spans="1:5" x14ac:dyDescent="0.2">
      <c r="A15988">
        <v>65265</v>
      </c>
      <c r="B15988" t="s">
        <v>30</v>
      </c>
      <c r="C15988">
        <v>65265</v>
      </c>
      <c r="D15988" t="str">
        <f>"65265"</f>
        <v>65265</v>
      </c>
      <c r="E15988">
        <v>65.7</v>
      </c>
    </row>
    <row r="15989" spans="1:5" x14ac:dyDescent="0.2">
      <c r="A15989">
        <v>65270</v>
      </c>
      <c r="B15989" t="s">
        <v>30</v>
      </c>
      <c r="C15989">
        <v>65270</v>
      </c>
      <c r="D15989" t="str">
        <f>"65270"</f>
        <v>65270</v>
      </c>
      <c r="E15989">
        <v>65.760000000000005</v>
      </c>
    </row>
    <row r="15990" spans="1:5" x14ac:dyDescent="0.2">
      <c r="A15990">
        <v>65274</v>
      </c>
      <c r="B15990" t="s">
        <v>30</v>
      </c>
      <c r="C15990">
        <v>65274</v>
      </c>
      <c r="D15990" t="str">
        <f>"65274"</f>
        <v>65274</v>
      </c>
      <c r="E15990">
        <v>69.739999999999995</v>
      </c>
    </row>
    <row r="15991" spans="1:5" x14ac:dyDescent="0.2">
      <c r="A15991">
        <v>65275</v>
      </c>
      <c r="B15991" t="s">
        <v>30</v>
      </c>
      <c r="C15991">
        <v>65275</v>
      </c>
      <c r="D15991" t="str">
        <f>"65275"</f>
        <v>65275</v>
      </c>
      <c r="E15991">
        <v>67.62</v>
      </c>
    </row>
    <row r="15992" spans="1:5" x14ac:dyDescent="0.2">
      <c r="A15992">
        <v>65276</v>
      </c>
      <c r="B15992" t="s">
        <v>30</v>
      </c>
      <c r="C15992">
        <v>65276</v>
      </c>
      <c r="D15992" t="str">
        <f>"65276"</f>
        <v>65276</v>
      </c>
      <c r="E15992">
        <v>69.569999999999993</v>
      </c>
    </row>
    <row r="15993" spans="1:5" x14ac:dyDescent="0.2">
      <c r="A15993">
        <v>65278</v>
      </c>
      <c r="B15993" t="s">
        <v>30</v>
      </c>
      <c r="C15993">
        <v>65278</v>
      </c>
      <c r="D15993" t="str">
        <f>"65278"</f>
        <v>65278</v>
      </c>
      <c r="E15993" t="s">
        <v>6</v>
      </c>
    </row>
    <row r="15994" spans="1:5" x14ac:dyDescent="0.2">
      <c r="A15994">
        <v>65279</v>
      </c>
      <c r="B15994" t="s">
        <v>30</v>
      </c>
      <c r="C15994">
        <v>65279</v>
      </c>
      <c r="D15994" t="str">
        <f>"65279"</f>
        <v>65279</v>
      </c>
      <c r="E15994">
        <v>80</v>
      </c>
    </row>
    <row r="15995" spans="1:5" x14ac:dyDescent="0.2">
      <c r="A15995">
        <v>65280</v>
      </c>
      <c r="B15995" t="s">
        <v>30</v>
      </c>
      <c r="C15995">
        <v>65280</v>
      </c>
      <c r="D15995" t="str">
        <f>"65280"</f>
        <v>65280</v>
      </c>
      <c r="E15995" t="s">
        <v>6</v>
      </c>
    </row>
    <row r="15996" spans="1:5" x14ac:dyDescent="0.2">
      <c r="A15996">
        <v>65281</v>
      </c>
      <c r="B15996" t="s">
        <v>30</v>
      </c>
      <c r="C15996">
        <v>65281</v>
      </c>
      <c r="D15996" t="str">
        <f>"65281"</f>
        <v>65281</v>
      </c>
      <c r="E15996">
        <v>68.989999999999995</v>
      </c>
    </row>
    <row r="15997" spans="1:5" x14ac:dyDescent="0.2">
      <c r="A15997">
        <v>65282</v>
      </c>
      <c r="B15997" t="s">
        <v>30</v>
      </c>
      <c r="C15997">
        <v>65282</v>
      </c>
      <c r="D15997" t="str">
        <f>"65282"</f>
        <v>65282</v>
      </c>
      <c r="E15997" t="s">
        <v>6</v>
      </c>
    </row>
    <row r="15998" spans="1:5" x14ac:dyDescent="0.2">
      <c r="A15998">
        <v>65283</v>
      </c>
      <c r="B15998" t="s">
        <v>30</v>
      </c>
      <c r="C15998">
        <v>65283</v>
      </c>
      <c r="D15998" t="str">
        <f>"65283"</f>
        <v>65283</v>
      </c>
      <c r="E15998">
        <v>83.33</v>
      </c>
    </row>
    <row r="15999" spans="1:5" x14ac:dyDescent="0.2">
      <c r="A15999">
        <v>65284</v>
      </c>
      <c r="B15999" t="s">
        <v>30</v>
      </c>
      <c r="C15999">
        <v>65284</v>
      </c>
      <c r="D15999" t="str">
        <f>"65284"</f>
        <v>65284</v>
      </c>
      <c r="E15999">
        <v>72.12</v>
      </c>
    </row>
    <row r="16000" spans="1:5" x14ac:dyDescent="0.2">
      <c r="A16000">
        <v>65285</v>
      </c>
      <c r="B16000" t="s">
        <v>30</v>
      </c>
      <c r="C16000">
        <v>65285</v>
      </c>
      <c r="D16000" t="str">
        <f>"65285"</f>
        <v>65285</v>
      </c>
      <c r="E16000">
        <v>75.86</v>
      </c>
    </row>
    <row r="16001" spans="1:5" x14ac:dyDescent="0.2">
      <c r="A16001">
        <v>65286</v>
      </c>
      <c r="B16001" t="s">
        <v>30</v>
      </c>
      <c r="C16001">
        <v>65286</v>
      </c>
      <c r="D16001" t="str">
        <f>"65286"</f>
        <v>65286</v>
      </c>
      <c r="E16001" t="s">
        <v>6</v>
      </c>
    </row>
    <row r="16002" spans="1:5" x14ac:dyDescent="0.2">
      <c r="A16002">
        <v>65287</v>
      </c>
      <c r="B16002" t="s">
        <v>30</v>
      </c>
      <c r="C16002">
        <v>65287</v>
      </c>
      <c r="D16002" t="str">
        <f>"65287"</f>
        <v>65287</v>
      </c>
      <c r="E16002">
        <v>78.569999999999993</v>
      </c>
    </row>
    <row r="16003" spans="1:5" x14ac:dyDescent="0.2">
      <c r="A16003">
        <v>65301</v>
      </c>
      <c r="B16003" t="s">
        <v>30</v>
      </c>
      <c r="C16003">
        <v>65301</v>
      </c>
      <c r="D16003" t="str">
        <f>"65301"</f>
        <v>65301</v>
      </c>
      <c r="E16003">
        <v>64.42</v>
      </c>
    </row>
    <row r="16004" spans="1:5" x14ac:dyDescent="0.2">
      <c r="A16004">
        <v>65302</v>
      </c>
      <c r="B16004" t="s">
        <v>30</v>
      </c>
      <c r="C16004">
        <v>65302</v>
      </c>
      <c r="D16004" t="str">
        <f>"65302"</f>
        <v>65302</v>
      </c>
      <c r="E16004" t="s">
        <v>6</v>
      </c>
    </row>
    <row r="16005" spans="1:5" x14ac:dyDescent="0.2">
      <c r="A16005">
        <v>65305</v>
      </c>
      <c r="B16005" t="s">
        <v>30</v>
      </c>
      <c r="C16005">
        <v>65305</v>
      </c>
      <c r="D16005" t="str">
        <f>"65305"</f>
        <v>65305</v>
      </c>
      <c r="E16005">
        <v>68.849999999999994</v>
      </c>
    </row>
    <row r="16006" spans="1:5" x14ac:dyDescent="0.2">
      <c r="A16006">
        <v>65320</v>
      </c>
      <c r="B16006" t="s">
        <v>30</v>
      </c>
      <c r="C16006">
        <v>65320</v>
      </c>
      <c r="D16006" t="str">
        <f>"65320"</f>
        <v>65320</v>
      </c>
      <c r="E16006" t="s">
        <v>6</v>
      </c>
    </row>
    <row r="16007" spans="1:5" x14ac:dyDescent="0.2">
      <c r="A16007">
        <v>65321</v>
      </c>
      <c r="B16007" t="s">
        <v>30</v>
      </c>
      <c r="C16007">
        <v>65321</v>
      </c>
      <c r="D16007" t="str">
        <f>"65321"</f>
        <v>65321</v>
      </c>
      <c r="E16007">
        <v>71.430000000000007</v>
      </c>
    </row>
    <row r="16008" spans="1:5" x14ac:dyDescent="0.2">
      <c r="A16008">
        <v>65322</v>
      </c>
      <c r="B16008" t="s">
        <v>30</v>
      </c>
      <c r="C16008">
        <v>65322</v>
      </c>
      <c r="D16008" t="str">
        <f>"65322"</f>
        <v>65322</v>
      </c>
      <c r="E16008">
        <v>62.07</v>
      </c>
    </row>
    <row r="16009" spans="1:5" x14ac:dyDescent="0.2">
      <c r="A16009">
        <v>65323</v>
      </c>
      <c r="B16009" t="s">
        <v>30</v>
      </c>
      <c r="C16009">
        <v>65323</v>
      </c>
      <c r="D16009" t="str">
        <f>"65323"</f>
        <v>65323</v>
      </c>
      <c r="E16009">
        <v>63.89</v>
      </c>
    </row>
    <row r="16010" spans="1:5" x14ac:dyDescent="0.2">
      <c r="A16010">
        <v>65324</v>
      </c>
      <c r="B16010" t="s">
        <v>30</v>
      </c>
      <c r="C16010">
        <v>65324</v>
      </c>
      <c r="D16010" t="str">
        <f>"65324"</f>
        <v>65324</v>
      </c>
      <c r="E16010">
        <v>64.81</v>
      </c>
    </row>
    <row r="16011" spans="1:5" x14ac:dyDescent="0.2">
      <c r="A16011">
        <v>65325</v>
      </c>
      <c r="B16011" t="s">
        <v>30</v>
      </c>
      <c r="C16011">
        <v>65325</v>
      </c>
      <c r="D16011" t="str">
        <f>"65325"</f>
        <v>65325</v>
      </c>
      <c r="E16011">
        <v>64.44</v>
      </c>
    </row>
    <row r="16012" spans="1:5" x14ac:dyDescent="0.2">
      <c r="A16012">
        <v>65326</v>
      </c>
      <c r="B16012" t="s">
        <v>30</v>
      </c>
      <c r="C16012">
        <v>65326</v>
      </c>
      <c r="D16012" t="str">
        <f>"65326"</f>
        <v>65326</v>
      </c>
      <c r="E16012">
        <v>61.43</v>
      </c>
    </row>
    <row r="16013" spans="1:5" x14ac:dyDescent="0.2">
      <c r="A16013">
        <v>65329</v>
      </c>
      <c r="B16013" t="s">
        <v>30</v>
      </c>
      <c r="C16013">
        <v>65329</v>
      </c>
      <c r="D16013" t="str">
        <f>"65329"</f>
        <v>65329</v>
      </c>
      <c r="E16013">
        <v>61.9</v>
      </c>
    </row>
    <row r="16014" spans="1:5" x14ac:dyDescent="0.2">
      <c r="A16014">
        <v>65330</v>
      </c>
      <c r="B16014" t="s">
        <v>30</v>
      </c>
      <c r="C16014">
        <v>65330</v>
      </c>
      <c r="D16014" t="str">
        <f>"65330"</f>
        <v>65330</v>
      </c>
      <c r="E16014">
        <v>64.709999999999994</v>
      </c>
    </row>
    <row r="16015" spans="1:5" x14ac:dyDescent="0.2">
      <c r="A16015">
        <v>65332</v>
      </c>
      <c r="B16015" t="s">
        <v>30</v>
      </c>
      <c r="C16015">
        <v>65332</v>
      </c>
      <c r="D16015" t="str">
        <f>"65332"</f>
        <v>65332</v>
      </c>
      <c r="E16015">
        <v>67.61</v>
      </c>
    </row>
    <row r="16016" spans="1:5" x14ac:dyDescent="0.2">
      <c r="A16016">
        <v>65333</v>
      </c>
      <c r="B16016" t="s">
        <v>30</v>
      </c>
      <c r="C16016">
        <v>65333</v>
      </c>
      <c r="D16016" t="str">
        <f>"65333"</f>
        <v>65333</v>
      </c>
      <c r="E16016">
        <v>74.19</v>
      </c>
    </row>
    <row r="16017" spans="1:5" x14ac:dyDescent="0.2">
      <c r="A16017">
        <v>65334</v>
      </c>
      <c r="B16017" t="s">
        <v>30</v>
      </c>
      <c r="C16017">
        <v>65334</v>
      </c>
      <c r="D16017" t="str">
        <f>"65334"</f>
        <v>65334</v>
      </c>
      <c r="E16017">
        <v>67.5</v>
      </c>
    </row>
    <row r="16018" spans="1:5" x14ac:dyDescent="0.2">
      <c r="A16018">
        <v>65335</v>
      </c>
      <c r="B16018" t="s">
        <v>30</v>
      </c>
      <c r="C16018">
        <v>65335</v>
      </c>
      <c r="D16018" t="str">
        <f>"65335"</f>
        <v>65335</v>
      </c>
      <c r="E16018">
        <v>61.54</v>
      </c>
    </row>
    <row r="16019" spans="1:5" x14ac:dyDescent="0.2">
      <c r="A16019">
        <v>65336</v>
      </c>
      <c r="B16019" t="s">
        <v>30</v>
      </c>
      <c r="C16019">
        <v>65336</v>
      </c>
      <c r="D16019" t="str">
        <f>"65336"</f>
        <v>65336</v>
      </c>
      <c r="E16019">
        <v>73.03</v>
      </c>
    </row>
    <row r="16020" spans="1:5" x14ac:dyDescent="0.2">
      <c r="A16020">
        <v>65337</v>
      </c>
      <c r="B16020" t="s">
        <v>30</v>
      </c>
      <c r="C16020">
        <v>65337</v>
      </c>
      <c r="D16020" t="str">
        <f>"65337"</f>
        <v>65337</v>
      </c>
      <c r="E16020">
        <v>65.06</v>
      </c>
    </row>
    <row r="16021" spans="1:5" x14ac:dyDescent="0.2">
      <c r="A16021">
        <v>65338</v>
      </c>
      <c r="B16021" t="s">
        <v>30</v>
      </c>
      <c r="C16021">
        <v>65338</v>
      </c>
      <c r="D16021" t="str">
        <f>"65338"</f>
        <v>65338</v>
      </c>
      <c r="E16021">
        <v>59.69</v>
      </c>
    </row>
    <row r="16022" spans="1:5" x14ac:dyDescent="0.2">
      <c r="A16022">
        <v>65339</v>
      </c>
      <c r="B16022" t="s">
        <v>30</v>
      </c>
      <c r="C16022">
        <v>65339</v>
      </c>
      <c r="D16022" t="str">
        <f>"65339"</f>
        <v>65339</v>
      </c>
      <c r="E16022">
        <v>65.38</v>
      </c>
    </row>
    <row r="16023" spans="1:5" x14ac:dyDescent="0.2">
      <c r="A16023">
        <v>65340</v>
      </c>
      <c r="B16023" t="s">
        <v>30</v>
      </c>
      <c r="C16023">
        <v>65340</v>
      </c>
      <c r="D16023" t="str">
        <f>"65340"</f>
        <v>65340</v>
      </c>
      <c r="E16023">
        <v>65.900000000000006</v>
      </c>
    </row>
    <row r="16024" spans="1:5" x14ac:dyDescent="0.2">
      <c r="A16024">
        <v>65344</v>
      </c>
      <c r="B16024" t="s">
        <v>30</v>
      </c>
      <c r="C16024">
        <v>65344</v>
      </c>
      <c r="D16024" t="str">
        <f>"65344"</f>
        <v>65344</v>
      </c>
      <c r="E16024">
        <v>75</v>
      </c>
    </row>
    <row r="16025" spans="1:5" x14ac:dyDescent="0.2">
      <c r="A16025">
        <v>65345</v>
      </c>
      <c r="B16025" t="s">
        <v>30</v>
      </c>
      <c r="C16025">
        <v>65345</v>
      </c>
      <c r="D16025" t="str">
        <f>"65345"</f>
        <v>65345</v>
      </c>
      <c r="E16025">
        <v>68.42</v>
      </c>
    </row>
    <row r="16026" spans="1:5" x14ac:dyDescent="0.2">
      <c r="A16026">
        <v>65347</v>
      </c>
      <c r="B16026" t="s">
        <v>30</v>
      </c>
      <c r="C16026">
        <v>65347</v>
      </c>
      <c r="D16026" t="str">
        <f>"65347"</f>
        <v>65347</v>
      </c>
      <c r="E16026">
        <v>72</v>
      </c>
    </row>
    <row r="16027" spans="1:5" x14ac:dyDescent="0.2">
      <c r="A16027">
        <v>65348</v>
      </c>
      <c r="B16027" t="s">
        <v>30</v>
      </c>
      <c r="C16027">
        <v>65348</v>
      </c>
      <c r="D16027" t="str">
        <f>"65348"</f>
        <v>65348</v>
      </c>
      <c r="E16027">
        <v>70.91</v>
      </c>
    </row>
    <row r="16028" spans="1:5" x14ac:dyDescent="0.2">
      <c r="A16028">
        <v>65349</v>
      </c>
      <c r="B16028" t="s">
        <v>30</v>
      </c>
      <c r="C16028">
        <v>65349</v>
      </c>
      <c r="D16028" t="str">
        <f>"65349"</f>
        <v>65349</v>
      </c>
      <c r="E16028">
        <v>65.709999999999994</v>
      </c>
    </row>
    <row r="16029" spans="1:5" x14ac:dyDescent="0.2">
      <c r="A16029">
        <v>65350</v>
      </c>
      <c r="B16029" t="s">
        <v>30</v>
      </c>
      <c r="C16029">
        <v>65350</v>
      </c>
      <c r="D16029" t="str">
        <f>"65350"</f>
        <v>65350</v>
      </c>
      <c r="E16029">
        <v>67.95</v>
      </c>
    </row>
    <row r="16030" spans="1:5" x14ac:dyDescent="0.2">
      <c r="A16030">
        <v>65351</v>
      </c>
      <c r="B16030" t="s">
        <v>30</v>
      </c>
      <c r="C16030">
        <v>65351</v>
      </c>
      <c r="D16030" t="str">
        <f>"65351"</f>
        <v>65351</v>
      </c>
      <c r="E16030">
        <v>65.66</v>
      </c>
    </row>
    <row r="16031" spans="1:5" x14ac:dyDescent="0.2">
      <c r="A16031">
        <v>65354</v>
      </c>
      <c r="B16031" t="s">
        <v>30</v>
      </c>
      <c r="C16031">
        <v>65354</v>
      </c>
      <c r="D16031" t="str">
        <f>"65354"</f>
        <v>65354</v>
      </c>
      <c r="E16031">
        <v>69.569999999999993</v>
      </c>
    </row>
    <row r="16032" spans="1:5" x14ac:dyDescent="0.2">
      <c r="A16032">
        <v>65355</v>
      </c>
      <c r="B16032" t="s">
        <v>30</v>
      </c>
      <c r="C16032">
        <v>65355</v>
      </c>
      <c r="D16032" t="str">
        <f>"65355"</f>
        <v>65355</v>
      </c>
      <c r="E16032">
        <v>61.94</v>
      </c>
    </row>
    <row r="16033" spans="1:5" x14ac:dyDescent="0.2">
      <c r="A16033">
        <v>65360</v>
      </c>
      <c r="B16033" t="s">
        <v>30</v>
      </c>
      <c r="C16033">
        <v>65360</v>
      </c>
      <c r="D16033" t="str">
        <f>"65360"</f>
        <v>65360</v>
      </c>
      <c r="E16033">
        <v>59.02</v>
      </c>
    </row>
    <row r="16034" spans="1:5" x14ac:dyDescent="0.2">
      <c r="A16034">
        <v>65401</v>
      </c>
      <c r="B16034" t="s">
        <v>30</v>
      </c>
      <c r="C16034">
        <v>65401</v>
      </c>
      <c r="D16034" t="str">
        <f>"65401"</f>
        <v>65401</v>
      </c>
      <c r="E16034">
        <v>66.209999999999994</v>
      </c>
    </row>
    <row r="16035" spans="1:5" x14ac:dyDescent="0.2">
      <c r="A16035">
        <v>65409</v>
      </c>
      <c r="B16035" t="s">
        <v>30</v>
      </c>
      <c r="C16035">
        <v>65409</v>
      </c>
      <c r="D16035" t="str">
        <f>"65409"</f>
        <v>65409</v>
      </c>
      <c r="E16035" t="s">
        <v>6</v>
      </c>
    </row>
    <row r="16036" spans="1:5" x14ac:dyDescent="0.2">
      <c r="A16036">
        <v>65436</v>
      </c>
      <c r="B16036" t="s">
        <v>30</v>
      </c>
      <c r="C16036">
        <v>65436</v>
      </c>
      <c r="D16036" t="str">
        <f>"65436"</f>
        <v>65436</v>
      </c>
      <c r="E16036" t="s">
        <v>6</v>
      </c>
    </row>
    <row r="16037" spans="1:5" x14ac:dyDescent="0.2">
      <c r="A16037">
        <v>65438</v>
      </c>
      <c r="B16037" t="s">
        <v>30</v>
      </c>
      <c r="C16037">
        <v>65438</v>
      </c>
      <c r="D16037" t="str">
        <f>"65438"</f>
        <v>65438</v>
      </c>
      <c r="E16037">
        <v>52.58</v>
      </c>
    </row>
    <row r="16038" spans="1:5" x14ac:dyDescent="0.2">
      <c r="A16038">
        <v>65439</v>
      </c>
      <c r="B16038" t="s">
        <v>30</v>
      </c>
      <c r="C16038">
        <v>65439</v>
      </c>
      <c r="D16038" t="str">
        <f>"65439"</f>
        <v>65439</v>
      </c>
      <c r="E16038" t="s">
        <v>6</v>
      </c>
    </row>
    <row r="16039" spans="1:5" x14ac:dyDescent="0.2">
      <c r="A16039">
        <v>65440</v>
      </c>
      <c r="B16039" t="s">
        <v>30</v>
      </c>
      <c r="C16039">
        <v>65440</v>
      </c>
      <c r="D16039" t="str">
        <f>"65440"</f>
        <v>65440</v>
      </c>
      <c r="E16039">
        <v>58.82</v>
      </c>
    </row>
    <row r="16040" spans="1:5" x14ac:dyDescent="0.2">
      <c r="A16040">
        <v>65441</v>
      </c>
      <c r="B16040" t="s">
        <v>30</v>
      </c>
      <c r="C16040">
        <v>65441</v>
      </c>
      <c r="D16040" t="str">
        <f>"65441"</f>
        <v>65441</v>
      </c>
      <c r="E16040">
        <v>66.36</v>
      </c>
    </row>
    <row r="16041" spans="1:5" x14ac:dyDescent="0.2">
      <c r="A16041">
        <v>65443</v>
      </c>
      <c r="B16041" t="s">
        <v>30</v>
      </c>
      <c r="C16041">
        <v>65443</v>
      </c>
      <c r="D16041" t="str">
        <f>"65443"</f>
        <v>65443</v>
      </c>
      <c r="E16041" t="s">
        <v>6</v>
      </c>
    </row>
    <row r="16042" spans="1:5" x14ac:dyDescent="0.2">
      <c r="A16042">
        <v>65444</v>
      </c>
      <c r="B16042" t="s">
        <v>30</v>
      </c>
      <c r="C16042">
        <v>65444</v>
      </c>
      <c r="D16042" t="str">
        <f>"65444"</f>
        <v>65444</v>
      </c>
      <c r="E16042">
        <v>58.97</v>
      </c>
    </row>
    <row r="16043" spans="1:5" x14ac:dyDescent="0.2">
      <c r="A16043">
        <v>65446</v>
      </c>
      <c r="B16043" t="s">
        <v>30</v>
      </c>
      <c r="C16043">
        <v>65446</v>
      </c>
      <c r="D16043" t="str">
        <f>"65446"</f>
        <v>65446</v>
      </c>
      <c r="E16043">
        <v>56.25</v>
      </c>
    </row>
    <row r="16044" spans="1:5" x14ac:dyDescent="0.2">
      <c r="A16044">
        <v>65449</v>
      </c>
      <c r="B16044" t="s">
        <v>30</v>
      </c>
      <c r="C16044">
        <v>65449</v>
      </c>
      <c r="D16044" t="str">
        <f>"65449"</f>
        <v>65449</v>
      </c>
      <c r="E16044">
        <v>60</v>
      </c>
    </row>
    <row r="16045" spans="1:5" x14ac:dyDescent="0.2">
      <c r="A16045">
        <v>65452</v>
      </c>
      <c r="B16045" t="s">
        <v>30</v>
      </c>
      <c r="C16045">
        <v>65452</v>
      </c>
      <c r="D16045" t="str">
        <f>"65452"</f>
        <v>65452</v>
      </c>
      <c r="E16045">
        <v>66.400000000000006</v>
      </c>
    </row>
    <row r="16046" spans="1:5" x14ac:dyDescent="0.2">
      <c r="A16046">
        <v>65453</v>
      </c>
      <c r="B16046" t="s">
        <v>30</v>
      </c>
      <c r="C16046">
        <v>65453</v>
      </c>
      <c r="D16046" t="str">
        <f>"65453"</f>
        <v>65453</v>
      </c>
      <c r="E16046">
        <v>64.41</v>
      </c>
    </row>
    <row r="16047" spans="1:5" x14ac:dyDescent="0.2">
      <c r="A16047">
        <v>65456</v>
      </c>
      <c r="B16047" t="s">
        <v>30</v>
      </c>
      <c r="C16047">
        <v>65456</v>
      </c>
      <c r="D16047" t="str">
        <f>"65456"</f>
        <v>65456</v>
      </c>
      <c r="E16047">
        <v>70.59</v>
      </c>
    </row>
    <row r="16048" spans="1:5" x14ac:dyDescent="0.2">
      <c r="A16048">
        <v>65457</v>
      </c>
      <c r="B16048" t="s">
        <v>30</v>
      </c>
      <c r="C16048">
        <v>65457</v>
      </c>
      <c r="D16048" t="str">
        <f>"65457"</f>
        <v>65457</v>
      </c>
      <c r="E16048">
        <v>50</v>
      </c>
    </row>
    <row r="16049" spans="1:5" x14ac:dyDescent="0.2">
      <c r="A16049">
        <v>65459</v>
      </c>
      <c r="B16049" t="s">
        <v>30</v>
      </c>
      <c r="C16049">
        <v>65459</v>
      </c>
      <c r="D16049" t="str">
        <f>"65459"</f>
        <v>65459</v>
      </c>
      <c r="E16049">
        <v>64.760000000000005</v>
      </c>
    </row>
    <row r="16050" spans="1:5" x14ac:dyDescent="0.2">
      <c r="A16050">
        <v>65461</v>
      </c>
      <c r="B16050" t="s">
        <v>30</v>
      </c>
      <c r="C16050">
        <v>65461</v>
      </c>
      <c r="D16050" t="str">
        <f>"65461"</f>
        <v>65461</v>
      </c>
      <c r="E16050" t="s">
        <v>6</v>
      </c>
    </row>
    <row r="16051" spans="1:5" x14ac:dyDescent="0.2">
      <c r="A16051">
        <v>65462</v>
      </c>
      <c r="B16051" t="s">
        <v>30</v>
      </c>
      <c r="C16051">
        <v>65462</v>
      </c>
      <c r="D16051" t="str">
        <f>"65462"</f>
        <v>65462</v>
      </c>
      <c r="E16051">
        <v>64.91</v>
      </c>
    </row>
    <row r="16052" spans="1:5" x14ac:dyDescent="0.2">
      <c r="A16052">
        <v>65463</v>
      </c>
      <c r="B16052" t="s">
        <v>30</v>
      </c>
      <c r="C16052">
        <v>65463</v>
      </c>
      <c r="D16052" t="str">
        <f>"65463"</f>
        <v>65463</v>
      </c>
      <c r="E16052">
        <v>63.16</v>
      </c>
    </row>
    <row r="16053" spans="1:5" x14ac:dyDescent="0.2">
      <c r="A16053">
        <v>65464</v>
      </c>
      <c r="B16053" t="s">
        <v>30</v>
      </c>
      <c r="C16053">
        <v>65464</v>
      </c>
      <c r="D16053" t="str">
        <f>"65464"</f>
        <v>65464</v>
      </c>
      <c r="E16053">
        <v>57.14</v>
      </c>
    </row>
    <row r="16054" spans="1:5" x14ac:dyDescent="0.2">
      <c r="A16054">
        <v>65466</v>
      </c>
      <c r="B16054" t="s">
        <v>30</v>
      </c>
      <c r="C16054">
        <v>65466</v>
      </c>
      <c r="D16054" t="str">
        <f>"65466"</f>
        <v>65466</v>
      </c>
      <c r="E16054">
        <v>53.85</v>
      </c>
    </row>
    <row r="16055" spans="1:5" x14ac:dyDescent="0.2">
      <c r="A16055">
        <v>65468</v>
      </c>
      <c r="B16055" t="s">
        <v>30</v>
      </c>
      <c r="C16055">
        <v>65468</v>
      </c>
      <c r="D16055" t="str">
        <f>"65468"</f>
        <v>65468</v>
      </c>
      <c r="E16055" t="s">
        <v>6</v>
      </c>
    </row>
    <row r="16056" spans="1:5" x14ac:dyDescent="0.2">
      <c r="A16056">
        <v>65470</v>
      </c>
      <c r="B16056" t="s">
        <v>30</v>
      </c>
      <c r="C16056">
        <v>65470</v>
      </c>
      <c r="D16056" t="str">
        <f>"65470"</f>
        <v>65470</v>
      </c>
      <c r="E16056">
        <v>60.98</v>
      </c>
    </row>
    <row r="16057" spans="1:5" x14ac:dyDescent="0.2">
      <c r="A16057">
        <v>65473</v>
      </c>
      <c r="B16057" t="s">
        <v>30</v>
      </c>
      <c r="C16057">
        <v>65473</v>
      </c>
      <c r="D16057" t="str">
        <f>"65473"</f>
        <v>65473</v>
      </c>
      <c r="E16057">
        <v>66.53</v>
      </c>
    </row>
    <row r="16058" spans="1:5" x14ac:dyDescent="0.2">
      <c r="A16058">
        <v>65479</v>
      </c>
      <c r="B16058" t="s">
        <v>30</v>
      </c>
      <c r="C16058">
        <v>65479</v>
      </c>
      <c r="D16058" t="str">
        <f>"65479"</f>
        <v>65479</v>
      </c>
      <c r="E16058">
        <v>50</v>
      </c>
    </row>
    <row r="16059" spans="1:5" x14ac:dyDescent="0.2">
      <c r="A16059">
        <v>65483</v>
      </c>
      <c r="B16059" t="s">
        <v>30</v>
      </c>
      <c r="C16059">
        <v>65483</v>
      </c>
      <c r="D16059" t="str">
        <f>"65483"</f>
        <v>65483</v>
      </c>
      <c r="E16059">
        <v>60.62</v>
      </c>
    </row>
    <row r="16060" spans="1:5" x14ac:dyDescent="0.2">
      <c r="A16060">
        <v>65484</v>
      </c>
      <c r="B16060" t="s">
        <v>30</v>
      </c>
      <c r="C16060">
        <v>65484</v>
      </c>
      <c r="D16060" t="str">
        <f>"65484"</f>
        <v>65484</v>
      </c>
      <c r="E16060" t="s">
        <v>6</v>
      </c>
    </row>
    <row r="16061" spans="1:5" x14ac:dyDescent="0.2">
      <c r="A16061">
        <v>65486</v>
      </c>
      <c r="B16061" t="s">
        <v>30</v>
      </c>
      <c r="C16061">
        <v>65486</v>
      </c>
      <c r="D16061" t="str">
        <f>"65486"</f>
        <v>65486</v>
      </c>
      <c r="E16061">
        <v>61.94</v>
      </c>
    </row>
    <row r="16062" spans="1:5" x14ac:dyDescent="0.2">
      <c r="A16062">
        <v>65501</v>
      </c>
      <c r="B16062" t="s">
        <v>30</v>
      </c>
      <c r="C16062">
        <v>65501</v>
      </c>
      <c r="D16062" t="str">
        <f>"65501"</f>
        <v>65501</v>
      </c>
      <c r="E16062" t="s">
        <v>6</v>
      </c>
    </row>
    <row r="16063" spans="1:5" x14ac:dyDescent="0.2">
      <c r="A16063">
        <v>65529</v>
      </c>
      <c r="B16063" t="s">
        <v>30</v>
      </c>
      <c r="C16063">
        <v>65529</v>
      </c>
      <c r="D16063" t="str">
        <f>"65529"</f>
        <v>65529</v>
      </c>
      <c r="E16063" t="s">
        <v>6</v>
      </c>
    </row>
    <row r="16064" spans="1:5" x14ac:dyDescent="0.2">
      <c r="A16064">
        <v>65534</v>
      </c>
      <c r="B16064" t="s">
        <v>30</v>
      </c>
      <c r="C16064">
        <v>65534</v>
      </c>
      <c r="D16064" t="str">
        <f>"65534"</f>
        <v>65534</v>
      </c>
      <c r="E16064">
        <v>64.709999999999994</v>
      </c>
    </row>
    <row r="16065" spans="1:5" x14ac:dyDescent="0.2">
      <c r="A16065">
        <v>65535</v>
      </c>
      <c r="B16065" t="s">
        <v>30</v>
      </c>
      <c r="C16065">
        <v>65535</v>
      </c>
      <c r="D16065" t="str">
        <f>"65535"</f>
        <v>65535</v>
      </c>
      <c r="E16065">
        <v>64.180000000000007</v>
      </c>
    </row>
    <row r="16066" spans="1:5" x14ac:dyDescent="0.2">
      <c r="A16066">
        <v>65536</v>
      </c>
      <c r="B16066" t="s">
        <v>30</v>
      </c>
      <c r="C16066">
        <v>65536</v>
      </c>
      <c r="D16066" t="str">
        <f>"65536"</f>
        <v>65536</v>
      </c>
      <c r="E16066">
        <v>62.52</v>
      </c>
    </row>
    <row r="16067" spans="1:5" x14ac:dyDescent="0.2">
      <c r="A16067">
        <v>65541</v>
      </c>
      <c r="B16067" t="s">
        <v>30</v>
      </c>
      <c r="C16067">
        <v>65541</v>
      </c>
      <c r="D16067" t="str">
        <f>"65541"</f>
        <v>65541</v>
      </c>
      <c r="E16067" t="s">
        <v>6</v>
      </c>
    </row>
    <row r="16068" spans="1:5" x14ac:dyDescent="0.2">
      <c r="A16068">
        <v>65542</v>
      </c>
      <c r="B16068" t="s">
        <v>30</v>
      </c>
      <c r="C16068">
        <v>65542</v>
      </c>
      <c r="D16068" t="str">
        <f>"65542"</f>
        <v>65542</v>
      </c>
      <c r="E16068">
        <v>56.38</v>
      </c>
    </row>
    <row r="16069" spans="1:5" x14ac:dyDescent="0.2">
      <c r="A16069">
        <v>65543</v>
      </c>
      <c r="B16069" t="s">
        <v>30</v>
      </c>
      <c r="C16069">
        <v>65543</v>
      </c>
      <c r="D16069" t="str">
        <f>"65543"</f>
        <v>65543</v>
      </c>
      <c r="E16069">
        <v>64.290000000000006</v>
      </c>
    </row>
    <row r="16070" spans="1:5" x14ac:dyDescent="0.2">
      <c r="A16070">
        <v>65546</v>
      </c>
      <c r="B16070" t="s">
        <v>30</v>
      </c>
      <c r="C16070">
        <v>65546</v>
      </c>
      <c r="D16070" t="str">
        <f>"65546"</f>
        <v>65546</v>
      </c>
      <c r="E16070" t="s">
        <v>6</v>
      </c>
    </row>
    <row r="16071" spans="1:5" x14ac:dyDescent="0.2">
      <c r="A16071">
        <v>65548</v>
      </c>
      <c r="B16071" t="s">
        <v>30</v>
      </c>
      <c r="C16071">
        <v>65548</v>
      </c>
      <c r="D16071" t="str">
        <f>"65548"</f>
        <v>65548</v>
      </c>
      <c r="E16071">
        <v>58.04</v>
      </c>
    </row>
    <row r="16072" spans="1:5" x14ac:dyDescent="0.2">
      <c r="A16072">
        <v>65550</v>
      </c>
      <c r="B16072" t="s">
        <v>30</v>
      </c>
      <c r="C16072">
        <v>65550</v>
      </c>
      <c r="D16072" t="str">
        <f>"65550"</f>
        <v>65550</v>
      </c>
      <c r="E16072">
        <v>66.67</v>
      </c>
    </row>
    <row r="16073" spans="1:5" x14ac:dyDescent="0.2">
      <c r="A16073">
        <v>65552</v>
      </c>
      <c r="B16073" t="s">
        <v>30</v>
      </c>
      <c r="C16073">
        <v>65552</v>
      </c>
      <c r="D16073" t="str">
        <f>"65552"</f>
        <v>65552</v>
      </c>
      <c r="E16073">
        <v>68</v>
      </c>
    </row>
    <row r="16074" spans="1:5" x14ac:dyDescent="0.2">
      <c r="A16074">
        <v>65555</v>
      </c>
      <c r="B16074" t="s">
        <v>30</v>
      </c>
      <c r="C16074">
        <v>65555</v>
      </c>
      <c r="D16074" t="str">
        <f>"65555"</f>
        <v>65555</v>
      </c>
      <c r="E16074">
        <v>56.41</v>
      </c>
    </row>
    <row r="16075" spans="1:5" x14ac:dyDescent="0.2">
      <c r="A16075">
        <v>65556</v>
      </c>
      <c r="B16075" t="s">
        <v>30</v>
      </c>
      <c r="C16075">
        <v>65556</v>
      </c>
      <c r="D16075" t="str">
        <f>"65556"</f>
        <v>65556</v>
      </c>
      <c r="E16075">
        <v>65.489999999999995</v>
      </c>
    </row>
    <row r="16076" spans="1:5" x14ac:dyDescent="0.2">
      <c r="A16076">
        <v>65557</v>
      </c>
      <c r="B16076" t="s">
        <v>30</v>
      </c>
      <c r="C16076">
        <v>65557</v>
      </c>
      <c r="D16076" t="str">
        <f>"65557"</f>
        <v>65557</v>
      </c>
      <c r="E16076">
        <v>72.73</v>
      </c>
    </row>
    <row r="16077" spans="1:5" x14ac:dyDescent="0.2">
      <c r="A16077">
        <v>65559</v>
      </c>
      <c r="B16077" t="s">
        <v>30</v>
      </c>
      <c r="C16077">
        <v>65559</v>
      </c>
      <c r="D16077" t="str">
        <f>"65559"</f>
        <v>65559</v>
      </c>
      <c r="E16077">
        <v>63.25</v>
      </c>
    </row>
    <row r="16078" spans="1:5" x14ac:dyDescent="0.2">
      <c r="A16078">
        <v>65560</v>
      </c>
      <c r="B16078" t="s">
        <v>30</v>
      </c>
      <c r="C16078">
        <v>65560</v>
      </c>
      <c r="D16078" t="str">
        <f>"65560"</f>
        <v>65560</v>
      </c>
      <c r="E16078">
        <v>60.19</v>
      </c>
    </row>
    <row r="16079" spans="1:5" x14ac:dyDescent="0.2">
      <c r="A16079">
        <v>65564</v>
      </c>
      <c r="B16079" t="s">
        <v>30</v>
      </c>
      <c r="C16079">
        <v>65564</v>
      </c>
      <c r="D16079" t="str">
        <f>"65564"</f>
        <v>65564</v>
      </c>
      <c r="E16079" t="s">
        <v>6</v>
      </c>
    </row>
    <row r="16080" spans="1:5" x14ac:dyDescent="0.2">
      <c r="A16080">
        <v>65565</v>
      </c>
      <c r="B16080" t="s">
        <v>30</v>
      </c>
      <c r="C16080">
        <v>65565</v>
      </c>
      <c r="D16080" t="str">
        <f>"65565"</f>
        <v>65565</v>
      </c>
      <c r="E16080">
        <v>61.36</v>
      </c>
    </row>
    <row r="16081" spans="1:5" x14ac:dyDescent="0.2">
      <c r="A16081">
        <v>65566</v>
      </c>
      <c r="B16081" t="s">
        <v>30</v>
      </c>
      <c r="C16081">
        <v>65566</v>
      </c>
      <c r="D16081" t="str">
        <f>"65566"</f>
        <v>65566</v>
      </c>
      <c r="E16081">
        <v>64.52</v>
      </c>
    </row>
    <row r="16082" spans="1:5" x14ac:dyDescent="0.2">
      <c r="A16082">
        <v>65567</v>
      </c>
      <c r="B16082" t="s">
        <v>30</v>
      </c>
      <c r="C16082">
        <v>65567</v>
      </c>
      <c r="D16082" t="str">
        <f>"65567"</f>
        <v>65567</v>
      </c>
      <c r="E16082">
        <v>64.58</v>
      </c>
    </row>
    <row r="16083" spans="1:5" x14ac:dyDescent="0.2">
      <c r="A16083">
        <v>65570</v>
      </c>
      <c r="B16083" t="s">
        <v>30</v>
      </c>
      <c r="C16083">
        <v>65570</v>
      </c>
      <c r="D16083" t="str">
        <f>"65570"</f>
        <v>65570</v>
      </c>
      <c r="E16083">
        <v>57.89</v>
      </c>
    </row>
    <row r="16084" spans="1:5" x14ac:dyDescent="0.2">
      <c r="A16084">
        <v>65571</v>
      </c>
      <c r="B16084" t="s">
        <v>30</v>
      </c>
      <c r="C16084">
        <v>65571</v>
      </c>
      <c r="D16084" t="str">
        <f>"65571"</f>
        <v>65571</v>
      </c>
      <c r="E16084">
        <v>55.56</v>
      </c>
    </row>
    <row r="16085" spans="1:5" x14ac:dyDescent="0.2">
      <c r="A16085">
        <v>65580</v>
      </c>
      <c r="B16085" t="s">
        <v>30</v>
      </c>
      <c r="C16085">
        <v>65580</v>
      </c>
      <c r="D16085" t="str">
        <f>"65580"</f>
        <v>65580</v>
      </c>
      <c r="E16085">
        <v>68.569999999999993</v>
      </c>
    </row>
    <row r="16086" spans="1:5" x14ac:dyDescent="0.2">
      <c r="A16086">
        <v>65582</v>
      </c>
      <c r="B16086" t="s">
        <v>30</v>
      </c>
      <c r="C16086">
        <v>65582</v>
      </c>
      <c r="D16086" t="str">
        <f>"65582"</f>
        <v>65582</v>
      </c>
      <c r="E16086">
        <v>71.13</v>
      </c>
    </row>
    <row r="16087" spans="1:5" x14ac:dyDescent="0.2">
      <c r="A16087">
        <v>65583</v>
      </c>
      <c r="B16087" t="s">
        <v>30</v>
      </c>
      <c r="C16087">
        <v>65583</v>
      </c>
      <c r="D16087" t="str">
        <f>"65583"</f>
        <v>65583</v>
      </c>
      <c r="E16087">
        <v>68.650000000000006</v>
      </c>
    </row>
    <row r="16088" spans="1:5" x14ac:dyDescent="0.2">
      <c r="A16088">
        <v>65584</v>
      </c>
      <c r="B16088" t="s">
        <v>30</v>
      </c>
      <c r="C16088">
        <v>65584</v>
      </c>
      <c r="D16088" t="str">
        <f>"65584"</f>
        <v>65584</v>
      </c>
      <c r="E16088">
        <v>68.849999999999994</v>
      </c>
    </row>
    <row r="16089" spans="1:5" x14ac:dyDescent="0.2">
      <c r="A16089">
        <v>65588</v>
      </c>
      <c r="B16089" t="s">
        <v>30</v>
      </c>
      <c r="C16089">
        <v>65588</v>
      </c>
      <c r="D16089" t="str">
        <f>"65588"</f>
        <v>65588</v>
      </c>
      <c r="E16089">
        <v>54.44</v>
      </c>
    </row>
    <row r="16090" spans="1:5" x14ac:dyDescent="0.2">
      <c r="A16090">
        <v>65589</v>
      </c>
      <c r="B16090" t="s">
        <v>30</v>
      </c>
      <c r="C16090">
        <v>65589</v>
      </c>
      <c r="D16090" t="str">
        <f>"65589"</f>
        <v>65589</v>
      </c>
      <c r="E16090" t="s">
        <v>6</v>
      </c>
    </row>
    <row r="16091" spans="1:5" x14ac:dyDescent="0.2">
      <c r="A16091">
        <v>65590</v>
      </c>
      <c r="B16091" t="s">
        <v>30</v>
      </c>
      <c r="C16091">
        <v>65590</v>
      </c>
      <c r="D16091" t="str">
        <f>"65590"</f>
        <v>65590</v>
      </c>
      <c r="E16091">
        <v>60</v>
      </c>
    </row>
    <row r="16092" spans="1:5" x14ac:dyDescent="0.2">
      <c r="A16092">
        <v>65591</v>
      </c>
      <c r="B16092" t="s">
        <v>30</v>
      </c>
      <c r="C16092">
        <v>65591</v>
      </c>
      <c r="D16092" t="str">
        <f>"65591"</f>
        <v>65591</v>
      </c>
      <c r="E16092">
        <v>61.02</v>
      </c>
    </row>
    <row r="16093" spans="1:5" x14ac:dyDescent="0.2">
      <c r="A16093">
        <v>65601</v>
      </c>
      <c r="B16093" t="s">
        <v>30</v>
      </c>
      <c r="C16093">
        <v>65601</v>
      </c>
      <c r="D16093" t="str">
        <f>"65601"</f>
        <v>65601</v>
      </c>
      <c r="E16093">
        <v>63.64</v>
      </c>
    </row>
    <row r="16094" spans="1:5" x14ac:dyDescent="0.2">
      <c r="A16094">
        <v>65603</v>
      </c>
      <c r="B16094" t="s">
        <v>30</v>
      </c>
      <c r="C16094">
        <v>65603</v>
      </c>
      <c r="D16094" t="str">
        <f>"65603"</f>
        <v>65603</v>
      </c>
      <c r="E16094" t="s">
        <v>6</v>
      </c>
    </row>
    <row r="16095" spans="1:5" x14ac:dyDescent="0.2">
      <c r="A16095">
        <v>65604</v>
      </c>
      <c r="B16095" t="s">
        <v>30</v>
      </c>
      <c r="C16095">
        <v>65604</v>
      </c>
      <c r="D16095" t="str">
        <f>"65604"</f>
        <v>65604</v>
      </c>
      <c r="E16095">
        <v>67.31</v>
      </c>
    </row>
    <row r="16096" spans="1:5" x14ac:dyDescent="0.2">
      <c r="A16096">
        <v>65605</v>
      </c>
      <c r="B16096" t="s">
        <v>30</v>
      </c>
      <c r="C16096">
        <v>65605</v>
      </c>
      <c r="D16096" t="str">
        <f>"65605"</f>
        <v>65605</v>
      </c>
      <c r="E16096">
        <v>61.27</v>
      </c>
    </row>
    <row r="16097" spans="1:5" x14ac:dyDescent="0.2">
      <c r="A16097">
        <v>65606</v>
      </c>
      <c r="B16097" t="s">
        <v>30</v>
      </c>
      <c r="C16097">
        <v>65606</v>
      </c>
      <c r="D16097" t="str">
        <f>"65606"</f>
        <v>65606</v>
      </c>
      <c r="E16097">
        <v>52.03</v>
      </c>
    </row>
    <row r="16098" spans="1:5" x14ac:dyDescent="0.2">
      <c r="A16098">
        <v>65608</v>
      </c>
      <c r="B16098" t="s">
        <v>30</v>
      </c>
      <c r="C16098">
        <v>65608</v>
      </c>
      <c r="D16098" t="str">
        <f>"65608"</f>
        <v>65608</v>
      </c>
      <c r="E16098">
        <v>57.3</v>
      </c>
    </row>
    <row r="16099" spans="1:5" x14ac:dyDescent="0.2">
      <c r="A16099">
        <v>65609</v>
      </c>
      <c r="B16099" t="s">
        <v>30</v>
      </c>
      <c r="C16099">
        <v>65609</v>
      </c>
      <c r="D16099" t="str">
        <f>"65609"</f>
        <v>65609</v>
      </c>
      <c r="E16099">
        <v>60.71</v>
      </c>
    </row>
    <row r="16100" spans="1:5" x14ac:dyDescent="0.2">
      <c r="A16100">
        <v>65610</v>
      </c>
      <c r="B16100" t="s">
        <v>30</v>
      </c>
      <c r="C16100">
        <v>65610</v>
      </c>
      <c r="D16100" t="str">
        <f>"65610"</f>
        <v>65610</v>
      </c>
      <c r="E16100">
        <v>69.47</v>
      </c>
    </row>
    <row r="16101" spans="1:5" x14ac:dyDescent="0.2">
      <c r="A16101">
        <v>65611</v>
      </c>
      <c r="B16101" t="s">
        <v>30</v>
      </c>
      <c r="C16101">
        <v>65611</v>
      </c>
      <c r="D16101" t="str">
        <f>"65611"</f>
        <v>65611</v>
      </c>
      <c r="E16101">
        <v>70.209999999999994</v>
      </c>
    </row>
    <row r="16102" spans="1:5" x14ac:dyDescent="0.2">
      <c r="A16102">
        <v>65612</v>
      </c>
      <c r="B16102" t="s">
        <v>30</v>
      </c>
      <c r="C16102">
        <v>65612</v>
      </c>
      <c r="D16102" t="str">
        <f>"65612"</f>
        <v>65612</v>
      </c>
      <c r="E16102">
        <v>73.209999999999994</v>
      </c>
    </row>
    <row r="16103" spans="1:5" x14ac:dyDescent="0.2">
      <c r="A16103">
        <v>65613</v>
      </c>
      <c r="B16103" t="s">
        <v>30</v>
      </c>
      <c r="C16103">
        <v>65613</v>
      </c>
      <c r="D16103" t="str">
        <f>"65613"</f>
        <v>65613</v>
      </c>
      <c r="E16103">
        <v>63.09</v>
      </c>
    </row>
    <row r="16104" spans="1:5" x14ac:dyDescent="0.2">
      <c r="A16104">
        <v>65614</v>
      </c>
      <c r="B16104" t="s">
        <v>30</v>
      </c>
      <c r="C16104">
        <v>65614</v>
      </c>
      <c r="D16104" t="str">
        <f>"65614"</f>
        <v>65614</v>
      </c>
      <c r="E16104">
        <v>52.38</v>
      </c>
    </row>
    <row r="16105" spans="1:5" x14ac:dyDescent="0.2">
      <c r="A16105">
        <v>65616</v>
      </c>
      <c r="B16105" t="s">
        <v>30</v>
      </c>
      <c r="C16105">
        <v>65616</v>
      </c>
      <c r="D16105" t="str">
        <f>"65616"</f>
        <v>65616</v>
      </c>
      <c r="E16105">
        <v>62.46</v>
      </c>
    </row>
    <row r="16106" spans="1:5" x14ac:dyDescent="0.2">
      <c r="A16106">
        <v>65617</v>
      </c>
      <c r="B16106" t="s">
        <v>30</v>
      </c>
      <c r="C16106">
        <v>65617</v>
      </c>
      <c r="D16106" t="str">
        <f>"65617"</f>
        <v>65617</v>
      </c>
      <c r="E16106">
        <v>69.86</v>
      </c>
    </row>
    <row r="16107" spans="1:5" x14ac:dyDescent="0.2">
      <c r="A16107">
        <v>65618</v>
      </c>
      <c r="B16107" t="s">
        <v>30</v>
      </c>
      <c r="C16107">
        <v>65618</v>
      </c>
      <c r="D16107" t="str">
        <f>"65618"</f>
        <v>65618</v>
      </c>
      <c r="E16107" t="s">
        <v>6</v>
      </c>
    </row>
    <row r="16108" spans="1:5" x14ac:dyDescent="0.2">
      <c r="A16108">
        <v>65619</v>
      </c>
      <c r="B16108" t="s">
        <v>30</v>
      </c>
      <c r="C16108">
        <v>65619</v>
      </c>
      <c r="D16108" t="str">
        <f>"65619"</f>
        <v>65619</v>
      </c>
      <c r="E16108">
        <v>73.83</v>
      </c>
    </row>
    <row r="16109" spans="1:5" x14ac:dyDescent="0.2">
      <c r="A16109">
        <v>65620</v>
      </c>
      <c r="B16109" t="s">
        <v>30</v>
      </c>
      <c r="C16109">
        <v>65620</v>
      </c>
      <c r="D16109" t="str">
        <f>"65620"</f>
        <v>65620</v>
      </c>
      <c r="E16109">
        <v>63.16</v>
      </c>
    </row>
    <row r="16110" spans="1:5" x14ac:dyDescent="0.2">
      <c r="A16110">
        <v>65622</v>
      </c>
      <c r="B16110" t="s">
        <v>30</v>
      </c>
      <c r="C16110">
        <v>65622</v>
      </c>
      <c r="D16110" t="str">
        <f>"65622"</f>
        <v>65622</v>
      </c>
      <c r="E16110">
        <v>62.17</v>
      </c>
    </row>
    <row r="16111" spans="1:5" x14ac:dyDescent="0.2">
      <c r="A16111">
        <v>65624</v>
      </c>
      <c r="B16111" t="s">
        <v>30</v>
      </c>
      <c r="C16111">
        <v>65624</v>
      </c>
      <c r="D16111" t="str">
        <f>"65624"</f>
        <v>65624</v>
      </c>
      <c r="E16111">
        <v>69.010000000000005</v>
      </c>
    </row>
    <row r="16112" spans="1:5" x14ac:dyDescent="0.2">
      <c r="A16112">
        <v>65625</v>
      </c>
      <c r="B16112" t="s">
        <v>30</v>
      </c>
      <c r="C16112">
        <v>65625</v>
      </c>
      <c r="D16112" t="str">
        <f>"65625"</f>
        <v>65625</v>
      </c>
      <c r="E16112">
        <v>61.58</v>
      </c>
    </row>
    <row r="16113" spans="1:5" x14ac:dyDescent="0.2">
      <c r="A16113">
        <v>65626</v>
      </c>
      <c r="B16113" t="s">
        <v>30</v>
      </c>
      <c r="C16113">
        <v>65626</v>
      </c>
      <c r="D16113" t="str">
        <f>"65626"</f>
        <v>65626</v>
      </c>
      <c r="E16113">
        <v>59.32</v>
      </c>
    </row>
    <row r="16114" spans="1:5" x14ac:dyDescent="0.2">
      <c r="A16114">
        <v>65627</v>
      </c>
      <c r="B16114" t="s">
        <v>30</v>
      </c>
      <c r="C16114">
        <v>65627</v>
      </c>
      <c r="D16114" t="str">
        <f>"65627"</f>
        <v>65627</v>
      </c>
      <c r="E16114">
        <v>63.16</v>
      </c>
    </row>
    <row r="16115" spans="1:5" x14ac:dyDescent="0.2">
      <c r="A16115">
        <v>65629</v>
      </c>
      <c r="B16115" t="s">
        <v>30</v>
      </c>
      <c r="C16115">
        <v>65629</v>
      </c>
      <c r="D16115" t="str">
        <f>"65629"</f>
        <v>65629</v>
      </c>
      <c r="E16115">
        <v>56.52</v>
      </c>
    </row>
    <row r="16116" spans="1:5" x14ac:dyDescent="0.2">
      <c r="A16116">
        <v>65630</v>
      </c>
      <c r="B16116" t="s">
        <v>30</v>
      </c>
      <c r="C16116">
        <v>65630</v>
      </c>
      <c r="D16116" t="str">
        <f>"65630"</f>
        <v>65630</v>
      </c>
      <c r="E16116">
        <v>73.91</v>
      </c>
    </row>
    <row r="16117" spans="1:5" x14ac:dyDescent="0.2">
      <c r="A16117">
        <v>65631</v>
      </c>
      <c r="B16117" t="s">
        <v>30</v>
      </c>
      <c r="C16117">
        <v>65631</v>
      </c>
      <c r="D16117" t="str">
        <f>"65631"</f>
        <v>65631</v>
      </c>
      <c r="E16117">
        <v>70.8</v>
      </c>
    </row>
    <row r="16118" spans="1:5" x14ac:dyDescent="0.2">
      <c r="A16118">
        <v>65632</v>
      </c>
      <c r="B16118" t="s">
        <v>30</v>
      </c>
      <c r="C16118">
        <v>65632</v>
      </c>
      <c r="D16118" t="str">
        <f>"65632"</f>
        <v>65632</v>
      </c>
      <c r="E16118">
        <v>61.02</v>
      </c>
    </row>
    <row r="16119" spans="1:5" x14ac:dyDescent="0.2">
      <c r="A16119">
        <v>65633</v>
      </c>
      <c r="B16119" t="s">
        <v>30</v>
      </c>
      <c r="C16119">
        <v>65633</v>
      </c>
      <c r="D16119" t="str">
        <f>"65633"</f>
        <v>65633</v>
      </c>
      <c r="E16119">
        <v>61.35</v>
      </c>
    </row>
    <row r="16120" spans="1:5" x14ac:dyDescent="0.2">
      <c r="A16120">
        <v>65634</v>
      </c>
      <c r="B16120" t="s">
        <v>30</v>
      </c>
      <c r="C16120">
        <v>65634</v>
      </c>
      <c r="D16120" t="str">
        <f>"65634"</f>
        <v>65634</v>
      </c>
      <c r="E16120">
        <v>53.85</v>
      </c>
    </row>
    <row r="16121" spans="1:5" x14ac:dyDescent="0.2">
      <c r="A16121">
        <v>65635</v>
      </c>
      <c r="B16121" t="s">
        <v>30</v>
      </c>
      <c r="C16121">
        <v>65635</v>
      </c>
      <c r="D16121" t="str">
        <f>"65635"</f>
        <v>65635</v>
      </c>
      <c r="E16121">
        <v>65.38</v>
      </c>
    </row>
    <row r="16122" spans="1:5" x14ac:dyDescent="0.2">
      <c r="A16122">
        <v>65636</v>
      </c>
      <c r="B16122" t="s">
        <v>30</v>
      </c>
      <c r="C16122">
        <v>65636</v>
      </c>
      <c r="D16122" t="str">
        <f>"65636"</f>
        <v>65636</v>
      </c>
      <c r="E16122" t="s">
        <v>6</v>
      </c>
    </row>
    <row r="16123" spans="1:5" x14ac:dyDescent="0.2">
      <c r="A16123">
        <v>65637</v>
      </c>
      <c r="B16123" t="s">
        <v>30</v>
      </c>
      <c r="C16123">
        <v>65637</v>
      </c>
      <c r="D16123" t="str">
        <f>"65637"</f>
        <v>65637</v>
      </c>
      <c r="E16123">
        <v>50</v>
      </c>
    </row>
    <row r="16124" spans="1:5" x14ac:dyDescent="0.2">
      <c r="A16124">
        <v>65638</v>
      </c>
      <c r="B16124" t="s">
        <v>30</v>
      </c>
      <c r="C16124">
        <v>65638</v>
      </c>
      <c r="D16124" t="str">
        <f>"65638"</f>
        <v>65638</v>
      </c>
      <c r="E16124">
        <v>50</v>
      </c>
    </row>
    <row r="16125" spans="1:5" x14ac:dyDescent="0.2">
      <c r="A16125">
        <v>65640</v>
      </c>
      <c r="B16125" t="s">
        <v>30</v>
      </c>
      <c r="C16125">
        <v>65640</v>
      </c>
      <c r="D16125" t="str">
        <f>"65640"</f>
        <v>65640</v>
      </c>
      <c r="E16125">
        <v>59.38</v>
      </c>
    </row>
    <row r="16126" spans="1:5" x14ac:dyDescent="0.2">
      <c r="A16126">
        <v>65641</v>
      </c>
      <c r="B16126" t="s">
        <v>30</v>
      </c>
      <c r="C16126">
        <v>65641</v>
      </c>
      <c r="D16126" t="str">
        <f>"65641"</f>
        <v>65641</v>
      </c>
      <c r="E16126">
        <v>65.22</v>
      </c>
    </row>
    <row r="16127" spans="1:5" x14ac:dyDescent="0.2">
      <c r="A16127">
        <v>65644</v>
      </c>
      <c r="B16127" t="s">
        <v>30</v>
      </c>
      <c r="C16127">
        <v>65644</v>
      </c>
      <c r="D16127" t="str">
        <f>"65644"</f>
        <v>65644</v>
      </c>
      <c r="E16127">
        <v>65.42</v>
      </c>
    </row>
    <row r="16128" spans="1:5" x14ac:dyDescent="0.2">
      <c r="A16128">
        <v>65646</v>
      </c>
      <c r="B16128" t="s">
        <v>30</v>
      </c>
      <c r="C16128">
        <v>65646</v>
      </c>
      <c r="D16128" t="str">
        <f>"65646"</f>
        <v>65646</v>
      </c>
      <c r="E16128">
        <v>62.03</v>
      </c>
    </row>
    <row r="16129" spans="1:5" x14ac:dyDescent="0.2">
      <c r="A16129">
        <v>65647</v>
      </c>
      <c r="B16129" t="s">
        <v>30</v>
      </c>
      <c r="C16129">
        <v>65647</v>
      </c>
      <c r="D16129" t="str">
        <f>"65647"</f>
        <v>65647</v>
      </c>
      <c r="E16129">
        <v>57.65</v>
      </c>
    </row>
    <row r="16130" spans="1:5" x14ac:dyDescent="0.2">
      <c r="A16130">
        <v>65648</v>
      </c>
      <c r="B16130" t="s">
        <v>30</v>
      </c>
      <c r="C16130">
        <v>65648</v>
      </c>
      <c r="D16130" t="str">
        <f>"65648"</f>
        <v>65648</v>
      </c>
      <c r="E16130">
        <v>71.02</v>
      </c>
    </row>
    <row r="16131" spans="1:5" x14ac:dyDescent="0.2">
      <c r="A16131">
        <v>65649</v>
      </c>
      <c r="B16131" t="s">
        <v>30</v>
      </c>
      <c r="C16131">
        <v>65649</v>
      </c>
      <c r="D16131" t="str">
        <f>"65649"</f>
        <v>65649</v>
      </c>
      <c r="E16131">
        <v>63.64</v>
      </c>
    </row>
    <row r="16132" spans="1:5" x14ac:dyDescent="0.2">
      <c r="A16132">
        <v>65650</v>
      </c>
      <c r="B16132" t="s">
        <v>30</v>
      </c>
      <c r="C16132">
        <v>65650</v>
      </c>
      <c r="D16132" t="str">
        <f>"65650"</f>
        <v>65650</v>
      </c>
      <c r="E16132">
        <v>62</v>
      </c>
    </row>
    <row r="16133" spans="1:5" x14ac:dyDescent="0.2">
      <c r="A16133">
        <v>65652</v>
      </c>
      <c r="B16133" t="s">
        <v>30</v>
      </c>
      <c r="C16133">
        <v>65652</v>
      </c>
      <c r="D16133" t="str">
        <f>"65652"</f>
        <v>65652</v>
      </c>
      <c r="E16133">
        <v>65.099999999999994</v>
      </c>
    </row>
    <row r="16134" spans="1:5" x14ac:dyDescent="0.2">
      <c r="A16134">
        <v>65653</v>
      </c>
      <c r="B16134" t="s">
        <v>30</v>
      </c>
      <c r="C16134">
        <v>65653</v>
      </c>
      <c r="D16134" t="str">
        <f>"65653"</f>
        <v>65653</v>
      </c>
      <c r="E16134">
        <v>61.72</v>
      </c>
    </row>
    <row r="16135" spans="1:5" x14ac:dyDescent="0.2">
      <c r="A16135">
        <v>65654</v>
      </c>
      <c r="B16135" t="s">
        <v>30</v>
      </c>
      <c r="C16135">
        <v>65654</v>
      </c>
      <c r="D16135" t="str">
        <f>"65654"</f>
        <v>65654</v>
      </c>
      <c r="E16135" t="s">
        <v>6</v>
      </c>
    </row>
    <row r="16136" spans="1:5" x14ac:dyDescent="0.2">
      <c r="A16136">
        <v>65655</v>
      </c>
      <c r="B16136" t="s">
        <v>30</v>
      </c>
      <c r="C16136">
        <v>65655</v>
      </c>
      <c r="D16136" t="str">
        <f>"65655"</f>
        <v>65655</v>
      </c>
      <c r="E16136">
        <v>59.63</v>
      </c>
    </row>
    <row r="16137" spans="1:5" x14ac:dyDescent="0.2">
      <c r="A16137">
        <v>65656</v>
      </c>
      <c r="B16137" t="s">
        <v>30</v>
      </c>
      <c r="C16137">
        <v>65656</v>
      </c>
      <c r="D16137" t="str">
        <f>"65656"</f>
        <v>65656</v>
      </c>
      <c r="E16137">
        <v>63.5</v>
      </c>
    </row>
    <row r="16138" spans="1:5" x14ac:dyDescent="0.2">
      <c r="A16138">
        <v>65657</v>
      </c>
      <c r="B16138" t="s">
        <v>30</v>
      </c>
      <c r="C16138">
        <v>65657</v>
      </c>
      <c r="D16138" t="str">
        <f>"65657"</f>
        <v>65657</v>
      </c>
      <c r="E16138" t="s">
        <v>6</v>
      </c>
    </row>
    <row r="16139" spans="1:5" x14ac:dyDescent="0.2">
      <c r="A16139">
        <v>65658</v>
      </c>
      <c r="B16139" t="s">
        <v>30</v>
      </c>
      <c r="C16139">
        <v>65658</v>
      </c>
      <c r="D16139" t="str">
        <f>"65658"</f>
        <v>65658</v>
      </c>
      <c r="E16139">
        <v>70.83</v>
      </c>
    </row>
    <row r="16140" spans="1:5" x14ac:dyDescent="0.2">
      <c r="A16140">
        <v>65660</v>
      </c>
      <c r="B16140" t="s">
        <v>30</v>
      </c>
      <c r="C16140">
        <v>65660</v>
      </c>
      <c r="D16140" t="str">
        <f>"65660"</f>
        <v>65660</v>
      </c>
      <c r="E16140" t="s">
        <v>6</v>
      </c>
    </row>
    <row r="16141" spans="1:5" x14ac:dyDescent="0.2">
      <c r="A16141">
        <v>65661</v>
      </c>
      <c r="B16141" t="s">
        <v>30</v>
      </c>
      <c r="C16141">
        <v>65661</v>
      </c>
      <c r="D16141" t="str">
        <f>"65661"</f>
        <v>65661</v>
      </c>
      <c r="E16141">
        <v>60.82</v>
      </c>
    </row>
    <row r="16142" spans="1:5" x14ac:dyDescent="0.2">
      <c r="A16142">
        <v>65662</v>
      </c>
      <c r="B16142" t="s">
        <v>30</v>
      </c>
      <c r="C16142">
        <v>65662</v>
      </c>
      <c r="D16142" t="str">
        <f>"65662"</f>
        <v>65662</v>
      </c>
      <c r="E16142">
        <v>55.56</v>
      </c>
    </row>
    <row r="16143" spans="1:5" x14ac:dyDescent="0.2">
      <c r="A16143">
        <v>65663</v>
      </c>
      <c r="B16143" t="s">
        <v>30</v>
      </c>
      <c r="C16143">
        <v>65663</v>
      </c>
      <c r="D16143" t="str">
        <f>"65663"</f>
        <v>65663</v>
      </c>
      <c r="E16143">
        <v>60.23</v>
      </c>
    </row>
    <row r="16144" spans="1:5" x14ac:dyDescent="0.2">
      <c r="A16144">
        <v>65664</v>
      </c>
      <c r="B16144" t="s">
        <v>30</v>
      </c>
      <c r="C16144">
        <v>65664</v>
      </c>
      <c r="D16144" t="str">
        <f>"65664"</f>
        <v>65664</v>
      </c>
      <c r="E16144" t="s">
        <v>6</v>
      </c>
    </row>
    <row r="16145" spans="1:5" x14ac:dyDescent="0.2">
      <c r="A16145">
        <v>65666</v>
      </c>
      <c r="B16145" t="s">
        <v>30</v>
      </c>
      <c r="C16145">
        <v>65666</v>
      </c>
      <c r="D16145" t="str">
        <f>"65666"</f>
        <v>65666</v>
      </c>
      <c r="E16145" t="s">
        <v>6</v>
      </c>
    </row>
    <row r="16146" spans="1:5" x14ac:dyDescent="0.2">
      <c r="A16146">
        <v>65667</v>
      </c>
      <c r="B16146" t="s">
        <v>30</v>
      </c>
      <c r="C16146">
        <v>65667</v>
      </c>
      <c r="D16146" t="str">
        <f>"65667"</f>
        <v>65667</v>
      </c>
      <c r="E16146">
        <v>52.99</v>
      </c>
    </row>
    <row r="16147" spans="1:5" x14ac:dyDescent="0.2">
      <c r="A16147">
        <v>65668</v>
      </c>
      <c r="B16147" t="s">
        <v>30</v>
      </c>
      <c r="C16147">
        <v>65668</v>
      </c>
      <c r="D16147" t="str">
        <f>"65668"</f>
        <v>65668</v>
      </c>
      <c r="E16147">
        <v>62.9</v>
      </c>
    </row>
    <row r="16148" spans="1:5" x14ac:dyDescent="0.2">
      <c r="A16148">
        <v>65669</v>
      </c>
      <c r="B16148" t="s">
        <v>30</v>
      </c>
      <c r="C16148">
        <v>65669</v>
      </c>
      <c r="D16148" t="str">
        <f>"65669"</f>
        <v>65669</v>
      </c>
      <c r="E16148">
        <v>69.09</v>
      </c>
    </row>
    <row r="16149" spans="1:5" x14ac:dyDescent="0.2">
      <c r="A16149">
        <v>65672</v>
      </c>
      <c r="B16149" t="s">
        <v>30</v>
      </c>
      <c r="C16149">
        <v>65672</v>
      </c>
      <c r="D16149" t="str">
        <f>"65672"</f>
        <v>65672</v>
      </c>
      <c r="E16149">
        <v>64.41</v>
      </c>
    </row>
    <row r="16150" spans="1:5" x14ac:dyDescent="0.2">
      <c r="A16150">
        <v>65674</v>
      </c>
      <c r="B16150" t="s">
        <v>30</v>
      </c>
      <c r="C16150">
        <v>65674</v>
      </c>
      <c r="D16150" t="str">
        <f>"65674"</f>
        <v>65674</v>
      </c>
      <c r="E16150">
        <v>50.54</v>
      </c>
    </row>
    <row r="16151" spans="1:5" x14ac:dyDescent="0.2">
      <c r="A16151">
        <v>65675</v>
      </c>
      <c r="B16151" t="s">
        <v>30</v>
      </c>
      <c r="C16151">
        <v>65675</v>
      </c>
      <c r="D16151" t="str">
        <f>"65675"</f>
        <v>65675</v>
      </c>
      <c r="E16151" t="s">
        <v>6</v>
      </c>
    </row>
    <row r="16152" spans="1:5" x14ac:dyDescent="0.2">
      <c r="A16152">
        <v>65676</v>
      </c>
      <c r="B16152" t="s">
        <v>30</v>
      </c>
      <c r="C16152">
        <v>65676</v>
      </c>
      <c r="D16152" t="str">
        <f>"65676"</f>
        <v>65676</v>
      </c>
      <c r="E16152">
        <v>50</v>
      </c>
    </row>
    <row r="16153" spans="1:5" x14ac:dyDescent="0.2">
      <c r="A16153">
        <v>65679</v>
      </c>
      <c r="B16153" t="s">
        <v>30</v>
      </c>
      <c r="C16153">
        <v>65679</v>
      </c>
      <c r="D16153" t="str">
        <f>"65679"</f>
        <v>65679</v>
      </c>
      <c r="E16153">
        <v>60.18</v>
      </c>
    </row>
    <row r="16154" spans="1:5" x14ac:dyDescent="0.2">
      <c r="A16154">
        <v>65680</v>
      </c>
      <c r="B16154" t="s">
        <v>30</v>
      </c>
      <c r="C16154">
        <v>65680</v>
      </c>
      <c r="D16154" t="str">
        <f>"65680"</f>
        <v>65680</v>
      </c>
      <c r="E16154">
        <v>57.14</v>
      </c>
    </row>
    <row r="16155" spans="1:5" x14ac:dyDescent="0.2">
      <c r="A16155">
        <v>65681</v>
      </c>
      <c r="B16155" t="s">
        <v>30</v>
      </c>
      <c r="C16155">
        <v>65681</v>
      </c>
      <c r="D16155" t="str">
        <f>"65681"</f>
        <v>65681</v>
      </c>
      <c r="E16155">
        <v>65.63</v>
      </c>
    </row>
    <row r="16156" spans="1:5" x14ac:dyDescent="0.2">
      <c r="A16156">
        <v>65682</v>
      </c>
      <c r="B16156" t="s">
        <v>30</v>
      </c>
      <c r="C16156">
        <v>65682</v>
      </c>
      <c r="D16156" t="str">
        <f>"65682"</f>
        <v>65682</v>
      </c>
      <c r="E16156">
        <v>62.82</v>
      </c>
    </row>
    <row r="16157" spans="1:5" x14ac:dyDescent="0.2">
      <c r="A16157">
        <v>65685</v>
      </c>
      <c r="B16157" t="s">
        <v>30</v>
      </c>
      <c r="C16157">
        <v>65685</v>
      </c>
      <c r="D16157" t="str">
        <f>"65685"</f>
        <v>65685</v>
      </c>
      <c r="E16157">
        <v>57.58</v>
      </c>
    </row>
    <row r="16158" spans="1:5" x14ac:dyDescent="0.2">
      <c r="A16158">
        <v>65686</v>
      </c>
      <c r="B16158" t="s">
        <v>30</v>
      </c>
      <c r="C16158">
        <v>65686</v>
      </c>
      <c r="D16158" t="str">
        <f>"65686"</f>
        <v>65686</v>
      </c>
      <c r="E16158">
        <v>71.69</v>
      </c>
    </row>
    <row r="16159" spans="1:5" x14ac:dyDescent="0.2">
      <c r="A16159">
        <v>65689</v>
      </c>
      <c r="B16159" t="s">
        <v>30</v>
      </c>
      <c r="C16159">
        <v>65689</v>
      </c>
      <c r="D16159" t="str">
        <f>"65689"</f>
        <v>65689</v>
      </c>
      <c r="E16159">
        <v>59.09</v>
      </c>
    </row>
    <row r="16160" spans="1:5" x14ac:dyDescent="0.2">
      <c r="A16160">
        <v>65690</v>
      </c>
      <c r="B16160" t="s">
        <v>30</v>
      </c>
      <c r="C16160">
        <v>65690</v>
      </c>
      <c r="D16160" t="str">
        <f>"65690"</f>
        <v>65690</v>
      </c>
      <c r="E16160">
        <v>63.64</v>
      </c>
    </row>
    <row r="16161" spans="1:5" x14ac:dyDescent="0.2">
      <c r="A16161">
        <v>65692</v>
      </c>
      <c r="B16161" t="s">
        <v>30</v>
      </c>
      <c r="C16161">
        <v>65692</v>
      </c>
      <c r="D16161" t="str">
        <f>"65692"</f>
        <v>65692</v>
      </c>
      <c r="E16161">
        <v>55.1</v>
      </c>
    </row>
    <row r="16162" spans="1:5" x14ac:dyDescent="0.2">
      <c r="A16162">
        <v>65702</v>
      </c>
      <c r="B16162" t="s">
        <v>30</v>
      </c>
      <c r="C16162">
        <v>65702</v>
      </c>
      <c r="D16162" t="str">
        <f>"65702"</f>
        <v>65702</v>
      </c>
      <c r="E16162">
        <v>56.25</v>
      </c>
    </row>
    <row r="16163" spans="1:5" x14ac:dyDescent="0.2">
      <c r="A16163">
        <v>65704</v>
      </c>
      <c r="B16163" t="s">
        <v>30</v>
      </c>
      <c r="C16163">
        <v>65704</v>
      </c>
      <c r="D16163" t="str">
        <f>"65704"</f>
        <v>65704</v>
      </c>
      <c r="E16163">
        <v>56.67</v>
      </c>
    </row>
    <row r="16164" spans="1:5" x14ac:dyDescent="0.2">
      <c r="A16164">
        <v>65705</v>
      </c>
      <c r="B16164" t="s">
        <v>30</v>
      </c>
      <c r="C16164">
        <v>65705</v>
      </c>
      <c r="D16164" t="str">
        <f>"65705"</f>
        <v>65705</v>
      </c>
      <c r="E16164">
        <v>65.430000000000007</v>
      </c>
    </row>
    <row r="16165" spans="1:5" x14ac:dyDescent="0.2">
      <c r="A16165">
        <v>65706</v>
      </c>
      <c r="B16165" t="s">
        <v>30</v>
      </c>
      <c r="C16165">
        <v>65706</v>
      </c>
      <c r="D16165" t="str">
        <f>"65706"</f>
        <v>65706</v>
      </c>
      <c r="E16165">
        <v>66.040000000000006</v>
      </c>
    </row>
    <row r="16166" spans="1:5" x14ac:dyDescent="0.2">
      <c r="A16166">
        <v>65707</v>
      </c>
      <c r="B16166" t="s">
        <v>30</v>
      </c>
      <c r="C16166">
        <v>65707</v>
      </c>
      <c r="D16166" t="str">
        <f>"65707"</f>
        <v>65707</v>
      </c>
      <c r="E16166">
        <v>67.02</v>
      </c>
    </row>
    <row r="16167" spans="1:5" x14ac:dyDescent="0.2">
      <c r="A16167">
        <v>65708</v>
      </c>
      <c r="B16167" t="s">
        <v>30</v>
      </c>
      <c r="C16167">
        <v>65708</v>
      </c>
      <c r="D16167" t="str">
        <f>"65708"</f>
        <v>65708</v>
      </c>
      <c r="E16167">
        <v>64.459999999999994</v>
      </c>
    </row>
    <row r="16168" spans="1:5" x14ac:dyDescent="0.2">
      <c r="A16168">
        <v>65710</v>
      </c>
      <c r="B16168" t="s">
        <v>30</v>
      </c>
      <c r="C16168">
        <v>65710</v>
      </c>
      <c r="D16168" t="str">
        <f>"65710"</f>
        <v>65710</v>
      </c>
      <c r="E16168">
        <v>64</v>
      </c>
    </row>
    <row r="16169" spans="1:5" x14ac:dyDescent="0.2">
      <c r="A16169">
        <v>65711</v>
      </c>
      <c r="B16169" t="s">
        <v>30</v>
      </c>
      <c r="C16169">
        <v>65711</v>
      </c>
      <c r="D16169" t="str">
        <f>"65711"</f>
        <v>65711</v>
      </c>
      <c r="E16169">
        <v>56.94</v>
      </c>
    </row>
    <row r="16170" spans="1:5" x14ac:dyDescent="0.2">
      <c r="A16170">
        <v>65712</v>
      </c>
      <c r="B16170" t="s">
        <v>30</v>
      </c>
      <c r="C16170">
        <v>65712</v>
      </c>
      <c r="D16170" t="str">
        <f>"65712"</f>
        <v>65712</v>
      </c>
      <c r="E16170">
        <v>66.87</v>
      </c>
    </row>
    <row r="16171" spans="1:5" x14ac:dyDescent="0.2">
      <c r="A16171">
        <v>65713</v>
      </c>
      <c r="B16171" t="s">
        <v>30</v>
      </c>
      <c r="C16171">
        <v>65713</v>
      </c>
      <c r="D16171" t="str">
        <f>"65713"</f>
        <v>65713</v>
      </c>
      <c r="E16171">
        <v>61.86</v>
      </c>
    </row>
    <row r="16172" spans="1:5" x14ac:dyDescent="0.2">
      <c r="A16172">
        <v>65714</v>
      </c>
      <c r="B16172" t="s">
        <v>30</v>
      </c>
      <c r="C16172">
        <v>65714</v>
      </c>
      <c r="D16172" t="str">
        <f>"65714"</f>
        <v>65714</v>
      </c>
      <c r="E16172">
        <v>72.23</v>
      </c>
    </row>
    <row r="16173" spans="1:5" x14ac:dyDescent="0.2">
      <c r="A16173">
        <v>65715</v>
      </c>
      <c r="B16173" t="s">
        <v>30</v>
      </c>
      <c r="C16173">
        <v>65715</v>
      </c>
      <c r="D16173" t="str">
        <f>"65715"</f>
        <v>65715</v>
      </c>
      <c r="E16173" t="s">
        <v>6</v>
      </c>
    </row>
    <row r="16174" spans="1:5" x14ac:dyDescent="0.2">
      <c r="A16174">
        <v>65717</v>
      </c>
      <c r="B16174" t="s">
        <v>30</v>
      </c>
      <c r="C16174">
        <v>65717</v>
      </c>
      <c r="D16174" t="str">
        <f>"65717"</f>
        <v>65717</v>
      </c>
      <c r="E16174">
        <v>56.63</v>
      </c>
    </row>
    <row r="16175" spans="1:5" x14ac:dyDescent="0.2">
      <c r="A16175">
        <v>65720</v>
      </c>
      <c r="B16175" t="s">
        <v>30</v>
      </c>
      <c r="C16175">
        <v>65720</v>
      </c>
      <c r="D16175" t="str">
        <f>"65720"</f>
        <v>65720</v>
      </c>
      <c r="E16175">
        <v>53.85</v>
      </c>
    </row>
    <row r="16176" spans="1:5" x14ac:dyDescent="0.2">
      <c r="A16176">
        <v>65721</v>
      </c>
      <c r="B16176" t="s">
        <v>30</v>
      </c>
      <c r="C16176">
        <v>65721</v>
      </c>
      <c r="D16176" t="str">
        <f>"65721"</f>
        <v>65721</v>
      </c>
      <c r="E16176">
        <v>71.459999999999994</v>
      </c>
    </row>
    <row r="16177" spans="1:5" x14ac:dyDescent="0.2">
      <c r="A16177">
        <v>65722</v>
      </c>
      <c r="B16177" t="s">
        <v>30</v>
      </c>
      <c r="C16177">
        <v>65722</v>
      </c>
      <c r="D16177" t="str">
        <f>"65722"</f>
        <v>65722</v>
      </c>
      <c r="E16177">
        <v>60.53</v>
      </c>
    </row>
    <row r="16178" spans="1:5" x14ac:dyDescent="0.2">
      <c r="A16178">
        <v>65723</v>
      </c>
      <c r="B16178" t="s">
        <v>30</v>
      </c>
      <c r="C16178">
        <v>65723</v>
      </c>
      <c r="D16178" t="str">
        <f>"65723"</f>
        <v>65723</v>
      </c>
      <c r="E16178">
        <v>64</v>
      </c>
    </row>
    <row r="16179" spans="1:5" x14ac:dyDescent="0.2">
      <c r="A16179">
        <v>65724</v>
      </c>
      <c r="B16179" t="s">
        <v>30</v>
      </c>
      <c r="C16179">
        <v>65724</v>
      </c>
      <c r="D16179" t="str">
        <f>"65724"</f>
        <v>65724</v>
      </c>
      <c r="E16179">
        <v>63.64</v>
      </c>
    </row>
    <row r="16180" spans="1:5" x14ac:dyDescent="0.2">
      <c r="A16180">
        <v>65725</v>
      </c>
      <c r="B16180" t="s">
        <v>30</v>
      </c>
      <c r="C16180">
        <v>65725</v>
      </c>
      <c r="D16180" t="str">
        <f>"65725"</f>
        <v>65725</v>
      </c>
      <c r="E16180">
        <v>68.63</v>
      </c>
    </row>
    <row r="16181" spans="1:5" x14ac:dyDescent="0.2">
      <c r="A16181">
        <v>65727</v>
      </c>
      <c r="B16181" t="s">
        <v>30</v>
      </c>
      <c r="C16181">
        <v>65727</v>
      </c>
      <c r="D16181" t="str">
        <f>"65727"</f>
        <v>65727</v>
      </c>
      <c r="E16181" t="s">
        <v>6</v>
      </c>
    </row>
    <row r="16182" spans="1:5" x14ac:dyDescent="0.2">
      <c r="A16182">
        <v>65728</v>
      </c>
      <c r="B16182" t="s">
        <v>30</v>
      </c>
      <c r="C16182">
        <v>65728</v>
      </c>
      <c r="D16182" t="str">
        <f>"65728"</f>
        <v>65728</v>
      </c>
      <c r="E16182" t="s">
        <v>6</v>
      </c>
    </row>
    <row r="16183" spans="1:5" x14ac:dyDescent="0.2">
      <c r="A16183">
        <v>65729</v>
      </c>
      <c r="B16183" t="s">
        <v>30</v>
      </c>
      <c r="C16183">
        <v>65729</v>
      </c>
      <c r="D16183" t="str">
        <f>"65729"</f>
        <v>65729</v>
      </c>
      <c r="E16183" t="s">
        <v>6</v>
      </c>
    </row>
    <row r="16184" spans="1:5" x14ac:dyDescent="0.2">
      <c r="A16184">
        <v>65730</v>
      </c>
      <c r="B16184" t="s">
        <v>30</v>
      </c>
      <c r="C16184">
        <v>65730</v>
      </c>
      <c r="D16184" t="str">
        <f>"65730"</f>
        <v>65730</v>
      </c>
      <c r="E16184" t="s">
        <v>6</v>
      </c>
    </row>
    <row r="16185" spans="1:5" x14ac:dyDescent="0.2">
      <c r="A16185">
        <v>65731</v>
      </c>
      <c r="B16185" t="s">
        <v>30</v>
      </c>
      <c r="C16185">
        <v>65731</v>
      </c>
      <c r="D16185" t="str">
        <f>"65731"</f>
        <v>65731</v>
      </c>
      <c r="E16185">
        <v>63.64</v>
      </c>
    </row>
    <row r="16186" spans="1:5" x14ac:dyDescent="0.2">
      <c r="A16186">
        <v>65732</v>
      </c>
      <c r="B16186" t="s">
        <v>30</v>
      </c>
      <c r="C16186">
        <v>65732</v>
      </c>
      <c r="D16186" t="str">
        <f>"65732"</f>
        <v>65732</v>
      </c>
      <c r="E16186">
        <v>57.58</v>
      </c>
    </row>
    <row r="16187" spans="1:5" x14ac:dyDescent="0.2">
      <c r="A16187">
        <v>65733</v>
      </c>
      <c r="B16187" t="s">
        <v>30</v>
      </c>
      <c r="C16187">
        <v>65733</v>
      </c>
      <c r="D16187" t="str">
        <f>"65733"</f>
        <v>65733</v>
      </c>
      <c r="E16187">
        <v>57.89</v>
      </c>
    </row>
    <row r="16188" spans="1:5" x14ac:dyDescent="0.2">
      <c r="A16188">
        <v>65734</v>
      </c>
      <c r="B16188" t="s">
        <v>30</v>
      </c>
      <c r="C16188">
        <v>65734</v>
      </c>
      <c r="D16188" t="str">
        <f>"65734"</f>
        <v>65734</v>
      </c>
      <c r="E16188">
        <v>61.83</v>
      </c>
    </row>
    <row r="16189" spans="1:5" x14ac:dyDescent="0.2">
      <c r="A16189">
        <v>65735</v>
      </c>
      <c r="B16189" t="s">
        <v>30</v>
      </c>
      <c r="C16189">
        <v>65735</v>
      </c>
      <c r="D16189" t="str">
        <f>"65735"</f>
        <v>65735</v>
      </c>
      <c r="E16189" t="s">
        <v>6</v>
      </c>
    </row>
    <row r="16190" spans="1:5" x14ac:dyDescent="0.2">
      <c r="A16190">
        <v>65737</v>
      </c>
      <c r="B16190" t="s">
        <v>30</v>
      </c>
      <c r="C16190">
        <v>65737</v>
      </c>
      <c r="D16190" t="str">
        <f>"65737"</f>
        <v>65737</v>
      </c>
      <c r="E16190">
        <v>65.52</v>
      </c>
    </row>
    <row r="16191" spans="1:5" x14ac:dyDescent="0.2">
      <c r="A16191">
        <v>65738</v>
      </c>
      <c r="B16191" t="s">
        <v>30</v>
      </c>
      <c r="C16191">
        <v>65738</v>
      </c>
      <c r="D16191" t="str">
        <f>"65738"</f>
        <v>65738</v>
      </c>
      <c r="E16191">
        <v>71.06</v>
      </c>
    </row>
    <row r="16192" spans="1:5" x14ac:dyDescent="0.2">
      <c r="A16192">
        <v>65739</v>
      </c>
      <c r="B16192" t="s">
        <v>30</v>
      </c>
      <c r="C16192">
        <v>65739</v>
      </c>
      <c r="D16192" t="str">
        <f>"65739"</f>
        <v>65739</v>
      </c>
      <c r="E16192">
        <v>68.12</v>
      </c>
    </row>
    <row r="16193" spans="1:5" x14ac:dyDescent="0.2">
      <c r="A16193">
        <v>65740</v>
      </c>
      <c r="B16193" t="s">
        <v>30</v>
      </c>
      <c r="C16193">
        <v>65740</v>
      </c>
      <c r="D16193" t="str">
        <f>"65740"</f>
        <v>65740</v>
      </c>
      <c r="E16193">
        <v>50.99</v>
      </c>
    </row>
    <row r="16194" spans="1:5" x14ac:dyDescent="0.2">
      <c r="A16194">
        <v>65742</v>
      </c>
      <c r="B16194" t="s">
        <v>30</v>
      </c>
      <c r="C16194">
        <v>65742</v>
      </c>
      <c r="D16194" t="str">
        <f>"65742"</f>
        <v>65742</v>
      </c>
      <c r="E16194">
        <v>72.69</v>
      </c>
    </row>
    <row r="16195" spans="1:5" x14ac:dyDescent="0.2">
      <c r="A16195">
        <v>65744</v>
      </c>
      <c r="B16195" t="s">
        <v>30</v>
      </c>
      <c r="C16195">
        <v>65744</v>
      </c>
      <c r="D16195" t="str">
        <f>"65744"</f>
        <v>65744</v>
      </c>
      <c r="E16195" t="s">
        <v>6</v>
      </c>
    </row>
    <row r="16196" spans="1:5" x14ac:dyDescent="0.2">
      <c r="A16196">
        <v>65745</v>
      </c>
      <c r="B16196" t="s">
        <v>30</v>
      </c>
      <c r="C16196">
        <v>65745</v>
      </c>
      <c r="D16196" t="str">
        <f>"65745"</f>
        <v>65745</v>
      </c>
      <c r="E16196">
        <v>60.64</v>
      </c>
    </row>
    <row r="16197" spans="1:5" x14ac:dyDescent="0.2">
      <c r="A16197">
        <v>65746</v>
      </c>
      <c r="B16197" t="s">
        <v>30</v>
      </c>
      <c r="C16197">
        <v>65746</v>
      </c>
      <c r="D16197" t="str">
        <f>"65746"</f>
        <v>65746</v>
      </c>
      <c r="E16197">
        <v>52.69</v>
      </c>
    </row>
    <row r="16198" spans="1:5" x14ac:dyDescent="0.2">
      <c r="A16198">
        <v>65747</v>
      </c>
      <c r="B16198" t="s">
        <v>30</v>
      </c>
      <c r="C16198">
        <v>65747</v>
      </c>
      <c r="D16198" t="str">
        <f>"65747"</f>
        <v>65747</v>
      </c>
      <c r="E16198">
        <v>65.52</v>
      </c>
    </row>
    <row r="16199" spans="1:5" x14ac:dyDescent="0.2">
      <c r="A16199">
        <v>65752</v>
      </c>
      <c r="B16199" t="s">
        <v>30</v>
      </c>
      <c r="C16199">
        <v>65752</v>
      </c>
      <c r="D16199" t="str">
        <f>"65752"</f>
        <v>65752</v>
      </c>
      <c r="E16199">
        <v>62.5</v>
      </c>
    </row>
    <row r="16200" spans="1:5" x14ac:dyDescent="0.2">
      <c r="A16200">
        <v>65753</v>
      </c>
      <c r="B16200" t="s">
        <v>30</v>
      </c>
      <c r="C16200">
        <v>65753</v>
      </c>
      <c r="D16200" t="str">
        <f>"65753"</f>
        <v>65753</v>
      </c>
      <c r="E16200">
        <v>64.62</v>
      </c>
    </row>
    <row r="16201" spans="1:5" x14ac:dyDescent="0.2">
      <c r="A16201">
        <v>65754</v>
      </c>
      <c r="B16201" t="s">
        <v>30</v>
      </c>
      <c r="C16201">
        <v>65754</v>
      </c>
      <c r="D16201" t="str">
        <f>"65754"</f>
        <v>65754</v>
      </c>
      <c r="E16201">
        <v>64.290000000000006</v>
      </c>
    </row>
    <row r="16202" spans="1:5" x14ac:dyDescent="0.2">
      <c r="A16202">
        <v>65755</v>
      </c>
      <c r="B16202" t="s">
        <v>30</v>
      </c>
      <c r="C16202">
        <v>65755</v>
      </c>
      <c r="D16202" t="str">
        <f>"65755"</f>
        <v>65755</v>
      </c>
      <c r="E16202">
        <v>60</v>
      </c>
    </row>
    <row r="16203" spans="1:5" x14ac:dyDescent="0.2">
      <c r="A16203">
        <v>65756</v>
      </c>
      <c r="B16203" t="s">
        <v>30</v>
      </c>
      <c r="C16203">
        <v>65756</v>
      </c>
      <c r="D16203" t="str">
        <f>"65756"</f>
        <v>65756</v>
      </c>
      <c r="E16203">
        <v>51.85</v>
      </c>
    </row>
    <row r="16204" spans="1:5" x14ac:dyDescent="0.2">
      <c r="A16204">
        <v>65757</v>
      </c>
      <c r="B16204" t="s">
        <v>30</v>
      </c>
      <c r="C16204">
        <v>65757</v>
      </c>
      <c r="D16204" t="str">
        <f>"65757"</f>
        <v>65757</v>
      </c>
      <c r="E16204">
        <v>70.88</v>
      </c>
    </row>
    <row r="16205" spans="1:5" x14ac:dyDescent="0.2">
      <c r="A16205">
        <v>65759</v>
      </c>
      <c r="B16205" t="s">
        <v>30</v>
      </c>
      <c r="C16205">
        <v>65759</v>
      </c>
      <c r="D16205" t="str">
        <f>"65759"</f>
        <v>65759</v>
      </c>
      <c r="E16205">
        <v>56</v>
      </c>
    </row>
    <row r="16206" spans="1:5" x14ac:dyDescent="0.2">
      <c r="A16206">
        <v>65760</v>
      </c>
      <c r="B16206" t="s">
        <v>30</v>
      </c>
      <c r="C16206">
        <v>65760</v>
      </c>
      <c r="D16206" t="str">
        <f>"65760"</f>
        <v>65760</v>
      </c>
      <c r="E16206">
        <v>50</v>
      </c>
    </row>
    <row r="16207" spans="1:5" x14ac:dyDescent="0.2">
      <c r="A16207">
        <v>65761</v>
      </c>
      <c r="B16207" t="s">
        <v>30</v>
      </c>
      <c r="C16207">
        <v>65761</v>
      </c>
      <c r="D16207" t="str">
        <f>"65761"</f>
        <v>65761</v>
      </c>
      <c r="E16207">
        <v>57.14</v>
      </c>
    </row>
    <row r="16208" spans="1:5" x14ac:dyDescent="0.2">
      <c r="A16208">
        <v>65762</v>
      </c>
      <c r="B16208" t="s">
        <v>30</v>
      </c>
      <c r="C16208">
        <v>65762</v>
      </c>
      <c r="D16208" t="str">
        <f>"65762"</f>
        <v>65762</v>
      </c>
      <c r="E16208">
        <v>47.06</v>
      </c>
    </row>
    <row r="16209" spans="1:5" x14ac:dyDescent="0.2">
      <c r="A16209">
        <v>65764</v>
      </c>
      <c r="B16209" t="s">
        <v>30</v>
      </c>
      <c r="C16209">
        <v>65764</v>
      </c>
      <c r="D16209" t="str">
        <f>"65764"</f>
        <v>65764</v>
      </c>
      <c r="E16209">
        <v>53.06</v>
      </c>
    </row>
    <row r="16210" spans="1:5" x14ac:dyDescent="0.2">
      <c r="A16210">
        <v>65765</v>
      </c>
      <c r="B16210" t="s">
        <v>30</v>
      </c>
      <c r="C16210">
        <v>65765</v>
      </c>
      <c r="D16210" t="str">
        <f>"65765"</f>
        <v>65765</v>
      </c>
      <c r="E16210" t="s">
        <v>6</v>
      </c>
    </row>
    <row r="16211" spans="1:5" x14ac:dyDescent="0.2">
      <c r="A16211">
        <v>65766</v>
      </c>
      <c r="B16211" t="s">
        <v>30</v>
      </c>
      <c r="C16211">
        <v>65766</v>
      </c>
      <c r="D16211" t="str">
        <f>"65766"</f>
        <v>65766</v>
      </c>
      <c r="E16211" t="s">
        <v>6</v>
      </c>
    </row>
    <row r="16212" spans="1:5" x14ac:dyDescent="0.2">
      <c r="A16212">
        <v>65767</v>
      </c>
      <c r="B16212" t="s">
        <v>30</v>
      </c>
      <c r="C16212">
        <v>65767</v>
      </c>
      <c r="D16212" t="str">
        <f>"65767"</f>
        <v>65767</v>
      </c>
      <c r="E16212">
        <v>62.2</v>
      </c>
    </row>
    <row r="16213" spans="1:5" x14ac:dyDescent="0.2">
      <c r="A16213">
        <v>65768</v>
      </c>
      <c r="B16213" t="s">
        <v>30</v>
      </c>
      <c r="C16213">
        <v>65768</v>
      </c>
      <c r="D16213" t="str">
        <f>"65768"</f>
        <v>65768</v>
      </c>
      <c r="E16213">
        <v>62.5</v>
      </c>
    </row>
    <row r="16214" spans="1:5" x14ac:dyDescent="0.2">
      <c r="A16214">
        <v>65769</v>
      </c>
      <c r="B16214" t="s">
        <v>30</v>
      </c>
      <c r="C16214">
        <v>65769</v>
      </c>
      <c r="D16214" t="str">
        <f>"65769"</f>
        <v>65769</v>
      </c>
      <c r="E16214">
        <v>60.48</v>
      </c>
    </row>
    <row r="16215" spans="1:5" x14ac:dyDescent="0.2">
      <c r="A16215">
        <v>65770</v>
      </c>
      <c r="B16215" t="s">
        <v>30</v>
      </c>
      <c r="C16215">
        <v>65770</v>
      </c>
      <c r="D16215" t="str">
        <f>"65770"</f>
        <v>65770</v>
      </c>
      <c r="E16215">
        <v>68.8</v>
      </c>
    </row>
    <row r="16216" spans="1:5" x14ac:dyDescent="0.2">
      <c r="A16216">
        <v>65771</v>
      </c>
      <c r="B16216" t="s">
        <v>30</v>
      </c>
      <c r="C16216">
        <v>65771</v>
      </c>
      <c r="D16216" t="str">
        <f>"65771"</f>
        <v>65771</v>
      </c>
      <c r="E16216">
        <v>69.489999999999995</v>
      </c>
    </row>
    <row r="16217" spans="1:5" x14ac:dyDescent="0.2">
      <c r="A16217">
        <v>65772</v>
      </c>
      <c r="B16217" t="s">
        <v>30</v>
      </c>
      <c r="C16217">
        <v>65772</v>
      </c>
      <c r="D16217" t="str">
        <f>"65772"</f>
        <v>65772</v>
      </c>
      <c r="E16217">
        <v>61.73</v>
      </c>
    </row>
    <row r="16218" spans="1:5" x14ac:dyDescent="0.2">
      <c r="A16218">
        <v>65773</v>
      </c>
      <c r="B16218" t="s">
        <v>30</v>
      </c>
      <c r="C16218">
        <v>65773</v>
      </c>
      <c r="D16218" t="str">
        <f>"65773"</f>
        <v>65773</v>
      </c>
      <c r="E16218">
        <v>57.14</v>
      </c>
    </row>
    <row r="16219" spans="1:5" x14ac:dyDescent="0.2">
      <c r="A16219">
        <v>65774</v>
      </c>
      <c r="B16219" t="s">
        <v>30</v>
      </c>
      <c r="C16219">
        <v>65774</v>
      </c>
      <c r="D16219" t="str">
        <f>"65774"</f>
        <v>65774</v>
      </c>
      <c r="E16219">
        <v>58.33</v>
      </c>
    </row>
    <row r="16220" spans="1:5" x14ac:dyDescent="0.2">
      <c r="A16220">
        <v>65775</v>
      </c>
      <c r="B16220" t="s">
        <v>30</v>
      </c>
      <c r="C16220">
        <v>65775</v>
      </c>
      <c r="D16220" t="str">
        <f>"65775"</f>
        <v>65775</v>
      </c>
      <c r="E16220">
        <v>61.74</v>
      </c>
    </row>
    <row r="16221" spans="1:5" x14ac:dyDescent="0.2">
      <c r="A16221">
        <v>65777</v>
      </c>
      <c r="B16221" t="s">
        <v>30</v>
      </c>
      <c r="C16221">
        <v>65777</v>
      </c>
      <c r="D16221" t="str">
        <f>"65777"</f>
        <v>65777</v>
      </c>
      <c r="E16221">
        <v>50</v>
      </c>
    </row>
    <row r="16222" spans="1:5" x14ac:dyDescent="0.2">
      <c r="A16222">
        <v>65778</v>
      </c>
      <c r="B16222" t="s">
        <v>30</v>
      </c>
      <c r="C16222">
        <v>65778</v>
      </c>
      <c r="D16222" t="str">
        <f>"65778"</f>
        <v>65778</v>
      </c>
      <c r="E16222">
        <v>52.38</v>
      </c>
    </row>
    <row r="16223" spans="1:5" x14ac:dyDescent="0.2">
      <c r="A16223">
        <v>65779</v>
      </c>
      <c r="B16223" t="s">
        <v>30</v>
      </c>
      <c r="C16223">
        <v>65779</v>
      </c>
      <c r="D16223" t="str">
        <f>"65779"</f>
        <v>65779</v>
      </c>
      <c r="E16223">
        <v>60</v>
      </c>
    </row>
    <row r="16224" spans="1:5" x14ac:dyDescent="0.2">
      <c r="A16224">
        <v>65781</v>
      </c>
      <c r="B16224" t="s">
        <v>30</v>
      </c>
      <c r="C16224">
        <v>65781</v>
      </c>
      <c r="D16224" t="str">
        <f>"65781"</f>
        <v>65781</v>
      </c>
      <c r="E16224">
        <v>71.61</v>
      </c>
    </row>
    <row r="16225" spans="1:5" x14ac:dyDescent="0.2">
      <c r="A16225">
        <v>65783</v>
      </c>
      <c r="B16225" t="s">
        <v>30</v>
      </c>
      <c r="C16225">
        <v>65783</v>
      </c>
      <c r="D16225" t="str">
        <f>"65783"</f>
        <v>65783</v>
      </c>
      <c r="E16225" t="s">
        <v>6</v>
      </c>
    </row>
    <row r="16226" spans="1:5" x14ac:dyDescent="0.2">
      <c r="A16226">
        <v>65784</v>
      </c>
      <c r="B16226" t="s">
        <v>30</v>
      </c>
      <c r="C16226">
        <v>65784</v>
      </c>
      <c r="D16226" t="str">
        <f>"65784"</f>
        <v>65784</v>
      </c>
      <c r="E16226" t="s">
        <v>6</v>
      </c>
    </row>
    <row r="16227" spans="1:5" x14ac:dyDescent="0.2">
      <c r="A16227">
        <v>65785</v>
      </c>
      <c r="B16227" t="s">
        <v>30</v>
      </c>
      <c r="C16227">
        <v>65785</v>
      </c>
      <c r="D16227" t="str">
        <f>"65785"</f>
        <v>65785</v>
      </c>
      <c r="E16227">
        <v>61.43</v>
      </c>
    </row>
    <row r="16228" spans="1:5" x14ac:dyDescent="0.2">
      <c r="A16228">
        <v>65786</v>
      </c>
      <c r="B16228" t="s">
        <v>30</v>
      </c>
      <c r="C16228">
        <v>65786</v>
      </c>
      <c r="D16228" t="str">
        <f>"65786"</f>
        <v>65786</v>
      </c>
      <c r="E16228">
        <v>59.52</v>
      </c>
    </row>
    <row r="16229" spans="1:5" x14ac:dyDescent="0.2">
      <c r="A16229">
        <v>65787</v>
      </c>
      <c r="B16229" t="s">
        <v>30</v>
      </c>
      <c r="C16229">
        <v>65787</v>
      </c>
      <c r="D16229" t="str">
        <f>"65787"</f>
        <v>65787</v>
      </c>
      <c r="E16229">
        <v>67.16</v>
      </c>
    </row>
    <row r="16230" spans="1:5" x14ac:dyDescent="0.2">
      <c r="A16230">
        <v>65788</v>
      </c>
      <c r="B16230" t="s">
        <v>30</v>
      </c>
      <c r="C16230">
        <v>65788</v>
      </c>
      <c r="D16230" t="str">
        <f>"65788"</f>
        <v>65788</v>
      </c>
      <c r="E16230">
        <v>58.82</v>
      </c>
    </row>
    <row r="16231" spans="1:5" x14ac:dyDescent="0.2">
      <c r="A16231">
        <v>65789</v>
      </c>
      <c r="B16231" t="s">
        <v>30</v>
      </c>
      <c r="C16231">
        <v>65789</v>
      </c>
      <c r="D16231" t="str">
        <f>"65789"</f>
        <v>65789</v>
      </c>
      <c r="E16231">
        <v>60.56</v>
      </c>
    </row>
    <row r="16232" spans="1:5" x14ac:dyDescent="0.2">
      <c r="A16232">
        <v>65790</v>
      </c>
      <c r="B16232" t="s">
        <v>30</v>
      </c>
      <c r="C16232">
        <v>65790</v>
      </c>
      <c r="D16232" t="str">
        <f>"65790"</f>
        <v>65790</v>
      </c>
      <c r="E16232">
        <v>62.07</v>
      </c>
    </row>
    <row r="16233" spans="1:5" x14ac:dyDescent="0.2">
      <c r="A16233">
        <v>65791</v>
      </c>
      <c r="B16233" t="s">
        <v>30</v>
      </c>
      <c r="C16233">
        <v>65791</v>
      </c>
      <c r="D16233" t="str">
        <f>"65791"</f>
        <v>65791</v>
      </c>
      <c r="E16233">
        <v>57.14</v>
      </c>
    </row>
    <row r="16234" spans="1:5" x14ac:dyDescent="0.2">
      <c r="A16234">
        <v>65793</v>
      </c>
      <c r="B16234" t="s">
        <v>30</v>
      </c>
      <c r="C16234">
        <v>65793</v>
      </c>
      <c r="D16234" t="str">
        <f>"65793"</f>
        <v>65793</v>
      </c>
      <c r="E16234">
        <v>56.77</v>
      </c>
    </row>
    <row r="16235" spans="1:5" x14ac:dyDescent="0.2">
      <c r="A16235">
        <v>65801</v>
      </c>
      <c r="B16235" t="s">
        <v>30</v>
      </c>
      <c r="C16235">
        <v>65801</v>
      </c>
      <c r="D16235" t="str">
        <f>"65801"</f>
        <v>65801</v>
      </c>
      <c r="E16235" t="s">
        <v>6</v>
      </c>
    </row>
    <row r="16236" spans="1:5" x14ac:dyDescent="0.2">
      <c r="A16236">
        <v>65802</v>
      </c>
      <c r="B16236" t="s">
        <v>30</v>
      </c>
      <c r="C16236">
        <v>65802</v>
      </c>
      <c r="D16236" t="str">
        <f>"65802"</f>
        <v>65802</v>
      </c>
      <c r="E16236">
        <v>64.53</v>
      </c>
    </row>
    <row r="16237" spans="1:5" x14ac:dyDescent="0.2">
      <c r="A16237">
        <v>65803</v>
      </c>
      <c r="B16237" t="s">
        <v>30</v>
      </c>
      <c r="C16237">
        <v>65803</v>
      </c>
      <c r="D16237" t="str">
        <f>"65803"</f>
        <v>65803</v>
      </c>
      <c r="E16237">
        <v>63.91</v>
      </c>
    </row>
    <row r="16238" spans="1:5" x14ac:dyDescent="0.2">
      <c r="A16238">
        <v>65804</v>
      </c>
      <c r="B16238" t="s">
        <v>30</v>
      </c>
      <c r="C16238">
        <v>65804</v>
      </c>
      <c r="D16238" t="str">
        <f>"65804"</f>
        <v>65804</v>
      </c>
      <c r="E16238">
        <v>73.14</v>
      </c>
    </row>
    <row r="16239" spans="1:5" x14ac:dyDescent="0.2">
      <c r="A16239">
        <v>65806</v>
      </c>
      <c r="B16239" t="s">
        <v>30</v>
      </c>
      <c r="C16239">
        <v>65806</v>
      </c>
      <c r="D16239" t="str">
        <f>"65806"</f>
        <v>65806</v>
      </c>
      <c r="E16239">
        <v>57.75</v>
      </c>
    </row>
    <row r="16240" spans="1:5" x14ac:dyDescent="0.2">
      <c r="A16240">
        <v>65807</v>
      </c>
      <c r="B16240" t="s">
        <v>30</v>
      </c>
      <c r="C16240">
        <v>65807</v>
      </c>
      <c r="D16240" t="str">
        <f>"65807"</f>
        <v>65807</v>
      </c>
      <c r="E16240">
        <v>69.44</v>
      </c>
    </row>
    <row r="16241" spans="1:5" x14ac:dyDescent="0.2">
      <c r="A16241">
        <v>65809</v>
      </c>
      <c r="B16241" t="s">
        <v>30</v>
      </c>
      <c r="C16241">
        <v>65809</v>
      </c>
      <c r="D16241" t="str">
        <f>"65809"</f>
        <v>65809</v>
      </c>
      <c r="E16241">
        <v>80.36</v>
      </c>
    </row>
    <row r="16242" spans="1:5" x14ac:dyDescent="0.2">
      <c r="A16242">
        <v>65810</v>
      </c>
      <c r="B16242" t="s">
        <v>30</v>
      </c>
      <c r="C16242">
        <v>65810</v>
      </c>
      <c r="D16242" t="str">
        <f>"65810"</f>
        <v>65810</v>
      </c>
      <c r="E16242">
        <v>77.47</v>
      </c>
    </row>
    <row r="16243" spans="1:5" x14ac:dyDescent="0.2">
      <c r="A16243">
        <v>38601</v>
      </c>
      <c r="B16243" t="s">
        <v>31</v>
      </c>
      <c r="C16243">
        <v>38601</v>
      </c>
      <c r="D16243" t="str">
        <f>"38601"</f>
        <v>38601</v>
      </c>
      <c r="E16243">
        <v>63.11</v>
      </c>
    </row>
    <row r="16244" spans="1:5" x14ac:dyDescent="0.2">
      <c r="A16244">
        <v>38603</v>
      </c>
      <c r="B16244" t="s">
        <v>31</v>
      </c>
      <c r="C16244">
        <v>38603</v>
      </c>
      <c r="D16244" t="str">
        <f>"38603"</f>
        <v>38603</v>
      </c>
      <c r="E16244">
        <v>60.55</v>
      </c>
    </row>
    <row r="16245" spans="1:5" x14ac:dyDescent="0.2">
      <c r="A16245">
        <v>38606</v>
      </c>
      <c r="B16245" t="s">
        <v>31</v>
      </c>
      <c r="C16245">
        <v>38606</v>
      </c>
      <c r="D16245" t="str">
        <f>"38606"</f>
        <v>38606</v>
      </c>
      <c r="E16245">
        <v>56.34</v>
      </c>
    </row>
    <row r="16246" spans="1:5" x14ac:dyDescent="0.2">
      <c r="A16246">
        <v>38610</v>
      </c>
      <c r="B16246" t="s">
        <v>31</v>
      </c>
      <c r="C16246">
        <v>38610</v>
      </c>
      <c r="D16246" t="str">
        <f>"38610"</f>
        <v>38610</v>
      </c>
      <c r="E16246">
        <v>60.61</v>
      </c>
    </row>
    <row r="16247" spans="1:5" x14ac:dyDescent="0.2">
      <c r="A16247">
        <v>38611</v>
      </c>
      <c r="B16247" t="s">
        <v>31</v>
      </c>
      <c r="C16247">
        <v>38611</v>
      </c>
      <c r="D16247" t="str">
        <f>"38611"</f>
        <v>38611</v>
      </c>
      <c r="E16247">
        <v>62.02</v>
      </c>
    </row>
    <row r="16248" spans="1:5" x14ac:dyDescent="0.2">
      <c r="A16248">
        <v>38614</v>
      </c>
      <c r="B16248" t="s">
        <v>31</v>
      </c>
      <c r="C16248">
        <v>38614</v>
      </c>
      <c r="D16248" t="str">
        <f>"38614"</f>
        <v>38614</v>
      </c>
      <c r="E16248">
        <v>46.17</v>
      </c>
    </row>
    <row r="16249" spans="1:5" x14ac:dyDescent="0.2">
      <c r="A16249">
        <v>38617</v>
      </c>
      <c r="B16249" t="s">
        <v>31</v>
      </c>
      <c r="C16249">
        <v>38617</v>
      </c>
      <c r="D16249" t="str">
        <f>"38617"</f>
        <v>38617</v>
      </c>
      <c r="E16249">
        <v>42.31</v>
      </c>
    </row>
    <row r="16250" spans="1:5" x14ac:dyDescent="0.2">
      <c r="A16250">
        <v>38618</v>
      </c>
      <c r="B16250" t="s">
        <v>31</v>
      </c>
      <c r="C16250">
        <v>38618</v>
      </c>
      <c r="D16250" t="str">
        <f>"38618"</f>
        <v>38618</v>
      </c>
      <c r="E16250">
        <v>63.1</v>
      </c>
    </row>
    <row r="16251" spans="1:5" x14ac:dyDescent="0.2">
      <c r="A16251">
        <v>38619</v>
      </c>
      <c r="B16251" t="s">
        <v>31</v>
      </c>
      <c r="C16251">
        <v>38619</v>
      </c>
      <c r="D16251" t="str">
        <f>"38619"</f>
        <v>38619</v>
      </c>
      <c r="E16251">
        <v>50.5</v>
      </c>
    </row>
    <row r="16252" spans="1:5" x14ac:dyDescent="0.2">
      <c r="A16252">
        <v>38620</v>
      </c>
      <c r="B16252" t="s">
        <v>31</v>
      </c>
      <c r="C16252">
        <v>38620</v>
      </c>
      <c r="D16252" t="str">
        <f>"38620"</f>
        <v>38620</v>
      </c>
      <c r="E16252">
        <v>53.42</v>
      </c>
    </row>
    <row r="16253" spans="1:5" x14ac:dyDescent="0.2">
      <c r="A16253">
        <v>38621</v>
      </c>
      <c r="B16253" t="s">
        <v>31</v>
      </c>
      <c r="C16253">
        <v>38621</v>
      </c>
      <c r="D16253" t="str">
        <f>"38621"</f>
        <v>38621</v>
      </c>
      <c r="E16253">
        <v>42.59</v>
      </c>
    </row>
    <row r="16254" spans="1:5" x14ac:dyDescent="0.2">
      <c r="A16254">
        <v>38622</v>
      </c>
      <c r="B16254" t="s">
        <v>31</v>
      </c>
      <c r="C16254">
        <v>38622</v>
      </c>
      <c r="D16254" t="str">
        <f>"38622"</f>
        <v>38622</v>
      </c>
      <c r="E16254" t="s">
        <v>6</v>
      </c>
    </row>
    <row r="16255" spans="1:5" x14ac:dyDescent="0.2">
      <c r="A16255">
        <v>38623</v>
      </c>
      <c r="B16255" t="s">
        <v>31</v>
      </c>
      <c r="C16255">
        <v>38623</v>
      </c>
      <c r="D16255" t="str">
        <f>"38623"</f>
        <v>38623</v>
      </c>
      <c r="E16255" t="s">
        <v>6</v>
      </c>
    </row>
    <row r="16256" spans="1:5" x14ac:dyDescent="0.2">
      <c r="A16256">
        <v>38625</v>
      </c>
      <c r="B16256" t="s">
        <v>31</v>
      </c>
      <c r="C16256">
        <v>38625</v>
      </c>
      <c r="D16256" t="str">
        <f>"38625"</f>
        <v>38625</v>
      </c>
      <c r="E16256">
        <v>59.52</v>
      </c>
    </row>
    <row r="16257" spans="1:5" x14ac:dyDescent="0.2">
      <c r="A16257">
        <v>38626</v>
      </c>
      <c r="B16257" t="s">
        <v>31</v>
      </c>
      <c r="C16257">
        <v>38626</v>
      </c>
      <c r="D16257" t="str">
        <f>"38626"</f>
        <v>38626</v>
      </c>
      <c r="E16257">
        <v>57.14</v>
      </c>
    </row>
    <row r="16258" spans="1:5" x14ac:dyDescent="0.2">
      <c r="A16258">
        <v>38627</v>
      </c>
      <c r="B16258" t="s">
        <v>31</v>
      </c>
      <c r="C16258">
        <v>38627</v>
      </c>
      <c r="D16258" t="str">
        <f>"38627"</f>
        <v>38627</v>
      </c>
      <c r="E16258">
        <v>68.75</v>
      </c>
    </row>
    <row r="16259" spans="1:5" x14ac:dyDescent="0.2">
      <c r="A16259">
        <v>38629</v>
      </c>
      <c r="B16259" t="s">
        <v>31</v>
      </c>
      <c r="C16259">
        <v>38629</v>
      </c>
      <c r="D16259" t="str">
        <f>"38629"</f>
        <v>38629</v>
      </c>
      <c r="E16259">
        <v>59.42</v>
      </c>
    </row>
    <row r="16260" spans="1:5" x14ac:dyDescent="0.2">
      <c r="A16260">
        <v>38631</v>
      </c>
      <c r="B16260" t="s">
        <v>31</v>
      </c>
      <c r="C16260">
        <v>38631</v>
      </c>
      <c r="D16260" t="str">
        <f>"38631"</f>
        <v>38631</v>
      </c>
      <c r="E16260" t="s">
        <v>6</v>
      </c>
    </row>
    <row r="16261" spans="1:5" x14ac:dyDescent="0.2">
      <c r="A16261">
        <v>38632</v>
      </c>
      <c r="B16261" t="s">
        <v>31</v>
      </c>
      <c r="C16261">
        <v>38632</v>
      </c>
      <c r="D16261" t="str">
        <f>"38632"</f>
        <v>38632</v>
      </c>
      <c r="E16261">
        <v>74.510000000000005</v>
      </c>
    </row>
    <row r="16262" spans="1:5" x14ac:dyDescent="0.2">
      <c r="A16262">
        <v>38633</v>
      </c>
      <c r="B16262" t="s">
        <v>31</v>
      </c>
      <c r="C16262">
        <v>38633</v>
      </c>
      <c r="D16262" t="str">
        <f>"38633"</f>
        <v>38633</v>
      </c>
      <c r="E16262">
        <v>62.77</v>
      </c>
    </row>
    <row r="16263" spans="1:5" x14ac:dyDescent="0.2">
      <c r="A16263">
        <v>38635</v>
      </c>
      <c r="B16263" t="s">
        <v>31</v>
      </c>
      <c r="C16263">
        <v>38635</v>
      </c>
      <c r="D16263" t="str">
        <f>"38635"</f>
        <v>38635</v>
      </c>
      <c r="E16263">
        <v>53.64</v>
      </c>
    </row>
    <row r="16264" spans="1:5" x14ac:dyDescent="0.2">
      <c r="A16264">
        <v>38637</v>
      </c>
      <c r="B16264" t="s">
        <v>31</v>
      </c>
      <c r="C16264">
        <v>38637</v>
      </c>
      <c r="D16264" t="str">
        <f>"38637"</f>
        <v>38637</v>
      </c>
      <c r="E16264">
        <v>55.79</v>
      </c>
    </row>
    <row r="16265" spans="1:5" x14ac:dyDescent="0.2">
      <c r="A16265">
        <v>38639</v>
      </c>
      <c r="B16265" t="s">
        <v>31</v>
      </c>
      <c r="C16265">
        <v>38639</v>
      </c>
      <c r="D16265" t="str">
        <f>"38639"</f>
        <v>38639</v>
      </c>
      <c r="E16265" t="s">
        <v>6</v>
      </c>
    </row>
    <row r="16266" spans="1:5" x14ac:dyDescent="0.2">
      <c r="A16266">
        <v>38641</v>
      </c>
      <c r="B16266" t="s">
        <v>31</v>
      </c>
      <c r="C16266">
        <v>38641</v>
      </c>
      <c r="D16266" t="str">
        <f>"38641"</f>
        <v>38641</v>
      </c>
      <c r="E16266">
        <v>69.61</v>
      </c>
    </row>
    <row r="16267" spans="1:5" x14ac:dyDescent="0.2">
      <c r="A16267">
        <v>38642</v>
      </c>
      <c r="B16267" t="s">
        <v>31</v>
      </c>
      <c r="C16267">
        <v>38642</v>
      </c>
      <c r="D16267" t="str">
        <f>"38642"</f>
        <v>38642</v>
      </c>
      <c r="E16267">
        <v>51.89</v>
      </c>
    </row>
    <row r="16268" spans="1:5" x14ac:dyDescent="0.2">
      <c r="A16268">
        <v>38643</v>
      </c>
      <c r="B16268" t="s">
        <v>31</v>
      </c>
      <c r="C16268">
        <v>38643</v>
      </c>
      <c r="D16268" t="str">
        <f>"38643"</f>
        <v>38643</v>
      </c>
      <c r="E16268">
        <v>38.159999999999997</v>
      </c>
    </row>
    <row r="16269" spans="1:5" x14ac:dyDescent="0.2">
      <c r="A16269">
        <v>38644</v>
      </c>
      <c r="B16269" t="s">
        <v>31</v>
      </c>
      <c r="C16269">
        <v>38644</v>
      </c>
      <c r="D16269" t="str">
        <f>"38644"</f>
        <v>38644</v>
      </c>
      <c r="E16269" t="s">
        <v>6</v>
      </c>
    </row>
    <row r="16270" spans="1:5" x14ac:dyDescent="0.2">
      <c r="A16270">
        <v>38645</v>
      </c>
      <c r="B16270" t="s">
        <v>31</v>
      </c>
      <c r="C16270">
        <v>38645</v>
      </c>
      <c r="D16270" t="str">
        <f>"38645"</f>
        <v>38645</v>
      </c>
      <c r="E16270">
        <v>56.67</v>
      </c>
    </row>
    <row r="16271" spans="1:5" x14ac:dyDescent="0.2">
      <c r="A16271">
        <v>38646</v>
      </c>
      <c r="B16271" t="s">
        <v>31</v>
      </c>
      <c r="C16271">
        <v>38646</v>
      </c>
      <c r="D16271" t="str">
        <f>"38646"</f>
        <v>38646</v>
      </c>
      <c r="E16271">
        <v>50.43</v>
      </c>
    </row>
    <row r="16272" spans="1:5" x14ac:dyDescent="0.2">
      <c r="A16272">
        <v>38647</v>
      </c>
      <c r="B16272" t="s">
        <v>31</v>
      </c>
      <c r="C16272">
        <v>38647</v>
      </c>
      <c r="D16272" t="str">
        <f>"38647"</f>
        <v>38647</v>
      </c>
      <c r="E16272">
        <v>51.11</v>
      </c>
    </row>
    <row r="16273" spans="1:5" x14ac:dyDescent="0.2">
      <c r="A16273">
        <v>38650</v>
      </c>
      <c r="B16273" t="s">
        <v>31</v>
      </c>
      <c r="C16273">
        <v>38650</v>
      </c>
      <c r="D16273" t="str">
        <f>"38650"</f>
        <v>38650</v>
      </c>
      <c r="E16273">
        <v>62.03</v>
      </c>
    </row>
    <row r="16274" spans="1:5" x14ac:dyDescent="0.2">
      <c r="A16274">
        <v>38651</v>
      </c>
      <c r="B16274" t="s">
        <v>31</v>
      </c>
      <c r="C16274">
        <v>38651</v>
      </c>
      <c r="D16274" t="str">
        <f>"38651"</f>
        <v>38651</v>
      </c>
      <c r="E16274">
        <v>74.459999999999994</v>
      </c>
    </row>
    <row r="16275" spans="1:5" x14ac:dyDescent="0.2">
      <c r="A16275">
        <v>38652</v>
      </c>
      <c r="B16275" t="s">
        <v>31</v>
      </c>
      <c r="C16275">
        <v>38652</v>
      </c>
      <c r="D16275" t="str">
        <f>"38652"</f>
        <v>38652</v>
      </c>
      <c r="E16275">
        <v>64.55</v>
      </c>
    </row>
    <row r="16276" spans="1:5" x14ac:dyDescent="0.2">
      <c r="A16276">
        <v>38654</v>
      </c>
      <c r="B16276" t="s">
        <v>31</v>
      </c>
      <c r="C16276">
        <v>38654</v>
      </c>
      <c r="D16276" t="str">
        <f>"38654"</f>
        <v>38654</v>
      </c>
      <c r="E16276">
        <v>72.959999999999994</v>
      </c>
    </row>
    <row r="16277" spans="1:5" x14ac:dyDescent="0.2">
      <c r="A16277">
        <v>38655</v>
      </c>
      <c r="B16277" t="s">
        <v>31</v>
      </c>
      <c r="C16277">
        <v>38655</v>
      </c>
      <c r="D16277" t="str">
        <f>"38655"</f>
        <v>38655</v>
      </c>
      <c r="E16277">
        <v>69.98</v>
      </c>
    </row>
    <row r="16278" spans="1:5" x14ac:dyDescent="0.2">
      <c r="A16278">
        <v>38658</v>
      </c>
      <c r="B16278" t="s">
        <v>31</v>
      </c>
      <c r="C16278">
        <v>38658</v>
      </c>
      <c r="D16278" t="str">
        <f>"38658"</f>
        <v>38658</v>
      </c>
      <c r="E16278">
        <v>62.5</v>
      </c>
    </row>
    <row r="16279" spans="1:5" x14ac:dyDescent="0.2">
      <c r="A16279">
        <v>38659</v>
      </c>
      <c r="B16279" t="s">
        <v>31</v>
      </c>
      <c r="C16279">
        <v>38659</v>
      </c>
      <c r="D16279" t="str">
        <f>"38659"</f>
        <v>38659</v>
      </c>
      <c r="E16279">
        <v>62.14</v>
      </c>
    </row>
    <row r="16280" spans="1:5" x14ac:dyDescent="0.2">
      <c r="A16280">
        <v>38661</v>
      </c>
      <c r="B16280" t="s">
        <v>31</v>
      </c>
      <c r="C16280">
        <v>38661</v>
      </c>
      <c r="D16280" t="str">
        <f>"38661"</f>
        <v>38661</v>
      </c>
      <c r="E16280">
        <v>61.73</v>
      </c>
    </row>
    <row r="16281" spans="1:5" x14ac:dyDescent="0.2">
      <c r="A16281">
        <v>38663</v>
      </c>
      <c r="B16281" t="s">
        <v>31</v>
      </c>
      <c r="C16281">
        <v>38663</v>
      </c>
      <c r="D16281" t="str">
        <f>"38663"</f>
        <v>38663</v>
      </c>
      <c r="E16281">
        <v>62.15</v>
      </c>
    </row>
    <row r="16282" spans="1:5" x14ac:dyDescent="0.2">
      <c r="A16282">
        <v>38664</v>
      </c>
      <c r="B16282" t="s">
        <v>31</v>
      </c>
      <c r="C16282">
        <v>38664</v>
      </c>
      <c r="D16282" t="str">
        <f>"38664"</f>
        <v>38664</v>
      </c>
      <c r="E16282">
        <v>40.32</v>
      </c>
    </row>
    <row r="16283" spans="1:5" x14ac:dyDescent="0.2">
      <c r="A16283">
        <v>38665</v>
      </c>
      <c r="B16283" t="s">
        <v>31</v>
      </c>
      <c r="C16283">
        <v>38665</v>
      </c>
      <c r="D16283" t="str">
        <f>"38665"</f>
        <v>38665</v>
      </c>
      <c r="E16283">
        <v>57.89</v>
      </c>
    </row>
    <row r="16284" spans="1:5" x14ac:dyDescent="0.2">
      <c r="A16284">
        <v>38666</v>
      </c>
      <c r="B16284" t="s">
        <v>31</v>
      </c>
      <c r="C16284">
        <v>38666</v>
      </c>
      <c r="D16284" t="str">
        <f>"38666"</f>
        <v>38666</v>
      </c>
      <c r="E16284">
        <v>49.09</v>
      </c>
    </row>
    <row r="16285" spans="1:5" x14ac:dyDescent="0.2">
      <c r="A16285">
        <v>38668</v>
      </c>
      <c r="B16285" t="s">
        <v>31</v>
      </c>
      <c r="C16285">
        <v>38668</v>
      </c>
      <c r="D16285" t="str">
        <f>"38668"</f>
        <v>38668</v>
      </c>
      <c r="E16285">
        <v>61.95</v>
      </c>
    </row>
    <row r="16286" spans="1:5" x14ac:dyDescent="0.2">
      <c r="A16286">
        <v>38670</v>
      </c>
      <c r="B16286" t="s">
        <v>31</v>
      </c>
      <c r="C16286">
        <v>38670</v>
      </c>
      <c r="D16286" t="str">
        <f>"38670"</f>
        <v>38670</v>
      </c>
      <c r="E16286">
        <v>42.86</v>
      </c>
    </row>
    <row r="16287" spans="1:5" x14ac:dyDescent="0.2">
      <c r="A16287">
        <v>38671</v>
      </c>
      <c r="B16287" t="s">
        <v>31</v>
      </c>
      <c r="C16287">
        <v>38671</v>
      </c>
      <c r="D16287" t="str">
        <f>"38671"</f>
        <v>38671</v>
      </c>
      <c r="E16287">
        <v>62.53</v>
      </c>
    </row>
    <row r="16288" spans="1:5" x14ac:dyDescent="0.2">
      <c r="A16288">
        <v>38672</v>
      </c>
      <c r="B16288" t="s">
        <v>31</v>
      </c>
      <c r="C16288">
        <v>38672</v>
      </c>
      <c r="D16288" t="str">
        <f>"38672"</f>
        <v>38672</v>
      </c>
      <c r="E16288">
        <v>75.040000000000006</v>
      </c>
    </row>
    <row r="16289" spans="1:5" x14ac:dyDescent="0.2">
      <c r="A16289">
        <v>38673</v>
      </c>
      <c r="B16289" t="s">
        <v>31</v>
      </c>
      <c r="C16289">
        <v>38673</v>
      </c>
      <c r="D16289" t="str">
        <f>"38673"</f>
        <v>38673</v>
      </c>
      <c r="E16289">
        <v>69.23</v>
      </c>
    </row>
    <row r="16290" spans="1:5" x14ac:dyDescent="0.2">
      <c r="A16290">
        <v>38674</v>
      </c>
      <c r="B16290" t="s">
        <v>31</v>
      </c>
      <c r="C16290">
        <v>38674</v>
      </c>
      <c r="D16290" t="str">
        <f>"38674"</f>
        <v>38674</v>
      </c>
      <c r="E16290">
        <v>62.5</v>
      </c>
    </row>
    <row r="16291" spans="1:5" x14ac:dyDescent="0.2">
      <c r="A16291">
        <v>38676</v>
      </c>
      <c r="B16291" t="s">
        <v>31</v>
      </c>
      <c r="C16291">
        <v>38676</v>
      </c>
      <c r="D16291" t="str">
        <f>"38676"</f>
        <v>38676</v>
      </c>
      <c r="E16291">
        <v>43.18</v>
      </c>
    </row>
    <row r="16292" spans="1:5" x14ac:dyDescent="0.2">
      <c r="A16292">
        <v>38677</v>
      </c>
      <c r="B16292" t="s">
        <v>31</v>
      </c>
      <c r="C16292">
        <v>38677</v>
      </c>
      <c r="D16292" t="str">
        <f>"38677"</f>
        <v>38677</v>
      </c>
      <c r="E16292" t="s">
        <v>6</v>
      </c>
    </row>
    <row r="16293" spans="1:5" x14ac:dyDescent="0.2">
      <c r="A16293">
        <v>38679</v>
      </c>
      <c r="B16293" t="s">
        <v>31</v>
      </c>
      <c r="C16293">
        <v>38679</v>
      </c>
      <c r="D16293" t="str">
        <f>"38679"</f>
        <v>38679</v>
      </c>
      <c r="E16293" t="s">
        <v>6</v>
      </c>
    </row>
    <row r="16294" spans="1:5" x14ac:dyDescent="0.2">
      <c r="A16294">
        <v>38680</v>
      </c>
      <c r="B16294" t="s">
        <v>31</v>
      </c>
      <c r="C16294">
        <v>38680</v>
      </c>
      <c r="D16294" t="str">
        <f>"38680"</f>
        <v>38680</v>
      </c>
      <c r="E16294">
        <v>60.47</v>
      </c>
    </row>
    <row r="16295" spans="1:5" x14ac:dyDescent="0.2">
      <c r="A16295">
        <v>38683</v>
      </c>
      <c r="B16295" t="s">
        <v>31</v>
      </c>
      <c r="C16295">
        <v>38683</v>
      </c>
      <c r="D16295" t="str">
        <f>"38683"</f>
        <v>38683</v>
      </c>
      <c r="E16295">
        <v>61.41</v>
      </c>
    </row>
    <row r="16296" spans="1:5" x14ac:dyDescent="0.2">
      <c r="A16296">
        <v>38685</v>
      </c>
      <c r="B16296" t="s">
        <v>31</v>
      </c>
      <c r="C16296">
        <v>38685</v>
      </c>
      <c r="D16296" t="str">
        <f>"38685"</f>
        <v>38685</v>
      </c>
      <c r="E16296">
        <v>57.41</v>
      </c>
    </row>
    <row r="16297" spans="1:5" x14ac:dyDescent="0.2">
      <c r="A16297">
        <v>38701</v>
      </c>
      <c r="B16297" t="s">
        <v>31</v>
      </c>
      <c r="C16297">
        <v>38701</v>
      </c>
      <c r="D16297" t="str">
        <f>"38701"</f>
        <v>38701</v>
      </c>
      <c r="E16297">
        <v>50.6</v>
      </c>
    </row>
    <row r="16298" spans="1:5" x14ac:dyDescent="0.2">
      <c r="A16298">
        <v>38703</v>
      </c>
      <c r="B16298" t="s">
        <v>31</v>
      </c>
      <c r="C16298">
        <v>38703</v>
      </c>
      <c r="D16298" t="str">
        <f>"38703"</f>
        <v>38703</v>
      </c>
      <c r="E16298">
        <v>44.15</v>
      </c>
    </row>
    <row r="16299" spans="1:5" x14ac:dyDescent="0.2">
      <c r="A16299">
        <v>38720</v>
      </c>
      <c r="B16299" t="s">
        <v>31</v>
      </c>
      <c r="C16299">
        <v>38720</v>
      </c>
      <c r="D16299" t="str">
        <f>"38720"</f>
        <v>38720</v>
      </c>
      <c r="E16299">
        <v>47.37</v>
      </c>
    </row>
    <row r="16300" spans="1:5" x14ac:dyDescent="0.2">
      <c r="A16300">
        <v>38721</v>
      </c>
      <c r="B16300" t="s">
        <v>31</v>
      </c>
      <c r="C16300">
        <v>38721</v>
      </c>
      <c r="D16300" t="str">
        <f>"38721"</f>
        <v>38721</v>
      </c>
      <c r="E16300">
        <v>51.16</v>
      </c>
    </row>
    <row r="16301" spans="1:5" x14ac:dyDescent="0.2">
      <c r="A16301">
        <v>38722</v>
      </c>
      <c r="B16301" t="s">
        <v>31</v>
      </c>
      <c r="C16301">
        <v>38722</v>
      </c>
      <c r="D16301" t="str">
        <f>"38722"</f>
        <v>38722</v>
      </c>
      <c r="E16301" t="s">
        <v>6</v>
      </c>
    </row>
    <row r="16302" spans="1:5" x14ac:dyDescent="0.2">
      <c r="A16302">
        <v>38723</v>
      </c>
      <c r="B16302" t="s">
        <v>31</v>
      </c>
      <c r="C16302">
        <v>38723</v>
      </c>
      <c r="D16302" t="str">
        <f>"38723"</f>
        <v>38723</v>
      </c>
      <c r="E16302" t="s">
        <v>6</v>
      </c>
    </row>
    <row r="16303" spans="1:5" x14ac:dyDescent="0.2">
      <c r="A16303">
        <v>38725</v>
      </c>
      <c r="B16303" t="s">
        <v>31</v>
      </c>
      <c r="C16303">
        <v>38725</v>
      </c>
      <c r="D16303" t="str">
        <f>"38725"</f>
        <v>38725</v>
      </c>
      <c r="E16303">
        <v>48.48</v>
      </c>
    </row>
    <row r="16304" spans="1:5" x14ac:dyDescent="0.2">
      <c r="A16304">
        <v>38726</v>
      </c>
      <c r="B16304" t="s">
        <v>31</v>
      </c>
      <c r="C16304">
        <v>38726</v>
      </c>
      <c r="D16304" t="str">
        <f>"38726"</f>
        <v>38726</v>
      </c>
      <c r="E16304">
        <v>50</v>
      </c>
    </row>
    <row r="16305" spans="1:5" x14ac:dyDescent="0.2">
      <c r="A16305">
        <v>38730</v>
      </c>
      <c r="B16305" t="s">
        <v>31</v>
      </c>
      <c r="C16305">
        <v>38730</v>
      </c>
      <c r="D16305" t="str">
        <f>"38730"</f>
        <v>38730</v>
      </c>
      <c r="E16305">
        <v>66.67</v>
      </c>
    </row>
    <row r="16306" spans="1:5" x14ac:dyDescent="0.2">
      <c r="A16306">
        <v>38731</v>
      </c>
      <c r="B16306" t="s">
        <v>31</v>
      </c>
      <c r="C16306">
        <v>38731</v>
      </c>
      <c r="D16306" t="str">
        <f>"38731"</f>
        <v>38731</v>
      </c>
      <c r="E16306" t="s">
        <v>6</v>
      </c>
    </row>
    <row r="16307" spans="1:5" x14ac:dyDescent="0.2">
      <c r="A16307">
        <v>38732</v>
      </c>
      <c r="B16307" t="s">
        <v>31</v>
      </c>
      <c r="C16307">
        <v>38732</v>
      </c>
      <c r="D16307" t="str">
        <f>"38732"</f>
        <v>38732</v>
      </c>
      <c r="E16307">
        <v>59.06</v>
      </c>
    </row>
    <row r="16308" spans="1:5" x14ac:dyDescent="0.2">
      <c r="A16308">
        <v>38736</v>
      </c>
      <c r="B16308" t="s">
        <v>31</v>
      </c>
      <c r="C16308">
        <v>38736</v>
      </c>
      <c r="D16308" t="str">
        <f>"38736"</f>
        <v>38736</v>
      </c>
      <c r="E16308">
        <v>60</v>
      </c>
    </row>
    <row r="16309" spans="1:5" x14ac:dyDescent="0.2">
      <c r="A16309">
        <v>38737</v>
      </c>
      <c r="B16309" t="s">
        <v>31</v>
      </c>
      <c r="C16309">
        <v>38737</v>
      </c>
      <c r="D16309" t="str">
        <f>"38737"</f>
        <v>38737</v>
      </c>
      <c r="E16309">
        <v>46.15</v>
      </c>
    </row>
    <row r="16310" spans="1:5" x14ac:dyDescent="0.2">
      <c r="A16310">
        <v>38738</v>
      </c>
      <c r="B16310" t="s">
        <v>31</v>
      </c>
      <c r="C16310">
        <v>38738</v>
      </c>
      <c r="D16310" t="str">
        <f>"38738"</f>
        <v>38738</v>
      </c>
      <c r="E16310" t="s">
        <v>6</v>
      </c>
    </row>
    <row r="16311" spans="1:5" x14ac:dyDescent="0.2">
      <c r="A16311">
        <v>38739</v>
      </c>
      <c r="B16311" t="s">
        <v>31</v>
      </c>
      <c r="C16311">
        <v>38739</v>
      </c>
      <c r="D16311" t="str">
        <f>"38739"</f>
        <v>38739</v>
      </c>
      <c r="E16311" t="s">
        <v>6</v>
      </c>
    </row>
    <row r="16312" spans="1:5" x14ac:dyDescent="0.2">
      <c r="A16312">
        <v>38740</v>
      </c>
      <c r="B16312" t="s">
        <v>31</v>
      </c>
      <c r="C16312">
        <v>38740</v>
      </c>
      <c r="D16312" t="str">
        <f>"38740"</f>
        <v>38740</v>
      </c>
      <c r="E16312">
        <v>50</v>
      </c>
    </row>
    <row r="16313" spans="1:5" x14ac:dyDescent="0.2">
      <c r="A16313">
        <v>38744</v>
      </c>
      <c r="B16313" t="s">
        <v>31</v>
      </c>
      <c r="C16313">
        <v>38744</v>
      </c>
      <c r="D16313" t="str">
        <f>"38744"</f>
        <v>38744</v>
      </c>
      <c r="E16313">
        <v>58.06</v>
      </c>
    </row>
    <row r="16314" spans="1:5" x14ac:dyDescent="0.2">
      <c r="A16314">
        <v>38746</v>
      </c>
      <c r="B16314" t="s">
        <v>31</v>
      </c>
      <c r="C16314">
        <v>38746</v>
      </c>
      <c r="D16314" t="str">
        <f>"38746"</f>
        <v>38746</v>
      </c>
      <c r="E16314">
        <v>42.86</v>
      </c>
    </row>
    <row r="16315" spans="1:5" x14ac:dyDescent="0.2">
      <c r="A16315">
        <v>38748</v>
      </c>
      <c r="B16315" t="s">
        <v>31</v>
      </c>
      <c r="C16315">
        <v>38748</v>
      </c>
      <c r="D16315" t="str">
        <f>"38748"</f>
        <v>38748</v>
      </c>
      <c r="E16315">
        <v>51.11</v>
      </c>
    </row>
    <row r="16316" spans="1:5" x14ac:dyDescent="0.2">
      <c r="A16316">
        <v>38751</v>
      </c>
      <c r="B16316" t="s">
        <v>31</v>
      </c>
      <c r="C16316">
        <v>38751</v>
      </c>
      <c r="D16316" t="str">
        <f>"38751"</f>
        <v>38751</v>
      </c>
      <c r="E16316">
        <v>45.77</v>
      </c>
    </row>
    <row r="16317" spans="1:5" x14ac:dyDescent="0.2">
      <c r="A16317">
        <v>38753</v>
      </c>
      <c r="B16317" t="s">
        <v>31</v>
      </c>
      <c r="C16317">
        <v>38753</v>
      </c>
      <c r="D16317" t="str">
        <f>"38753"</f>
        <v>38753</v>
      </c>
      <c r="E16317">
        <v>61.4</v>
      </c>
    </row>
    <row r="16318" spans="1:5" x14ac:dyDescent="0.2">
      <c r="A16318">
        <v>38754</v>
      </c>
      <c r="B16318" t="s">
        <v>31</v>
      </c>
      <c r="C16318">
        <v>38754</v>
      </c>
      <c r="D16318" t="str">
        <f>"38754"</f>
        <v>38754</v>
      </c>
      <c r="E16318">
        <v>44.23</v>
      </c>
    </row>
    <row r="16319" spans="1:5" x14ac:dyDescent="0.2">
      <c r="A16319">
        <v>38756</v>
      </c>
      <c r="B16319" t="s">
        <v>31</v>
      </c>
      <c r="C16319">
        <v>38756</v>
      </c>
      <c r="D16319" t="str">
        <f>"38756"</f>
        <v>38756</v>
      </c>
      <c r="E16319">
        <v>55.43</v>
      </c>
    </row>
    <row r="16320" spans="1:5" x14ac:dyDescent="0.2">
      <c r="A16320">
        <v>38759</v>
      </c>
      <c r="B16320" t="s">
        <v>31</v>
      </c>
      <c r="C16320">
        <v>38759</v>
      </c>
      <c r="D16320" t="str">
        <f>"38759"</f>
        <v>38759</v>
      </c>
      <c r="E16320">
        <v>65.45</v>
      </c>
    </row>
    <row r="16321" spans="1:5" x14ac:dyDescent="0.2">
      <c r="A16321">
        <v>38760</v>
      </c>
      <c r="B16321" t="s">
        <v>31</v>
      </c>
      <c r="C16321">
        <v>38760</v>
      </c>
      <c r="D16321" t="str">
        <f>"38760"</f>
        <v>38760</v>
      </c>
      <c r="E16321" t="s">
        <v>6</v>
      </c>
    </row>
    <row r="16322" spans="1:5" x14ac:dyDescent="0.2">
      <c r="A16322">
        <v>38761</v>
      </c>
      <c r="B16322" t="s">
        <v>31</v>
      </c>
      <c r="C16322">
        <v>38761</v>
      </c>
      <c r="D16322" t="str">
        <f>"38761"</f>
        <v>38761</v>
      </c>
      <c r="E16322">
        <v>40.24</v>
      </c>
    </row>
    <row r="16323" spans="1:5" x14ac:dyDescent="0.2">
      <c r="A16323">
        <v>38762</v>
      </c>
      <c r="B16323" t="s">
        <v>31</v>
      </c>
      <c r="C16323">
        <v>38762</v>
      </c>
      <c r="D16323" t="str">
        <f>"38762"</f>
        <v>38762</v>
      </c>
      <c r="E16323">
        <v>42.17</v>
      </c>
    </row>
    <row r="16324" spans="1:5" x14ac:dyDescent="0.2">
      <c r="A16324">
        <v>38764</v>
      </c>
      <c r="B16324" t="s">
        <v>31</v>
      </c>
      <c r="C16324">
        <v>38764</v>
      </c>
      <c r="D16324" t="str">
        <f>"38764"</f>
        <v>38764</v>
      </c>
      <c r="E16324" t="s">
        <v>6</v>
      </c>
    </row>
    <row r="16325" spans="1:5" x14ac:dyDescent="0.2">
      <c r="A16325">
        <v>38765</v>
      </c>
      <c r="B16325" t="s">
        <v>31</v>
      </c>
      <c r="C16325">
        <v>38765</v>
      </c>
      <c r="D16325" t="str">
        <f>"38765"</f>
        <v>38765</v>
      </c>
      <c r="E16325" t="s">
        <v>6</v>
      </c>
    </row>
    <row r="16326" spans="1:5" x14ac:dyDescent="0.2">
      <c r="A16326">
        <v>38767</v>
      </c>
      <c r="B16326" t="s">
        <v>31</v>
      </c>
      <c r="C16326">
        <v>38767</v>
      </c>
      <c r="D16326" t="str">
        <f>"38767"</f>
        <v>38767</v>
      </c>
      <c r="E16326" t="s">
        <v>6</v>
      </c>
    </row>
    <row r="16327" spans="1:5" x14ac:dyDescent="0.2">
      <c r="A16327">
        <v>38768</v>
      </c>
      <c r="B16327" t="s">
        <v>31</v>
      </c>
      <c r="C16327">
        <v>38768</v>
      </c>
      <c r="D16327" t="str">
        <f>"38768"</f>
        <v>38768</v>
      </c>
      <c r="E16327" t="s">
        <v>6</v>
      </c>
    </row>
    <row r="16328" spans="1:5" x14ac:dyDescent="0.2">
      <c r="A16328">
        <v>38769</v>
      </c>
      <c r="B16328" t="s">
        <v>31</v>
      </c>
      <c r="C16328">
        <v>38769</v>
      </c>
      <c r="D16328" t="str">
        <f>"38769"</f>
        <v>38769</v>
      </c>
      <c r="E16328">
        <v>43.21</v>
      </c>
    </row>
    <row r="16329" spans="1:5" x14ac:dyDescent="0.2">
      <c r="A16329">
        <v>38771</v>
      </c>
      <c r="B16329" t="s">
        <v>31</v>
      </c>
      <c r="C16329">
        <v>38771</v>
      </c>
      <c r="D16329" t="str">
        <f>"38771"</f>
        <v>38771</v>
      </c>
      <c r="E16329">
        <v>44.17</v>
      </c>
    </row>
    <row r="16330" spans="1:5" x14ac:dyDescent="0.2">
      <c r="A16330">
        <v>38772</v>
      </c>
      <c r="B16330" t="s">
        <v>31</v>
      </c>
      <c r="C16330">
        <v>38772</v>
      </c>
      <c r="D16330" t="str">
        <f>"38772"</f>
        <v>38772</v>
      </c>
      <c r="E16330" t="s">
        <v>6</v>
      </c>
    </row>
    <row r="16331" spans="1:5" x14ac:dyDescent="0.2">
      <c r="A16331">
        <v>38773</v>
      </c>
      <c r="B16331" t="s">
        <v>31</v>
      </c>
      <c r="C16331">
        <v>38773</v>
      </c>
      <c r="D16331" t="str">
        <f>"38773"</f>
        <v>38773</v>
      </c>
      <c r="E16331">
        <v>49.57</v>
      </c>
    </row>
    <row r="16332" spans="1:5" x14ac:dyDescent="0.2">
      <c r="A16332">
        <v>38774</v>
      </c>
      <c r="B16332" t="s">
        <v>31</v>
      </c>
      <c r="C16332">
        <v>38774</v>
      </c>
      <c r="D16332" t="str">
        <f>"38774"</f>
        <v>38774</v>
      </c>
      <c r="E16332">
        <v>42.39</v>
      </c>
    </row>
    <row r="16333" spans="1:5" x14ac:dyDescent="0.2">
      <c r="A16333">
        <v>38776</v>
      </c>
      <c r="B16333" t="s">
        <v>31</v>
      </c>
      <c r="C16333">
        <v>38776</v>
      </c>
      <c r="D16333" t="str">
        <f>"38776"</f>
        <v>38776</v>
      </c>
      <c r="E16333" t="s">
        <v>6</v>
      </c>
    </row>
    <row r="16334" spans="1:5" x14ac:dyDescent="0.2">
      <c r="A16334">
        <v>38778</v>
      </c>
      <c r="B16334" t="s">
        <v>31</v>
      </c>
      <c r="C16334">
        <v>38778</v>
      </c>
      <c r="D16334" t="str">
        <f>"38778"</f>
        <v>38778</v>
      </c>
      <c r="E16334">
        <v>44.44</v>
      </c>
    </row>
    <row r="16335" spans="1:5" x14ac:dyDescent="0.2">
      <c r="A16335">
        <v>38781</v>
      </c>
      <c r="B16335" t="s">
        <v>31</v>
      </c>
      <c r="C16335">
        <v>38781</v>
      </c>
      <c r="D16335" t="str">
        <f>"38781"</f>
        <v>38781</v>
      </c>
      <c r="E16335" t="s">
        <v>6</v>
      </c>
    </row>
    <row r="16336" spans="1:5" x14ac:dyDescent="0.2">
      <c r="A16336">
        <v>38801</v>
      </c>
      <c r="B16336" t="s">
        <v>31</v>
      </c>
      <c r="C16336">
        <v>38801</v>
      </c>
      <c r="D16336" t="str">
        <f>"38801"</f>
        <v>38801</v>
      </c>
      <c r="E16336">
        <v>60.71</v>
      </c>
    </row>
    <row r="16337" spans="1:5" x14ac:dyDescent="0.2">
      <c r="A16337">
        <v>38804</v>
      </c>
      <c r="B16337" t="s">
        <v>31</v>
      </c>
      <c r="C16337">
        <v>38804</v>
      </c>
      <c r="D16337" t="str">
        <f>"38804"</f>
        <v>38804</v>
      </c>
      <c r="E16337">
        <v>65.98</v>
      </c>
    </row>
    <row r="16338" spans="1:5" x14ac:dyDescent="0.2">
      <c r="A16338">
        <v>38820</v>
      </c>
      <c r="B16338" t="s">
        <v>31</v>
      </c>
      <c r="C16338">
        <v>38820</v>
      </c>
      <c r="D16338" t="str">
        <f>"38820"</f>
        <v>38820</v>
      </c>
      <c r="E16338" t="s">
        <v>6</v>
      </c>
    </row>
    <row r="16339" spans="1:5" x14ac:dyDescent="0.2">
      <c r="A16339">
        <v>38821</v>
      </c>
      <c r="B16339" t="s">
        <v>31</v>
      </c>
      <c r="C16339">
        <v>38821</v>
      </c>
      <c r="D16339" t="str">
        <f>"38821"</f>
        <v>38821</v>
      </c>
      <c r="E16339">
        <v>65.180000000000007</v>
      </c>
    </row>
    <row r="16340" spans="1:5" x14ac:dyDescent="0.2">
      <c r="A16340">
        <v>38824</v>
      </c>
      <c r="B16340" t="s">
        <v>31</v>
      </c>
      <c r="C16340">
        <v>38824</v>
      </c>
      <c r="D16340" t="str">
        <f>"38824"</f>
        <v>38824</v>
      </c>
      <c r="E16340">
        <v>62.11</v>
      </c>
    </row>
    <row r="16341" spans="1:5" x14ac:dyDescent="0.2">
      <c r="A16341">
        <v>38826</v>
      </c>
      <c r="B16341" t="s">
        <v>31</v>
      </c>
      <c r="C16341">
        <v>38826</v>
      </c>
      <c r="D16341" t="str">
        <f>"38826"</f>
        <v>38826</v>
      </c>
      <c r="E16341">
        <v>69.58</v>
      </c>
    </row>
    <row r="16342" spans="1:5" x14ac:dyDescent="0.2">
      <c r="A16342">
        <v>38827</v>
      </c>
      <c r="B16342" t="s">
        <v>31</v>
      </c>
      <c r="C16342">
        <v>38827</v>
      </c>
      <c r="D16342" t="str">
        <f>"38827"</f>
        <v>38827</v>
      </c>
      <c r="E16342">
        <v>62.39</v>
      </c>
    </row>
    <row r="16343" spans="1:5" x14ac:dyDescent="0.2">
      <c r="A16343">
        <v>38828</v>
      </c>
      <c r="B16343" t="s">
        <v>31</v>
      </c>
      <c r="C16343">
        <v>38828</v>
      </c>
      <c r="D16343" t="str">
        <f>"38828"</f>
        <v>38828</v>
      </c>
      <c r="E16343">
        <v>66.290000000000006</v>
      </c>
    </row>
    <row r="16344" spans="1:5" x14ac:dyDescent="0.2">
      <c r="A16344">
        <v>38829</v>
      </c>
      <c r="B16344" t="s">
        <v>31</v>
      </c>
      <c r="C16344">
        <v>38829</v>
      </c>
      <c r="D16344" t="str">
        <f>"38829"</f>
        <v>38829</v>
      </c>
      <c r="E16344">
        <v>61.94</v>
      </c>
    </row>
    <row r="16345" spans="1:5" x14ac:dyDescent="0.2">
      <c r="A16345">
        <v>38833</v>
      </c>
      <c r="B16345" t="s">
        <v>31</v>
      </c>
      <c r="C16345">
        <v>38833</v>
      </c>
      <c r="D16345" t="str">
        <f>"38833"</f>
        <v>38833</v>
      </c>
      <c r="E16345">
        <v>60.71</v>
      </c>
    </row>
    <row r="16346" spans="1:5" x14ac:dyDescent="0.2">
      <c r="A16346">
        <v>38834</v>
      </c>
      <c r="B16346" t="s">
        <v>31</v>
      </c>
      <c r="C16346">
        <v>38834</v>
      </c>
      <c r="D16346" t="str">
        <f>"38834"</f>
        <v>38834</v>
      </c>
      <c r="E16346">
        <v>62.52</v>
      </c>
    </row>
    <row r="16347" spans="1:5" x14ac:dyDescent="0.2">
      <c r="A16347">
        <v>38838</v>
      </c>
      <c r="B16347" t="s">
        <v>31</v>
      </c>
      <c r="C16347">
        <v>38838</v>
      </c>
      <c r="D16347" t="str">
        <f>"38838"</f>
        <v>38838</v>
      </c>
      <c r="E16347">
        <v>63.79</v>
      </c>
    </row>
    <row r="16348" spans="1:5" x14ac:dyDescent="0.2">
      <c r="A16348">
        <v>38839</v>
      </c>
      <c r="B16348" t="s">
        <v>31</v>
      </c>
      <c r="C16348">
        <v>38839</v>
      </c>
      <c r="D16348" t="str">
        <f>"38839"</f>
        <v>38839</v>
      </c>
      <c r="E16348" t="s">
        <v>6</v>
      </c>
    </row>
    <row r="16349" spans="1:5" x14ac:dyDescent="0.2">
      <c r="A16349">
        <v>38841</v>
      </c>
      <c r="B16349" t="s">
        <v>31</v>
      </c>
      <c r="C16349">
        <v>38841</v>
      </c>
      <c r="D16349" t="str">
        <f>"38841"</f>
        <v>38841</v>
      </c>
      <c r="E16349">
        <v>61.03</v>
      </c>
    </row>
    <row r="16350" spans="1:5" x14ac:dyDescent="0.2">
      <c r="A16350">
        <v>38843</v>
      </c>
      <c r="B16350" t="s">
        <v>31</v>
      </c>
      <c r="C16350">
        <v>38843</v>
      </c>
      <c r="D16350" t="str">
        <f>"38843"</f>
        <v>38843</v>
      </c>
      <c r="E16350">
        <v>68.17</v>
      </c>
    </row>
    <row r="16351" spans="1:5" x14ac:dyDescent="0.2">
      <c r="A16351">
        <v>38844</v>
      </c>
      <c r="B16351" t="s">
        <v>31</v>
      </c>
      <c r="C16351">
        <v>38844</v>
      </c>
      <c r="D16351" t="str">
        <f>"38844"</f>
        <v>38844</v>
      </c>
      <c r="E16351" t="s">
        <v>6</v>
      </c>
    </row>
    <row r="16352" spans="1:5" x14ac:dyDescent="0.2">
      <c r="A16352">
        <v>38846</v>
      </c>
      <c r="B16352" t="s">
        <v>31</v>
      </c>
      <c r="C16352">
        <v>38846</v>
      </c>
      <c r="D16352" t="str">
        <f>"38846"</f>
        <v>38846</v>
      </c>
      <c r="E16352">
        <v>61.9</v>
      </c>
    </row>
    <row r="16353" spans="1:5" x14ac:dyDescent="0.2">
      <c r="A16353">
        <v>38847</v>
      </c>
      <c r="B16353" t="s">
        <v>31</v>
      </c>
      <c r="C16353">
        <v>38847</v>
      </c>
      <c r="D16353" t="str">
        <f>"38847"</f>
        <v>38847</v>
      </c>
      <c r="E16353">
        <v>68</v>
      </c>
    </row>
    <row r="16354" spans="1:5" x14ac:dyDescent="0.2">
      <c r="A16354">
        <v>38848</v>
      </c>
      <c r="B16354" t="s">
        <v>31</v>
      </c>
      <c r="C16354">
        <v>38848</v>
      </c>
      <c r="D16354" t="str">
        <f>"38848"</f>
        <v>38848</v>
      </c>
      <c r="E16354">
        <v>64.52</v>
      </c>
    </row>
    <row r="16355" spans="1:5" x14ac:dyDescent="0.2">
      <c r="A16355">
        <v>38849</v>
      </c>
      <c r="B16355" t="s">
        <v>31</v>
      </c>
      <c r="C16355">
        <v>38849</v>
      </c>
      <c r="D16355" t="str">
        <f>"38849"</f>
        <v>38849</v>
      </c>
      <c r="E16355">
        <v>66.25</v>
      </c>
    </row>
    <row r="16356" spans="1:5" x14ac:dyDescent="0.2">
      <c r="A16356">
        <v>38850</v>
      </c>
      <c r="B16356" t="s">
        <v>31</v>
      </c>
      <c r="C16356">
        <v>38850</v>
      </c>
      <c r="D16356" t="str">
        <f>"38850"</f>
        <v>38850</v>
      </c>
      <c r="E16356">
        <v>57.86</v>
      </c>
    </row>
    <row r="16357" spans="1:5" x14ac:dyDescent="0.2">
      <c r="A16357">
        <v>38851</v>
      </c>
      <c r="B16357" t="s">
        <v>31</v>
      </c>
      <c r="C16357">
        <v>38851</v>
      </c>
      <c r="D16357" t="str">
        <f>"38851"</f>
        <v>38851</v>
      </c>
      <c r="E16357">
        <v>56.7</v>
      </c>
    </row>
    <row r="16358" spans="1:5" x14ac:dyDescent="0.2">
      <c r="A16358">
        <v>38852</v>
      </c>
      <c r="B16358" t="s">
        <v>31</v>
      </c>
      <c r="C16358">
        <v>38852</v>
      </c>
      <c r="D16358" t="str">
        <f>"38852"</f>
        <v>38852</v>
      </c>
      <c r="E16358">
        <v>66.19</v>
      </c>
    </row>
    <row r="16359" spans="1:5" x14ac:dyDescent="0.2">
      <c r="A16359">
        <v>38855</v>
      </c>
      <c r="B16359" t="s">
        <v>31</v>
      </c>
      <c r="C16359">
        <v>38855</v>
      </c>
      <c r="D16359" t="str">
        <f>"38855"</f>
        <v>38855</v>
      </c>
      <c r="E16359">
        <v>67.2</v>
      </c>
    </row>
    <row r="16360" spans="1:5" x14ac:dyDescent="0.2">
      <c r="A16360">
        <v>38856</v>
      </c>
      <c r="B16360" t="s">
        <v>31</v>
      </c>
      <c r="C16360">
        <v>38856</v>
      </c>
      <c r="D16360" t="str">
        <f>"38856"</f>
        <v>38856</v>
      </c>
      <c r="E16360">
        <v>71.010000000000005</v>
      </c>
    </row>
    <row r="16361" spans="1:5" x14ac:dyDescent="0.2">
      <c r="A16361">
        <v>38857</v>
      </c>
      <c r="B16361" t="s">
        <v>31</v>
      </c>
      <c r="C16361">
        <v>38857</v>
      </c>
      <c r="D16361" t="str">
        <f>"38857"</f>
        <v>38857</v>
      </c>
      <c r="E16361">
        <v>70.989999999999995</v>
      </c>
    </row>
    <row r="16362" spans="1:5" x14ac:dyDescent="0.2">
      <c r="A16362">
        <v>38858</v>
      </c>
      <c r="B16362" t="s">
        <v>31</v>
      </c>
      <c r="C16362">
        <v>38858</v>
      </c>
      <c r="D16362" t="str">
        <f>"38858"</f>
        <v>38858</v>
      </c>
      <c r="E16362">
        <v>61.13</v>
      </c>
    </row>
    <row r="16363" spans="1:5" x14ac:dyDescent="0.2">
      <c r="A16363">
        <v>38859</v>
      </c>
      <c r="B16363" t="s">
        <v>31</v>
      </c>
      <c r="C16363">
        <v>38859</v>
      </c>
      <c r="D16363" t="str">
        <f>"38859"</f>
        <v>38859</v>
      </c>
      <c r="E16363">
        <v>64.290000000000006</v>
      </c>
    </row>
    <row r="16364" spans="1:5" x14ac:dyDescent="0.2">
      <c r="A16364">
        <v>38860</v>
      </c>
      <c r="B16364" t="s">
        <v>31</v>
      </c>
      <c r="C16364">
        <v>38860</v>
      </c>
      <c r="D16364" t="str">
        <f>"38860"</f>
        <v>38860</v>
      </c>
      <c r="E16364">
        <v>52.82</v>
      </c>
    </row>
    <row r="16365" spans="1:5" x14ac:dyDescent="0.2">
      <c r="A16365">
        <v>38862</v>
      </c>
      <c r="B16365" t="s">
        <v>31</v>
      </c>
      <c r="C16365">
        <v>38862</v>
      </c>
      <c r="D16365" t="str">
        <f>"38862"</f>
        <v>38862</v>
      </c>
      <c r="E16365">
        <v>63.96</v>
      </c>
    </row>
    <row r="16366" spans="1:5" x14ac:dyDescent="0.2">
      <c r="A16366">
        <v>38863</v>
      </c>
      <c r="B16366" t="s">
        <v>31</v>
      </c>
      <c r="C16366">
        <v>38863</v>
      </c>
      <c r="D16366" t="str">
        <f>"38863"</f>
        <v>38863</v>
      </c>
      <c r="E16366">
        <v>61.45</v>
      </c>
    </row>
    <row r="16367" spans="1:5" x14ac:dyDescent="0.2">
      <c r="A16367">
        <v>38864</v>
      </c>
      <c r="B16367" t="s">
        <v>31</v>
      </c>
      <c r="C16367">
        <v>38864</v>
      </c>
      <c r="D16367" t="str">
        <f>"38864"</f>
        <v>38864</v>
      </c>
      <c r="E16367">
        <v>66.67</v>
      </c>
    </row>
    <row r="16368" spans="1:5" x14ac:dyDescent="0.2">
      <c r="A16368">
        <v>38865</v>
      </c>
      <c r="B16368" t="s">
        <v>31</v>
      </c>
      <c r="C16368">
        <v>38865</v>
      </c>
      <c r="D16368" t="str">
        <f>"38865"</f>
        <v>38865</v>
      </c>
      <c r="E16368">
        <v>61.38</v>
      </c>
    </row>
    <row r="16369" spans="1:5" x14ac:dyDescent="0.2">
      <c r="A16369">
        <v>38866</v>
      </c>
      <c r="B16369" t="s">
        <v>31</v>
      </c>
      <c r="C16369">
        <v>38866</v>
      </c>
      <c r="D16369" t="str">
        <f>"38866"</f>
        <v>38866</v>
      </c>
      <c r="E16369">
        <v>71.86</v>
      </c>
    </row>
    <row r="16370" spans="1:5" x14ac:dyDescent="0.2">
      <c r="A16370">
        <v>38868</v>
      </c>
      <c r="B16370" t="s">
        <v>31</v>
      </c>
      <c r="C16370">
        <v>38868</v>
      </c>
      <c r="D16370" t="str">
        <f>"38868"</f>
        <v>38868</v>
      </c>
      <c r="E16370">
        <v>58.22</v>
      </c>
    </row>
    <row r="16371" spans="1:5" x14ac:dyDescent="0.2">
      <c r="A16371">
        <v>38869</v>
      </c>
      <c r="B16371" t="s">
        <v>31</v>
      </c>
      <c r="C16371">
        <v>38869</v>
      </c>
      <c r="D16371" t="str">
        <f>"38869"</f>
        <v>38869</v>
      </c>
      <c r="E16371" t="s">
        <v>6</v>
      </c>
    </row>
    <row r="16372" spans="1:5" x14ac:dyDescent="0.2">
      <c r="A16372">
        <v>38870</v>
      </c>
      <c r="B16372" t="s">
        <v>31</v>
      </c>
      <c r="C16372">
        <v>38870</v>
      </c>
      <c r="D16372" t="str">
        <f>"38870"</f>
        <v>38870</v>
      </c>
      <c r="E16372">
        <v>70.27</v>
      </c>
    </row>
    <row r="16373" spans="1:5" x14ac:dyDescent="0.2">
      <c r="A16373">
        <v>38871</v>
      </c>
      <c r="B16373" t="s">
        <v>31</v>
      </c>
      <c r="C16373">
        <v>38871</v>
      </c>
      <c r="D16373" t="str">
        <f>"38871"</f>
        <v>38871</v>
      </c>
      <c r="E16373">
        <v>68.349999999999994</v>
      </c>
    </row>
    <row r="16374" spans="1:5" x14ac:dyDescent="0.2">
      <c r="A16374">
        <v>38873</v>
      </c>
      <c r="B16374" t="s">
        <v>31</v>
      </c>
      <c r="C16374">
        <v>38873</v>
      </c>
      <c r="D16374" t="str">
        <f>"38873"</f>
        <v>38873</v>
      </c>
      <c r="E16374">
        <v>67.92</v>
      </c>
    </row>
    <row r="16375" spans="1:5" x14ac:dyDescent="0.2">
      <c r="A16375">
        <v>38875</v>
      </c>
      <c r="B16375" t="s">
        <v>31</v>
      </c>
      <c r="C16375">
        <v>38875</v>
      </c>
      <c r="D16375" t="str">
        <f>"38875"</f>
        <v>38875</v>
      </c>
      <c r="E16375" t="s">
        <v>6</v>
      </c>
    </row>
    <row r="16376" spans="1:5" x14ac:dyDescent="0.2">
      <c r="A16376">
        <v>38876</v>
      </c>
      <c r="B16376" t="s">
        <v>31</v>
      </c>
      <c r="C16376">
        <v>38876</v>
      </c>
      <c r="D16376" t="str">
        <f>"38876"</f>
        <v>38876</v>
      </c>
      <c r="E16376">
        <v>69.39</v>
      </c>
    </row>
    <row r="16377" spans="1:5" x14ac:dyDescent="0.2">
      <c r="A16377">
        <v>38878</v>
      </c>
      <c r="B16377" t="s">
        <v>31</v>
      </c>
      <c r="C16377">
        <v>38878</v>
      </c>
      <c r="D16377" t="str">
        <f>"38878"</f>
        <v>38878</v>
      </c>
      <c r="E16377">
        <v>55.65</v>
      </c>
    </row>
    <row r="16378" spans="1:5" x14ac:dyDescent="0.2">
      <c r="A16378">
        <v>38879</v>
      </c>
      <c r="B16378" t="s">
        <v>31</v>
      </c>
      <c r="C16378">
        <v>38879</v>
      </c>
      <c r="D16378" t="str">
        <f>"38879"</f>
        <v>38879</v>
      </c>
      <c r="E16378" t="s">
        <v>6</v>
      </c>
    </row>
    <row r="16379" spans="1:5" x14ac:dyDescent="0.2">
      <c r="A16379">
        <v>38901</v>
      </c>
      <c r="B16379" t="s">
        <v>31</v>
      </c>
      <c r="C16379">
        <v>38901</v>
      </c>
      <c r="D16379" t="str">
        <f>"38901"</f>
        <v>38901</v>
      </c>
      <c r="E16379">
        <v>58.75</v>
      </c>
    </row>
    <row r="16380" spans="1:5" x14ac:dyDescent="0.2">
      <c r="A16380">
        <v>38913</v>
      </c>
      <c r="B16380" t="s">
        <v>31</v>
      </c>
      <c r="C16380">
        <v>38913</v>
      </c>
      <c r="D16380" t="str">
        <f>"38913"</f>
        <v>38913</v>
      </c>
      <c r="E16380">
        <v>64.709999999999994</v>
      </c>
    </row>
    <row r="16381" spans="1:5" x14ac:dyDescent="0.2">
      <c r="A16381">
        <v>38914</v>
      </c>
      <c r="B16381" t="s">
        <v>31</v>
      </c>
      <c r="C16381">
        <v>38914</v>
      </c>
      <c r="D16381" t="str">
        <f>"38914"</f>
        <v>38914</v>
      </c>
      <c r="E16381">
        <v>60</v>
      </c>
    </row>
    <row r="16382" spans="1:5" x14ac:dyDescent="0.2">
      <c r="A16382">
        <v>38915</v>
      </c>
      <c r="B16382" t="s">
        <v>31</v>
      </c>
      <c r="C16382">
        <v>38915</v>
      </c>
      <c r="D16382" t="str">
        <f>"38915"</f>
        <v>38915</v>
      </c>
      <c r="E16382">
        <v>59.87</v>
      </c>
    </row>
    <row r="16383" spans="1:5" x14ac:dyDescent="0.2">
      <c r="A16383">
        <v>38916</v>
      </c>
      <c r="B16383" t="s">
        <v>31</v>
      </c>
      <c r="C16383">
        <v>38916</v>
      </c>
      <c r="D16383" t="str">
        <f>"38916"</f>
        <v>38916</v>
      </c>
      <c r="E16383">
        <v>57.3</v>
      </c>
    </row>
    <row r="16384" spans="1:5" x14ac:dyDescent="0.2">
      <c r="A16384">
        <v>38917</v>
      </c>
      <c r="B16384" t="s">
        <v>31</v>
      </c>
      <c r="C16384">
        <v>38917</v>
      </c>
      <c r="D16384" t="str">
        <f>"38917"</f>
        <v>38917</v>
      </c>
      <c r="E16384">
        <v>69.290000000000006</v>
      </c>
    </row>
    <row r="16385" spans="1:5" x14ac:dyDescent="0.2">
      <c r="A16385">
        <v>38920</v>
      </c>
      <c r="B16385" t="s">
        <v>31</v>
      </c>
      <c r="C16385">
        <v>38920</v>
      </c>
      <c r="D16385" t="str">
        <f>"38920"</f>
        <v>38920</v>
      </c>
      <c r="E16385">
        <v>55.56</v>
      </c>
    </row>
    <row r="16386" spans="1:5" x14ac:dyDescent="0.2">
      <c r="A16386">
        <v>38921</v>
      </c>
      <c r="B16386" t="s">
        <v>31</v>
      </c>
      <c r="C16386">
        <v>38921</v>
      </c>
      <c r="D16386" t="str">
        <f>"38921"</f>
        <v>38921</v>
      </c>
      <c r="E16386">
        <v>46.2</v>
      </c>
    </row>
    <row r="16387" spans="1:5" x14ac:dyDescent="0.2">
      <c r="A16387">
        <v>38922</v>
      </c>
      <c r="B16387" t="s">
        <v>31</v>
      </c>
      <c r="C16387">
        <v>38922</v>
      </c>
      <c r="D16387" t="str">
        <f>"38922"</f>
        <v>38922</v>
      </c>
      <c r="E16387">
        <v>59.26</v>
      </c>
    </row>
    <row r="16388" spans="1:5" x14ac:dyDescent="0.2">
      <c r="A16388">
        <v>38923</v>
      </c>
      <c r="B16388" t="s">
        <v>31</v>
      </c>
      <c r="C16388">
        <v>38923</v>
      </c>
      <c r="D16388" t="str">
        <f>"38923"</f>
        <v>38923</v>
      </c>
      <c r="E16388">
        <v>57.78</v>
      </c>
    </row>
    <row r="16389" spans="1:5" x14ac:dyDescent="0.2">
      <c r="A16389">
        <v>38924</v>
      </c>
      <c r="B16389" t="s">
        <v>31</v>
      </c>
      <c r="C16389">
        <v>38924</v>
      </c>
      <c r="D16389" t="str">
        <f>"38924"</f>
        <v>38924</v>
      </c>
      <c r="E16389">
        <v>43.33</v>
      </c>
    </row>
    <row r="16390" spans="1:5" x14ac:dyDescent="0.2">
      <c r="A16390">
        <v>38925</v>
      </c>
      <c r="B16390" t="s">
        <v>31</v>
      </c>
      <c r="C16390">
        <v>38925</v>
      </c>
      <c r="D16390" t="str">
        <f>"38925"</f>
        <v>38925</v>
      </c>
      <c r="E16390">
        <v>60.67</v>
      </c>
    </row>
    <row r="16391" spans="1:5" x14ac:dyDescent="0.2">
      <c r="A16391">
        <v>38927</v>
      </c>
      <c r="B16391" t="s">
        <v>31</v>
      </c>
      <c r="C16391">
        <v>38927</v>
      </c>
      <c r="D16391" t="str">
        <f>"38927"</f>
        <v>38927</v>
      </c>
      <c r="E16391">
        <v>60</v>
      </c>
    </row>
    <row r="16392" spans="1:5" x14ac:dyDescent="0.2">
      <c r="A16392">
        <v>38928</v>
      </c>
      <c r="B16392" t="s">
        <v>31</v>
      </c>
      <c r="C16392">
        <v>38928</v>
      </c>
      <c r="D16392" t="str">
        <f>"38928"</f>
        <v>38928</v>
      </c>
      <c r="E16392">
        <v>40</v>
      </c>
    </row>
    <row r="16393" spans="1:5" x14ac:dyDescent="0.2">
      <c r="A16393">
        <v>38929</v>
      </c>
      <c r="B16393" t="s">
        <v>31</v>
      </c>
      <c r="C16393">
        <v>38929</v>
      </c>
      <c r="D16393" t="str">
        <f>"38929"</f>
        <v>38929</v>
      </c>
      <c r="E16393">
        <v>64</v>
      </c>
    </row>
    <row r="16394" spans="1:5" x14ac:dyDescent="0.2">
      <c r="A16394">
        <v>38930</v>
      </c>
      <c r="B16394" t="s">
        <v>31</v>
      </c>
      <c r="C16394">
        <v>38930</v>
      </c>
      <c r="D16394" t="str">
        <f>"38930"</f>
        <v>38930</v>
      </c>
      <c r="E16394">
        <v>46.92</v>
      </c>
    </row>
    <row r="16395" spans="1:5" x14ac:dyDescent="0.2">
      <c r="A16395">
        <v>38940</v>
      </c>
      <c r="B16395" t="s">
        <v>31</v>
      </c>
      <c r="C16395">
        <v>38940</v>
      </c>
      <c r="D16395" t="str">
        <f>"38940"</f>
        <v>38940</v>
      </c>
      <c r="E16395">
        <v>62.5</v>
      </c>
    </row>
    <row r="16396" spans="1:5" x14ac:dyDescent="0.2">
      <c r="A16396">
        <v>38941</v>
      </c>
      <c r="B16396" t="s">
        <v>31</v>
      </c>
      <c r="C16396">
        <v>38941</v>
      </c>
      <c r="D16396" t="str">
        <f>"38941"</f>
        <v>38941</v>
      </c>
      <c r="E16396">
        <v>43.4</v>
      </c>
    </row>
    <row r="16397" spans="1:5" x14ac:dyDescent="0.2">
      <c r="A16397">
        <v>38943</v>
      </c>
      <c r="B16397" t="s">
        <v>31</v>
      </c>
      <c r="C16397">
        <v>38943</v>
      </c>
      <c r="D16397" t="str">
        <f>"38943"</f>
        <v>38943</v>
      </c>
      <c r="E16397">
        <v>66.67</v>
      </c>
    </row>
    <row r="16398" spans="1:5" x14ac:dyDescent="0.2">
      <c r="A16398">
        <v>38944</v>
      </c>
      <c r="B16398" t="s">
        <v>31</v>
      </c>
      <c r="C16398">
        <v>38944</v>
      </c>
      <c r="D16398" t="str">
        <f>"38944"</f>
        <v>38944</v>
      </c>
      <c r="E16398">
        <v>50</v>
      </c>
    </row>
    <row r="16399" spans="1:5" x14ac:dyDescent="0.2">
      <c r="A16399">
        <v>38946</v>
      </c>
      <c r="B16399" t="s">
        <v>31</v>
      </c>
      <c r="C16399">
        <v>38946</v>
      </c>
      <c r="D16399" t="str">
        <f>"38946"</f>
        <v>38946</v>
      </c>
      <c r="E16399" t="s">
        <v>6</v>
      </c>
    </row>
    <row r="16400" spans="1:5" x14ac:dyDescent="0.2">
      <c r="A16400">
        <v>38947</v>
      </c>
      <c r="B16400" t="s">
        <v>31</v>
      </c>
      <c r="C16400">
        <v>38947</v>
      </c>
      <c r="D16400" t="str">
        <f>"38947"</f>
        <v>38947</v>
      </c>
      <c r="E16400" t="s">
        <v>6</v>
      </c>
    </row>
    <row r="16401" spans="1:5" x14ac:dyDescent="0.2">
      <c r="A16401">
        <v>38948</v>
      </c>
      <c r="B16401" t="s">
        <v>31</v>
      </c>
      <c r="C16401">
        <v>38948</v>
      </c>
      <c r="D16401" t="str">
        <f>"38948"</f>
        <v>38948</v>
      </c>
      <c r="E16401">
        <v>58.62</v>
      </c>
    </row>
    <row r="16402" spans="1:5" x14ac:dyDescent="0.2">
      <c r="A16402">
        <v>38949</v>
      </c>
      <c r="B16402" t="s">
        <v>31</v>
      </c>
      <c r="C16402">
        <v>38949</v>
      </c>
      <c r="D16402" t="str">
        <f>"38949"</f>
        <v>38949</v>
      </c>
      <c r="E16402">
        <v>70</v>
      </c>
    </row>
    <row r="16403" spans="1:5" x14ac:dyDescent="0.2">
      <c r="A16403">
        <v>38950</v>
      </c>
      <c r="B16403" t="s">
        <v>31</v>
      </c>
      <c r="C16403">
        <v>38950</v>
      </c>
      <c r="D16403" t="str">
        <f>"38950"</f>
        <v>38950</v>
      </c>
      <c r="E16403">
        <v>54.55</v>
      </c>
    </row>
    <row r="16404" spans="1:5" x14ac:dyDescent="0.2">
      <c r="A16404">
        <v>38951</v>
      </c>
      <c r="B16404" t="s">
        <v>31</v>
      </c>
      <c r="C16404">
        <v>38951</v>
      </c>
      <c r="D16404" t="str">
        <f>"38951"</f>
        <v>38951</v>
      </c>
      <c r="E16404">
        <v>58.54</v>
      </c>
    </row>
    <row r="16405" spans="1:5" x14ac:dyDescent="0.2">
      <c r="A16405">
        <v>38952</v>
      </c>
      <c r="B16405" t="s">
        <v>31</v>
      </c>
      <c r="C16405">
        <v>38952</v>
      </c>
      <c r="D16405" t="str">
        <f>"38952"</f>
        <v>38952</v>
      </c>
      <c r="E16405">
        <v>47.62</v>
      </c>
    </row>
    <row r="16406" spans="1:5" x14ac:dyDescent="0.2">
      <c r="A16406">
        <v>38953</v>
      </c>
      <c r="B16406" t="s">
        <v>31</v>
      </c>
      <c r="C16406">
        <v>38953</v>
      </c>
      <c r="D16406" t="str">
        <f>"38953"</f>
        <v>38953</v>
      </c>
      <c r="E16406">
        <v>64.290000000000006</v>
      </c>
    </row>
    <row r="16407" spans="1:5" x14ac:dyDescent="0.2">
      <c r="A16407">
        <v>38954</v>
      </c>
      <c r="B16407" t="s">
        <v>31</v>
      </c>
      <c r="C16407">
        <v>38954</v>
      </c>
      <c r="D16407" t="str">
        <f>"38954"</f>
        <v>38954</v>
      </c>
      <c r="E16407">
        <v>36.17</v>
      </c>
    </row>
    <row r="16408" spans="1:5" x14ac:dyDescent="0.2">
      <c r="A16408">
        <v>38957</v>
      </c>
      <c r="B16408" t="s">
        <v>31</v>
      </c>
      <c r="C16408">
        <v>38957</v>
      </c>
      <c r="D16408" t="str">
        <f>"38957"</f>
        <v>38957</v>
      </c>
      <c r="E16408" t="s">
        <v>6</v>
      </c>
    </row>
    <row r="16409" spans="1:5" x14ac:dyDescent="0.2">
      <c r="A16409">
        <v>38958</v>
      </c>
      <c r="B16409" t="s">
        <v>31</v>
      </c>
      <c r="C16409">
        <v>38958</v>
      </c>
      <c r="D16409" t="str">
        <f>"38958"</f>
        <v>38958</v>
      </c>
      <c r="E16409" t="s">
        <v>6</v>
      </c>
    </row>
    <row r="16410" spans="1:5" x14ac:dyDescent="0.2">
      <c r="A16410">
        <v>38959</v>
      </c>
      <c r="B16410" t="s">
        <v>31</v>
      </c>
      <c r="C16410">
        <v>38959</v>
      </c>
      <c r="D16410" t="str">
        <f>"38959"</f>
        <v>38959</v>
      </c>
      <c r="E16410" t="s">
        <v>6</v>
      </c>
    </row>
    <row r="16411" spans="1:5" x14ac:dyDescent="0.2">
      <c r="A16411">
        <v>38961</v>
      </c>
      <c r="B16411" t="s">
        <v>31</v>
      </c>
      <c r="C16411">
        <v>38961</v>
      </c>
      <c r="D16411" t="str">
        <f>"38961"</f>
        <v>38961</v>
      </c>
      <c r="E16411">
        <v>55</v>
      </c>
    </row>
    <row r="16412" spans="1:5" x14ac:dyDescent="0.2">
      <c r="A16412">
        <v>38963</v>
      </c>
      <c r="B16412" t="s">
        <v>31</v>
      </c>
      <c r="C16412">
        <v>38963</v>
      </c>
      <c r="D16412" t="str">
        <f>"38963"</f>
        <v>38963</v>
      </c>
      <c r="E16412">
        <v>40</v>
      </c>
    </row>
    <row r="16413" spans="1:5" x14ac:dyDescent="0.2">
      <c r="A16413">
        <v>38964</v>
      </c>
      <c r="B16413" t="s">
        <v>31</v>
      </c>
      <c r="C16413">
        <v>38964</v>
      </c>
      <c r="D16413" t="str">
        <f>"38964"</f>
        <v>38964</v>
      </c>
      <c r="E16413" t="s">
        <v>6</v>
      </c>
    </row>
    <row r="16414" spans="1:5" x14ac:dyDescent="0.2">
      <c r="A16414">
        <v>38965</v>
      </c>
      <c r="B16414" t="s">
        <v>31</v>
      </c>
      <c r="C16414">
        <v>38965</v>
      </c>
      <c r="D16414" t="str">
        <f>"38965"</f>
        <v>38965</v>
      </c>
      <c r="E16414">
        <v>62.05</v>
      </c>
    </row>
    <row r="16415" spans="1:5" x14ac:dyDescent="0.2">
      <c r="A16415">
        <v>38966</v>
      </c>
      <c r="B16415" t="s">
        <v>31</v>
      </c>
      <c r="C16415">
        <v>38966</v>
      </c>
      <c r="D16415" t="str">
        <f>"38966"</f>
        <v>38966</v>
      </c>
      <c r="E16415" t="s">
        <v>6</v>
      </c>
    </row>
    <row r="16416" spans="1:5" x14ac:dyDescent="0.2">
      <c r="A16416">
        <v>38967</v>
      </c>
      <c r="B16416" t="s">
        <v>31</v>
      </c>
      <c r="C16416">
        <v>38967</v>
      </c>
      <c r="D16416" t="str">
        <f>"38967"</f>
        <v>38967</v>
      </c>
      <c r="E16416">
        <v>56.47</v>
      </c>
    </row>
    <row r="16417" spans="1:5" x14ac:dyDescent="0.2">
      <c r="A16417">
        <v>39038</v>
      </c>
      <c r="B16417" t="s">
        <v>31</v>
      </c>
      <c r="C16417">
        <v>39038</v>
      </c>
      <c r="D16417" t="str">
        <f>"39038"</f>
        <v>39038</v>
      </c>
      <c r="E16417">
        <v>41.82</v>
      </c>
    </row>
    <row r="16418" spans="1:5" x14ac:dyDescent="0.2">
      <c r="A16418">
        <v>39039</v>
      </c>
      <c r="B16418" t="s">
        <v>31</v>
      </c>
      <c r="C16418">
        <v>39039</v>
      </c>
      <c r="D16418" t="str">
        <f>"39039"</f>
        <v>39039</v>
      </c>
      <c r="E16418">
        <v>68</v>
      </c>
    </row>
    <row r="16419" spans="1:5" x14ac:dyDescent="0.2">
      <c r="A16419">
        <v>39040</v>
      </c>
      <c r="B16419" t="s">
        <v>31</v>
      </c>
      <c r="C16419">
        <v>39040</v>
      </c>
      <c r="D16419" t="str">
        <f>"39040"</f>
        <v>39040</v>
      </c>
      <c r="E16419">
        <v>63.28</v>
      </c>
    </row>
    <row r="16420" spans="1:5" x14ac:dyDescent="0.2">
      <c r="A16420">
        <v>39041</v>
      </c>
      <c r="B16420" t="s">
        <v>31</v>
      </c>
      <c r="C16420">
        <v>39041</v>
      </c>
      <c r="D16420" t="str">
        <f>"39041"</f>
        <v>39041</v>
      </c>
      <c r="E16420">
        <v>62.5</v>
      </c>
    </row>
    <row r="16421" spans="1:5" x14ac:dyDescent="0.2">
      <c r="A16421">
        <v>39042</v>
      </c>
      <c r="B16421" t="s">
        <v>31</v>
      </c>
      <c r="C16421">
        <v>39042</v>
      </c>
      <c r="D16421" t="str">
        <f>"39042"</f>
        <v>39042</v>
      </c>
      <c r="E16421">
        <v>73.98</v>
      </c>
    </row>
    <row r="16422" spans="1:5" x14ac:dyDescent="0.2">
      <c r="A16422">
        <v>39044</v>
      </c>
      <c r="B16422" t="s">
        <v>31</v>
      </c>
      <c r="C16422">
        <v>39044</v>
      </c>
      <c r="D16422" t="str">
        <f>"39044"</f>
        <v>39044</v>
      </c>
      <c r="E16422">
        <v>65.75</v>
      </c>
    </row>
    <row r="16423" spans="1:5" x14ac:dyDescent="0.2">
      <c r="A16423">
        <v>39045</v>
      </c>
      <c r="B16423" t="s">
        <v>31</v>
      </c>
      <c r="C16423">
        <v>39045</v>
      </c>
      <c r="D16423" t="str">
        <f>"39045"</f>
        <v>39045</v>
      </c>
      <c r="E16423">
        <v>44.44</v>
      </c>
    </row>
    <row r="16424" spans="1:5" x14ac:dyDescent="0.2">
      <c r="A16424">
        <v>39046</v>
      </c>
      <c r="B16424" t="s">
        <v>31</v>
      </c>
      <c r="C16424">
        <v>39046</v>
      </c>
      <c r="D16424" t="str">
        <f>"39046"</f>
        <v>39046</v>
      </c>
      <c r="E16424">
        <v>53.87</v>
      </c>
    </row>
    <row r="16425" spans="1:5" x14ac:dyDescent="0.2">
      <c r="A16425">
        <v>39047</v>
      </c>
      <c r="B16425" t="s">
        <v>31</v>
      </c>
      <c r="C16425">
        <v>39047</v>
      </c>
      <c r="D16425" t="str">
        <f>"39047"</f>
        <v>39047</v>
      </c>
      <c r="E16425">
        <v>78.239999999999995</v>
      </c>
    </row>
    <row r="16426" spans="1:5" x14ac:dyDescent="0.2">
      <c r="A16426">
        <v>39051</v>
      </c>
      <c r="B16426" t="s">
        <v>31</v>
      </c>
      <c r="C16426">
        <v>39051</v>
      </c>
      <c r="D16426" t="str">
        <f>"39051"</f>
        <v>39051</v>
      </c>
      <c r="E16426">
        <v>57.21</v>
      </c>
    </row>
    <row r="16427" spans="1:5" x14ac:dyDescent="0.2">
      <c r="A16427">
        <v>39054</v>
      </c>
      <c r="B16427" t="s">
        <v>31</v>
      </c>
      <c r="C16427">
        <v>39054</v>
      </c>
      <c r="D16427" t="str">
        <f>"39054"</f>
        <v>39054</v>
      </c>
      <c r="E16427">
        <v>47.83</v>
      </c>
    </row>
    <row r="16428" spans="1:5" x14ac:dyDescent="0.2">
      <c r="A16428">
        <v>39056</v>
      </c>
      <c r="B16428" t="s">
        <v>31</v>
      </c>
      <c r="C16428">
        <v>39056</v>
      </c>
      <c r="D16428" t="str">
        <f>"39056"</f>
        <v>39056</v>
      </c>
      <c r="E16428">
        <v>70.63</v>
      </c>
    </row>
    <row r="16429" spans="1:5" x14ac:dyDescent="0.2">
      <c r="A16429">
        <v>39057</v>
      </c>
      <c r="B16429" t="s">
        <v>31</v>
      </c>
      <c r="C16429">
        <v>39057</v>
      </c>
      <c r="D16429" t="str">
        <f>"39057"</f>
        <v>39057</v>
      </c>
      <c r="E16429">
        <v>54.95</v>
      </c>
    </row>
    <row r="16430" spans="1:5" x14ac:dyDescent="0.2">
      <c r="A16430">
        <v>39058</v>
      </c>
      <c r="B16430" t="s">
        <v>31</v>
      </c>
      <c r="C16430">
        <v>39058</v>
      </c>
      <c r="D16430" t="str">
        <f>"39058"</f>
        <v>39058</v>
      </c>
      <c r="E16430" t="s">
        <v>6</v>
      </c>
    </row>
    <row r="16431" spans="1:5" x14ac:dyDescent="0.2">
      <c r="A16431">
        <v>39059</v>
      </c>
      <c r="B16431" t="s">
        <v>31</v>
      </c>
      <c r="C16431">
        <v>39059</v>
      </c>
      <c r="D16431" t="str">
        <f>"39059"</f>
        <v>39059</v>
      </c>
      <c r="E16431">
        <v>57.35</v>
      </c>
    </row>
    <row r="16432" spans="1:5" x14ac:dyDescent="0.2">
      <c r="A16432">
        <v>39062</v>
      </c>
      <c r="B16432" t="s">
        <v>31</v>
      </c>
      <c r="C16432">
        <v>39062</v>
      </c>
      <c r="D16432" t="str">
        <f>"39062"</f>
        <v>39062</v>
      </c>
      <c r="E16432" t="s">
        <v>6</v>
      </c>
    </row>
    <row r="16433" spans="1:5" x14ac:dyDescent="0.2">
      <c r="A16433">
        <v>39063</v>
      </c>
      <c r="B16433" t="s">
        <v>31</v>
      </c>
      <c r="C16433">
        <v>39063</v>
      </c>
      <c r="D16433" t="str">
        <f>"39063"</f>
        <v>39063</v>
      </c>
      <c r="E16433">
        <v>38.89</v>
      </c>
    </row>
    <row r="16434" spans="1:5" x14ac:dyDescent="0.2">
      <c r="A16434">
        <v>39066</v>
      </c>
      <c r="B16434" t="s">
        <v>31</v>
      </c>
      <c r="C16434">
        <v>39066</v>
      </c>
      <c r="D16434" t="str">
        <f>"39066"</f>
        <v>39066</v>
      </c>
      <c r="E16434">
        <v>55.85</v>
      </c>
    </row>
    <row r="16435" spans="1:5" x14ac:dyDescent="0.2">
      <c r="A16435">
        <v>39067</v>
      </c>
      <c r="B16435" t="s">
        <v>31</v>
      </c>
      <c r="C16435">
        <v>39067</v>
      </c>
      <c r="D16435" t="str">
        <f>"39067"</f>
        <v>39067</v>
      </c>
      <c r="E16435">
        <v>59.62</v>
      </c>
    </row>
    <row r="16436" spans="1:5" x14ac:dyDescent="0.2">
      <c r="A16436">
        <v>39069</v>
      </c>
      <c r="B16436" t="s">
        <v>31</v>
      </c>
      <c r="C16436">
        <v>39069</v>
      </c>
      <c r="D16436" t="str">
        <f>"39069"</f>
        <v>39069</v>
      </c>
      <c r="E16436">
        <v>45.1</v>
      </c>
    </row>
    <row r="16437" spans="1:5" x14ac:dyDescent="0.2">
      <c r="A16437">
        <v>39071</v>
      </c>
      <c r="B16437" t="s">
        <v>31</v>
      </c>
      <c r="C16437">
        <v>39071</v>
      </c>
      <c r="D16437" t="str">
        <f>"39071"</f>
        <v>39071</v>
      </c>
      <c r="E16437">
        <v>65.56</v>
      </c>
    </row>
    <row r="16438" spans="1:5" x14ac:dyDescent="0.2">
      <c r="A16438">
        <v>39073</v>
      </c>
      <c r="B16438" t="s">
        <v>31</v>
      </c>
      <c r="C16438">
        <v>39073</v>
      </c>
      <c r="D16438" t="str">
        <f>"39073"</f>
        <v>39073</v>
      </c>
      <c r="E16438">
        <v>69.900000000000006</v>
      </c>
    </row>
    <row r="16439" spans="1:5" x14ac:dyDescent="0.2">
      <c r="A16439">
        <v>39074</v>
      </c>
      <c r="B16439" t="s">
        <v>31</v>
      </c>
      <c r="C16439">
        <v>39074</v>
      </c>
      <c r="D16439" t="str">
        <f>"39074"</f>
        <v>39074</v>
      </c>
      <c r="E16439">
        <v>52.58</v>
      </c>
    </row>
    <row r="16440" spans="1:5" x14ac:dyDescent="0.2">
      <c r="A16440">
        <v>39078</v>
      </c>
      <c r="B16440" t="s">
        <v>31</v>
      </c>
      <c r="C16440">
        <v>39078</v>
      </c>
      <c r="D16440" t="str">
        <f>"39078"</f>
        <v>39078</v>
      </c>
      <c r="E16440">
        <v>50</v>
      </c>
    </row>
    <row r="16441" spans="1:5" x14ac:dyDescent="0.2">
      <c r="A16441">
        <v>39079</v>
      </c>
      <c r="B16441" t="s">
        <v>31</v>
      </c>
      <c r="C16441">
        <v>39079</v>
      </c>
      <c r="D16441" t="str">
        <f>"39079"</f>
        <v>39079</v>
      </c>
      <c r="E16441">
        <v>47.62</v>
      </c>
    </row>
    <row r="16442" spans="1:5" x14ac:dyDescent="0.2">
      <c r="A16442">
        <v>39082</v>
      </c>
      <c r="B16442" t="s">
        <v>31</v>
      </c>
      <c r="C16442">
        <v>39082</v>
      </c>
      <c r="D16442" t="str">
        <f>"39082"</f>
        <v>39082</v>
      </c>
      <c r="E16442">
        <v>64.709999999999994</v>
      </c>
    </row>
    <row r="16443" spans="1:5" x14ac:dyDescent="0.2">
      <c r="A16443">
        <v>39083</v>
      </c>
      <c r="B16443" t="s">
        <v>31</v>
      </c>
      <c r="C16443">
        <v>39083</v>
      </c>
      <c r="D16443" t="str">
        <f>"39083"</f>
        <v>39083</v>
      </c>
      <c r="E16443">
        <v>51.38</v>
      </c>
    </row>
    <row r="16444" spans="1:5" x14ac:dyDescent="0.2">
      <c r="A16444">
        <v>39086</v>
      </c>
      <c r="B16444" t="s">
        <v>31</v>
      </c>
      <c r="C16444">
        <v>39086</v>
      </c>
      <c r="D16444" t="str">
        <f>"39086"</f>
        <v>39086</v>
      </c>
      <c r="E16444">
        <v>35.14</v>
      </c>
    </row>
    <row r="16445" spans="1:5" x14ac:dyDescent="0.2">
      <c r="A16445">
        <v>39088</v>
      </c>
      <c r="B16445" t="s">
        <v>31</v>
      </c>
      <c r="C16445">
        <v>39088</v>
      </c>
      <c r="D16445" t="str">
        <f>"39088"</f>
        <v>39088</v>
      </c>
      <c r="E16445" t="s">
        <v>6</v>
      </c>
    </row>
    <row r="16446" spans="1:5" x14ac:dyDescent="0.2">
      <c r="A16446">
        <v>39090</v>
      </c>
      <c r="B16446" t="s">
        <v>31</v>
      </c>
      <c r="C16446">
        <v>39090</v>
      </c>
      <c r="D16446" t="str">
        <f>"39090"</f>
        <v>39090</v>
      </c>
      <c r="E16446">
        <v>56.15</v>
      </c>
    </row>
    <row r="16447" spans="1:5" x14ac:dyDescent="0.2">
      <c r="A16447">
        <v>39092</v>
      </c>
      <c r="B16447" t="s">
        <v>31</v>
      </c>
      <c r="C16447">
        <v>39092</v>
      </c>
      <c r="D16447" t="str">
        <f>"39092"</f>
        <v>39092</v>
      </c>
      <c r="E16447">
        <v>55</v>
      </c>
    </row>
    <row r="16448" spans="1:5" x14ac:dyDescent="0.2">
      <c r="A16448">
        <v>39094</v>
      </c>
      <c r="B16448" t="s">
        <v>31</v>
      </c>
      <c r="C16448">
        <v>39094</v>
      </c>
      <c r="D16448" t="str">
        <f>"39094"</f>
        <v>39094</v>
      </c>
      <c r="E16448">
        <v>58.9</v>
      </c>
    </row>
    <row r="16449" spans="1:5" x14ac:dyDescent="0.2">
      <c r="A16449">
        <v>39095</v>
      </c>
      <c r="B16449" t="s">
        <v>31</v>
      </c>
      <c r="C16449">
        <v>39095</v>
      </c>
      <c r="D16449" t="str">
        <f>"39095"</f>
        <v>39095</v>
      </c>
      <c r="E16449">
        <v>45.35</v>
      </c>
    </row>
    <row r="16450" spans="1:5" x14ac:dyDescent="0.2">
      <c r="A16450">
        <v>39096</v>
      </c>
      <c r="B16450" t="s">
        <v>31</v>
      </c>
      <c r="C16450">
        <v>39096</v>
      </c>
      <c r="D16450" t="str">
        <f>"39096"</f>
        <v>39096</v>
      </c>
      <c r="E16450">
        <v>50</v>
      </c>
    </row>
    <row r="16451" spans="1:5" x14ac:dyDescent="0.2">
      <c r="A16451">
        <v>39097</v>
      </c>
      <c r="B16451" t="s">
        <v>31</v>
      </c>
      <c r="C16451">
        <v>39097</v>
      </c>
      <c r="D16451" t="str">
        <f>"39097"</f>
        <v>39097</v>
      </c>
      <c r="E16451">
        <v>44</v>
      </c>
    </row>
    <row r="16452" spans="1:5" x14ac:dyDescent="0.2">
      <c r="A16452">
        <v>39108</v>
      </c>
      <c r="B16452" t="s">
        <v>31</v>
      </c>
      <c r="C16452">
        <v>39108</v>
      </c>
      <c r="D16452" t="str">
        <f>"39108"</f>
        <v>39108</v>
      </c>
      <c r="E16452">
        <v>60</v>
      </c>
    </row>
    <row r="16453" spans="1:5" x14ac:dyDescent="0.2">
      <c r="A16453">
        <v>39110</v>
      </c>
      <c r="B16453" t="s">
        <v>31</v>
      </c>
      <c r="C16453">
        <v>39110</v>
      </c>
      <c r="D16453" t="str">
        <f>"39110"</f>
        <v>39110</v>
      </c>
      <c r="E16453">
        <v>81.040000000000006</v>
      </c>
    </row>
    <row r="16454" spans="1:5" x14ac:dyDescent="0.2">
      <c r="A16454">
        <v>39111</v>
      </c>
      <c r="B16454" t="s">
        <v>31</v>
      </c>
      <c r="C16454">
        <v>39111</v>
      </c>
      <c r="D16454" t="str">
        <f>"39111"</f>
        <v>39111</v>
      </c>
      <c r="E16454">
        <v>57.94</v>
      </c>
    </row>
    <row r="16455" spans="1:5" x14ac:dyDescent="0.2">
      <c r="A16455">
        <v>39113</v>
      </c>
      <c r="B16455" t="s">
        <v>31</v>
      </c>
      <c r="C16455">
        <v>39113</v>
      </c>
      <c r="D16455" t="str">
        <f>"39113"</f>
        <v>39113</v>
      </c>
      <c r="E16455" t="s">
        <v>6</v>
      </c>
    </row>
    <row r="16456" spans="1:5" x14ac:dyDescent="0.2">
      <c r="A16456">
        <v>39114</v>
      </c>
      <c r="B16456" t="s">
        <v>31</v>
      </c>
      <c r="C16456">
        <v>39114</v>
      </c>
      <c r="D16456" t="str">
        <f>"39114"</f>
        <v>39114</v>
      </c>
      <c r="E16456">
        <v>61.1</v>
      </c>
    </row>
    <row r="16457" spans="1:5" x14ac:dyDescent="0.2">
      <c r="A16457">
        <v>39115</v>
      </c>
      <c r="B16457" t="s">
        <v>31</v>
      </c>
      <c r="C16457">
        <v>39115</v>
      </c>
      <c r="D16457" t="str">
        <f>"39115"</f>
        <v>39115</v>
      </c>
      <c r="E16457" t="s">
        <v>6</v>
      </c>
    </row>
    <row r="16458" spans="1:5" x14ac:dyDescent="0.2">
      <c r="A16458">
        <v>39116</v>
      </c>
      <c r="B16458" t="s">
        <v>31</v>
      </c>
      <c r="C16458">
        <v>39116</v>
      </c>
      <c r="D16458" t="str">
        <f>"39116"</f>
        <v>39116</v>
      </c>
      <c r="E16458">
        <v>64.650000000000006</v>
      </c>
    </row>
    <row r="16459" spans="1:5" x14ac:dyDescent="0.2">
      <c r="A16459">
        <v>39117</v>
      </c>
      <c r="B16459" t="s">
        <v>31</v>
      </c>
      <c r="C16459">
        <v>39117</v>
      </c>
      <c r="D16459" t="str">
        <f>"39117"</f>
        <v>39117</v>
      </c>
      <c r="E16459">
        <v>57.92</v>
      </c>
    </row>
    <row r="16460" spans="1:5" x14ac:dyDescent="0.2">
      <c r="A16460">
        <v>39119</v>
      </c>
      <c r="B16460" t="s">
        <v>31</v>
      </c>
      <c r="C16460">
        <v>39119</v>
      </c>
      <c r="D16460" t="str">
        <f>"39119"</f>
        <v>39119</v>
      </c>
      <c r="E16460">
        <v>55.45</v>
      </c>
    </row>
    <row r="16461" spans="1:5" x14ac:dyDescent="0.2">
      <c r="A16461">
        <v>39120</v>
      </c>
      <c r="B16461" t="s">
        <v>31</v>
      </c>
      <c r="C16461">
        <v>39120</v>
      </c>
      <c r="D16461" t="str">
        <f>"39120"</f>
        <v>39120</v>
      </c>
      <c r="E16461">
        <v>56.54</v>
      </c>
    </row>
    <row r="16462" spans="1:5" x14ac:dyDescent="0.2">
      <c r="A16462">
        <v>39140</v>
      </c>
      <c r="B16462" t="s">
        <v>31</v>
      </c>
      <c r="C16462">
        <v>39140</v>
      </c>
      <c r="D16462" t="str">
        <f>"39140"</f>
        <v>39140</v>
      </c>
      <c r="E16462">
        <v>58.33</v>
      </c>
    </row>
    <row r="16463" spans="1:5" x14ac:dyDescent="0.2">
      <c r="A16463">
        <v>39144</v>
      </c>
      <c r="B16463" t="s">
        <v>31</v>
      </c>
      <c r="C16463">
        <v>39144</v>
      </c>
      <c r="D16463" t="str">
        <f>"39144"</f>
        <v>39144</v>
      </c>
      <c r="E16463">
        <v>40</v>
      </c>
    </row>
    <row r="16464" spans="1:5" x14ac:dyDescent="0.2">
      <c r="A16464">
        <v>39145</v>
      </c>
      <c r="B16464" t="s">
        <v>31</v>
      </c>
      <c r="C16464">
        <v>39145</v>
      </c>
      <c r="D16464" t="str">
        <f>"39145"</f>
        <v>39145</v>
      </c>
      <c r="E16464">
        <v>70.59</v>
      </c>
    </row>
    <row r="16465" spans="1:5" x14ac:dyDescent="0.2">
      <c r="A16465">
        <v>39146</v>
      </c>
      <c r="B16465" t="s">
        <v>31</v>
      </c>
      <c r="C16465">
        <v>39146</v>
      </c>
      <c r="D16465" t="str">
        <f>"39146"</f>
        <v>39146</v>
      </c>
      <c r="E16465">
        <v>50</v>
      </c>
    </row>
    <row r="16466" spans="1:5" x14ac:dyDescent="0.2">
      <c r="A16466">
        <v>39148</v>
      </c>
      <c r="B16466" t="s">
        <v>31</v>
      </c>
      <c r="C16466">
        <v>39148</v>
      </c>
      <c r="D16466" t="str">
        <f>"39148"</f>
        <v>39148</v>
      </c>
      <c r="E16466" t="s">
        <v>6</v>
      </c>
    </row>
    <row r="16467" spans="1:5" x14ac:dyDescent="0.2">
      <c r="A16467">
        <v>39149</v>
      </c>
      <c r="B16467" t="s">
        <v>31</v>
      </c>
      <c r="C16467">
        <v>39149</v>
      </c>
      <c r="D16467" t="str">
        <f>"39149"</f>
        <v>39149</v>
      </c>
      <c r="E16467">
        <v>58.06</v>
      </c>
    </row>
    <row r="16468" spans="1:5" x14ac:dyDescent="0.2">
      <c r="A16468">
        <v>39150</v>
      </c>
      <c r="B16468" t="s">
        <v>31</v>
      </c>
      <c r="C16468">
        <v>39150</v>
      </c>
      <c r="D16468" t="str">
        <f>"39150"</f>
        <v>39150</v>
      </c>
      <c r="E16468">
        <v>47.71</v>
      </c>
    </row>
    <row r="16469" spans="1:5" x14ac:dyDescent="0.2">
      <c r="A16469">
        <v>39152</v>
      </c>
      <c r="B16469" t="s">
        <v>31</v>
      </c>
      <c r="C16469">
        <v>39152</v>
      </c>
      <c r="D16469" t="str">
        <f>"39152"</f>
        <v>39152</v>
      </c>
      <c r="E16469">
        <v>63.04</v>
      </c>
    </row>
    <row r="16470" spans="1:5" x14ac:dyDescent="0.2">
      <c r="A16470">
        <v>39153</v>
      </c>
      <c r="B16470" t="s">
        <v>31</v>
      </c>
      <c r="C16470">
        <v>39153</v>
      </c>
      <c r="D16470" t="str">
        <f>"39153"</f>
        <v>39153</v>
      </c>
      <c r="E16470">
        <v>60.15</v>
      </c>
    </row>
    <row r="16471" spans="1:5" x14ac:dyDescent="0.2">
      <c r="A16471">
        <v>39154</v>
      </c>
      <c r="B16471" t="s">
        <v>31</v>
      </c>
      <c r="C16471">
        <v>39154</v>
      </c>
      <c r="D16471" t="str">
        <f>"39154"</f>
        <v>39154</v>
      </c>
      <c r="E16471">
        <v>72.87</v>
      </c>
    </row>
    <row r="16472" spans="1:5" x14ac:dyDescent="0.2">
      <c r="A16472">
        <v>39156</v>
      </c>
      <c r="B16472" t="s">
        <v>31</v>
      </c>
      <c r="C16472">
        <v>39156</v>
      </c>
      <c r="D16472" t="str">
        <f>"39156"</f>
        <v>39156</v>
      </c>
      <c r="E16472">
        <v>60</v>
      </c>
    </row>
    <row r="16473" spans="1:5" x14ac:dyDescent="0.2">
      <c r="A16473">
        <v>39157</v>
      </c>
      <c r="B16473" t="s">
        <v>31</v>
      </c>
      <c r="C16473">
        <v>39157</v>
      </c>
      <c r="D16473" t="str">
        <f>"39157"</f>
        <v>39157</v>
      </c>
      <c r="E16473">
        <v>70.38</v>
      </c>
    </row>
    <row r="16474" spans="1:5" x14ac:dyDescent="0.2">
      <c r="A16474">
        <v>39159</v>
      </c>
      <c r="B16474" t="s">
        <v>31</v>
      </c>
      <c r="C16474">
        <v>39159</v>
      </c>
      <c r="D16474" t="str">
        <f>"39159"</f>
        <v>39159</v>
      </c>
      <c r="E16474">
        <v>50.91</v>
      </c>
    </row>
    <row r="16475" spans="1:5" x14ac:dyDescent="0.2">
      <c r="A16475">
        <v>39160</v>
      </c>
      <c r="B16475" t="s">
        <v>31</v>
      </c>
      <c r="C16475">
        <v>39160</v>
      </c>
      <c r="D16475" t="str">
        <f>"39160"</f>
        <v>39160</v>
      </c>
      <c r="E16475">
        <v>55.05</v>
      </c>
    </row>
    <row r="16476" spans="1:5" x14ac:dyDescent="0.2">
      <c r="A16476">
        <v>39162</v>
      </c>
      <c r="B16476" t="s">
        <v>31</v>
      </c>
      <c r="C16476">
        <v>39162</v>
      </c>
      <c r="D16476" t="str">
        <f>"39162"</f>
        <v>39162</v>
      </c>
      <c r="E16476">
        <v>77.78</v>
      </c>
    </row>
    <row r="16477" spans="1:5" x14ac:dyDescent="0.2">
      <c r="A16477">
        <v>39166</v>
      </c>
      <c r="B16477" t="s">
        <v>31</v>
      </c>
      <c r="C16477">
        <v>39166</v>
      </c>
      <c r="D16477" t="str">
        <f>"39166"</f>
        <v>39166</v>
      </c>
      <c r="E16477">
        <v>36.840000000000003</v>
      </c>
    </row>
    <row r="16478" spans="1:5" x14ac:dyDescent="0.2">
      <c r="A16478">
        <v>39167</v>
      </c>
      <c r="B16478" t="s">
        <v>31</v>
      </c>
      <c r="C16478">
        <v>39167</v>
      </c>
      <c r="D16478" t="str">
        <f>"39167"</f>
        <v>39167</v>
      </c>
      <c r="E16478" t="s">
        <v>6</v>
      </c>
    </row>
    <row r="16479" spans="1:5" x14ac:dyDescent="0.2">
      <c r="A16479">
        <v>39168</v>
      </c>
      <c r="B16479" t="s">
        <v>31</v>
      </c>
      <c r="C16479">
        <v>39168</v>
      </c>
      <c r="D16479" t="str">
        <f>"39168"</f>
        <v>39168</v>
      </c>
      <c r="E16479">
        <v>57.58</v>
      </c>
    </row>
    <row r="16480" spans="1:5" x14ac:dyDescent="0.2">
      <c r="A16480">
        <v>39169</v>
      </c>
      <c r="B16480" t="s">
        <v>31</v>
      </c>
      <c r="C16480">
        <v>39169</v>
      </c>
      <c r="D16480" t="str">
        <f>"39169"</f>
        <v>39169</v>
      </c>
      <c r="E16480">
        <v>36.61</v>
      </c>
    </row>
    <row r="16481" spans="1:5" x14ac:dyDescent="0.2">
      <c r="A16481">
        <v>39170</v>
      </c>
      <c r="B16481" t="s">
        <v>31</v>
      </c>
      <c r="C16481">
        <v>39170</v>
      </c>
      <c r="D16481" t="str">
        <f>"39170"</f>
        <v>39170</v>
      </c>
      <c r="E16481">
        <v>70.95</v>
      </c>
    </row>
    <row r="16482" spans="1:5" x14ac:dyDescent="0.2">
      <c r="A16482">
        <v>39173</v>
      </c>
      <c r="B16482" t="s">
        <v>31</v>
      </c>
      <c r="C16482">
        <v>39173</v>
      </c>
      <c r="D16482" t="str">
        <f>"39173"</f>
        <v>39173</v>
      </c>
      <c r="E16482" t="s">
        <v>6</v>
      </c>
    </row>
    <row r="16483" spans="1:5" x14ac:dyDescent="0.2">
      <c r="A16483">
        <v>39174</v>
      </c>
      <c r="B16483" t="s">
        <v>31</v>
      </c>
      <c r="C16483">
        <v>39174</v>
      </c>
      <c r="D16483" t="str">
        <f>"39174"</f>
        <v>39174</v>
      </c>
      <c r="E16483" t="s">
        <v>6</v>
      </c>
    </row>
    <row r="16484" spans="1:5" x14ac:dyDescent="0.2">
      <c r="A16484">
        <v>39175</v>
      </c>
      <c r="B16484" t="s">
        <v>31</v>
      </c>
      <c r="C16484">
        <v>39175</v>
      </c>
      <c r="D16484" t="str">
        <f>"39175"</f>
        <v>39175</v>
      </c>
      <c r="E16484">
        <v>58.91</v>
      </c>
    </row>
    <row r="16485" spans="1:5" x14ac:dyDescent="0.2">
      <c r="A16485">
        <v>39176</v>
      </c>
      <c r="B16485" t="s">
        <v>31</v>
      </c>
      <c r="C16485">
        <v>39176</v>
      </c>
      <c r="D16485" t="str">
        <f>"39176"</f>
        <v>39176</v>
      </c>
      <c r="E16485">
        <v>55.41</v>
      </c>
    </row>
    <row r="16486" spans="1:5" x14ac:dyDescent="0.2">
      <c r="A16486">
        <v>39177</v>
      </c>
      <c r="B16486" t="s">
        <v>31</v>
      </c>
      <c r="C16486">
        <v>39177</v>
      </c>
      <c r="D16486" t="str">
        <f>"39177"</f>
        <v>39177</v>
      </c>
      <c r="E16486" t="s">
        <v>6</v>
      </c>
    </row>
    <row r="16487" spans="1:5" x14ac:dyDescent="0.2">
      <c r="A16487">
        <v>39179</v>
      </c>
      <c r="B16487" t="s">
        <v>31</v>
      </c>
      <c r="C16487">
        <v>39179</v>
      </c>
      <c r="D16487" t="str">
        <f>"39179"</f>
        <v>39179</v>
      </c>
      <c r="E16487">
        <v>53.19</v>
      </c>
    </row>
    <row r="16488" spans="1:5" x14ac:dyDescent="0.2">
      <c r="A16488">
        <v>39180</v>
      </c>
      <c r="B16488" t="s">
        <v>31</v>
      </c>
      <c r="C16488">
        <v>39180</v>
      </c>
      <c r="D16488" t="str">
        <f>"39180"</f>
        <v>39180</v>
      </c>
      <c r="E16488">
        <v>59.05</v>
      </c>
    </row>
    <row r="16489" spans="1:5" x14ac:dyDescent="0.2">
      <c r="A16489">
        <v>39182</v>
      </c>
      <c r="B16489" t="s">
        <v>31</v>
      </c>
      <c r="C16489">
        <v>39182</v>
      </c>
      <c r="D16489" t="str">
        <f>"39182"</f>
        <v>39182</v>
      </c>
      <c r="E16489" t="s">
        <v>6</v>
      </c>
    </row>
    <row r="16490" spans="1:5" x14ac:dyDescent="0.2">
      <c r="A16490">
        <v>39183</v>
      </c>
      <c r="B16490" t="s">
        <v>31</v>
      </c>
      <c r="C16490">
        <v>39183</v>
      </c>
      <c r="D16490" t="str">
        <f>"39183"</f>
        <v>39183</v>
      </c>
      <c r="E16490">
        <v>63.2</v>
      </c>
    </row>
    <row r="16491" spans="1:5" x14ac:dyDescent="0.2">
      <c r="A16491">
        <v>39189</v>
      </c>
      <c r="B16491" t="s">
        <v>31</v>
      </c>
      <c r="C16491">
        <v>39189</v>
      </c>
      <c r="D16491" t="str">
        <f>"39189"</f>
        <v>39189</v>
      </c>
      <c r="E16491">
        <v>53.9</v>
      </c>
    </row>
    <row r="16492" spans="1:5" x14ac:dyDescent="0.2">
      <c r="A16492">
        <v>39191</v>
      </c>
      <c r="B16492" t="s">
        <v>31</v>
      </c>
      <c r="C16492">
        <v>39191</v>
      </c>
      <c r="D16492" t="str">
        <f>"39191"</f>
        <v>39191</v>
      </c>
      <c r="E16492">
        <v>67.209999999999994</v>
      </c>
    </row>
    <row r="16493" spans="1:5" x14ac:dyDescent="0.2">
      <c r="A16493">
        <v>39192</v>
      </c>
      <c r="B16493" t="s">
        <v>31</v>
      </c>
      <c r="C16493">
        <v>39192</v>
      </c>
      <c r="D16493" t="str">
        <f>"39192"</f>
        <v>39192</v>
      </c>
      <c r="E16493">
        <v>60</v>
      </c>
    </row>
    <row r="16494" spans="1:5" x14ac:dyDescent="0.2">
      <c r="A16494">
        <v>39194</v>
      </c>
      <c r="B16494" t="s">
        <v>31</v>
      </c>
      <c r="C16494">
        <v>39194</v>
      </c>
      <c r="D16494" t="str">
        <f>"39194"</f>
        <v>39194</v>
      </c>
      <c r="E16494">
        <v>46.78</v>
      </c>
    </row>
    <row r="16495" spans="1:5" x14ac:dyDescent="0.2">
      <c r="A16495">
        <v>39201</v>
      </c>
      <c r="B16495" t="s">
        <v>31</v>
      </c>
      <c r="C16495">
        <v>39201</v>
      </c>
      <c r="D16495" t="str">
        <f>"39201"</f>
        <v>39201</v>
      </c>
      <c r="E16495">
        <v>73.08</v>
      </c>
    </row>
    <row r="16496" spans="1:5" x14ac:dyDescent="0.2">
      <c r="A16496">
        <v>39202</v>
      </c>
      <c r="B16496" t="s">
        <v>31</v>
      </c>
      <c r="C16496">
        <v>39202</v>
      </c>
      <c r="D16496" t="str">
        <f>"39202"</f>
        <v>39202</v>
      </c>
      <c r="E16496">
        <v>63.91</v>
      </c>
    </row>
    <row r="16497" spans="1:5" x14ac:dyDescent="0.2">
      <c r="A16497">
        <v>39203</v>
      </c>
      <c r="B16497" t="s">
        <v>31</v>
      </c>
      <c r="C16497">
        <v>39203</v>
      </c>
      <c r="D16497" t="str">
        <f>"39203"</f>
        <v>39203</v>
      </c>
      <c r="E16497">
        <v>39.520000000000003</v>
      </c>
    </row>
    <row r="16498" spans="1:5" x14ac:dyDescent="0.2">
      <c r="A16498">
        <v>39204</v>
      </c>
      <c r="B16498" t="s">
        <v>31</v>
      </c>
      <c r="C16498">
        <v>39204</v>
      </c>
      <c r="D16498" t="str">
        <f>"39204"</f>
        <v>39204</v>
      </c>
      <c r="E16498">
        <v>38.82</v>
      </c>
    </row>
    <row r="16499" spans="1:5" x14ac:dyDescent="0.2">
      <c r="A16499">
        <v>39206</v>
      </c>
      <c r="B16499" t="s">
        <v>31</v>
      </c>
      <c r="C16499">
        <v>39206</v>
      </c>
      <c r="D16499" t="str">
        <f>"39206"</f>
        <v>39206</v>
      </c>
      <c r="E16499">
        <v>52.84</v>
      </c>
    </row>
    <row r="16500" spans="1:5" x14ac:dyDescent="0.2">
      <c r="A16500">
        <v>39208</v>
      </c>
      <c r="B16500" t="s">
        <v>31</v>
      </c>
      <c r="C16500">
        <v>39208</v>
      </c>
      <c r="D16500" t="str">
        <f>"39208"</f>
        <v>39208</v>
      </c>
      <c r="E16500">
        <v>65.709999999999994</v>
      </c>
    </row>
    <row r="16501" spans="1:5" x14ac:dyDescent="0.2">
      <c r="A16501">
        <v>39209</v>
      </c>
      <c r="B16501" t="s">
        <v>31</v>
      </c>
      <c r="C16501">
        <v>39209</v>
      </c>
      <c r="D16501" t="str">
        <f>"39209"</f>
        <v>39209</v>
      </c>
      <c r="E16501">
        <v>44.3</v>
      </c>
    </row>
    <row r="16502" spans="1:5" x14ac:dyDescent="0.2">
      <c r="A16502">
        <v>39210</v>
      </c>
      <c r="B16502" t="s">
        <v>31</v>
      </c>
      <c r="C16502">
        <v>39210</v>
      </c>
      <c r="D16502" t="str">
        <f>"39210"</f>
        <v>39210</v>
      </c>
      <c r="E16502" t="s">
        <v>6</v>
      </c>
    </row>
    <row r="16503" spans="1:5" x14ac:dyDescent="0.2">
      <c r="A16503">
        <v>39211</v>
      </c>
      <c r="B16503" t="s">
        <v>31</v>
      </c>
      <c r="C16503">
        <v>39211</v>
      </c>
      <c r="D16503" t="str">
        <f>"39211"</f>
        <v>39211</v>
      </c>
      <c r="E16503">
        <v>69.77</v>
      </c>
    </row>
    <row r="16504" spans="1:5" x14ac:dyDescent="0.2">
      <c r="A16504">
        <v>39212</v>
      </c>
      <c r="B16504" t="s">
        <v>31</v>
      </c>
      <c r="C16504">
        <v>39212</v>
      </c>
      <c r="D16504" t="str">
        <f>"39212"</f>
        <v>39212</v>
      </c>
      <c r="E16504">
        <v>48.31</v>
      </c>
    </row>
    <row r="16505" spans="1:5" x14ac:dyDescent="0.2">
      <c r="A16505">
        <v>39213</v>
      </c>
      <c r="B16505" t="s">
        <v>31</v>
      </c>
      <c r="C16505">
        <v>39213</v>
      </c>
      <c r="D16505" t="str">
        <f>"39213"</f>
        <v>39213</v>
      </c>
      <c r="E16505">
        <v>45.18</v>
      </c>
    </row>
    <row r="16506" spans="1:5" x14ac:dyDescent="0.2">
      <c r="A16506">
        <v>39216</v>
      </c>
      <c r="B16506" t="s">
        <v>31</v>
      </c>
      <c r="C16506">
        <v>39216</v>
      </c>
      <c r="D16506" t="str">
        <f>"39216"</f>
        <v>39216</v>
      </c>
      <c r="E16506">
        <v>70.3</v>
      </c>
    </row>
    <row r="16507" spans="1:5" x14ac:dyDescent="0.2">
      <c r="A16507">
        <v>39217</v>
      </c>
      <c r="B16507" t="s">
        <v>31</v>
      </c>
      <c r="C16507">
        <v>39217</v>
      </c>
      <c r="D16507" t="str">
        <f>"39217"</f>
        <v>39217</v>
      </c>
      <c r="E16507" t="s">
        <v>6</v>
      </c>
    </row>
    <row r="16508" spans="1:5" x14ac:dyDescent="0.2">
      <c r="A16508">
        <v>39218</v>
      </c>
      <c r="B16508" t="s">
        <v>31</v>
      </c>
      <c r="C16508">
        <v>39218</v>
      </c>
      <c r="D16508" t="str">
        <f>"39218"</f>
        <v>39218</v>
      </c>
      <c r="E16508">
        <v>64.59</v>
      </c>
    </row>
    <row r="16509" spans="1:5" x14ac:dyDescent="0.2">
      <c r="A16509">
        <v>39232</v>
      </c>
      <c r="B16509" t="s">
        <v>31</v>
      </c>
      <c r="C16509">
        <v>39232</v>
      </c>
      <c r="D16509" t="str">
        <f>"39232"</f>
        <v>39232</v>
      </c>
      <c r="E16509">
        <v>77</v>
      </c>
    </row>
    <row r="16510" spans="1:5" x14ac:dyDescent="0.2">
      <c r="A16510">
        <v>39269</v>
      </c>
      <c r="B16510" t="s">
        <v>31</v>
      </c>
      <c r="C16510">
        <v>39269</v>
      </c>
      <c r="D16510" t="str">
        <f>"39269"</f>
        <v>39269</v>
      </c>
      <c r="E16510" t="s">
        <v>6</v>
      </c>
    </row>
    <row r="16511" spans="1:5" x14ac:dyDescent="0.2">
      <c r="A16511">
        <v>39272</v>
      </c>
      <c r="B16511" t="s">
        <v>31</v>
      </c>
      <c r="C16511">
        <v>39272</v>
      </c>
      <c r="D16511" t="str">
        <f>"39272"</f>
        <v>39272</v>
      </c>
      <c r="E16511">
        <v>64.83</v>
      </c>
    </row>
    <row r="16512" spans="1:5" x14ac:dyDescent="0.2">
      <c r="A16512">
        <v>39301</v>
      </c>
      <c r="B16512" t="s">
        <v>31</v>
      </c>
      <c r="C16512">
        <v>39301</v>
      </c>
      <c r="D16512" t="str">
        <f>"39301"</f>
        <v>39301</v>
      </c>
      <c r="E16512">
        <v>57.63</v>
      </c>
    </row>
    <row r="16513" spans="1:5" x14ac:dyDescent="0.2">
      <c r="A16513">
        <v>39304</v>
      </c>
      <c r="B16513" t="s">
        <v>31</v>
      </c>
      <c r="C16513">
        <v>39304</v>
      </c>
      <c r="D16513" t="str">
        <f>"39304"</f>
        <v>39304</v>
      </c>
      <c r="E16513" t="s">
        <v>6</v>
      </c>
    </row>
    <row r="16514" spans="1:5" x14ac:dyDescent="0.2">
      <c r="A16514">
        <v>39305</v>
      </c>
      <c r="B16514" t="s">
        <v>31</v>
      </c>
      <c r="C16514">
        <v>39305</v>
      </c>
      <c r="D16514" t="str">
        <f>"39305"</f>
        <v>39305</v>
      </c>
      <c r="E16514">
        <v>70.290000000000006</v>
      </c>
    </row>
    <row r="16515" spans="1:5" x14ac:dyDescent="0.2">
      <c r="A16515">
        <v>39307</v>
      </c>
      <c r="B16515" t="s">
        <v>31</v>
      </c>
      <c r="C16515">
        <v>39307</v>
      </c>
      <c r="D16515" t="str">
        <f>"39307"</f>
        <v>39307</v>
      </c>
      <c r="E16515">
        <v>48.69</v>
      </c>
    </row>
    <row r="16516" spans="1:5" x14ac:dyDescent="0.2">
      <c r="A16516">
        <v>39309</v>
      </c>
      <c r="B16516" t="s">
        <v>31</v>
      </c>
      <c r="C16516">
        <v>39309</v>
      </c>
      <c r="D16516" t="str">
        <f>"39309"</f>
        <v>39309</v>
      </c>
      <c r="E16516" t="s">
        <v>6</v>
      </c>
    </row>
    <row r="16517" spans="1:5" x14ac:dyDescent="0.2">
      <c r="A16517">
        <v>39320</v>
      </c>
      <c r="B16517" t="s">
        <v>31</v>
      </c>
      <c r="C16517">
        <v>39320</v>
      </c>
      <c r="D16517" t="str">
        <f>"39320"</f>
        <v>39320</v>
      </c>
      <c r="E16517">
        <v>75.709999999999994</v>
      </c>
    </row>
    <row r="16518" spans="1:5" x14ac:dyDescent="0.2">
      <c r="A16518">
        <v>39322</v>
      </c>
      <c r="B16518" t="s">
        <v>31</v>
      </c>
      <c r="C16518">
        <v>39322</v>
      </c>
      <c r="D16518" t="str">
        <f>"39322"</f>
        <v>39322</v>
      </c>
      <c r="E16518">
        <v>49.3</v>
      </c>
    </row>
    <row r="16519" spans="1:5" x14ac:dyDescent="0.2">
      <c r="A16519">
        <v>39323</v>
      </c>
      <c r="B16519" t="s">
        <v>31</v>
      </c>
      <c r="C16519">
        <v>39323</v>
      </c>
      <c r="D16519" t="str">
        <f>"39323"</f>
        <v>39323</v>
      </c>
      <c r="E16519">
        <v>70</v>
      </c>
    </row>
    <row r="16520" spans="1:5" x14ac:dyDescent="0.2">
      <c r="A16520">
        <v>39325</v>
      </c>
      <c r="B16520" t="s">
        <v>31</v>
      </c>
      <c r="C16520">
        <v>39325</v>
      </c>
      <c r="D16520" t="str">
        <f>"39325"</f>
        <v>39325</v>
      </c>
      <c r="E16520">
        <v>73.12</v>
      </c>
    </row>
    <row r="16521" spans="1:5" x14ac:dyDescent="0.2">
      <c r="A16521">
        <v>39326</v>
      </c>
      <c r="B16521" t="s">
        <v>31</v>
      </c>
      <c r="C16521">
        <v>39326</v>
      </c>
      <c r="D16521" t="str">
        <f>"39326"</f>
        <v>39326</v>
      </c>
      <c r="E16521">
        <v>62.96</v>
      </c>
    </row>
    <row r="16522" spans="1:5" x14ac:dyDescent="0.2">
      <c r="A16522">
        <v>39327</v>
      </c>
      <c r="B16522" t="s">
        <v>31</v>
      </c>
      <c r="C16522">
        <v>39327</v>
      </c>
      <c r="D16522" t="str">
        <f>"39327"</f>
        <v>39327</v>
      </c>
      <c r="E16522">
        <v>67.739999999999995</v>
      </c>
    </row>
    <row r="16523" spans="1:5" x14ac:dyDescent="0.2">
      <c r="A16523">
        <v>39328</v>
      </c>
      <c r="B16523" t="s">
        <v>31</v>
      </c>
      <c r="C16523">
        <v>39328</v>
      </c>
      <c r="D16523" t="str">
        <f>"39328"</f>
        <v>39328</v>
      </c>
      <c r="E16523">
        <v>56.18</v>
      </c>
    </row>
    <row r="16524" spans="1:5" x14ac:dyDescent="0.2">
      <c r="A16524">
        <v>39330</v>
      </c>
      <c r="B16524" t="s">
        <v>31</v>
      </c>
      <c r="C16524">
        <v>39330</v>
      </c>
      <c r="D16524" t="str">
        <f>"39330"</f>
        <v>39330</v>
      </c>
      <c r="E16524">
        <v>69.569999999999993</v>
      </c>
    </row>
    <row r="16525" spans="1:5" x14ac:dyDescent="0.2">
      <c r="A16525">
        <v>39332</v>
      </c>
      <c r="B16525" t="s">
        <v>31</v>
      </c>
      <c r="C16525">
        <v>39332</v>
      </c>
      <c r="D16525" t="str">
        <f>"39332"</f>
        <v>39332</v>
      </c>
      <c r="E16525">
        <v>65.33</v>
      </c>
    </row>
    <row r="16526" spans="1:5" x14ac:dyDescent="0.2">
      <c r="A16526">
        <v>39335</v>
      </c>
      <c r="B16526" t="s">
        <v>31</v>
      </c>
      <c r="C16526">
        <v>39335</v>
      </c>
      <c r="D16526" t="str">
        <f>"39335"</f>
        <v>39335</v>
      </c>
      <c r="E16526">
        <v>63.57</v>
      </c>
    </row>
    <row r="16527" spans="1:5" x14ac:dyDescent="0.2">
      <c r="A16527">
        <v>39336</v>
      </c>
      <c r="B16527" t="s">
        <v>31</v>
      </c>
      <c r="C16527">
        <v>39336</v>
      </c>
      <c r="D16527" t="str">
        <f>"39336"</f>
        <v>39336</v>
      </c>
      <c r="E16527">
        <v>55.56</v>
      </c>
    </row>
    <row r="16528" spans="1:5" x14ac:dyDescent="0.2">
      <c r="A16528">
        <v>39337</v>
      </c>
      <c r="B16528" t="s">
        <v>31</v>
      </c>
      <c r="C16528">
        <v>39337</v>
      </c>
      <c r="D16528" t="str">
        <f>"39337"</f>
        <v>39337</v>
      </c>
      <c r="E16528">
        <v>72.73</v>
      </c>
    </row>
    <row r="16529" spans="1:5" x14ac:dyDescent="0.2">
      <c r="A16529">
        <v>39338</v>
      </c>
      <c r="B16529" t="s">
        <v>31</v>
      </c>
      <c r="C16529">
        <v>39338</v>
      </c>
      <c r="D16529" t="str">
        <f>"39338"</f>
        <v>39338</v>
      </c>
      <c r="E16529">
        <v>54.92</v>
      </c>
    </row>
    <row r="16530" spans="1:5" x14ac:dyDescent="0.2">
      <c r="A16530">
        <v>39339</v>
      </c>
      <c r="B16530" t="s">
        <v>31</v>
      </c>
      <c r="C16530">
        <v>39339</v>
      </c>
      <c r="D16530" t="str">
        <f>"39339"</f>
        <v>39339</v>
      </c>
      <c r="E16530">
        <v>58.05</v>
      </c>
    </row>
    <row r="16531" spans="1:5" x14ac:dyDescent="0.2">
      <c r="A16531">
        <v>39341</v>
      </c>
      <c r="B16531" t="s">
        <v>31</v>
      </c>
      <c r="C16531">
        <v>39341</v>
      </c>
      <c r="D16531" t="str">
        <f>"39341"</f>
        <v>39341</v>
      </c>
      <c r="E16531">
        <v>45.42</v>
      </c>
    </row>
    <row r="16532" spans="1:5" x14ac:dyDescent="0.2">
      <c r="A16532">
        <v>39342</v>
      </c>
      <c r="B16532" t="s">
        <v>31</v>
      </c>
      <c r="C16532">
        <v>39342</v>
      </c>
      <c r="D16532" t="str">
        <f>"39342"</f>
        <v>39342</v>
      </c>
      <c r="E16532">
        <v>54.17</v>
      </c>
    </row>
    <row r="16533" spans="1:5" x14ac:dyDescent="0.2">
      <c r="A16533">
        <v>39345</v>
      </c>
      <c r="B16533" t="s">
        <v>31</v>
      </c>
      <c r="C16533">
        <v>39345</v>
      </c>
      <c r="D16533" t="str">
        <f>"39345"</f>
        <v>39345</v>
      </c>
      <c r="E16533">
        <v>56.83</v>
      </c>
    </row>
    <row r="16534" spans="1:5" x14ac:dyDescent="0.2">
      <c r="A16534">
        <v>39346</v>
      </c>
      <c r="B16534" t="s">
        <v>31</v>
      </c>
      <c r="C16534">
        <v>39346</v>
      </c>
      <c r="D16534" t="str">
        <f>"39346"</f>
        <v>39346</v>
      </c>
      <c r="E16534">
        <v>61.63</v>
      </c>
    </row>
    <row r="16535" spans="1:5" x14ac:dyDescent="0.2">
      <c r="A16535">
        <v>39347</v>
      </c>
      <c r="B16535" t="s">
        <v>31</v>
      </c>
      <c r="C16535">
        <v>39347</v>
      </c>
      <c r="D16535" t="str">
        <f>"39347"</f>
        <v>39347</v>
      </c>
      <c r="E16535">
        <v>61.11</v>
      </c>
    </row>
    <row r="16536" spans="1:5" x14ac:dyDescent="0.2">
      <c r="A16536">
        <v>39348</v>
      </c>
      <c r="B16536" t="s">
        <v>31</v>
      </c>
      <c r="C16536">
        <v>39348</v>
      </c>
      <c r="D16536" t="str">
        <f>"39348"</f>
        <v>39348</v>
      </c>
      <c r="E16536">
        <v>46.15</v>
      </c>
    </row>
    <row r="16537" spans="1:5" x14ac:dyDescent="0.2">
      <c r="A16537">
        <v>39350</v>
      </c>
      <c r="B16537" t="s">
        <v>31</v>
      </c>
      <c r="C16537">
        <v>39350</v>
      </c>
      <c r="D16537" t="str">
        <f>"39350"</f>
        <v>39350</v>
      </c>
      <c r="E16537">
        <v>58.18</v>
      </c>
    </row>
    <row r="16538" spans="1:5" x14ac:dyDescent="0.2">
      <c r="A16538">
        <v>39352</v>
      </c>
      <c r="B16538" t="s">
        <v>31</v>
      </c>
      <c r="C16538">
        <v>39352</v>
      </c>
      <c r="D16538" t="str">
        <f>"39352"</f>
        <v>39352</v>
      </c>
      <c r="E16538">
        <v>52.94</v>
      </c>
    </row>
    <row r="16539" spans="1:5" x14ac:dyDescent="0.2">
      <c r="A16539">
        <v>39354</v>
      </c>
      <c r="B16539" t="s">
        <v>31</v>
      </c>
      <c r="C16539">
        <v>39354</v>
      </c>
      <c r="D16539" t="str">
        <f>"39354"</f>
        <v>39354</v>
      </c>
      <c r="E16539">
        <v>58.9</v>
      </c>
    </row>
    <row r="16540" spans="1:5" x14ac:dyDescent="0.2">
      <c r="A16540">
        <v>39355</v>
      </c>
      <c r="B16540" t="s">
        <v>31</v>
      </c>
      <c r="C16540">
        <v>39355</v>
      </c>
      <c r="D16540" t="str">
        <f>"39355"</f>
        <v>39355</v>
      </c>
      <c r="E16540">
        <v>63.18</v>
      </c>
    </row>
    <row r="16541" spans="1:5" x14ac:dyDescent="0.2">
      <c r="A16541">
        <v>39356</v>
      </c>
      <c r="B16541" t="s">
        <v>31</v>
      </c>
      <c r="C16541">
        <v>39356</v>
      </c>
      <c r="D16541" t="str">
        <f>"39356"</f>
        <v>39356</v>
      </c>
      <c r="E16541">
        <v>64</v>
      </c>
    </row>
    <row r="16542" spans="1:5" x14ac:dyDescent="0.2">
      <c r="A16542">
        <v>39358</v>
      </c>
      <c r="B16542" t="s">
        <v>31</v>
      </c>
      <c r="C16542">
        <v>39358</v>
      </c>
      <c r="D16542" t="str">
        <f>"39358"</f>
        <v>39358</v>
      </c>
      <c r="E16542">
        <v>58.93</v>
      </c>
    </row>
    <row r="16543" spans="1:5" x14ac:dyDescent="0.2">
      <c r="A16543">
        <v>39359</v>
      </c>
      <c r="B16543" t="s">
        <v>31</v>
      </c>
      <c r="C16543">
        <v>39359</v>
      </c>
      <c r="D16543" t="str">
        <f>"39359"</f>
        <v>39359</v>
      </c>
      <c r="E16543" t="s">
        <v>6</v>
      </c>
    </row>
    <row r="16544" spans="1:5" x14ac:dyDescent="0.2">
      <c r="A16544">
        <v>39360</v>
      </c>
      <c r="B16544" t="s">
        <v>31</v>
      </c>
      <c r="C16544">
        <v>39360</v>
      </c>
      <c r="D16544" t="str">
        <f>"39360"</f>
        <v>39360</v>
      </c>
      <c r="E16544">
        <v>52.05</v>
      </c>
    </row>
    <row r="16545" spans="1:5" x14ac:dyDescent="0.2">
      <c r="A16545">
        <v>39361</v>
      </c>
      <c r="B16545" t="s">
        <v>31</v>
      </c>
      <c r="C16545">
        <v>39361</v>
      </c>
      <c r="D16545" t="str">
        <f>"39361"</f>
        <v>39361</v>
      </c>
      <c r="E16545">
        <v>55.56</v>
      </c>
    </row>
    <row r="16546" spans="1:5" x14ac:dyDescent="0.2">
      <c r="A16546">
        <v>39362</v>
      </c>
      <c r="B16546" t="s">
        <v>31</v>
      </c>
      <c r="C16546">
        <v>39362</v>
      </c>
      <c r="D16546" t="str">
        <f>"39362"</f>
        <v>39362</v>
      </c>
      <c r="E16546">
        <v>50.49</v>
      </c>
    </row>
    <row r="16547" spans="1:5" x14ac:dyDescent="0.2">
      <c r="A16547">
        <v>39363</v>
      </c>
      <c r="B16547" t="s">
        <v>31</v>
      </c>
      <c r="C16547">
        <v>39363</v>
      </c>
      <c r="D16547" t="str">
        <f>"39363"</f>
        <v>39363</v>
      </c>
      <c r="E16547">
        <v>55</v>
      </c>
    </row>
    <row r="16548" spans="1:5" x14ac:dyDescent="0.2">
      <c r="A16548">
        <v>39364</v>
      </c>
      <c r="B16548" t="s">
        <v>31</v>
      </c>
      <c r="C16548">
        <v>39364</v>
      </c>
      <c r="D16548" t="str">
        <f>"39364"</f>
        <v>39364</v>
      </c>
      <c r="E16548">
        <v>57.72</v>
      </c>
    </row>
    <row r="16549" spans="1:5" x14ac:dyDescent="0.2">
      <c r="A16549">
        <v>39365</v>
      </c>
      <c r="B16549" t="s">
        <v>31</v>
      </c>
      <c r="C16549">
        <v>39365</v>
      </c>
      <c r="D16549" t="str">
        <f>"39365"</f>
        <v>39365</v>
      </c>
      <c r="E16549">
        <v>63.19</v>
      </c>
    </row>
    <row r="16550" spans="1:5" x14ac:dyDescent="0.2">
      <c r="A16550">
        <v>39366</v>
      </c>
      <c r="B16550" t="s">
        <v>31</v>
      </c>
      <c r="C16550">
        <v>39366</v>
      </c>
      <c r="D16550" t="str">
        <f>"39366"</f>
        <v>39366</v>
      </c>
      <c r="E16550">
        <v>54.9</v>
      </c>
    </row>
    <row r="16551" spans="1:5" x14ac:dyDescent="0.2">
      <c r="A16551">
        <v>39367</v>
      </c>
      <c r="B16551" t="s">
        <v>31</v>
      </c>
      <c r="C16551">
        <v>39367</v>
      </c>
      <c r="D16551" t="str">
        <f>"39367"</f>
        <v>39367</v>
      </c>
      <c r="E16551">
        <v>53.76</v>
      </c>
    </row>
    <row r="16552" spans="1:5" x14ac:dyDescent="0.2">
      <c r="A16552">
        <v>39401</v>
      </c>
      <c r="B16552" t="s">
        <v>31</v>
      </c>
      <c r="C16552">
        <v>39401</v>
      </c>
      <c r="D16552" t="str">
        <f>"39401"</f>
        <v>39401</v>
      </c>
      <c r="E16552">
        <v>53.96</v>
      </c>
    </row>
    <row r="16553" spans="1:5" x14ac:dyDescent="0.2">
      <c r="A16553">
        <v>39402</v>
      </c>
      <c r="B16553" t="s">
        <v>31</v>
      </c>
      <c r="C16553">
        <v>39402</v>
      </c>
      <c r="D16553" t="str">
        <f>"39402"</f>
        <v>39402</v>
      </c>
      <c r="E16553">
        <v>68.28</v>
      </c>
    </row>
    <row r="16554" spans="1:5" x14ac:dyDescent="0.2">
      <c r="A16554">
        <v>39406</v>
      </c>
      <c r="B16554" t="s">
        <v>31</v>
      </c>
      <c r="C16554">
        <v>39406</v>
      </c>
      <c r="D16554" t="str">
        <f>"39406"</f>
        <v>39406</v>
      </c>
      <c r="E16554" t="s">
        <v>6</v>
      </c>
    </row>
    <row r="16555" spans="1:5" x14ac:dyDescent="0.2">
      <c r="A16555">
        <v>39407</v>
      </c>
      <c r="B16555" t="s">
        <v>31</v>
      </c>
      <c r="C16555">
        <v>39407</v>
      </c>
      <c r="D16555" t="str">
        <f>"39407"</f>
        <v>39407</v>
      </c>
      <c r="E16555" t="s">
        <v>6</v>
      </c>
    </row>
    <row r="16556" spans="1:5" x14ac:dyDescent="0.2">
      <c r="A16556">
        <v>39421</v>
      </c>
      <c r="B16556" t="s">
        <v>31</v>
      </c>
      <c r="C16556">
        <v>39421</v>
      </c>
      <c r="D16556" t="str">
        <f>"39421"</f>
        <v>39421</v>
      </c>
      <c r="E16556">
        <v>53.13</v>
      </c>
    </row>
    <row r="16557" spans="1:5" x14ac:dyDescent="0.2">
      <c r="A16557">
        <v>39422</v>
      </c>
      <c r="B16557" t="s">
        <v>31</v>
      </c>
      <c r="C16557">
        <v>39422</v>
      </c>
      <c r="D16557" t="str">
        <f>"39422"</f>
        <v>39422</v>
      </c>
      <c r="E16557">
        <v>59.64</v>
      </c>
    </row>
    <row r="16558" spans="1:5" x14ac:dyDescent="0.2">
      <c r="A16558">
        <v>39423</v>
      </c>
      <c r="B16558" t="s">
        <v>31</v>
      </c>
      <c r="C16558">
        <v>39423</v>
      </c>
      <c r="D16558" t="str">
        <f>"39423"</f>
        <v>39423</v>
      </c>
      <c r="E16558">
        <v>55.79</v>
      </c>
    </row>
    <row r="16559" spans="1:5" x14ac:dyDescent="0.2">
      <c r="A16559">
        <v>39425</v>
      </c>
      <c r="B16559" t="s">
        <v>31</v>
      </c>
      <c r="C16559">
        <v>39425</v>
      </c>
      <c r="D16559" t="str">
        <f>"39425"</f>
        <v>39425</v>
      </c>
      <c r="E16559">
        <v>61.29</v>
      </c>
    </row>
    <row r="16560" spans="1:5" x14ac:dyDescent="0.2">
      <c r="A16560">
        <v>39426</v>
      </c>
      <c r="B16560" t="s">
        <v>31</v>
      </c>
      <c r="C16560">
        <v>39426</v>
      </c>
      <c r="D16560" t="str">
        <f>"39426"</f>
        <v>39426</v>
      </c>
      <c r="E16560">
        <v>69.069999999999993</v>
      </c>
    </row>
    <row r="16561" spans="1:5" x14ac:dyDescent="0.2">
      <c r="A16561">
        <v>39427</v>
      </c>
      <c r="B16561" t="s">
        <v>31</v>
      </c>
      <c r="C16561">
        <v>39427</v>
      </c>
      <c r="D16561" t="str">
        <f>"39427"</f>
        <v>39427</v>
      </c>
      <c r="E16561">
        <v>55.1</v>
      </c>
    </row>
    <row r="16562" spans="1:5" x14ac:dyDescent="0.2">
      <c r="A16562">
        <v>39428</v>
      </c>
      <c r="B16562" t="s">
        <v>31</v>
      </c>
      <c r="C16562">
        <v>39428</v>
      </c>
      <c r="D16562" t="str">
        <f>"39428"</f>
        <v>39428</v>
      </c>
      <c r="E16562">
        <v>55.17</v>
      </c>
    </row>
    <row r="16563" spans="1:5" x14ac:dyDescent="0.2">
      <c r="A16563">
        <v>39429</v>
      </c>
      <c r="B16563" t="s">
        <v>31</v>
      </c>
      <c r="C16563">
        <v>39429</v>
      </c>
      <c r="D16563" t="str">
        <f>"39429"</f>
        <v>39429</v>
      </c>
      <c r="E16563">
        <v>57.86</v>
      </c>
    </row>
    <row r="16564" spans="1:5" x14ac:dyDescent="0.2">
      <c r="A16564">
        <v>39436</v>
      </c>
      <c r="B16564" t="s">
        <v>31</v>
      </c>
      <c r="C16564">
        <v>39436</v>
      </c>
      <c r="D16564" t="str">
        <f>"39436"</f>
        <v>39436</v>
      </c>
      <c r="E16564" t="s">
        <v>6</v>
      </c>
    </row>
    <row r="16565" spans="1:5" x14ac:dyDescent="0.2">
      <c r="A16565">
        <v>39437</v>
      </c>
      <c r="B16565" t="s">
        <v>31</v>
      </c>
      <c r="C16565">
        <v>39437</v>
      </c>
      <c r="D16565" t="str">
        <f>"39437"</f>
        <v>39437</v>
      </c>
      <c r="E16565">
        <v>65.09</v>
      </c>
    </row>
    <row r="16566" spans="1:5" x14ac:dyDescent="0.2">
      <c r="A16566">
        <v>39439</v>
      </c>
      <c r="B16566" t="s">
        <v>31</v>
      </c>
      <c r="C16566">
        <v>39439</v>
      </c>
      <c r="D16566" t="str">
        <f>"39439"</f>
        <v>39439</v>
      </c>
      <c r="E16566">
        <v>53.14</v>
      </c>
    </row>
    <row r="16567" spans="1:5" x14ac:dyDescent="0.2">
      <c r="A16567">
        <v>39440</v>
      </c>
      <c r="B16567" t="s">
        <v>31</v>
      </c>
      <c r="C16567">
        <v>39440</v>
      </c>
      <c r="D16567" t="str">
        <f>"39440"</f>
        <v>39440</v>
      </c>
      <c r="E16567">
        <v>45.8</v>
      </c>
    </row>
    <row r="16568" spans="1:5" x14ac:dyDescent="0.2">
      <c r="A16568">
        <v>39443</v>
      </c>
      <c r="B16568" t="s">
        <v>31</v>
      </c>
      <c r="C16568">
        <v>39443</v>
      </c>
      <c r="D16568" t="str">
        <f>"39443"</f>
        <v>39443</v>
      </c>
      <c r="E16568">
        <v>64.739999999999995</v>
      </c>
    </row>
    <row r="16569" spans="1:5" x14ac:dyDescent="0.2">
      <c r="A16569">
        <v>39451</v>
      </c>
      <c r="B16569" t="s">
        <v>31</v>
      </c>
      <c r="C16569">
        <v>39451</v>
      </c>
      <c r="D16569" t="str">
        <f>"39451"</f>
        <v>39451</v>
      </c>
      <c r="E16569">
        <v>65.56</v>
      </c>
    </row>
    <row r="16570" spans="1:5" x14ac:dyDescent="0.2">
      <c r="A16570">
        <v>39452</v>
      </c>
      <c r="B16570" t="s">
        <v>31</v>
      </c>
      <c r="C16570">
        <v>39452</v>
      </c>
      <c r="D16570" t="str">
        <f>"39452"</f>
        <v>39452</v>
      </c>
      <c r="E16570">
        <v>64.77</v>
      </c>
    </row>
    <row r="16571" spans="1:5" x14ac:dyDescent="0.2">
      <c r="A16571">
        <v>39455</v>
      </c>
      <c r="B16571" t="s">
        <v>31</v>
      </c>
      <c r="C16571">
        <v>39455</v>
      </c>
      <c r="D16571" t="str">
        <f>"39455"</f>
        <v>39455</v>
      </c>
      <c r="E16571">
        <v>61.11</v>
      </c>
    </row>
    <row r="16572" spans="1:5" x14ac:dyDescent="0.2">
      <c r="A16572">
        <v>39456</v>
      </c>
      <c r="B16572" t="s">
        <v>31</v>
      </c>
      <c r="C16572">
        <v>39456</v>
      </c>
      <c r="D16572" t="str">
        <f>"39456"</f>
        <v>39456</v>
      </c>
      <c r="E16572">
        <v>60.38</v>
      </c>
    </row>
    <row r="16573" spans="1:5" x14ac:dyDescent="0.2">
      <c r="A16573">
        <v>39459</v>
      </c>
      <c r="B16573" t="s">
        <v>31</v>
      </c>
      <c r="C16573">
        <v>39459</v>
      </c>
      <c r="D16573" t="str">
        <f>"39459"</f>
        <v>39459</v>
      </c>
      <c r="E16573">
        <v>64.709999999999994</v>
      </c>
    </row>
    <row r="16574" spans="1:5" x14ac:dyDescent="0.2">
      <c r="A16574">
        <v>39461</v>
      </c>
      <c r="B16574" t="s">
        <v>31</v>
      </c>
      <c r="C16574">
        <v>39461</v>
      </c>
      <c r="D16574" t="str">
        <f>"39461"</f>
        <v>39461</v>
      </c>
      <c r="E16574">
        <v>68.180000000000007</v>
      </c>
    </row>
    <row r="16575" spans="1:5" x14ac:dyDescent="0.2">
      <c r="A16575">
        <v>39462</v>
      </c>
      <c r="B16575" t="s">
        <v>31</v>
      </c>
      <c r="C16575">
        <v>39462</v>
      </c>
      <c r="D16575" t="str">
        <f>"39462"</f>
        <v>39462</v>
      </c>
      <c r="E16575">
        <v>56.52</v>
      </c>
    </row>
    <row r="16576" spans="1:5" x14ac:dyDescent="0.2">
      <c r="A16576">
        <v>39464</v>
      </c>
      <c r="B16576" t="s">
        <v>31</v>
      </c>
      <c r="C16576">
        <v>39464</v>
      </c>
      <c r="D16576" t="str">
        <f>"39464"</f>
        <v>39464</v>
      </c>
      <c r="E16576">
        <v>63.64</v>
      </c>
    </row>
    <row r="16577" spans="1:5" x14ac:dyDescent="0.2">
      <c r="A16577">
        <v>39465</v>
      </c>
      <c r="B16577" t="s">
        <v>31</v>
      </c>
      <c r="C16577">
        <v>39465</v>
      </c>
      <c r="D16577" t="str">
        <f>"39465"</f>
        <v>39465</v>
      </c>
      <c r="E16577">
        <v>67.209999999999994</v>
      </c>
    </row>
    <row r="16578" spans="1:5" x14ac:dyDescent="0.2">
      <c r="A16578">
        <v>39466</v>
      </c>
      <c r="B16578" t="s">
        <v>31</v>
      </c>
      <c r="C16578">
        <v>39466</v>
      </c>
      <c r="D16578" t="str">
        <f>"39466"</f>
        <v>39466</v>
      </c>
      <c r="E16578">
        <v>61.01</v>
      </c>
    </row>
    <row r="16579" spans="1:5" x14ac:dyDescent="0.2">
      <c r="A16579">
        <v>39470</v>
      </c>
      <c r="B16579" t="s">
        <v>31</v>
      </c>
      <c r="C16579">
        <v>39470</v>
      </c>
      <c r="D16579" t="str">
        <f>"39470"</f>
        <v>39470</v>
      </c>
      <c r="E16579">
        <v>65.989999999999995</v>
      </c>
    </row>
    <row r="16580" spans="1:5" x14ac:dyDescent="0.2">
      <c r="A16580">
        <v>39474</v>
      </c>
      <c r="B16580" t="s">
        <v>31</v>
      </c>
      <c r="C16580">
        <v>39474</v>
      </c>
      <c r="D16580" t="str">
        <f>"39474"</f>
        <v>39474</v>
      </c>
      <c r="E16580">
        <v>50.43</v>
      </c>
    </row>
    <row r="16581" spans="1:5" x14ac:dyDescent="0.2">
      <c r="A16581">
        <v>39475</v>
      </c>
      <c r="B16581" t="s">
        <v>31</v>
      </c>
      <c r="C16581">
        <v>39475</v>
      </c>
      <c r="D16581" t="str">
        <f>"39475"</f>
        <v>39475</v>
      </c>
      <c r="E16581">
        <v>67.430000000000007</v>
      </c>
    </row>
    <row r="16582" spans="1:5" x14ac:dyDescent="0.2">
      <c r="A16582">
        <v>39476</v>
      </c>
      <c r="B16582" t="s">
        <v>31</v>
      </c>
      <c r="C16582">
        <v>39476</v>
      </c>
      <c r="D16582" t="str">
        <f>"39476"</f>
        <v>39476</v>
      </c>
      <c r="E16582">
        <v>61.96</v>
      </c>
    </row>
    <row r="16583" spans="1:5" x14ac:dyDescent="0.2">
      <c r="A16583">
        <v>39477</v>
      </c>
      <c r="B16583" t="s">
        <v>31</v>
      </c>
      <c r="C16583">
        <v>39477</v>
      </c>
      <c r="D16583" t="str">
        <f>"39477"</f>
        <v>39477</v>
      </c>
      <c r="E16583" t="s">
        <v>6</v>
      </c>
    </row>
    <row r="16584" spans="1:5" x14ac:dyDescent="0.2">
      <c r="A16584">
        <v>39478</v>
      </c>
      <c r="B16584" t="s">
        <v>31</v>
      </c>
      <c r="C16584">
        <v>39478</v>
      </c>
      <c r="D16584" t="str">
        <f>"39478"</f>
        <v>39478</v>
      </c>
      <c r="E16584">
        <v>64.290000000000006</v>
      </c>
    </row>
    <row r="16585" spans="1:5" x14ac:dyDescent="0.2">
      <c r="A16585">
        <v>39479</v>
      </c>
      <c r="B16585" t="s">
        <v>31</v>
      </c>
      <c r="C16585">
        <v>39479</v>
      </c>
      <c r="D16585" t="str">
        <f>"39479"</f>
        <v>39479</v>
      </c>
      <c r="E16585">
        <v>64.73</v>
      </c>
    </row>
    <row r="16586" spans="1:5" x14ac:dyDescent="0.2">
      <c r="A16586">
        <v>39480</v>
      </c>
      <c r="B16586" t="s">
        <v>31</v>
      </c>
      <c r="C16586">
        <v>39480</v>
      </c>
      <c r="D16586" t="str">
        <f>"39480"</f>
        <v>39480</v>
      </c>
      <c r="E16586">
        <v>66.67</v>
      </c>
    </row>
    <row r="16587" spans="1:5" x14ac:dyDescent="0.2">
      <c r="A16587">
        <v>39481</v>
      </c>
      <c r="B16587" t="s">
        <v>31</v>
      </c>
      <c r="C16587">
        <v>39481</v>
      </c>
      <c r="D16587" t="str">
        <f>"39481"</f>
        <v>39481</v>
      </c>
      <c r="E16587">
        <v>69.010000000000005</v>
      </c>
    </row>
    <row r="16588" spans="1:5" x14ac:dyDescent="0.2">
      <c r="A16588">
        <v>39482</v>
      </c>
      <c r="B16588" t="s">
        <v>31</v>
      </c>
      <c r="C16588">
        <v>39482</v>
      </c>
      <c r="D16588" t="str">
        <f>"39482"</f>
        <v>39482</v>
      </c>
      <c r="E16588">
        <v>66.349999999999994</v>
      </c>
    </row>
    <row r="16589" spans="1:5" x14ac:dyDescent="0.2">
      <c r="A16589">
        <v>39483</v>
      </c>
      <c r="B16589" t="s">
        <v>31</v>
      </c>
      <c r="C16589">
        <v>39483</v>
      </c>
      <c r="D16589" t="str">
        <f>"39483"</f>
        <v>39483</v>
      </c>
      <c r="E16589">
        <v>58.74</v>
      </c>
    </row>
    <row r="16590" spans="1:5" x14ac:dyDescent="0.2">
      <c r="A16590">
        <v>39501</v>
      </c>
      <c r="B16590" t="s">
        <v>31</v>
      </c>
      <c r="C16590">
        <v>39501</v>
      </c>
      <c r="D16590" t="str">
        <f>"39501"</f>
        <v>39501</v>
      </c>
      <c r="E16590">
        <v>46.81</v>
      </c>
    </row>
    <row r="16591" spans="1:5" x14ac:dyDescent="0.2">
      <c r="A16591">
        <v>39503</v>
      </c>
      <c r="B16591" t="s">
        <v>31</v>
      </c>
      <c r="C16591">
        <v>39503</v>
      </c>
      <c r="D16591" t="str">
        <f>"39503"</f>
        <v>39503</v>
      </c>
      <c r="E16591">
        <v>62.21</v>
      </c>
    </row>
    <row r="16592" spans="1:5" x14ac:dyDescent="0.2">
      <c r="A16592">
        <v>39507</v>
      </c>
      <c r="B16592" t="s">
        <v>31</v>
      </c>
      <c r="C16592">
        <v>39507</v>
      </c>
      <c r="D16592" t="str">
        <f>"39507"</f>
        <v>39507</v>
      </c>
      <c r="E16592">
        <v>67.61</v>
      </c>
    </row>
    <row r="16593" spans="1:5" x14ac:dyDescent="0.2">
      <c r="A16593">
        <v>39520</v>
      </c>
      <c r="B16593" t="s">
        <v>31</v>
      </c>
      <c r="C16593">
        <v>39520</v>
      </c>
      <c r="D16593" t="str">
        <f>"39520"</f>
        <v>39520</v>
      </c>
      <c r="E16593">
        <v>60.9</v>
      </c>
    </row>
    <row r="16594" spans="1:5" x14ac:dyDescent="0.2">
      <c r="A16594">
        <v>39525</v>
      </c>
      <c r="B16594" t="s">
        <v>31</v>
      </c>
      <c r="C16594">
        <v>39525</v>
      </c>
      <c r="D16594" t="str">
        <f>"39525"</f>
        <v>39525</v>
      </c>
      <c r="E16594">
        <v>78.17</v>
      </c>
    </row>
    <row r="16595" spans="1:5" x14ac:dyDescent="0.2">
      <c r="A16595">
        <v>39530</v>
      </c>
      <c r="B16595" t="s">
        <v>31</v>
      </c>
      <c r="C16595">
        <v>39530</v>
      </c>
      <c r="D16595" t="str">
        <f>"39530"</f>
        <v>39530</v>
      </c>
      <c r="E16595">
        <v>55.26</v>
      </c>
    </row>
    <row r="16596" spans="1:5" x14ac:dyDescent="0.2">
      <c r="A16596">
        <v>39531</v>
      </c>
      <c r="B16596" t="s">
        <v>31</v>
      </c>
      <c r="C16596">
        <v>39531</v>
      </c>
      <c r="D16596" t="str">
        <f>"39531"</f>
        <v>39531</v>
      </c>
      <c r="E16596">
        <v>61.94</v>
      </c>
    </row>
    <row r="16597" spans="1:5" x14ac:dyDescent="0.2">
      <c r="A16597">
        <v>39532</v>
      </c>
      <c r="B16597" t="s">
        <v>31</v>
      </c>
      <c r="C16597">
        <v>39532</v>
      </c>
      <c r="D16597" t="str">
        <f>"39532"</f>
        <v>39532</v>
      </c>
      <c r="E16597">
        <v>69.38</v>
      </c>
    </row>
    <row r="16598" spans="1:5" x14ac:dyDescent="0.2">
      <c r="A16598">
        <v>39534</v>
      </c>
      <c r="B16598" t="s">
        <v>31</v>
      </c>
      <c r="C16598">
        <v>39534</v>
      </c>
      <c r="D16598" t="str">
        <f>"39534"</f>
        <v>39534</v>
      </c>
      <c r="E16598" t="s">
        <v>6</v>
      </c>
    </row>
    <row r="16599" spans="1:5" x14ac:dyDescent="0.2">
      <c r="A16599">
        <v>39540</v>
      </c>
      <c r="B16599" t="s">
        <v>31</v>
      </c>
      <c r="C16599">
        <v>39540</v>
      </c>
      <c r="D16599" t="str">
        <f>"39540"</f>
        <v>39540</v>
      </c>
      <c r="E16599">
        <v>66.900000000000006</v>
      </c>
    </row>
    <row r="16600" spans="1:5" x14ac:dyDescent="0.2">
      <c r="A16600">
        <v>39553</v>
      </c>
      <c r="B16600" t="s">
        <v>31</v>
      </c>
      <c r="C16600">
        <v>39553</v>
      </c>
      <c r="D16600" t="str">
        <f>"39553"</f>
        <v>39553</v>
      </c>
      <c r="E16600">
        <v>63.47</v>
      </c>
    </row>
    <row r="16601" spans="1:5" x14ac:dyDescent="0.2">
      <c r="A16601">
        <v>39556</v>
      </c>
      <c r="B16601" t="s">
        <v>31</v>
      </c>
      <c r="C16601">
        <v>39556</v>
      </c>
      <c r="D16601" t="str">
        <f>"39556"</f>
        <v>39556</v>
      </c>
      <c r="E16601">
        <v>63.86</v>
      </c>
    </row>
    <row r="16602" spans="1:5" x14ac:dyDescent="0.2">
      <c r="A16602">
        <v>39560</v>
      </c>
      <c r="B16602" t="s">
        <v>31</v>
      </c>
      <c r="C16602">
        <v>39560</v>
      </c>
      <c r="D16602" t="str">
        <f>"39560"</f>
        <v>39560</v>
      </c>
      <c r="E16602">
        <v>69.62</v>
      </c>
    </row>
    <row r="16603" spans="1:5" x14ac:dyDescent="0.2">
      <c r="A16603">
        <v>39561</v>
      </c>
      <c r="B16603" t="s">
        <v>31</v>
      </c>
      <c r="C16603">
        <v>39561</v>
      </c>
      <c r="D16603" t="str">
        <f>"39561"</f>
        <v>39561</v>
      </c>
      <c r="E16603">
        <v>64</v>
      </c>
    </row>
    <row r="16604" spans="1:5" x14ac:dyDescent="0.2">
      <c r="A16604">
        <v>39562</v>
      </c>
      <c r="B16604" t="s">
        <v>31</v>
      </c>
      <c r="C16604">
        <v>39562</v>
      </c>
      <c r="D16604" t="str">
        <f>"39562"</f>
        <v>39562</v>
      </c>
      <c r="E16604">
        <v>69.36</v>
      </c>
    </row>
    <row r="16605" spans="1:5" x14ac:dyDescent="0.2">
      <c r="A16605">
        <v>39563</v>
      </c>
      <c r="B16605" t="s">
        <v>31</v>
      </c>
      <c r="C16605">
        <v>39563</v>
      </c>
      <c r="D16605" t="str">
        <f>"39563"</f>
        <v>39563</v>
      </c>
      <c r="E16605">
        <v>55.98</v>
      </c>
    </row>
    <row r="16606" spans="1:5" x14ac:dyDescent="0.2">
      <c r="A16606">
        <v>39564</v>
      </c>
      <c r="B16606" t="s">
        <v>31</v>
      </c>
      <c r="C16606">
        <v>39564</v>
      </c>
      <c r="D16606" t="str">
        <f>"39564"</f>
        <v>39564</v>
      </c>
      <c r="E16606">
        <v>72.75</v>
      </c>
    </row>
    <row r="16607" spans="1:5" x14ac:dyDescent="0.2">
      <c r="A16607">
        <v>39565</v>
      </c>
      <c r="B16607" t="s">
        <v>31</v>
      </c>
      <c r="C16607">
        <v>39565</v>
      </c>
      <c r="D16607" t="str">
        <f>"39565"</f>
        <v>39565</v>
      </c>
      <c r="E16607">
        <v>69.36</v>
      </c>
    </row>
    <row r="16608" spans="1:5" x14ac:dyDescent="0.2">
      <c r="A16608">
        <v>39566</v>
      </c>
      <c r="B16608" t="s">
        <v>31</v>
      </c>
      <c r="C16608">
        <v>39566</v>
      </c>
      <c r="D16608" t="str">
        <f>"39566"</f>
        <v>39566</v>
      </c>
      <c r="E16608" t="s">
        <v>6</v>
      </c>
    </row>
    <row r="16609" spans="1:5" x14ac:dyDescent="0.2">
      <c r="A16609">
        <v>39567</v>
      </c>
      <c r="B16609" t="s">
        <v>31</v>
      </c>
      <c r="C16609">
        <v>39567</v>
      </c>
      <c r="D16609" t="str">
        <f>"39567"</f>
        <v>39567</v>
      </c>
      <c r="E16609">
        <v>64.290000000000006</v>
      </c>
    </row>
    <row r="16610" spans="1:5" x14ac:dyDescent="0.2">
      <c r="A16610">
        <v>39571</v>
      </c>
      <c r="B16610" t="s">
        <v>31</v>
      </c>
      <c r="C16610">
        <v>39571</v>
      </c>
      <c r="D16610" t="str">
        <f>"39571"</f>
        <v>39571</v>
      </c>
      <c r="E16610">
        <v>66.95</v>
      </c>
    </row>
    <row r="16611" spans="1:5" x14ac:dyDescent="0.2">
      <c r="A16611">
        <v>39572</v>
      </c>
      <c r="B16611" t="s">
        <v>31</v>
      </c>
      <c r="C16611">
        <v>39572</v>
      </c>
      <c r="D16611" t="str">
        <f>"39572"</f>
        <v>39572</v>
      </c>
      <c r="E16611">
        <v>64.58</v>
      </c>
    </row>
    <row r="16612" spans="1:5" x14ac:dyDescent="0.2">
      <c r="A16612">
        <v>39573</v>
      </c>
      <c r="B16612" t="s">
        <v>31</v>
      </c>
      <c r="C16612">
        <v>39573</v>
      </c>
      <c r="D16612" t="str">
        <f>"39573"</f>
        <v>39573</v>
      </c>
      <c r="E16612">
        <v>65.84</v>
      </c>
    </row>
    <row r="16613" spans="1:5" x14ac:dyDescent="0.2">
      <c r="A16613">
        <v>39574</v>
      </c>
      <c r="B16613" t="s">
        <v>31</v>
      </c>
      <c r="C16613">
        <v>39574</v>
      </c>
      <c r="D16613" t="str">
        <f>"39574"</f>
        <v>39574</v>
      </c>
      <c r="E16613">
        <v>65.260000000000005</v>
      </c>
    </row>
    <row r="16614" spans="1:5" x14ac:dyDescent="0.2">
      <c r="A16614">
        <v>39576</v>
      </c>
      <c r="B16614" t="s">
        <v>31</v>
      </c>
      <c r="C16614">
        <v>39576</v>
      </c>
      <c r="D16614" t="str">
        <f>"39576"</f>
        <v>39576</v>
      </c>
      <c r="E16614">
        <v>63.56</v>
      </c>
    </row>
    <row r="16615" spans="1:5" x14ac:dyDescent="0.2">
      <c r="A16615">
        <v>39577</v>
      </c>
      <c r="B16615" t="s">
        <v>31</v>
      </c>
      <c r="C16615">
        <v>39577</v>
      </c>
      <c r="D16615" t="str">
        <f>"39577"</f>
        <v>39577</v>
      </c>
      <c r="E16615">
        <v>61.52</v>
      </c>
    </row>
    <row r="16616" spans="1:5" x14ac:dyDescent="0.2">
      <c r="A16616">
        <v>39581</v>
      </c>
      <c r="B16616" t="s">
        <v>31</v>
      </c>
      <c r="C16616">
        <v>39581</v>
      </c>
      <c r="D16616" t="str">
        <f>"39581"</f>
        <v>39581</v>
      </c>
      <c r="E16616">
        <v>53.96</v>
      </c>
    </row>
    <row r="16617" spans="1:5" x14ac:dyDescent="0.2">
      <c r="A16617">
        <v>39595</v>
      </c>
      <c r="B16617" t="s">
        <v>31</v>
      </c>
      <c r="C16617">
        <v>39595</v>
      </c>
      <c r="D16617" t="str">
        <f>"39595"</f>
        <v>39595</v>
      </c>
      <c r="E16617" t="s">
        <v>6</v>
      </c>
    </row>
    <row r="16618" spans="1:5" x14ac:dyDescent="0.2">
      <c r="A16618">
        <v>39601</v>
      </c>
      <c r="B16618" t="s">
        <v>31</v>
      </c>
      <c r="C16618">
        <v>39601</v>
      </c>
      <c r="D16618" t="str">
        <f>"39601"</f>
        <v>39601</v>
      </c>
      <c r="E16618">
        <v>61.87</v>
      </c>
    </row>
    <row r="16619" spans="1:5" x14ac:dyDescent="0.2">
      <c r="A16619">
        <v>39629</v>
      </c>
      <c r="B16619" t="s">
        <v>31</v>
      </c>
      <c r="C16619">
        <v>39629</v>
      </c>
      <c r="D16619" t="str">
        <f>"39629"</f>
        <v>39629</v>
      </c>
      <c r="E16619">
        <v>63.29</v>
      </c>
    </row>
    <row r="16620" spans="1:5" x14ac:dyDescent="0.2">
      <c r="A16620">
        <v>39630</v>
      </c>
      <c r="B16620" t="s">
        <v>31</v>
      </c>
      <c r="C16620">
        <v>39630</v>
      </c>
      <c r="D16620" t="str">
        <f>"39630"</f>
        <v>39630</v>
      </c>
      <c r="E16620">
        <v>51.35</v>
      </c>
    </row>
    <row r="16621" spans="1:5" x14ac:dyDescent="0.2">
      <c r="A16621">
        <v>39631</v>
      </c>
      <c r="B16621" t="s">
        <v>31</v>
      </c>
      <c r="C16621">
        <v>39631</v>
      </c>
      <c r="D16621" t="str">
        <f>"39631"</f>
        <v>39631</v>
      </c>
      <c r="E16621">
        <v>50</v>
      </c>
    </row>
    <row r="16622" spans="1:5" x14ac:dyDescent="0.2">
      <c r="A16622">
        <v>39633</v>
      </c>
      <c r="B16622" t="s">
        <v>31</v>
      </c>
      <c r="C16622">
        <v>39633</v>
      </c>
      <c r="D16622" t="str">
        <f>"39633"</f>
        <v>39633</v>
      </c>
      <c r="E16622">
        <v>55.88</v>
      </c>
    </row>
    <row r="16623" spans="1:5" x14ac:dyDescent="0.2">
      <c r="A16623">
        <v>39635</v>
      </c>
      <c r="B16623" t="s">
        <v>31</v>
      </c>
      <c r="C16623">
        <v>39635</v>
      </c>
      <c r="D16623" t="str">
        <f>"39635"</f>
        <v>39635</v>
      </c>
      <c r="E16623" t="s">
        <v>6</v>
      </c>
    </row>
    <row r="16624" spans="1:5" x14ac:dyDescent="0.2">
      <c r="A16624">
        <v>39638</v>
      </c>
      <c r="B16624" t="s">
        <v>31</v>
      </c>
      <c r="C16624">
        <v>39638</v>
      </c>
      <c r="D16624" t="str">
        <f>"39638"</f>
        <v>39638</v>
      </c>
      <c r="E16624">
        <v>54.92</v>
      </c>
    </row>
    <row r="16625" spans="1:5" x14ac:dyDescent="0.2">
      <c r="A16625">
        <v>39641</v>
      </c>
      <c r="B16625" t="s">
        <v>31</v>
      </c>
      <c r="C16625">
        <v>39641</v>
      </c>
      <c r="D16625" t="str">
        <f>"39641"</f>
        <v>39641</v>
      </c>
      <c r="E16625">
        <v>61.59</v>
      </c>
    </row>
    <row r="16626" spans="1:5" x14ac:dyDescent="0.2">
      <c r="A16626">
        <v>39643</v>
      </c>
      <c r="B16626" t="s">
        <v>31</v>
      </c>
      <c r="C16626">
        <v>39643</v>
      </c>
      <c r="D16626" t="str">
        <f>"39643"</f>
        <v>39643</v>
      </c>
      <c r="E16626">
        <v>55.32</v>
      </c>
    </row>
    <row r="16627" spans="1:5" x14ac:dyDescent="0.2">
      <c r="A16627">
        <v>39645</v>
      </c>
      <c r="B16627" t="s">
        <v>31</v>
      </c>
      <c r="C16627">
        <v>39645</v>
      </c>
      <c r="D16627" t="str">
        <f>"39645"</f>
        <v>39645</v>
      </c>
      <c r="E16627">
        <v>63.04</v>
      </c>
    </row>
    <row r="16628" spans="1:5" x14ac:dyDescent="0.2">
      <c r="A16628">
        <v>39647</v>
      </c>
      <c r="B16628" t="s">
        <v>31</v>
      </c>
      <c r="C16628">
        <v>39647</v>
      </c>
      <c r="D16628" t="str">
        <f>"39647"</f>
        <v>39647</v>
      </c>
      <c r="E16628">
        <v>67.44</v>
      </c>
    </row>
    <row r="16629" spans="1:5" x14ac:dyDescent="0.2">
      <c r="A16629">
        <v>39648</v>
      </c>
      <c r="B16629" t="s">
        <v>31</v>
      </c>
      <c r="C16629">
        <v>39648</v>
      </c>
      <c r="D16629" t="str">
        <f>"39648"</f>
        <v>39648</v>
      </c>
      <c r="E16629">
        <v>49.62</v>
      </c>
    </row>
    <row r="16630" spans="1:5" x14ac:dyDescent="0.2">
      <c r="A16630">
        <v>39652</v>
      </c>
      <c r="B16630" t="s">
        <v>31</v>
      </c>
      <c r="C16630">
        <v>39652</v>
      </c>
      <c r="D16630" t="str">
        <f>"39652"</f>
        <v>39652</v>
      </c>
      <c r="E16630">
        <v>53.61</v>
      </c>
    </row>
    <row r="16631" spans="1:5" x14ac:dyDescent="0.2">
      <c r="A16631">
        <v>39653</v>
      </c>
      <c r="B16631" t="s">
        <v>31</v>
      </c>
      <c r="C16631">
        <v>39653</v>
      </c>
      <c r="D16631" t="str">
        <f>"39653"</f>
        <v>39653</v>
      </c>
      <c r="E16631">
        <v>66.06</v>
      </c>
    </row>
    <row r="16632" spans="1:5" x14ac:dyDescent="0.2">
      <c r="A16632">
        <v>39654</v>
      </c>
      <c r="B16632" t="s">
        <v>31</v>
      </c>
      <c r="C16632">
        <v>39654</v>
      </c>
      <c r="D16632" t="str">
        <f>"39654"</f>
        <v>39654</v>
      </c>
      <c r="E16632">
        <v>61.4</v>
      </c>
    </row>
    <row r="16633" spans="1:5" x14ac:dyDescent="0.2">
      <c r="A16633">
        <v>39656</v>
      </c>
      <c r="B16633" t="s">
        <v>31</v>
      </c>
      <c r="C16633">
        <v>39656</v>
      </c>
      <c r="D16633" t="str">
        <f>"39656"</f>
        <v>39656</v>
      </c>
      <c r="E16633">
        <v>55.88</v>
      </c>
    </row>
    <row r="16634" spans="1:5" x14ac:dyDescent="0.2">
      <c r="A16634">
        <v>39657</v>
      </c>
      <c r="B16634" t="s">
        <v>31</v>
      </c>
      <c r="C16634">
        <v>39657</v>
      </c>
      <c r="D16634" t="str">
        <f>"39657"</f>
        <v>39657</v>
      </c>
      <c r="E16634">
        <v>56.52</v>
      </c>
    </row>
    <row r="16635" spans="1:5" x14ac:dyDescent="0.2">
      <c r="A16635">
        <v>39661</v>
      </c>
      <c r="B16635" t="s">
        <v>31</v>
      </c>
      <c r="C16635">
        <v>39661</v>
      </c>
      <c r="D16635" t="str">
        <f>"39661"</f>
        <v>39661</v>
      </c>
      <c r="E16635">
        <v>55.96</v>
      </c>
    </row>
    <row r="16636" spans="1:5" x14ac:dyDescent="0.2">
      <c r="A16636">
        <v>39662</v>
      </c>
      <c r="B16636" t="s">
        <v>31</v>
      </c>
      <c r="C16636">
        <v>39662</v>
      </c>
      <c r="D16636" t="str">
        <f>"39662"</f>
        <v>39662</v>
      </c>
      <c r="E16636">
        <v>70.37</v>
      </c>
    </row>
    <row r="16637" spans="1:5" x14ac:dyDescent="0.2">
      <c r="A16637">
        <v>39663</v>
      </c>
      <c r="B16637" t="s">
        <v>31</v>
      </c>
      <c r="C16637">
        <v>39663</v>
      </c>
      <c r="D16637" t="str">
        <f>"39663"</f>
        <v>39663</v>
      </c>
      <c r="E16637">
        <v>55.66</v>
      </c>
    </row>
    <row r="16638" spans="1:5" x14ac:dyDescent="0.2">
      <c r="A16638">
        <v>39664</v>
      </c>
      <c r="B16638" t="s">
        <v>31</v>
      </c>
      <c r="C16638">
        <v>39664</v>
      </c>
      <c r="D16638" t="str">
        <f>"39664"</f>
        <v>39664</v>
      </c>
      <c r="E16638">
        <v>71.25</v>
      </c>
    </row>
    <row r="16639" spans="1:5" x14ac:dyDescent="0.2">
      <c r="A16639">
        <v>39665</v>
      </c>
      <c r="B16639" t="s">
        <v>31</v>
      </c>
      <c r="C16639">
        <v>39665</v>
      </c>
      <c r="D16639" t="str">
        <f>"39665"</f>
        <v>39665</v>
      </c>
      <c r="E16639">
        <v>62.16</v>
      </c>
    </row>
    <row r="16640" spans="1:5" x14ac:dyDescent="0.2">
      <c r="A16640">
        <v>39666</v>
      </c>
      <c r="B16640" t="s">
        <v>31</v>
      </c>
      <c r="C16640">
        <v>39666</v>
      </c>
      <c r="D16640" t="str">
        <f>"39666"</f>
        <v>39666</v>
      </c>
      <c r="E16640">
        <v>62.89</v>
      </c>
    </row>
    <row r="16641" spans="1:5" x14ac:dyDescent="0.2">
      <c r="A16641">
        <v>39667</v>
      </c>
      <c r="B16641" t="s">
        <v>31</v>
      </c>
      <c r="C16641">
        <v>39667</v>
      </c>
      <c r="D16641" t="str">
        <f>"39667"</f>
        <v>39667</v>
      </c>
      <c r="E16641">
        <v>53.96</v>
      </c>
    </row>
    <row r="16642" spans="1:5" x14ac:dyDescent="0.2">
      <c r="A16642">
        <v>39668</v>
      </c>
      <c r="B16642" t="s">
        <v>31</v>
      </c>
      <c r="C16642">
        <v>39668</v>
      </c>
      <c r="D16642" t="str">
        <f>"39668"</f>
        <v>39668</v>
      </c>
      <c r="E16642">
        <v>53.85</v>
      </c>
    </row>
    <row r="16643" spans="1:5" x14ac:dyDescent="0.2">
      <c r="A16643">
        <v>39669</v>
      </c>
      <c r="B16643" t="s">
        <v>31</v>
      </c>
      <c r="C16643">
        <v>39669</v>
      </c>
      <c r="D16643" t="str">
        <f>"39669"</f>
        <v>39669</v>
      </c>
      <c r="E16643">
        <v>50.49</v>
      </c>
    </row>
    <row r="16644" spans="1:5" x14ac:dyDescent="0.2">
      <c r="A16644">
        <v>39701</v>
      </c>
      <c r="B16644" t="s">
        <v>31</v>
      </c>
      <c r="C16644">
        <v>39701</v>
      </c>
      <c r="D16644" t="str">
        <f>"39701"</f>
        <v>39701</v>
      </c>
      <c r="E16644">
        <v>52.11</v>
      </c>
    </row>
    <row r="16645" spans="1:5" x14ac:dyDescent="0.2">
      <c r="A16645">
        <v>39702</v>
      </c>
      <c r="B16645" t="s">
        <v>31</v>
      </c>
      <c r="C16645">
        <v>39702</v>
      </c>
      <c r="D16645" t="str">
        <f>"39702"</f>
        <v>39702</v>
      </c>
      <c r="E16645">
        <v>58.55</v>
      </c>
    </row>
    <row r="16646" spans="1:5" x14ac:dyDescent="0.2">
      <c r="A16646">
        <v>39705</v>
      </c>
      <c r="B16646" t="s">
        <v>31</v>
      </c>
      <c r="C16646">
        <v>39705</v>
      </c>
      <c r="D16646" t="str">
        <f>"39705"</f>
        <v>39705</v>
      </c>
      <c r="E16646">
        <v>71.709999999999994</v>
      </c>
    </row>
    <row r="16647" spans="1:5" x14ac:dyDescent="0.2">
      <c r="A16647">
        <v>39710</v>
      </c>
      <c r="B16647" t="s">
        <v>31</v>
      </c>
      <c r="C16647">
        <v>39710</v>
      </c>
      <c r="D16647" t="str">
        <f>"39710"</f>
        <v>39710</v>
      </c>
      <c r="E16647" t="s">
        <v>6</v>
      </c>
    </row>
    <row r="16648" spans="1:5" x14ac:dyDescent="0.2">
      <c r="A16648">
        <v>39730</v>
      </c>
      <c r="B16648" t="s">
        <v>31</v>
      </c>
      <c r="C16648">
        <v>39730</v>
      </c>
      <c r="D16648" t="str">
        <f>"39730"</f>
        <v>39730</v>
      </c>
      <c r="E16648">
        <v>57.79</v>
      </c>
    </row>
    <row r="16649" spans="1:5" x14ac:dyDescent="0.2">
      <c r="A16649">
        <v>39735</v>
      </c>
      <c r="B16649" t="s">
        <v>31</v>
      </c>
      <c r="C16649">
        <v>39735</v>
      </c>
      <c r="D16649" t="str">
        <f>"39735"</f>
        <v>39735</v>
      </c>
      <c r="E16649">
        <v>56.71</v>
      </c>
    </row>
    <row r="16650" spans="1:5" x14ac:dyDescent="0.2">
      <c r="A16650">
        <v>39736</v>
      </c>
      <c r="B16650" t="s">
        <v>31</v>
      </c>
      <c r="C16650">
        <v>39736</v>
      </c>
      <c r="D16650" t="str">
        <f>"39736"</f>
        <v>39736</v>
      </c>
      <c r="E16650" t="s">
        <v>6</v>
      </c>
    </row>
    <row r="16651" spans="1:5" x14ac:dyDescent="0.2">
      <c r="A16651">
        <v>39737</v>
      </c>
      <c r="B16651" t="s">
        <v>31</v>
      </c>
      <c r="C16651">
        <v>39737</v>
      </c>
      <c r="D16651" t="str">
        <f>"39737"</f>
        <v>39737</v>
      </c>
      <c r="E16651" t="s">
        <v>6</v>
      </c>
    </row>
    <row r="16652" spans="1:5" x14ac:dyDescent="0.2">
      <c r="A16652">
        <v>39739</v>
      </c>
      <c r="B16652" t="s">
        <v>31</v>
      </c>
      <c r="C16652">
        <v>39739</v>
      </c>
      <c r="D16652" t="str">
        <f>"39739"</f>
        <v>39739</v>
      </c>
      <c r="E16652">
        <v>47.75</v>
      </c>
    </row>
    <row r="16653" spans="1:5" x14ac:dyDescent="0.2">
      <c r="A16653">
        <v>39740</v>
      </c>
      <c r="B16653" t="s">
        <v>31</v>
      </c>
      <c r="C16653">
        <v>39740</v>
      </c>
      <c r="D16653" t="str">
        <f>"39740"</f>
        <v>39740</v>
      </c>
      <c r="E16653">
        <v>72.61</v>
      </c>
    </row>
    <row r="16654" spans="1:5" x14ac:dyDescent="0.2">
      <c r="A16654">
        <v>39741</v>
      </c>
      <c r="B16654" t="s">
        <v>31</v>
      </c>
      <c r="C16654">
        <v>39741</v>
      </c>
      <c r="D16654" t="str">
        <f>"39741"</f>
        <v>39741</v>
      </c>
      <c r="E16654">
        <v>63.79</v>
      </c>
    </row>
    <row r="16655" spans="1:5" x14ac:dyDescent="0.2">
      <c r="A16655">
        <v>39743</v>
      </c>
      <c r="B16655" t="s">
        <v>31</v>
      </c>
      <c r="C16655">
        <v>39743</v>
      </c>
      <c r="D16655" t="str">
        <f>"39743"</f>
        <v>39743</v>
      </c>
      <c r="E16655">
        <v>46.59</v>
      </c>
    </row>
    <row r="16656" spans="1:5" x14ac:dyDescent="0.2">
      <c r="A16656">
        <v>39744</v>
      </c>
      <c r="B16656" t="s">
        <v>31</v>
      </c>
      <c r="C16656">
        <v>39744</v>
      </c>
      <c r="D16656" t="str">
        <f>"39744"</f>
        <v>39744</v>
      </c>
      <c r="E16656">
        <v>59.15</v>
      </c>
    </row>
    <row r="16657" spans="1:5" x14ac:dyDescent="0.2">
      <c r="A16657">
        <v>39745</v>
      </c>
      <c r="B16657" t="s">
        <v>31</v>
      </c>
      <c r="C16657">
        <v>39745</v>
      </c>
      <c r="D16657" t="str">
        <f>"39745"</f>
        <v>39745</v>
      </c>
      <c r="E16657">
        <v>63.89</v>
      </c>
    </row>
    <row r="16658" spans="1:5" x14ac:dyDescent="0.2">
      <c r="A16658">
        <v>39746</v>
      </c>
      <c r="B16658" t="s">
        <v>31</v>
      </c>
      <c r="C16658">
        <v>39746</v>
      </c>
      <c r="D16658" t="str">
        <f>"39746"</f>
        <v>39746</v>
      </c>
      <c r="E16658">
        <v>71.09</v>
      </c>
    </row>
    <row r="16659" spans="1:5" x14ac:dyDescent="0.2">
      <c r="A16659">
        <v>39747</v>
      </c>
      <c r="B16659" t="s">
        <v>31</v>
      </c>
      <c r="C16659">
        <v>39747</v>
      </c>
      <c r="D16659" t="str">
        <f>"39747"</f>
        <v>39747</v>
      </c>
      <c r="E16659">
        <v>62.12</v>
      </c>
    </row>
    <row r="16660" spans="1:5" x14ac:dyDescent="0.2">
      <c r="A16660">
        <v>39750</v>
      </c>
      <c r="B16660" t="s">
        <v>31</v>
      </c>
      <c r="C16660">
        <v>39750</v>
      </c>
      <c r="D16660" t="str">
        <f>"39750"</f>
        <v>39750</v>
      </c>
      <c r="E16660">
        <v>58.87</v>
      </c>
    </row>
    <row r="16661" spans="1:5" x14ac:dyDescent="0.2">
      <c r="A16661">
        <v>39751</v>
      </c>
      <c r="B16661" t="s">
        <v>31</v>
      </c>
      <c r="C16661">
        <v>39751</v>
      </c>
      <c r="D16661" t="str">
        <f>"39751"</f>
        <v>39751</v>
      </c>
      <c r="E16661">
        <v>67.31</v>
      </c>
    </row>
    <row r="16662" spans="1:5" x14ac:dyDescent="0.2">
      <c r="A16662">
        <v>39752</v>
      </c>
      <c r="B16662" t="s">
        <v>31</v>
      </c>
      <c r="C16662">
        <v>39752</v>
      </c>
      <c r="D16662" t="str">
        <f>"39752"</f>
        <v>39752</v>
      </c>
      <c r="E16662">
        <v>68.040000000000006</v>
      </c>
    </row>
    <row r="16663" spans="1:5" x14ac:dyDescent="0.2">
      <c r="A16663">
        <v>39753</v>
      </c>
      <c r="B16663" t="s">
        <v>31</v>
      </c>
      <c r="C16663">
        <v>39753</v>
      </c>
      <c r="D16663" t="str">
        <f>"39753"</f>
        <v>39753</v>
      </c>
      <c r="E16663" t="s">
        <v>6</v>
      </c>
    </row>
    <row r="16664" spans="1:5" x14ac:dyDescent="0.2">
      <c r="A16664">
        <v>39755</v>
      </c>
      <c r="B16664" t="s">
        <v>31</v>
      </c>
      <c r="C16664">
        <v>39755</v>
      </c>
      <c r="D16664" t="str">
        <f>"39755"</f>
        <v>39755</v>
      </c>
      <c r="E16664">
        <v>48.94</v>
      </c>
    </row>
    <row r="16665" spans="1:5" x14ac:dyDescent="0.2">
      <c r="A16665">
        <v>39756</v>
      </c>
      <c r="B16665" t="s">
        <v>31</v>
      </c>
      <c r="C16665">
        <v>39756</v>
      </c>
      <c r="D16665" t="str">
        <f>"39756"</f>
        <v>39756</v>
      </c>
      <c r="E16665">
        <v>50.57</v>
      </c>
    </row>
    <row r="16666" spans="1:5" x14ac:dyDescent="0.2">
      <c r="A16666">
        <v>39759</v>
      </c>
      <c r="B16666" t="s">
        <v>31</v>
      </c>
      <c r="C16666">
        <v>39759</v>
      </c>
      <c r="D16666" t="str">
        <f>"39759"</f>
        <v>39759</v>
      </c>
      <c r="E16666">
        <v>62.16</v>
      </c>
    </row>
    <row r="16667" spans="1:5" x14ac:dyDescent="0.2">
      <c r="A16667">
        <v>39762</v>
      </c>
      <c r="B16667" t="s">
        <v>31</v>
      </c>
      <c r="C16667">
        <v>39762</v>
      </c>
      <c r="D16667" t="str">
        <f>"39762"</f>
        <v>39762</v>
      </c>
      <c r="E16667" t="s">
        <v>6</v>
      </c>
    </row>
    <row r="16668" spans="1:5" x14ac:dyDescent="0.2">
      <c r="A16668">
        <v>39766</v>
      </c>
      <c r="B16668" t="s">
        <v>31</v>
      </c>
      <c r="C16668">
        <v>39766</v>
      </c>
      <c r="D16668" t="str">
        <f>"39766"</f>
        <v>39766</v>
      </c>
      <c r="E16668">
        <v>64.040000000000006</v>
      </c>
    </row>
    <row r="16669" spans="1:5" x14ac:dyDescent="0.2">
      <c r="A16669">
        <v>39767</v>
      </c>
      <c r="B16669" t="s">
        <v>31</v>
      </c>
      <c r="C16669">
        <v>39767</v>
      </c>
      <c r="D16669" t="str">
        <f>"39767"</f>
        <v>39767</v>
      </c>
      <c r="E16669">
        <v>62.96</v>
      </c>
    </row>
    <row r="16670" spans="1:5" x14ac:dyDescent="0.2">
      <c r="A16670">
        <v>39769</v>
      </c>
      <c r="B16670" t="s">
        <v>31</v>
      </c>
      <c r="C16670">
        <v>39769</v>
      </c>
      <c r="D16670" t="str">
        <f>"39769"</f>
        <v>39769</v>
      </c>
      <c r="E16670">
        <v>69.33</v>
      </c>
    </row>
    <row r="16671" spans="1:5" x14ac:dyDescent="0.2">
      <c r="A16671">
        <v>39771</v>
      </c>
      <c r="B16671" t="s">
        <v>31</v>
      </c>
      <c r="C16671">
        <v>39771</v>
      </c>
      <c r="D16671" t="str">
        <f>"39771"</f>
        <v>39771</v>
      </c>
      <c r="E16671" t="s">
        <v>6</v>
      </c>
    </row>
    <row r="16672" spans="1:5" x14ac:dyDescent="0.2">
      <c r="A16672">
        <v>39772</v>
      </c>
      <c r="B16672" t="s">
        <v>31</v>
      </c>
      <c r="C16672">
        <v>39772</v>
      </c>
      <c r="D16672" t="str">
        <f>"39772"</f>
        <v>39772</v>
      </c>
      <c r="E16672">
        <v>49.23</v>
      </c>
    </row>
    <row r="16673" spans="1:5" x14ac:dyDescent="0.2">
      <c r="A16673">
        <v>39773</v>
      </c>
      <c r="B16673" t="s">
        <v>31</v>
      </c>
      <c r="C16673">
        <v>39773</v>
      </c>
      <c r="D16673" t="str">
        <f>"39773"</f>
        <v>39773</v>
      </c>
      <c r="E16673">
        <v>55.56</v>
      </c>
    </row>
    <row r="16674" spans="1:5" x14ac:dyDescent="0.2">
      <c r="A16674">
        <v>39776</v>
      </c>
      <c r="B16674" t="s">
        <v>31</v>
      </c>
      <c r="C16674">
        <v>39776</v>
      </c>
      <c r="D16674" t="str">
        <f>"39776"</f>
        <v>39776</v>
      </c>
      <c r="E16674">
        <v>57.35</v>
      </c>
    </row>
    <row r="16675" spans="1:5" x14ac:dyDescent="0.2">
      <c r="A16675">
        <v>59001</v>
      </c>
      <c r="B16675" t="s">
        <v>32</v>
      </c>
      <c r="C16675">
        <v>59001</v>
      </c>
      <c r="D16675" t="str">
        <f>"59001"</f>
        <v>59001</v>
      </c>
      <c r="E16675">
        <v>75</v>
      </c>
    </row>
    <row r="16676" spans="1:5" x14ac:dyDescent="0.2">
      <c r="A16676">
        <v>59002</v>
      </c>
      <c r="B16676" t="s">
        <v>32</v>
      </c>
      <c r="C16676">
        <v>59002</v>
      </c>
      <c r="D16676" t="str">
        <f>"59002"</f>
        <v>59002</v>
      </c>
      <c r="E16676" t="s">
        <v>6</v>
      </c>
    </row>
    <row r="16677" spans="1:5" x14ac:dyDescent="0.2">
      <c r="A16677">
        <v>59003</v>
      </c>
      <c r="B16677" t="s">
        <v>32</v>
      </c>
      <c r="C16677">
        <v>59003</v>
      </c>
      <c r="D16677" t="str">
        <f>"59003"</f>
        <v>59003</v>
      </c>
      <c r="E16677">
        <v>57.78</v>
      </c>
    </row>
    <row r="16678" spans="1:5" x14ac:dyDescent="0.2">
      <c r="A16678">
        <v>59006</v>
      </c>
      <c r="B16678" t="s">
        <v>32</v>
      </c>
      <c r="C16678">
        <v>59006</v>
      </c>
      <c r="D16678" t="str">
        <f>"59006"</f>
        <v>59006</v>
      </c>
      <c r="E16678">
        <v>65.790000000000006</v>
      </c>
    </row>
    <row r="16679" spans="1:5" x14ac:dyDescent="0.2">
      <c r="A16679">
        <v>59007</v>
      </c>
      <c r="B16679" t="s">
        <v>32</v>
      </c>
      <c r="C16679">
        <v>59007</v>
      </c>
      <c r="D16679" t="str">
        <f>"59007"</f>
        <v>59007</v>
      </c>
      <c r="E16679" t="s">
        <v>6</v>
      </c>
    </row>
    <row r="16680" spans="1:5" x14ac:dyDescent="0.2">
      <c r="A16680">
        <v>59008</v>
      </c>
      <c r="B16680" t="s">
        <v>32</v>
      </c>
      <c r="C16680">
        <v>59008</v>
      </c>
      <c r="D16680" t="str">
        <f>"59008"</f>
        <v>59008</v>
      </c>
      <c r="E16680">
        <v>62.5</v>
      </c>
    </row>
    <row r="16681" spans="1:5" x14ac:dyDescent="0.2">
      <c r="A16681">
        <v>59010</v>
      </c>
      <c r="B16681" t="s">
        <v>32</v>
      </c>
      <c r="C16681">
        <v>59010</v>
      </c>
      <c r="D16681" t="str">
        <f>"59010"</f>
        <v>59010</v>
      </c>
      <c r="E16681" t="s">
        <v>6</v>
      </c>
    </row>
    <row r="16682" spans="1:5" x14ac:dyDescent="0.2">
      <c r="A16682">
        <v>59011</v>
      </c>
      <c r="B16682" t="s">
        <v>32</v>
      </c>
      <c r="C16682">
        <v>59011</v>
      </c>
      <c r="D16682" t="str">
        <f>"59011"</f>
        <v>59011</v>
      </c>
      <c r="E16682">
        <v>68.459999999999994</v>
      </c>
    </row>
    <row r="16683" spans="1:5" x14ac:dyDescent="0.2">
      <c r="A16683">
        <v>59012</v>
      </c>
      <c r="B16683" t="s">
        <v>32</v>
      </c>
      <c r="C16683">
        <v>59012</v>
      </c>
      <c r="D16683" t="str">
        <f>"59012"</f>
        <v>59012</v>
      </c>
      <c r="E16683" t="s">
        <v>6</v>
      </c>
    </row>
    <row r="16684" spans="1:5" x14ac:dyDescent="0.2">
      <c r="A16684">
        <v>59013</v>
      </c>
      <c r="B16684" t="s">
        <v>32</v>
      </c>
      <c r="C16684">
        <v>59013</v>
      </c>
      <c r="D16684" t="str">
        <f>"59013"</f>
        <v>59013</v>
      </c>
      <c r="E16684" t="s">
        <v>6</v>
      </c>
    </row>
    <row r="16685" spans="1:5" x14ac:dyDescent="0.2">
      <c r="A16685">
        <v>59014</v>
      </c>
      <c r="B16685" t="s">
        <v>32</v>
      </c>
      <c r="C16685">
        <v>59014</v>
      </c>
      <c r="D16685" t="str">
        <f>"59014"</f>
        <v>59014</v>
      </c>
      <c r="E16685">
        <v>71.430000000000007</v>
      </c>
    </row>
    <row r="16686" spans="1:5" x14ac:dyDescent="0.2">
      <c r="A16686">
        <v>59015</v>
      </c>
      <c r="B16686" t="s">
        <v>32</v>
      </c>
      <c r="C16686">
        <v>59015</v>
      </c>
      <c r="D16686" t="str">
        <f>"59015"</f>
        <v>59015</v>
      </c>
      <c r="E16686">
        <v>61.9</v>
      </c>
    </row>
    <row r="16687" spans="1:5" x14ac:dyDescent="0.2">
      <c r="A16687">
        <v>59016</v>
      </c>
      <c r="B16687" t="s">
        <v>32</v>
      </c>
      <c r="C16687">
        <v>59016</v>
      </c>
      <c r="D16687" t="str">
        <f>"59016"</f>
        <v>59016</v>
      </c>
      <c r="E16687">
        <v>50</v>
      </c>
    </row>
    <row r="16688" spans="1:5" x14ac:dyDescent="0.2">
      <c r="A16688">
        <v>59018</v>
      </c>
      <c r="B16688" t="s">
        <v>32</v>
      </c>
      <c r="C16688">
        <v>59018</v>
      </c>
      <c r="D16688" t="str">
        <f>"59018"</f>
        <v>59018</v>
      </c>
      <c r="E16688" t="s">
        <v>6</v>
      </c>
    </row>
    <row r="16689" spans="1:5" x14ac:dyDescent="0.2">
      <c r="A16689">
        <v>59019</v>
      </c>
      <c r="B16689" t="s">
        <v>32</v>
      </c>
      <c r="C16689">
        <v>59019</v>
      </c>
      <c r="D16689" t="str">
        <f>"59019"</f>
        <v>59019</v>
      </c>
      <c r="E16689">
        <v>72.86</v>
      </c>
    </row>
    <row r="16690" spans="1:5" x14ac:dyDescent="0.2">
      <c r="A16690">
        <v>59020</v>
      </c>
      <c r="B16690" t="s">
        <v>32</v>
      </c>
      <c r="C16690">
        <v>59020</v>
      </c>
      <c r="D16690" t="str">
        <f>"59020"</f>
        <v>59020</v>
      </c>
      <c r="E16690" t="s">
        <v>6</v>
      </c>
    </row>
    <row r="16691" spans="1:5" x14ac:dyDescent="0.2">
      <c r="A16691">
        <v>59022</v>
      </c>
      <c r="B16691" t="s">
        <v>32</v>
      </c>
      <c r="C16691">
        <v>59022</v>
      </c>
      <c r="D16691" t="str">
        <f>"59022"</f>
        <v>59022</v>
      </c>
      <c r="E16691">
        <v>40.86</v>
      </c>
    </row>
    <row r="16692" spans="1:5" x14ac:dyDescent="0.2">
      <c r="A16692">
        <v>59024</v>
      </c>
      <c r="B16692" t="s">
        <v>32</v>
      </c>
      <c r="C16692">
        <v>59024</v>
      </c>
      <c r="D16692" t="str">
        <f>"59024"</f>
        <v>59024</v>
      </c>
      <c r="E16692">
        <v>64.709999999999994</v>
      </c>
    </row>
    <row r="16693" spans="1:5" x14ac:dyDescent="0.2">
      <c r="A16693">
        <v>59025</v>
      </c>
      <c r="B16693" t="s">
        <v>32</v>
      </c>
      <c r="C16693">
        <v>59025</v>
      </c>
      <c r="D16693" t="str">
        <f>"59025"</f>
        <v>59025</v>
      </c>
      <c r="E16693" t="s">
        <v>6</v>
      </c>
    </row>
    <row r="16694" spans="1:5" x14ac:dyDescent="0.2">
      <c r="A16694">
        <v>59026</v>
      </c>
      <c r="B16694" t="s">
        <v>32</v>
      </c>
      <c r="C16694">
        <v>59026</v>
      </c>
      <c r="D16694" t="str">
        <f>"59026"</f>
        <v>59026</v>
      </c>
      <c r="E16694" t="s">
        <v>6</v>
      </c>
    </row>
    <row r="16695" spans="1:5" x14ac:dyDescent="0.2">
      <c r="A16695">
        <v>59027</v>
      </c>
      <c r="B16695" t="s">
        <v>32</v>
      </c>
      <c r="C16695">
        <v>59027</v>
      </c>
      <c r="D16695" t="str">
        <f>"59027"</f>
        <v>59027</v>
      </c>
      <c r="E16695">
        <v>71.19</v>
      </c>
    </row>
    <row r="16696" spans="1:5" x14ac:dyDescent="0.2">
      <c r="A16696">
        <v>59028</v>
      </c>
      <c r="B16696" t="s">
        <v>32</v>
      </c>
      <c r="C16696">
        <v>59028</v>
      </c>
      <c r="D16696" t="str">
        <f>"59028"</f>
        <v>59028</v>
      </c>
      <c r="E16696">
        <v>61.11</v>
      </c>
    </row>
    <row r="16697" spans="1:5" x14ac:dyDescent="0.2">
      <c r="A16697">
        <v>59029</v>
      </c>
      <c r="B16697" t="s">
        <v>32</v>
      </c>
      <c r="C16697">
        <v>59029</v>
      </c>
      <c r="D16697" t="str">
        <f>"59029"</f>
        <v>59029</v>
      </c>
      <c r="E16697">
        <v>69.7</v>
      </c>
    </row>
    <row r="16698" spans="1:5" x14ac:dyDescent="0.2">
      <c r="A16698">
        <v>59030</v>
      </c>
      <c r="B16698" t="s">
        <v>32</v>
      </c>
      <c r="C16698">
        <v>59030</v>
      </c>
      <c r="D16698" t="str">
        <f>"59030"</f>
        <v>59030</v>
      </c>
      <c r="E16698">
        <v>83.33</v>
      </c>
    </row>
    <row r="16699" spans="1:5" x14ac:dyDescent="0.2">
      <c r="A16699">
        <v>59031</v>
      </c>
      <c r="B16699" t="s">
        <v>32</v>
      </c>
      <c r="C16699">
        <v>59031</v>
      </c>
      <c r="D16699" t="str">
        <f>"59031"</f>
        <v>59031</v>
      </c>
      <c r="E16699">
        <v>43.75</v>
      </c>
    </row>
    <row r="16700" spans="1:5" x14ac:dyDescent="0.2">
      <c r="A16700">
        <v>59032</v>
      </c>
      <c r="B16700" t="s">
        <v>32</v>
      </c>
      <c r="C16700">
        <v>59032</v>
      </c>
      <c r="D16700" t="str">
        <f>"59032"</f>
        <v>59032</v>
      </c>
      <c r="E16700">
        <v>50</v>
      </c>
    </row>
    <row r="16701" spans="1:5" x14ac:dyDescent="0.2">
      <c r="A16701">
        <v>59033</v>
      </c>
      <c r="B16701" t="s">
        <v>32</v>
      </c>
      <c r="C16701">
        <v>59033</v>
      </c>
      <c r="D16701" t="str">
        <f>"59033"</f>
        <v>59033</v>
      </c>
      <c r="E16701" t="s">
        <v>6</v>
      </c>
    </row>
    <row r="16702" spans="1:5" x14ac:dyDescent="0.2">
      <c r="A16702">
        <v>59034</v>
      </c>
      <c r="B16702" t="s">
        <v>32</v>
      </c>
      <c r="C16702">
        <v>59034</v>
      </c>
      <c r="D16702" t="str">
        <f>"59034"</f>
        <v>59034</v>
      </c>
      <c r="E16702">
        <v>66.48</v>
      </c>
    </row>
    <row r="16703" spans="1:5" x14ac:dyDescent="0.2">
      <c r="A16703">
        <v>59035</v>
      </c>
      <c r="B16703" t="s">
        <v>32</v>
      </c>
      <c r="C16703">
        <v>59035</v>
      </c>
      <c r="D16703" t="str">
        <f>"59035"</f>
        <v>59035</v>
      </c>
      <c r="E16703" t="s">
        <v>6</v>
      </c>
    </row>
    <row r="16704" spans="1:5" x14ac:dyDescent="0.2">
      <c r="A16704">
        <v>59036</v>
      </c>
      <c r="B16704" t="s">
        <v>32</v>
      </c>
      <c r="C16704">
        <v>59036</v>
      </c>
      <c r="D16704" t="str">
        <f>"59036"</f>
        <v>59036</v>
      </c>
      <c r="E16704" t="s">
        <v>6</v>
      </c>
    </row>
    <row r="16705" spans="1:5" x14ac:dyDescent="0.2">
      <c r="A16705">
        <v>59037</v>
      </c>
      <c r="B16705" t="s">
        <v>32</v>
      </c>
      <c r="C16705">
        <v>59037</v>
      </c>
      <c r="D16705" t="str">
        <f>"59037"</f>
        <v>59037</v>
      </c>
      <c r="E16705">
        <v>78.41</v>
      </c>
    </row>
    <row r="16706" spans="1:5" x14ac:dyDescent="0.2">
      <c r="A16706">
        <v>59038</v>
      </c>
      <c r="B16706" t="s">
        <v>32</v>
      </c>
      <c r="C16706">
        <v>59038</v>
      </c>
      <c r="D16706" t="str">
        <f>"59038"</f>
        <v>59038</v>
      </c>
      <c r="E16706">
        <v>72.41</v>
      </c>
    </row>
    <row r="16707" spans="1:5" x14ac:dyDescent="0.2">
      <c r="A16707">
        <v>59039</v>
      </c>
      <c r="B16707" t="s">
        <v>32</v>
      </c>
      <c r="C16707">
        <v>59039</v>
      </c>
      <c r="D16707" t="str">
        <f>"59039"</f>
        <v>59039</v>
      </c>
      <c r="E16707" t="s">
        <v>6</v>
      </c>
    </row>
    <row r="16708" spans="1:5" x14ac:dyDescent="0.2">
      <c r="A16708">
        <v>59041</v>
      </c>
      <c r="B16708" t="s">
        <v>32</v>
      </c>
      <c r="C16708">
        <v>59041</v>
      </c>
      <c r="D16708" t="str">
        <f>"59041"</f>
        <v>59041</v>
      </c>
      <c r="E16708">
        <v>75.27</v>
      </c>
    </row>
    <row r="16709" spans="1:5" x14ac:dyDescent="0.2">
      <c r="A16709">
        <v>59043</v>
      </c>
      <c r="B16709" t="s">
        <v>32</v>
      </c>
      <c r="C16709">
        <v>59043</v>
      </c>
      <c r="D16709" t="str">
        <f>"59043"</f>
        <v>59043</v>
      </c>
      <c r="E16709" t="s">
        <v>6</v>
      </c>
    </row>
    <row r="16710" spans="1:5" x14ac:dyDescent="0.2">
      <c r="A16710">
        <v>59044</v>
      </c>
      <c r="B16710" t="s">
        <v>32</v>
      </c>
      <c r="C16710">
        <v>59044</v>
      </c>
      <c r="D16710" t="str">
        <f>"59044"</f>
        <v>59044</v>
      </c>
      <c r="E16710">
        <v>76.41</v>
      </c>
    </row>
    <row r="16711" spans="1:5" x14ac:dyDescent="0.2">
      <c r="A16711">
        <v>59046</v>
      </c>
      <c r="B16711" t="s">
        <v>32</v>
      </c>
      <c r="C16711">
        <v>59046</v>
      </c>
      <c r="D16711" t="str">
        <f>"59046"</f>
        <v>59046</v>
      </c>
      <c r="E16711">
        <v>68.180000000000007</v>
      </c>
    </row>
    <row r="16712" spans="1:5" x14ac:dyDescent="0.2">
      <c r="A16712">
        <v>59047</v>
      </c>
      <c r="B16712" t="s">
        <v>32</v>
      </c>
      <c r="C16712">
        <v>59047</v>
      </c>
      <c r="D16712" t="str">
        <f>"59047"</f>
        <v>59047</v>
      </c>
      <c r="E16712">
        <v>73.540000000000006</v>
      </c>
    </row>
    <row r="16713" spans="1:5" x14ac:dyDescent="0.2">
      <c r="A16713">
        <v>59050</v>
      </c>
      <c r="B16713" t="s">
        <v>32</v>
      </c>
      <c r="C16713">
        <v>59050</v>
      </c>
      <c r="D16713" t="str">
        <f>"59050"</f>
        <v>59050</v>
      </c>
      <c r="E16713">
        <v>44.64</v>
      </c>
    </row>
    <row r="16714" spans="1:5" x14ac:dyDescent="0.2">
      <c r="A16714">
        <v>59052</v>
      </c>
      <c r="B16714" t="s">
        <v>32</v>
      </c>
      <c r="C16714">
        <v>59052</v>
      </c>
      <c r="D16714" t="str">
        <f>"59052"</f>
        <v>59052</v>
      </c>
      <c r="E16714" t="s">
        <v>6</v>
      </c>
    </row>
    <row r="16715" spans="1:5" x14ac:dyDescent="0.2">
      <c r="A16715">
        <v>59053</v>
      </c>
      <c r="B16715" t="s">
        <v>32</v>
      </c>
      <c r="C16715">
        <v>59053</v>
      </c>
      <c r="D16715" t="str">
        <f>"59053"</f>
        <v>59053</v>
      </c>
      <c r="E16715" t="s">
        <v>6</v>
      </c>
    </row>
    <row r="16716" spans="1:5" x14ac:dyDescent="0.2">
      <c r="A16716">
        <v>59054</v>
      </c>
      <c r="B16716" t="s">
        <v>32</v>
      </c>
      <c r="C16716">
        <v>59054</v>
      </c>
      <c r="D16716" t="str">
        <f>"59054"</f>
        <v>59054</v>
      </c>
      <c r="E16716" t="s">
        <v>6</v>
      </c>
    </row>
    <row r="16717" spans="1:5" x14ac:dyDescent="0.2">
      <c r="A16717">
        <v>59055</v>
      </c>
      <c r="B16717" t="s">
        <v>32</v>
      </c>
      <c r="C16717">
        <v>59055</v>
      </c>
      <c r="D16717" t="str">
        <f>"59055"</f>
        <v>59055</v>
      </c>
      <c r="E16717" t="s">
        <v>6</v>
      </c>
    </row>
    <row r="16718" spans="1:5" x14ac:dyDescent="0.2">
      <c r="A16718">
        <v>59057</v>
      </c>
      <c r="B16718" t="s">
        <v>32</v>
      </c>
      <c r="C16718">
        <v>59057</v>
      </c>
      <c r="D16718" t="str">
        <f>"59057"</f>
        <v>59057</v>
      </c>
      <c r="E16718">
        <v>79.41</v>
      </c>
    </row>
    <row r="16719" spans="1:5" x14ac:dyDescent="0.2">
      <c r="A16719">
        <v>59058</v>
      </c>
      <c r="B16719" t="s">
        <v>32</v>
      </c>
      <c r="C16719">
        <v>59058</v>
      </c>
      <c r="D16719" t="str">
        <f>"59058"</f>
        <v>59058</v>
      </c>
      <c r="E16719" t="s">
        <v>6</v>
      </c>
    </row>
    <row r="16720" spans="1:5" x14ac:dyDescent="0.2">
      <c r="A16720">
        <v>59059</v>
      </c>
      <c r="B16720" t="s">
        <v>32</v>
      </c>
      <c r="C16720">
        <v>59059</v>
      </c>
      <c r="D16720" t="str">
        <f>"59059"</f>
        <v>59059</v>
      </c>
      <c r="E16720" t="s">
        <v>6</v>
      </c>
    </row>
    <row r="16721" spans="1:5" x14ac:dyDescent="0.2">
      <c r="A16721">
        <v>59061</v>
      </c>
      <c r="B16721" t="s">
        <v>32</v>
      </c>
      <c r="C16721">
        <v>59061</v>
      </c>
      <c r="D16721" t="str">
        <f>"59061"</f>
        <v>59061</v>
      </c>
      <c r="E16721">
        <v>81.819999999999993</v>
      </c>
    </row>
    <row r="16722" spans="1:5" x14ac:dyDescent="0.2">
      <c r="A16722">
        <v>59062</v>
      </c>
      <c r="B16722" t="s">
        <v>32</v>
      </c>
      <c r="C16722">
        <v>59062</v>
      </c>
      <c r="D16722" t="str">
        <f>"59062"</f>
        <v>59062</v>
      </c>
      <c r="E16722" t="s">
        <v>6</v>
      </c>
    </row>
    <row r="16723" spans="1:5" x14ac:dyDescent="0.2">
      <c r="A16723">
        <v>59063</v>
      </c>
      <c r="B16723" t="s">
        <v>32</v>
      </c>
      <c r="C16723">
        <v>59063</v>
      </c>
      <c r="D16723" t="str">
        <f>"59063"</f>
        <v>59063</v>
      </c>
      <c r="E16723">
        <v>77.23</v>
      </c>
    </row>
    <row r="16724" spans="1:5" x14ac:dyDescent="0.2">
      <c r="A16724">
        <v>59064</v>
      </c>
      <c r="B16724" t="s">
        <v>32</v>
      </c>
      <c r="C16724">
        <v>59064</v>
      </c>
      <c r="D16724" t="str">
        <f>"59064"</f>
        <v>59064</v>
      </c>
      <c r="E16724">
        <v>70</v>
      </c>
    </row>
    <row r="16725" spans="1:5" x14ac:dyDescent="0.2">
      <c r="A16725">
        <v>59065</v>
      </c>
      <c r="B16725" t="s">
        <v>32</v>
      </c>
      <c r="C16725">
        <v>59065</v>
      </c>
      <c r="D16725" t="str">
        <f>"59065"</f>
        <v>59065</v>
      </c>
      <c r="E16725">
        <v>66.67</v>
      </c>
    </row>
    <row r="16726" spans="1:5" x14ac:dyDescent="0.2">
      <c r="A16726">
        <v>59066</v>
      </c>
      <c r="B16726" t="s">
        <v>32</v>
      </c>
      <c r="C16726">
        <v>59066</v>
      </c>
      <c r="D16726" t="str">
        <f>"59066"</f>
        <v>59066</v>
      </c>
      <c r="E16726" t="s">
        <v>6</v>
      </c>
    </row>
    <row r="16727" spans="1:5" x14ac:dyDescent="0.2">
      <c r="A16727">
        <v>59067</v>
      </c>
      <c r="B16727" t="s">
        <v>32</v>
      </c>
      <c r="C16727">
        <v>59067</v>
      </c>
      <c r="D16727" t="str">
        <f>"59067"</f>
        <v>59067</v>
      </c>
      <c r="E16727" t="s">
        <v>6</v>
      </c>
    </row>
    <row r="16728" spans="1:5" x14ac:dyDescent="0.2">
      <c r="A16728">
        <v>59068</v>
      </c>
      <c r="B16728" t="s">
        <v>32</v>
      </c>
      <c r="C16728">
        <v>59068</v>
      </c>
      <c r="D16728" t="str">
        <f>"59068"</f>
        <v>59068</v>
      </c>
      <c r="E16728">
        <v>76.02</v>
      </c>
    </row>
    <row r="16729" spans="1:5" x14ac:dyDescent="0.2">
      <c r="A16729">
        <v>59069</v>
      </c>
      <c r="B16729" t="s">
        <v>32</v>
      </c>
      <c r="C16729">
        <v>59069</v>
      </c>
      <c r="D16729" t="str">
        <f>"59069"</f>
        <v>59069</v>
      </c>
      <c r="E16729">
        <v>69.569999999999993</v>
      </c>
    </row>
    <row r="16730" spans="1:5" x14ac:dyDescent="0.2">
      <c r="A16730">
        <v>59070</v>
      </c>
      <c r="B16730" t="s">
        <v>32</v>
      </c>
      <c r="C16730">
        <v>59070</v>
      </c>
      <c r="D16730" t="str">
        <f>"59070"</f>
        <v>59070</v>
      </c>
      <c r="E16730">
        <v>73.08</v>
      </c>
    </row>
    <row r="16731" spans="1:5" x14ac:dyDescent="0.2">
      <c r="A16731">
        <v>59071</v>
      </c>
      <c r="B16731" t="s">
        <v>32</v>
      </c>
      <c r="C16731">
        <v>59071</v>
      </c>
      <c r="D16731" t="str">
        <f>"59071"</f>
        <v>59071</v>
      </c>
      <c r="E16731" t="s">
        <v>6</v>
      </c>
    </row>
    <row r="16732" spans="1:5" x14ac:dyDescent="0.2">
      <c r="A16732">
        <v>59072</v>
      </c>
      <c r="B16732" t="s">
        <v>32</v>
      </c>
      <c r="C16732">
        <v>59072</v>
      </c>
      <c r="D16732" t="str">
        <f>"59072"</f>
        <v>59072</v>
      </c>
      <c r="E16732">
        <v>68.48</v>
      </c>
    </row>
    <row r="16733" spans="1:5" x14ac:dyDescent="0.2">
      <c r="A16733">
        <v>59074</v>
      </c>
      <c r="B16733" t="s">
        <v>32</v>
      </c>
      <c r="C16733">
        <v>59074</v>
      </c>
      <c r="D16733" t="str">
        <f>"59074"</f>
        <v>59074</v>
      </c>
      <c r="E16733">
        <v>45.83</v>
      </c>
    </row>
    <row r="16734" spans="1:5" x14ac:dyDescent="0.2">
      <c r="A16734">
        <v>59075</v>
      </c>
      <c r="B16734" t="s">
        <v>32</v>
      </c>
      <c r="C16734">
        <v>59075</v>
      </c>
      <c r="D16734" t="str">
        <f>"59075"</f>
        <v>59075</v>
      </c>
      <c r="E16734">
        <v>55.56</v>
      </c>
    </row>
    <row r="16735" spans="1:5" x14ac:dyDescent="0.2">
      <c r="A16735">
        <v>59076</v>
      </c>
      <c r="B16735" t="s">
        <v>32</v>
      </c>
      <c r="C16735">
        <v>59076</v>
      </c>
      <c r="D16735" t="str">
        <f>"59076"</f>
        <v>59076</v>
      </c>
      <c r="E16735" t="s">
        <v>6</v>
      </c>
    </row>
    <row r="16736" spans="1:5" x14ac:dyDescent="0.2">
      <c r="A16736">
        <v>59077</v>
      </c>
      <c r="B16736" t="s">
        <v>32</v>
      </c>
      <c r="C16736">
        <v>59077</v>
      </c>
      <c r="D16736" t="str">
        <f>"59077"</f>
        <v>59077</v>
      </c>
      <c r="E16736" t="s">
        <v>6</v>
      </c>
    </row>
    <row r="16737" spans="1:5" x14ac:dyDescent="0.2">
      <c r="A16737">
        <v>59078</v>
      </c>
      <c r="B16737" t="s">
        <v>32</v>
      </c>
      <c r="C16737">
        <v>59078</v>
      </c>
      <c r="D16737" t="str">
        <f>"59078"</f>
        <v>59078</v>
      </c>
      <c r="E16737" t="s">
        <v>6</v>
      </c>
    </row>
    <row r="16738" spans="1:5" x14ac:dyDescent="0.2">
      <c r="A16738">
        <v>59079</v>
      </c>
      <c r="B16738" t="s">
        <v>32</v>
      </c>
      <c r="C16738">
        <v>59079</v>
      </c>
      <c r="D16738" t="str">
        <f>"59079"</f>
        <v>59079</v>
      </c>
      <c r="E16738">
        <v>75.64</v>
      </c>
    </row>
    <row r="16739" spans="1:5" x14ac:dyDescent="0.2">
      <c r="A16739">
        <v>59081</v>
      </c>
      <c r="B16739" t="s">
        <v>32</v>
      </c>
      <c r="C16739">
        <v>59081</v>
      </c>
      <c r="D16739" t="str">
        <f>"59081"</f>
        <v>59081</v>
      </c>
      <c r="E16739" t="s">
        <v>6</v>
      </c>
    </row>
    <row r="16740" spans="1:5" x14ac:dyDescent="0.2">
      <c r="A16740">
        <v>59082</v>
      </c>
      <c r="B16740" t="s">
        <v>32</v>
      </c>
      <c r="C16740">
        <v>59082</v>
      </c>
      <c r="D16740" t="str">
        <f>"59082"</f>
        <v>59082</v>
      </c>
      <c r="E16740" t="s">
        <v>6</v>
      </c>
    </row>
    <row r="16741" spans="1:5" x14ac:dyDescent="0.2">
      <c r="A16741">
        <v>59083</v>
      </c>
      <c r="B16741" t="s">
        <v>32</v>
      </c>
      <c r="C16741">
        <v>59083</v>
      </c>
      <c r="D16741" t="str">
        <f>"59083"</f>
        <v>59083</v>
      </c>
      <c r="E16741" t="s">
        <v>6</v>
      </c>
    </row>
    <row r="16742" spans="1:5" x14ac:dyDescent="0.2">
      <c r="A16742">
        <v>59085</v>
      </c>
      <c r="B16742" t="s">
        <v>32</v>
      </c>
      <c r="C16742">
        <v>59085</v>
      </c>
      <c r="D16742" t="str">
        <f>"59085"</f>
        <v>59085</v>
      </c>
      <c r="E16742" t="s">
        <v>6</v>
      </c>
    </row>
    <row r="16743" spans="1:5" x14ac:dyDescent="0.2">
      <c r="A16743">
        <v>59086</v>
      </c>
      <c r="B16743" t="s">
        <v>32</v>
      </c>
      <c r="C16743">
        <v>59086</v>
      </c>
      <c r="D16743" t="str">
        <f>"59086"</f>
        <v>59086</v>
      </c>
      <c r="E16743">
        <v>63.89</v>
      </c>
    </row>
    <row r="16744" spans="1:5" x14ac:dyDescent="0.2">
      <c r="A16744">
        <v>59087</v>
      </c>
      <c r="B16744" t="s">
        <v>32</v>
      </c>
      <c r="C16744">
        <v>59087</v>
      </c>
      <c r="D16744" t="str">
        <f>"59087"</f>
        <v>59087</v>
      </c>
      <c r="E16744">
        <v>62.5</v>
      </c>
    </row>
    <row r="16745" spans="1:5" x14ac:dyDescent="0.2">
      <c r="A16745">
        <v>59088</v>
      </c>
      <c r="B16745" t="s">
        <v>32</v>
      </c>
      <c r="C16745">
        <v>59088</v>
      </c>
      <c r="D16745" t="str">
        <f>"59088"</f>
        <v>59088</v>
      </c>
      <c r="E16745">
        <v>74.58</v>
      </c>
    </row>
    <row r="16746" spans="1:5" x14ac:dyDescent="0.2">
      <c r="A16746">
        <v>59089</v>
      </c>
      <c r="B16746" t="s">
        <v>32</v>
      </c>
      <c r="C16746">
        <v>59089</v>
      </c>
      <c r="D16746" t="str">
        <f>"59089"</f>
        <v>59089</v>
      </c>
      <c r="E16746">
        <v>42.86</v>
      </c>
    </row>
    <row r="16747" spans="1:5" x14ac:dyDescent="0.2">
      <c r="A16747">
        <v>59101</v>
      </c>
      <c r="B16747" t="s">
        <v>32</v>
      </c>
      <c r="C16747">
        <v>59101</v>
      </c>
      <c r="D16747" t="str">
        <f>"59101"</f>
        <v>59101</v>
      </c>
      <c r="E16747">
        <v>70.48</v>
      </c>
    </row>
    <row r="16748" spans="1:5" x14ac:dyDescent="0.2">
      <c r="A16748">
        <v>59102</v>
      </c>
      <c r="B16748" t="s">
        <v>32</v>
      </c>
      <c r="C16748">
        <v>59102</v>
      </c>
      <c r="D16748" t="str">
        <f>"59102"</f>
        <v>59102</v>
      </c>
      <c r="E16748">
        <v>75.39</v>
      </c>
    </row>
    <row r="16749" spans="1:5" x14ac:dyDescent="0.2">
      <c r="A16749">
        <v>59105</v>
      </c>
      <c r="B16749" t="s">
        <v>32</v>
      </c>
      <c r="C16749">
        <v>59105</v>
      </c>
      <c r="D16749" t="str">
        <f>"59105"</f>
        <v>59105</v>
      </c>
      <c r="E16749">
        <v>76.06</v>
      </c>
    </row>
    <row r="16750" spans="1:5" x14ac:dyDescent="0.2">
      <c r="A16750">
        <v>59106</v>
      </c>
      <c r="B16750" t="s">
        <v>32</v>
      </c>
      <c r="C16750">
        <v>59106</v>
      </c>
      <c r="D16750" t="str">
        <f>"59106"</f>
        <v>59106</v>
      </c>
      <c r="E16750">
        <v>81.27</v>
      </c>
    </row>
    <row r="16751" spans="1:5" x14ac:dyDescent="0.2">
      <c r="A16751">
        <v>59201</v>
      </c>
      <c r="B16751" t="s">
        <v>32</v>
      </c>
      <c r="C16751">
        <v>59201</v>
      </c>
      <c r="D16751" t="str">
        <f>"59201"</f>
        <v>59201</v>
      </c>
      <c r="E16751">
        <v>59.02</v>
      </c>
    </row>
    <row r="16752" spans="1:5" x14ac:dyDescent="0.2">
      <c r="A16752">
        <v>59211</v>
      </c>
      <c r="B16752" t="s">
        <v>32</v>
      </c>
      <c r="C16752">
        <v>59211</v>
      </c>
      <c r="D16752" t="str">
        <f>"59211"</f>
        <v>59211</v>
      </c>
      <c r="E16752" t="s">
        <v>6</v>
      </c>
    </row>
    <row r="16753" spans="1:5" x14ac:dyDescent="0.2">
      <c r="A16753">
        <v>59212</v>
      </c>
      <c r="B16753" t="s">
        <v>32</v>
      </c>
      <c r="C16753">
        <v>59212</v>
      </c>
      <c r="D16753" t="str">
        <f>"59212"</f>
        <v>59212</v>
      </c>
      <c r="E16753">
        <v>78.260000000000005</v>
      </c>
    </row>
    <row r="16754" spans="1:5" x14ac:dyDescent="0.2">
      <c r="A16754">
        <v>59213</v>
      </c>
      <c r="B16754" t="s">
        <v>32</v>
      </c>
      <c r="C16754">
        <v>59213</v>
      </c>
      <c r="D16754" t="str">
        <f>"59213"</f>
        <v>59213</v>
      </c>
      <c r="E16754">
        <v>45.45</v>
      </c>
    </row>
    <row r="16755" spans="1:5" x14ac:dyDescent="0.2">
      <c r="A16755">
        <v>59214</v>
      </c>
      <c r="B16755" t="s">
        <v>32</v>
      </c>
      <c r="C16755">
        <v>59214</v>
      </c>
      <c r="D16755" t="str">
        <f>"59214"</f>
        <v>59214</v>
      </c>
      <c r="E16755" t="s">
        <v>6</v>
      </c>
    </row>
    <row r="16756" spans="1:5" x14ac:dyDescent="0.2">
      <c r="A16756">
        <v>59215</v>
      </c>
      <c r="B16756" t="s">
        <v>32</v>
      </c>
      <c r="C16756">
        <v>59215</v>
      </c>
      <c r="D16756" t="str">
        <f>"59215"</f>
        <v>59215</v>
      </c>
      <c r="E16756">
        <v>69.23</v>
      </c>
    </row>
    <row r="16757" spans="1:5" x14ac:dyDescent="0.2">
      <c r="A16757">
        <v>59217</v>
      </c>
      <c r="B16757" t="s">
        <v>32</v>
      </c>
      <c r="C16757">
        <v>59217</v>
      </c>
      <c r="D16757" t="str">
        <f>"59217"</f>
        <v>59217</v>
      </c>
      <c r="E16757" t="s">
        <v>6</v>
      </c>
    </row>
    <row r="16758" spans="1:5" x14ac:dyDescent="0.2">
      <c r="A16758">
        <v>59218</v>
      </c>
      <c r="B16758" t="s">
        <v>32</v>
      </c>
      <c r="C16758">
        <v>59218</v>
      </c>
      <c r="D16758" t="str">
        <f>"59218"</f>
        <v>59218</v>
      </c>
      <c r="E16758">
        <v>74.55</v>
      </c>
    </row>
    <row r="16759" spans="1:5" x14ac:dyDescent="0.2">
      <c r="A16759">
        <v>59219</v>
      </c>
      <c r="B16759" t="s">
        <v>32</v>
      </c>
      <c r="C16759">
        <v>59219</v>
      </c>
      <c r="D16759" t="str">
        <f>"59219"</f>
        <v>59219</v>
      </c>
      <c r="E16759" t="s">
        <v>6</v>
      </c>
    </row>
    <row r="16760" spans="1:5" x14ac:dyDescent="0.2">
      <c r="A16760">
        <v>59221</v>
      </c>
      <c r="B16760" t="s">
        <v>32</v>
      </c>
      <c r="C16760">
        <v>59221</v>
      </c>
      <c r="D16760" t="str">
        <f>"59221"</f>
        <v>59221</v>
      </c>
      <c r="E16760">
        <v>76.709999999999994</v>
      </c>
    </row>
    <row r="16761" spans="1:5" x14ac:dyDescent="0.2">
      <c r="A16761">
        <v>59222</v>
      </c>
      <c r="B16761" t="s">
        <v>32</v>
      </c>
      <c r="C16761">
        <v>59222</v>
      </c>
      <c r="D16761" t="str">
        <f>"59222"</f>
        <v>59222</v>
      </c>
      <c r="E16761">
        <v>80</v>
      </c>
    </row>
    <row r="16762" spans="1:5" x14ac:dyDescent="0.2">
      <c r="A16762">
        <v>59223</v>
      </c>
      <c r="B16762" t="s">
        <v>32</v>
      </c>
      <c r="C16762">
        <v>59223</v>
      </c>
      <c r="D16762" t="str">
        <f>"59223"</f>
        <v>59223</v>
      </c>
      <c r="E16762">
        <v>73.91</v>
      </c>
    </row>
    <row r="16763" spans="1:5" x14ac:dyDescent="0.2">
      <c r="A16763">
        <v>59225</v>
      </c>
      <c r="B16763" t="s">
        <v>32</v>
      </c>
      <c r="C16763">
        <v>59225</v>
      </c>
      <c r="D16763" t="str">
        <f>"59225"</f>
        <v>59225</v>
      </c>
      <c r="E16763">
        <v>50</v>
      </c>
    </row>
    <row r="16764" spans="1:5" x14ac:dyDescent="0.2">
      <c r="A16764">
        <v>59226</v>
      </c>
      <c r="B16764" t="s">
        <v>32</v>
      </c>
      <c r="C16764">
        <v>59226</v>
      </c>
      <c r="D16764" t="str">
        <f>"59226"</f>
        <v>59226</v>
      </c>
      <c r="E16764">
        <v>66.67</v>
      </c>
    </row>
    <row r="16765" spans="1:5" x14ac:dyDescent="0.2">
      <c r="A16765">
        <v>59230</v>
      </c>
      <c r="B16765" t="s">
        <v>32</v>
      </c>
      <c r="C16765">
        <v>59230</v>
      </c>
      <c r="D16765" t="str">
        <f>"59230"</f>
        <v>59230</v>
      </c>
      <c r="E16765">
        <v>71.55</v>
      </c>
    </row>
    <row r="16766" spans="1:5" x14ac:dyDescent="0.2">
      <c r="A16766">
        <v>59231</v>
      </c>
      <c r="B16766" t="s">
        <v>32</v>
      </c>
      <c r="C16766">
        <v>59231</v>
      </c>
      <c r="D16766" t="str">
        <f>"59231"</f>
        <v>59231</v>
      </c>
      <c r="E16766" t="s">
        <v>6</v>
      </c>
    </row>
    <row r="16767" spans="1:5" x14ac:dyDescent="0.2">
      <c r="A16767">
        <v>59240</v>
      </c>
      <c r="B16767" t="s">
        <v>32</v>
      </c>
      <c r="C16767">
        <v>59240</v>
      </c>
      <c r="D16767" t="str">
        <f>"59240"</f>
        <v>59240</v>
      </c>
      <c r="E16767" t="s">
        <v>6</v>
      </c>
    </row>
    <row r="16768" spans="1:5" x14ac:dyDescent="0.2">
      <c r="A16768">
        <v>59241</v>
      </c>
      <c r="B16768" t="s">
        <v>32</v>
      </c>
      <c r="C16768">
        <v>59241</v>
      </c>
      <c r="D16768" t="str">
        <f>"59241"</f>
        <v>59241</v>
      </c>
      <c r="E16768">
        <v>57.89</v>
      </c>
    </row>
    <row r="16769" spans="1:5" x14ac:dyDescent="0.2">
      <c r="A16769">
        <v>59242</v>
      </c>
      <c r="B16769" t="s">
        <v>32</v>
      </c>
      <c r="C16769">
        <v>59242</v>
      </c>
      <c r="D16769" t="str">
        <f>"59242"</f>
        <v>59242</v>
      </c>
      <c r="E16769" t="s">
        <v>6</v>
      </c>
    </row>
    <row r="16770" spans="1:5" x14ac:dyDescent="0.2">
      <c r="A16770">
        <v>59243</v>
      </c>
      <c r="B16770" t="s">
        <v>32</v>
      </c>
      <c r="C16770">
        <v>59243</v>
      </c>
      <c r="D16770" t="str">
        <f>"59243"</f>
        <v>59243</v>
      </c>
      <c r="E16770">
        <v>68.42</v>
      </c>
    </row>
    <row r="16771" spans="1:5" x14ac:dyDescent="0.2">
      <c r="A16771">
        <v>59244</v>
      </c>
      <c r="B16771" t="s">
        <v>32</v>
      </c>
      <c r="C16771">
        <v>59244</v>
      </c>
      <c r="D16771" t="str">
        <f>"59244"</f>
        <v>59244</v>
      </c>
      <c r="E16771" t="s">
        <v>6</v>
      </c>
    </row>
    <row r="16772" spans="1:5" x14ac:dyDescent="0.2">
      <c r="A16772">
        <v>59247</v>
      </c>
      <c r="B16772" t="s">
        <v>32</v>
      </c>
      <c r="C16772">
        <v>59247</v>
      </c>
      <c r="D16772" t="str">
        <f>"59247"</f>
        <v>59247</v>
      </c>
      <c r="E16772">
        <v>61.11</v>
      </c>
    </row>
    <row r="16773" spans="1:5" x14ac:dyDescent="0.2">
      <c r="A16773">
        <v>59248</v>
      </c>
      <c r="B16773" t="s">
        <v>32</v>
      </c>
      <c r="C16773">
        <v>59248</v>
      </c>
      <c r="D16773" t="str">
        <f>"59248"</f>
        <v>59248</v>
      </c>
      <c r="E16773">
        <v>73.33</v>
      </c>
    </row>
    <row r="16774" spans="1:5" x14ac:dyDescent="0.2">
      <c r="A16774">
        <v>59250</v>
      </c>
      <c r="B16774" t="s">
        <v>32</v>
      </c>
      <c r="C16774">
        <v>59250</v>
      </c>
      <c r="D16774" t="str">
        <f>"59250"</f>
        <v>59250</v>
      </c>
      <c r="E16774" t="s">
        <v>6</v>
      </c>
    </row>
    <row r="16775" spans="1:5" x14ac:dyDescent="0.2">
      <c r="A16775">
        <v>59252</v>
      </c>
      <c r="B16775" t="s">
        <v>32</v>
      </c>
      <c r="C16775">
        <v>59252</v>
      </c>
      <c r="D16775" t="str">
        <f>"59252"</f>
        <v>59252</v>
      </c>
      <c r="E16775" t="s">
        <v>6</v>
      </c>
    </row>
    <row r="16776" spans="1:5" x14ac:dyDescent="0.2">
      <c r="A16776">
        <v>59253</v>
      </c>
      <c r="B16776" t="s">
        <v>32</v>
      </c>
      <c r="C16776">
        <v>59253</v>
      </c>
      <c r="D16776" t="str">
        <f>"59253"</f>
        <v>59253</v>
      </c>
      <c r="E16776" t="s">
        <v>6</v>
      </c>
    </row>
    <row r="16777" spans="1:5" x14ac:dyDescent="0.2">
      <c r="A16777">
        <v>59254</v>
      </c>
      <c r="B16777" t="s">
        <v>32</v>
      </c>
      <c r="C16777">
        <v>59254</v>
      </c>
      <c r="D16777" t="str">
        <f>"59254"</f>
        <v>59254</v>
      </c>
      <c r="E16777">
        <v>78.3</v>
      </c>
    </row>
    <row r="16778" spans="1:5" x14ac:dyDescent="0.2">
      <c r="A16778">
        <v>59255</v>
      </c>
      <c r="B16778" t="s">
        <v>32</v>
      </c>
      <c r="C16778">
        <v>59255</v>
      </c>
      <c r="D16778" t="str">
        <f>"59255"</f>
        <v>59255</v>
      </c>
      <c r="E16778">
        <v>50.86</v>
      </c>
    </row>
    <row r="16779" spans="1:5" x14ac:dyDescent="0.2">
      <c r="A16779">
        <v>59256</v>
      </c>
      <c r="B16779" t="s">
        <v>32</v>
      </c>
      <c r="C16779">
        <v>59256</v>
      </c>
      <c r="D16779" t="str">
        <f>"59256"</f>
        <v>59256</v>
      </c>
      <c r="E16779" t="s">
        <v>6</v>
      </c>
    </row>
    <row r="16780" spans="1:5" x14ac:dyDescent="0.2">
      <c r="A16780">
        <v>59257</v>
      </c>
      <c r="B16780" t="s">
        <v>32</v>
      </c>
      <c r="C16780">
        <v>59257</v>
      </c>
      <c r="D16780" t="str">
        <f>"59257"</f>
        <v>59257</v>
      </c>
      <c r="E16780" t="s">
        <v>6</v>
      </c>
    </row>
    <row r="16781" spans="1:5" x14ac:dyDescent="0.2">
      <c r="A16781">
        <v>59258</v>
      </c>
      <c r="B16781" t="s">
        <v>32</v>
      </c>
      <c r="C16781">
        <v>59258</v>
      </c>
      <c r="D16781" t="str">
        <f>"59258"</f>
        <v>59258</v>
      </c>
      <c r="E16781" t="s">
        <v>6</v>
      </c>
    </row>
    <row r="16782" spans="1:5" x14ac:dyDescent="0.2">
      <c r="A16782">
        <v>59259</v>
      </c>
      <c r="B16782" t="s">
        <v>32</v>
      </c>
      <c r="C16782">
        <v>59259</v>
      </c>
      <c r="D16782" t="str">
        <f>"59259"</f>
        <v>59259</v>
      </c>
      <c r="E16782">
        <v>63.16</v>
      </c>
    </row>
    <row r="16783" spans="1:5" x14ac:dyDescent="0.2">
      <c r="A16783">
        <v>59260</v>
      </c>
      <c r="B16783" t="s">
        <v>32</v>
      </c>
      <c r="C16783">
        <v>59260</v>
      </c>
      <c r="D16783" t="str">
        <f>"59260"</f>
        <v>59260</v>
      </c>
      <c r="E16783" t="s">
        <v>6</v>
      </c>
    </row>
    <row r="16784" spans="1:5" x14ac:dyDescent="0.2">
      <c r="A16784">
        <v>59261</v>
      </c>
      <c r="B16784" t="s">
        <v>32</v>
      </c>
      <c r="C16784">
        <v>59261</v>
      </c>
      <c r="D16784" t="str">
        <f>"59261"</f>
        <v>59261</v>
      </c>
      <c r="E16784">
        <v>66.67</v>
      </c>
    </row>
    <row r="16785" spans="1:5" x14ac:dyDescent="0.2">
      <c r="A16785">
        <v>59262</v>
      </c>
      <c r="B16785" t="s">
        <v>32</v>
      </c>
      <c r="C16785">
        <v>59262</v>
      </c>
      <c r="D16785" t="str">
        <f>"59262"</f>
        <v>59262</v>
      </c>
      <c r="E16785">
        <v>74.19</v>
      </c>
    </row>
    <row r="16786" spans="1:5" x14ac:dyDescent="0.2">
      <c r="A16786">
        <v>59263</v>
      </c>
      <c r="B16786" t="s">
        <v>32</v>
      </c>
      <c r="C16786">
        <v>59263</v>
      </c>
      <c r="D16786" t="str">
        <f>"59263"</f>
        <v>59263</v>
      </c>
      <c r="E16786">
        <v>78.790000000000006</v>
      </c>
    </row>
    <row r="16787" spans="1:5" x14ac:dyDescent="0.2">
      <c r="A16787">
        <v>59270</v>
      </c>
      <c r="B16787" t="s">
        <v>32</v>
      </c>
      <c r="C16787">
        <v>59270</v>
      </c>
      <c r="D16787" t="str">
        <f>"59270"</f>
        <v>59270</v>
      </c>
      <c r="E16787">
        <v>79.8</v>
      </c>
    </row>
    <row r="16788" spans="1:5" x14ac:dyDescent="0.2">
      <c r="A16788">
        <v>59273</v>
      </c>
      <c r="B16788" t="s">
        <v>32</v>
      </c>
      <c r="C16788">
        <v>59273</v>
      </c>
      <c r="D16788" t="str">
        <f>"59273"</f>
        <v>59273</v>
      </c>
      <c r="E16788" t="s">
        <v>6</v>
      </c>
    </row>
    <row r="16789" spans="1:5" x14ac:dyDescent="0.2">
      <c r="A16789">
        <v>59274</v>
      </c>
      <c r="B16789" t="s">
        <v>32</v>
      </c>
      <c r="C16789">
        <v>59274</v>
      </c>
      <c r="D16789" t="str">
        <f>"59274"</f>
        <v>59274</v>
      </c>
      <c r="E16789" t="s">
        <v>6</v>
      </c>
    </row>
    <row r="16790" spans="1:5" x14ac:dyDescent="0.2">
      <c r="A16790">
        <v>59275</v>
      </c>
      <c r="B16790" t="s">
        <v>32</v>
      </c>
      <c r="C16790">
        <v>59275</v>
      </c>
      <c r="D16790" t="str">
        <f>"59275"</f>
        <v>59275</v>
      </c>
      <c r="E16790">
        <v>68.75</v>
      </c>
    </row>
    <row r="16791" spans="1:5" x14ac:dyDescent="0.2">
      <c r="A16791">
        <v>59276</v>
      </c>
      <c r="B16791" t="s">
        <v>32</v>
      </c>
      <c r="C16791">
        <v>59276</v>
      </c>
      <c r="D16791" t="str">
        <f>"59276"</f>
        <v>59276</v>
      </c>
      <c r="E16791" t="s">
        <v>6</v>
      </c>
    </row>
    <row r="16792" spans="1:5" x14ac:dyDescent="0.2">
      <c r="A16792">
        <v>59301</v>
      </c>
      <c r="B16792" t="s">
        <v>32</v>
      </c>
      <c r="C16792">
        <v>59301</v>
      </c>
      <c r="D16792" t="str">
        <f>"59301"</f>
        <v>59301</v>
      </c>
      <c r="E16792">
        <v>72.69</v>
      </c>
    </row>
    <row r="16793" spans="1:5" x14ac:dyDescent="0.2">
      <c r="A16793">
        <v>59311</v>
      </c>
      <c r="B16793" t="s">
        <v>32</v>
      </c>
      <c r="C16793">
        <v>59311</v>
      </c>
      <c r="D16793" t="str">
        <f>"59311"</f>
        <v>59311</v>
      </c>
      <c r="E16793" t="s">
        <v>6</v>
      </c>
    </row>
    <row r="16794" spans="1:5" x14ac:dyDescent="0.2">
      <c r="A16794">
        <v>59312</v>
      </c>
      <c r="B16794" t="s">
        <v>32</v>
      </c>
      <c r="C16794">
        <v>59312</v>
      </c>
      <c r="D16794" t="str">
        <f>"59312"</f>
        <v>59312</v>
      </c>
      <c r="E16794" t="s">
        <v>6</v>
      </c>
    </row>
    <row r="16795" spans="1:5" x14ac:dyDescent="0.2">
      <c r="A16795">
        <v>59313</v>
      </c>
      <c r="B16795" t="s">
        <v>32</v>
      </c>
      <c r="C16795">
        <v>59313</v>
      </c>
      <c r="D16795" t="str">
        <f>"59313"</f>
        <v>59313</v>
      </c>
      <c r="E16795">
        <v>74.56</v>
      </c>
    </row>
    <row r="16796" spans="1:5" x14ac:dyDescent="0.2">
      <c r="A16796">
        <v>59314</v>
      </c>
      <c r="B16796" t="s">
        <v>32</v>
      </c>
      <c r="C16796">
        <v>59314</v>
      </c>
      <c r="D16796" t="str">
        <f>"59314"</f>
        <v>59314</v>
      </c>
      <c r="E16796" t="s">
        <v>6</v>
      </c>
    </row>
    <row r="16797" spans="1:5" x14ac:dyDescent="0.2">
      <c r="A16797">
        <v>59315</v>
      </c>
      <c r="B16797" t="s">
        <v>32</v>
      </c>
      <c r="C16797">
        <v>59315</v>
      </c>
      <c r="D16797" t="str">
        <f>"59315"</f>
        <v>59315</v>
      </c>
      <c r="E16797" t="s">
        <v>6</v>
      </c>
    </row>
    <row r="16798" spans="1:5" x14ac:dyDescent="0.2">
      <c r="A16798">
        <v>59316</v>
      </c>
      <c r="B16798" t="s">
        <v>32</v>
      </c>
      <c r="C16798">
        <v>59316</v>
      </c>
      <c r="D16798" t="str">
        <f>"59316"</f>
        <v>59316</v>
      </c>
      <c r="E16798" t="s">
        <v>6</v>
      </c>
    </row>
    <row r="16799" spans="1:5" x14ac:dyDescent="0.2">
      <c r="A16799">
        <v>59317</v>
      </c>
      <c r="B16799" t="s">
        <v>32</v>
      </c>
      <c r="C16799">
        <v>59317</v>
      </c>
      <c r="D16799" t="str">
        <f>"59317"</f>
        <v>59317</v>
      </c>
      <c r="E16799">
        <v>66.040000000000006</v>
      </c>
    </row>
    <row r="16800" spans="1:5" x14ac:dyDescent="0.2">
      <c r="A16800">
        <v>59318</v>
      </c>
      <c r="B16800" t="s">
        <v>32</v>
      </c>
      <c r="C16800">
        <v>59318</v>
      </c>
      <c r="D16800" t="str">
        <f>"59318"</f>
        <v>59318</v>
      </c>
      <c r="E16800" t="s">
        <v>6</v>
      </c>
    </row>
    <row r="16801" spans="1:5" x14ac:dyDescent="0.2">
      <c r="A16801">
        <v>59319</v>
      </c>
      <c r="B16801" t="s">
        <v>32</v>
      </c>
      <c r="C16801">
        <v>59319</v>
      </c>
      <c r="D16801" t="str">
        <f>"59319"</f>
        <v>59319</v>
      </c>
      <c r="E16801" t="s">
        <v>6</v>
      </c>
    </row>
    <row r="16802" spans="1:5" x14ac:dyDescent="0.2">
      <c r="A16802">
        <v>59322</v>
      </c>
      <c r="B16802" t="s">
        <v>32</v>
      </c>
      <c r="C16802">
        <v>59322</v>
      </c>
      <c r="D16802" t="str">
        <f>"59322"</f>
        <v>59322</v>
      </c>
      <c r="E16802" t="s">
        <v>6</v>
      </c>
    </row>
    <row r="16803" spans="1:5" x14ac:dyDescent="0.2">
      <c r="A16803">
        <v>59323</v>
      </c>
      <c r="B16803" t="s">
        <v>32</v>
      </c>
      <c r="C16803">
        <v>59323</v>
      </c>
      <c r="D16803" t="str">
        <f>"59323"</f>
        <v>59323</v>
      </c>
      <c r="E16803" t="s">
        <v>6</v>
      </c>
    </row>
    <row r="16804" spans="1:5" x14ac:dyDescent="0.2">
      <c r="A16804">
        <v>59324</v>
      </c>
      <c r="B16804" t="s">
        <v>32</v>
      </c>
      <c r="C16804">
        <v>59324</v>
      </c>
      <c r="D16804" t="str">
        <f>"59324"</f>
        <v>59324</v>
      </c>
      <c r="E16804">
        <v>66.67</v>
      </c>
    </row>
    <row r="16805" spans="1:5" x14ac:dyDescent="0.2">
      <c r="A16805">
        <v>59326</v>
      </c>
      <c r="B16805" t="s">
        <v>32</v>
      </c>
      <c r="C16805">
        <v>59326</v>
      </c>
      <c r="D16805" t="str">
        <f>"59326"</f>
        <v>59326</v>
      </c>
      <c r="E16805">
        <v>70</v>
      </c>
    </row>
    <row r="16806" spans="1:5" x14ac:dyDescent="0.2">
      <c r="A16806">
        <v>59327</v>
      </c>
      <c r="B16806" t="s">
        <v>32</v>
      </c>
      <c r="C16806">
        <v>59327</v>
      </c>
      <c r="D16806" t="str">
        <f>"59327"</f>
        <v>59327</v>
      </c>
      <c r="E16806">
        <v>73.39</v>
      </c>
    </row>
    <row r="16807" spans="1:5" x14ac:dyDescent="0.2">
      <c r="A16807">
        <v>59330</v>
      </c>
      <c r="B16807" t="s">
        <v>32</v>
      </c>
      <c r="C16807">
        <v>59330</v>
      </c>
      <c r="D16807" t="str">
        <f>"59330"</f>
        <v>59330</v>
      </c>
      <c r="E16807">
        <v>75.14</v>
      </c>
    </row>
    <row r="16808" spans="1:5" x14ac:dyDescent="0.2">
      <c r="A16808">
        <v>59332</v>
      </c>
      <c r="B16808" t="s">
        <v>32</v>
      </c>
      <c r="C16808">
        <v>59332</v>
      </c>
      <c r="D16808" t="str">
        <f>"59332"</f>
        <v>59332</v>
      </c>
      <c r="E16808" t="s">
        <v>6</v>
      </c>
    </row>
    <row r="16809" spans="1:5" x14ac:dyDescent="0.2">
      <c r="A16809">
        <v>59333</v>
      </c>
      <c r="B16809" t="s">
        <v>32</v>
      </c>
      <c r="C16809">
        <v>59333</v>
      </c>
      <c r="D16809" t="str">
        <f>"59333"</f>
        <v>59333</v>
      </c>
      <c r="E16809" t="s">
        <v>6</v>
      </c>
    </row>
    <row r="16810" spans="1:5" x14ac:dyDescent="0.2">
      <c r="A16810">
        <v>59336</v>
      </c>
      <c r="B16810" t="s">
        <v>32</v>
      </c>
      <c r="C16810">
        <v>59336</v>
      </c>
      <c r="D16810" t="str">
        <f>"59336"</f>
        <v>59336</v>
      </c>
      <c r="E16810">
        <v>50</v>
      </c>
    </row>
    <row r="16811" spans="1:5" x14ac:dyDescent="0.2">
      <c r="A16811">
        <v>59337</v>
      </c>
      <c r="B16811" t="s">
        <v>32</v>
      </c>
      <c r="C16811">
        <v>59337</v>
      </c>
      <c r="D16811" t="str">
        <f>"59337"</f>
        <v>59337</v>
      </c>
      <c r="E16811">
        <v>70.59</v>
      </c>
    </row>
    <row r="16812" spans="1:5" x14ac:dyDescent="0.2">
      <c r="A16812">
        <v>59338</v>
      </c>
      <c r="B16812" t="s">
        <v>32</v>
      </c>
      <c r="C16812">
        <v>59338</v>
      </c>
      <c r="D16812" t="str">
        <f>"59338"</f>
        <v>59338</v>
      </c>
      <c r="E16812" t="s">
        <v>6</v>
      </c>
    </row>
    <row r="16813" spans="1:5" x14ac:dyDescent="0.2">
      <c r="A16813">
        <v>59339</v>
      </c>
      <c r="B16813" t="s">
        <v>32</v>
      </c>
      <c r="C16813">
        <v>59339</v>
      </c>
      <c r="D16813" t="str">
        <f>"59339"</f>
        <v>59339</v>
      </c>
      <c r="E16813" t="s">
        <v>6</v>
      </c>
    </row>
    <row r="16814" spans="1:5" x14ac:dyDescent="0.2">
      <c r="A16814">
        <v>59341</v>
      </c>
      <c r="B16814" t="s">
        <v>32</v>
      </c>
      <c r="C16814">
        <v>59341</v>
      </c>
      <c r="D16814" t="str">
        <f>"59341"</f>
        <v>59341</v>
      </c>
      <c r="E16814" t="s">
        <v>6</v>
      </c>
    </row>
    <row r="16815" spans="1:5" x14ac:dyDescent="0.2">
      <c r="A16815">
        <v>59343</v>
      </c>
      <c r="B16815" t="s">
        <v>32</v>
      </c>
      <c r="C16815">
        <v>59343</v>
      </c>
      <c r="D16815" t="str">
        <f>"59343"</f>
        <v>59343</v>
      </c>
      <c r="E16815" t="s">
        <v>6</v>
      </c>
    </row>
    <row r="16816" spans="1:5" x14ac:dyDescent="0.2">
      <c r="A16816">
        <v>59344</v>
      </c>
      <c r="B16816" t="s">
        <v>32</v>
      </c>
      <c r="C16816">
        <v>59344</v>
      </c>
      <c r="D16816" t="str">
        <f>"59344"</f>
        <v>59344</v>
      </c>
      <c r="E16816">
        <v>64.290000000000006</v>
      </c>
    </row>
    <row r="16817" spans="1:5" x14ac:dyDescent="0.2">
      <c r="A16817">
        <v>59345</v>
      </c>
      <c r="B16817" t="s">
        <v>32</v>
      </c>
      <c r="C16817">
        <v>59345</v>
      </c>
      <c r="D16817" t="str">
        <f>"59345"</f>
        <v>59345</v>
      </c>
      <c r="E16817" t="s">
        <v>6</v>
      </c>
    </row>
    <row r="16818" spans="1:5" x14ac:dyDescent="0.2">
      <c r="A16818">
        <v>59347</v>
      </c>
      <c r="B16818" t="s">
        <v>32</v>
      </c>
      <c r="C16818">
        <v>59347</v>
      </c>
      <c r="D16818" t="str">
        <f>"59347"</f>
        <v>59347</v>
      </c>
      <c r="E16818">
        <v>61.54</v>
      </c>
    </row>
    <row r="16819" spans="1:5" x14ac:dyDescent="0.2">
      <c r="A16819">
        <v>59349</v>
      </c>
      <c r="B16819" t="s">
        <v>32</v>
      </c>
      <c r="C16819">
        <v>59349</v>
      </c>
      <c r="D16819" t="str">
        <f>"59349"</f>
        <v>59349</v>
      </c>
      <c r="E16819">
        <v>68.42</v>
      </c>
    </row>
    <row r="16820" spans="1:5" x14ac:dyDescent="0.2">
      <c r="A16820">
        <v>59351</v>
      </c>
      <c r="B16820" t="s">
        <v>32</v>
      </c>
      <c r="C16820">
        <v>59351</v>
      </c>
      <c r="D16820" t="str">
        <f>"59351"</f>
        <v>59351</v>
      </c>
      <c r="E16820" t="s">
        <v>6</v>
      </c>
    </row>
    <row r="16821" spans="1:5" x14ac:dyDescent="0.2">
      <c r="A16821">
        <v>59353</v>
      </c>
      <c r="B16821" t="s">
        <v>32</v>
      </c>
      <c r="C16821">
        <v>59353</v>
      </c>
      <c r="D16821" t="str">
        <f>"59353"</f>
        <v>59353</v>
      </c>
      <c r="E16821">
        <v>68.180000000000007</v>
      </c>
    </row>
    <row r="16822" spans="1:5" x14ac:dyDescent="0.2">
      <c r="A16822">
        <v>59401</v>
      </c>
      <c r="B16822" t="s">
        <v>32</v>
      </c>
      <c r="C16822">
        <v>59401</v>
      </c>
      <c r="D16822" t="str">
        <f>"59401"</f>
        <v>59401</v>
      </c>
      <c r="E16822">
        <v>70.349999999999994</v>
      </c>
    </row>
    <row r="16823" spans="1:5" x14ac:dyDescent="0.2">
      <c r="A16823">
        <v>59402</v>
      </c>
      <c r="B16823" t="s">
        <v>32</v>
      </c>
      <c r="C16823">
        <v>59402</v>
      </c>
      <c r="D16823" t="str">
        <f>"59402"</f>
        <v>59402</v>
      </c>
      <c r="E16823" t="s">
        <v>6</v>
      </c>
    </row>
    <row r="16824" spans="1:5" x14ac:dyDescent="0.2">
      <c r="A16824">
        <v>59404</v>
      </c>
      <c r="B16824" t="s">
        <v>32</v>
      </c>
      <c r="C16824">
        <v>59404</v>
      </c>
      <c r="D16824" t="str">
        <f>"59404"</f>
        <v>59404</v>
      </c>
      <c r="E16824">
        <v>74.94</v>
      </c>
    </row>
    <row r="16825" spans="1:5" x14ac:dyDescent="0.2">
      <c r="A16825">
        <v>59405</v>
      </c>
      <c r="B16825" t="s">
        <v>32</v>
      </c>
      <c r="C16825">
        <v>59405</v>
      </c>
      <c r="D16825" t="str">
        <f>"59405"</f>
        <v>59405</v>
      </c>
      <c r="E16825">
        <v>70.989999999999995</v>
      </c>
    </row>
    <row r="16826" spans="1:5" x14ac:dyDescent="0.2">
      <c r="A16826">
        <v>59410</v>
      </c>
      <c r="B16826" t="s">
        <v>32</v>
      </c>
      <c r="C16826">
        <v>59410</v>
      </c>
      <c r="D16826" t="str">
        <f>"59410"</f>
        <v>59410</v>
      </c>
      <c r="E16826" t="s">
        <v>6</v>
      </c>
    </row>
    <row r="16827" spans="1:5" x14ac:dyDescent="0.2">
      <c r="A16827">
        <v>59411</v>
      </c>
      <c r="B16827" t="s">
        <v>32</v>
      </c>
      <c r="C16827">
        <v>59411</v>
      </c>
      <c r="D16827" t="str">
        <f>"59411"</f>
        <v>59411</v>
      </c>
      <c r="E16827" t="s">
        <v>6</v>
      </c>
    </row>
    <row r="16828" spans="1:5" x14ac:dyDescent="0.2">
      <c r="A16828">
        <v>59412</v>
      </c>
      <c r="B16828" t="s">
        <v>32</v>
      </c>
      <c r="C16828">
        <v>59412</v>
      </c>
      <c r="D16828" t="str">
        <f>"59412"</f>
        <v>59412</v>
      </c>
      <c r="E16828">
        <v>71.64</v>
      </c>
    </row>
    <row r="16829" spans="1:5" x14ac:dyDescent="0.2">
      <c r="A16829">
        <v>59414</v>
      </c>
      <c r="B16829" t="s">
        <v>32</v>
      </c>
      <c r="C16829">
        <v>59414</v>
      </c>
      <c r="D16829" t="str">
        <f>"59414"</f>
        <v>59414</v>
      </c>
      <c r="E16829">
        <v>68.63</v>
      </c>
    </row>
    <row r="16830" spans="1:5" x14ac:dyDescent="0.2">
      <c r="A16830">
        <v>59416</v>
      </c>
      <c r="B16830" t="s">
        <v>32</v>
      </c>
      <c r="C16830">
        <v>59416</v>
      </c>
      <c r="D16830" t="str">
        <f>"59416"</f>
        <v>59416</v>
      </c>
      <c r="E16830">
        <v>68.75</v>
      </c>
    </row>
    <row r="16831" spans="1:5" x14ac:dyDescent="0.2">
      <c r="A16831">
        <v>59417</v>
      </c>
      <c r="B16831" t="s">
        <v>32</v>
      </c>
      <c r="C16831">
        <v>59417</v>
      </c>
      <c r="D16831" t="str">
        <f>"59417"</f>
        <v>59417</v>
      </c>
      <c r="E16831">
        <v>45.67</v>
      </c>
    </row>
    <row r="16832" spans="1:5" x14ac:dyDescent="0.2">
      <c r="A16832">
        <v>59418</v>
      </c>
      <c r="B16832" t="s">
        <v>32</v>
      </c>
      <c r="C16832">
        <v>59418</v>
      </c>
      <c r="D16832" t="str">
        <f>"59418"</f>
        <v>59418</v>
      </c>
      <c r="E16832" t="s">
        <v>6</v>
      </c>
    </row>
    <row r="16833" spans="1:5" x14ac:dyDescent="0.2">
      <c r="A16833">
        <v>59419</v>
      </c>
      <c r="B16833" t="s">
        <v>32</v>
      </c>
      <c r="C16833">
        <v>59419</v>
      </c>
      <c r="D16833" t="str">
        <f>"59419"</f>
        <v>59419</v>
      </c>
      <c r="E16833" t="s">
        <v>6</v>
      </c>
    </row>
    <row r="16834" spans="1:5" x14ac:dyDescent="0.2">
      <c r="A16834">
        <v>59420</v>
      </c>
      <c r="B16834" t="s">
        <v>32</v>
      </c>
      <c r="C16834">
        <v>59420</v>
      </c>
      <c r="D16834" t="str">
        <f>"59420"</f>
        <v>59420</v>
      </c>
      <c r="E16834">
        <v>46.15</v>
      </c>
    </row>
    <row r="16835" spans="1:5" x14ac:dyDescent="0.2">
      <c r="A16835">
        <v>59421</v>
      </c>
      <c r="B16835" t="s">
        <v>32</v>
      </c>
      <c r="C16835">
        <v>59421</v>
      </c>
      <c r="D16835" t="str">
        <f>"59421"</f>
        <v>59421</v>
      </c>
      <c r="E16835">
        <v>70.45</v>
      </c>
    </row>
    <row r="16836" spans="1:5" x14ac:dyDescent="0.2">
      <c r="A16836">
        <v>59422</v>
      </c>
      <c r="B16836" t="s">
        <v>32</v>
      </c>
      <c r="C16836">
        <v>59422</v>
      </c>
      <c r="D16836" t="str">
        <f>"59422"</f>
        <v>59422</v>
      </c>
      <c r="E16836">
        <v>60.45</v>
      </c>
    </row>
    <row r="16837" spans="1:5" x14ac:dyDescent="0.2">
      <c r="A16837">
        <v>59424</v>
      </c>
      <c r="B16837" t="s">
        <v>32</v>
      </c>
      <c r="C16837">
        <v>59424</v>
      </c>
      <c r="D16837" t="str">
        <f>"59424"</f>
        <v>59424</v>
      </c>
      <c r="E16837" t="s">
        <v>6</v>
      </c>
    </row>
    <row r="16838" spans="1:5" x14ac:dyDescent="0.2">
      <c r="A16838">
        <v>59425</v>
      </c>
      <c r="B16838" t="s">
        <v>32</v>
      </c>
      <c r="C16838">
        <v>59425</v>
      </c>
      <c r="D16838" t="str">
        <f>"59425"</f>
        <v>59425</v>
      </c>
      <c r="E16838">
        <v>62.79</v>
      </c>
    </row>
    <row r="16839" spans="1:5" x14ac:dyDescent="0.2">
      <c r="A16839">
        <v>59427</v>
      </c>
      <c r="B16839" t="s">
        <v>32</v>
      </c>
      <c r="C16839">
        <v>59427</v>
      </c>
      <c r="D16839" t="str">
        <f>"59427"</f>
        <v>59427</v>
      </c>
      <c r="E16839">
        <v>63.77</v>
      </c>
    </row>
    <row r="16840" spans="1:5" x14ac:dyDescent="0.2">
      <c r="A16840">
        <v>59430</v>
      </c>
      <c r="B16840" t="s">
        <v>32</v>
      </c>
      <c r="C16840">
        <v>59430</v>
      </c>
      <c r="D16840" t="str">
        <f>"59430"</f>
        <v>59430</v>
      </c>
      <c r="E16840">
        <v>66.67</v>
      </c>
    </row>
    <row r="16841" spans="1:5" x14ac:dyDescent="0.2">
      <c r="A16841">
        <v>59432</v>
      </c>
      <c r="B16841" t="s">
        <v>32</v>
      </c>
      <c r="C16841">
        <v>59432</v>
      </c>
      <c r="D16841" t="str">
        <f>"59432"</f>
        <v>59432</v>
      </c>
      <c r="E16841" t="s">
        <v>6</v>
      </c>
    </row>
    <row r="16842" spans="1:5" x14ac:dyDescent="0.2">
      <c r="A16842">
        <v>59433</v>
      </c>
      <c r="B16842" t="s">
        <v>32</v>
      </c>
      <c r="C16842">
        <v>59433</v>
      </c>
      <c r="D16842" t="str">
        <f>"59433"</f>
        <v>59433</v>
      </c>
      <c r="E16842">
        <v>72.41</v>
      </c>
    </row>
    <row r="16843" spans="1:5" x14ac:dyDescent="0.2">
      <c r="A16843">
        <v>59434</v>
      </c>
      <c r="B16843" t="s">
        <v>32</v>
      </c>
      <c r="C16843">
        <v>59434</v>
      </c>
      <c r="D16843" t="str">
        <f>"59434"</f>
        <v>59434</v>
      </c>
      <c r="E16843" t="s">
        <v>6</v>
      </c>
    </row>
    <row r="16844" spans="1:5" x14ac:dyDescent="0.2">
      <c r="A16844">
        <v>59435</v>
      </c>
      <c r="B16844" t="s">
        <v>32</v>
      </c>
      <c r="C16844">
        <v>59435</v>
      </c>
      <c r="D16844" t="str">
        <f>"59435"</f>
        <v>59435</v>
      </c>
      <c r="E16844" t="s">
        <v>6</v>
      </c>
    </row>
    <row r="16845" spans="1:5" x14ac:dyDescent="0.2">
      <c r="A16845">
        <v>59436</v>
      </c>
      <c r="B16845" t="s">
        <v>32</v>
      </c>
      <c r="C16845">
        <v>59436</v>
      </c>
      <c r="D16845" t="str">
        <f>"59436"</f>
        <v>59436</v>
      </c>
      <c r="E16845">
        <v>71.91</v>
      </c>
    </row>
    <row r="16846" spans="1:5" x14ac:dyDescent="0.2">
      <c r="A16846">
        <v>59440</v>
      </c>
      <c r="B16846" t="s">
        <v>32</v>
      </c>
      <c r="C16846">
        <v>59440</v>
      </c>
      <c r="D16846" t="str">
        <f>"59440"</f>
        <v>59440</v>
      </c>
      <c r="E16846">
        <v>80</v>
      </c>
    </row>
    <row r="16847" spans="1:5" x14ac:dyDescent="0.2">
      <c r="A16847">
        <v>59441</v>
      </c>
      <c r="B16847" t="s">
        <v>32</v>
      </c>
      <c r="C16847">
        <v>59441</v>
      </c>
      <c r="D16847" t="str">
        <f>"59441"</f>
        <v>59441</v>
      </c>
      <c r="E16847" t="s">
        <v>6</v>
      </c>
    </row>
    <row r="16848" spans="1:5" x14ac:dyDescent="0.2">
      <c r="A16848">
        <v>59442</v>
      </c>
      <c r="B16848" t="s">
        <v>32</v>
      </c>
      <c r="C16848">
        <v>59442</v>
      </c>
      <c r="D16848" t="str">
        <f>"59442"</f>
        <v>59442</v>
      </c>
      <c r="E16848">
        <v>70.239999999999995</v>
      </c>
    </row>
    <row r="16849" spans="1:5" x14ac:dyDescent="0.2">
      <c r="A16849">
        <v>59443</v>
      </c>
      <c r="B16849" t="s">
        <v>32</v>
      </c>
      <c r="C16849">
        <v>59443</v>
      </c>
      <c r="D16849" t="str">
        <f>"59443"</f>
        <v>59443</v>
      </c>
      <c r="E16849">
        <v>72.41</v>
      </c>
    </row>
    <row r="16850" spans="1:5" x14ac:dyDescent="0.2">
      <c r="A16850">
        <v>59444</v>
      </c>
      <c r="B16850" t="s">
        <v>32</v>
      </c>
      <c r="C16850">
        <v>59444</v>
      </c>
      <c r="D16850" t="str">
        <f>"59444"</f>
        <v>59444</v>
      </c>
      <c r="E16850">
        <v>25</v>
      </c>
    </row>
    <row r="16851" spans="1:5" x14ac:dyDescent="0.2">
      <c r="A16851">
        <v>59446</v>
      </c>
      <c r="B16851" t="s">
        <v>32</v>
      </c>
      <c r="C16851">
        <v>59446</v>
      </c>
      <c r="D16851" t="str">
        <f>"59446"</f>
        <v>59446</v>
      </c>
      <c r="E16851">
        <v>65</v>
      </c>
    </row>
    <row r="16852" spans="1:5" x14ac:dyDescent="0.2">
      <c r="A16852">
        <v>59447</v>
      </c>
      <c r="B16852" t="s">
        <v>32</v>
      </c>
      <c r="C16852">
        <v>59447</v>
      </c>
      <c r="D16852" t="str">
        <f>"59447"</f>
        <v>59447</v>
      </c>
      <c r="E16852">
        <v>66.67</v>
      </c>
    </row>
    <row r="16853" spans="1:5" x14ac:dyDescent="0.2">
      <c r="A16853">
        <v>59448</v>
      </c>
      <c r="B16853" t="s">
        <v>32</v>
      </c>
      <c r="C16853">
        <v>59448</v>
      </c>
      <c r="D16853" t="str">
        <f>"59448"</f>
        <v>59448</v>
      </c>
      <c r="E16853" t="s">
        <v>6</v>
      </c>
    </row>
    <row r="16854" spans="1:5" x14ac:dyDescent="0.2">
      <c r="A16854">
        <v>59450</v>
      </c>
      <c r="B16854" t="s">
        <v>32</v>
      </c>
      <c r="C16854">
        <v>59450</v>
      </c>
      <c r="D16854" t="str">
        <f>"59450"</f>
        <v>59450</v>
      </c>
      <c r="E16854">
        <v>70.59</v>
      </c>
    </row>
    <row r="16855" spans="1:5" x14ac:dyDescent="0.2">
      <c r="A16855">
        <v>59451</v>
      </c>
      <c r="B16855" t="s">
        <v>32</v>
      </c>
      <c r="C16855">
        <v>59451</v>
      </c>
      <c r="D16855" t="str">
        <f>"59451"</f>
        <v>59451</v>
      </c>
      <c r="E16855">
        <v>61.54</v>
      </c>
    </row>
    <row r="16856" spans="1:5" x14ac:dyDescent="0.2">
      <c r="A16856">
        <v>59452</v>
      </c>
      <c r="B16856" t="s">
        <v>32</v>
      </c>
      <c r="C16856">
        <v>59452</v>
      </c>
      <c r="D16856" t="str">
        <f>"59452"</f>
        <v>59452</v>
      </c>
      <c r="E16856">
        <v>64</v>
      </c>
    </row>
    <row r="16857" spans="1:5" x14ac:dyDescent="0.2">
      <c r="A16857">
        <v>59453</v>
      </c>
      <c r="B16857" t="s">
        <v>32</v>
      </c>
      <c r="C16857">
        <v>59453</v>
      </c>
      <c r="D16857" t="str">
        <f>"59453"</f>
        <v>59453</v>
      </c>
      <c r="E16857">
        <v>70</v>
      </c>
    </row>
    <row r="16858" spans="1:5" x14ac:dyDescent="0.2">
      <c r="A16858">
        <v>59454</v>
      </c>
      <c r="B16858" t="s">
        <v>32</v>
      </c>
      <c r="C16858">
        <v>59454</v>
      </c>
      <c r="D16858" t="str">
        <f>"59454"</f>
        <v>59454</v>
      </c>
      <c r="E16858" t="s">
        <v>6</v>
      </c>
    </row>
    <row r="16859" spans="1:5" x14ac:dyDescent="0.2">
      <c r="A16859">
        <v>59456</v>
      </c>
      <c r="B16859" t="s">
        <v>32</v>
      </c>
      <c r="C16859">
        <v>59456</v>
      </c>
      <c r="D16859" t="str">
        <f>"59456"</f>
        <v>59456</v>
      </c>
      <c r="E16859">
        <v>61.54</v>
      </c>
    </row>
    <row r="16860" spans="1:5" x14ac:dyDescent="0.2">
      <c r="A16860">
        <v>59457</v>
      </c>
      <c r="B16860" t="s">
        <v>32</v>
      </c>
      <c r="C16860">
        <v>59457</v>
      </c>
      <c r="D16860" t="str">
        <f>"59457"</f>
        <v>59457</v>
      </c>
      <c r="E16860">
        <v>72.010000000000005</v>
      </c>
    </row>
    <row r="16861" spans="1:5" x14ac:dyDescent="0.2">
      <c r="A16861">
        <v>59460</v>
      </c>
      <c r="B16861" t="s">
        <v>32</v>
      </c>
      <c r="C16861">
        <v>59460</v>
      </c>
      <c r="D16861" t="str">
        <f>"59460"</f>
        <v>59460</v>
      </c>
      <c r="E16861" t="s">
        <v>6</v>
      </c>
    </row>
    <row r="16862" spans="1:5" x14ac:dyDescent="0.2">
      <c r="A16862">
        <v>59461</v>
      </c>
      <c r="B16862" t="s">
        <v>32</v>
      </c>
      <c r="C16862">
        <v>59461</v>
      </c>
      <c r="D16862" t="str">
        <f>"59461"</f>
        <v>59461</v>
      </c>
      <c r="E16862" t="s">
        <v>6</v>
      </c>
    </row>
    <row r="16863" spans="1:5" x14ac:dyDescent="0.2">
      <c r="A16863">
        <v>59462</v>
      </c>
      <c r="B16863" t="s">
        <v>32</v>
      </c>
      <c r="C16863">
        <v>59462</v>
      </c>
      <c r="D16863" t="str">
        <f>"59462"</f>
        <v>59462</v>
      </c>
      <c r="E16863" t="s">
        <v>6</v>
      </c>
    </row>
    <row r="16864" spans="1:5" x14ac:dyDescent="0.2">
      <c r="A16864">
        <v>59463</v>
      </c>
      <c r="B16864" t="s">
        <v>32</v>
      </c>
      <c r="C16864">
        <v>59463</v>
      </c>
      <c r="D16864" t="str">
        <f>"59463"</f>
        <v>59463</v>
      </c>
      <c r="E16864" t="s">
        <v>6</v>
      </c>
    </row>
    <row r="16865" spans="1:5" x14ac:dyDescent="0.2">
      <c r="A16865">
        <v>59464</v>
      </c>
      <c r="B16865" t="s">
        <v>32</v>
      </c>
      <c r="C16865">
        <v>59464</v>
      </c>
      <c r="D16865" t="str">
        <f>"59464"</f>
        <v>59464</v>
      </c>
      <c r="E16865">
        <v>65.38</v>
      </c>
    </row>
    <row r="16866" spans="1:5" x14ac:dyDescent="0.2">
      <c r="A16866">
        <v>59465</v>
      </c>
      <c r="B16866" t="s">
        <v>32</v>
      </c>
      <c r="C16866">
        <v>59465</v>
      </c>
      <c r="D16866" t="str">
        <f>"59465"</f>
        <v>59465</v>
      </c>
      <c r="E16866" t="s">
        <v>6</v>
      </c>
    </row>
    <row r="16867" spans="1:5" x14ac:dyDescent="0.2">
      <c r="A16867">
        <v>59466</v>
      </c>
      <c r="B16867" t="s">
        <v>32</v>
      </c>
      <c r="C16867">
        <v>59466</v>
      </c>
      <c r="D16867" t="str">
        <f>"59466"</f>
        <v>59466</v>
      </c>
      <c r="E16867" t="s">
        <v>6</v>
      </c>
    </row>
    <row r="16868" spans="1:5" x14ac:dyDescent="0.2">
      <c r="A16868">
        <v>59467</v>
      </c>
      <c r="B16868" t="s">
        <v>32</v>
      </c>
      <c r="C16868">
        <v>59467</v>
      </c>
      <c r="D16868" t="str">
        <f>"59467"</f>
        <v>59467</v>
      </c>
      <c r="E16868" t="s">
        <v>6</v>
      </c>
    </row>
    <row r="16869" spans="1:5" x14ac:dyDescent="0.2">
      <c r="A16869">
        <v>59468</v>
      </c>
      <c r="B16869" t="s">
        <v>32</v>
      </c>
      <c r="C16869">
        <v>59468</v>
      </c>
      <c r="D16869" t="str">
        <f>"59468"</f>
        <v>59468</v>
      </c>
      <c r="E16869">
        <v>72</v>
      </c>
    </row>
    <row r="16870" spans="1:5" x14ac:dyDescent="0.2">
      <c r="A16870">
        <v>59469</v>
      </c>
      <c r="B16870" t="s">
        <v>32</v>
      </c>
      <c r="C16870">
        <v>59469</v>
      </c>
      <c r="D16870" t="str">
        <f>"59469"</f>
        <v>59469</v>
      </c>
      <c r="E16870" t="s">
        <v>6</v>
      </c>
    </row>
    <row r="16871" spans="1:5" x14ac:dyDescent="0.2">
      <c r="A16871">
        <v>59471</v>
      </c>
      <c r="B16871" t="s">
        <v>32</v>
      </c>
      <c r="C16871">
        <v>59471</v>
      </c>
      <c r="D16871" t="str">
        <f>"59471"</f>
        <v>59471</v>
      </c>
      <c r="E16871">
        <v>63.64</v>
      </c>
    </row>
    <row r="16872" spans="1:5" x14ac:dyDescent="0.2">
      <c r="A16872">
        <v>59472</v>
      </c>
      <c r="B16872" t="s">
        <v>32</v>
      </c>
      <c r="C16872">
        <v>59472</v>
      </c>
      <c r="D16872" t="str">
        <f>"59472"</f>
        <v>59472</v>
      </c>
      <c r="E16872">
        <v>52.63</v>
      </c>
    </row>
    <row r="16873" spans="1:5" x14ac:dyDescent="0.2">
      <c r="A16873">
        <v>59474</v>
      </c>
      <c r="B16873" t="s">
        <v>32</v>
      </c>
      <c r="C16873">
        <v>59474</v>
      </c>
      <c r="D16873" t="str">
        <f>"59474"</f>
        <v>59474</v>
      </c>
      <c r="E16873">
        <v>71.760000000000005</v>
      </c>
    </row>
    <row r="16874" spans="1:5" x14ac:dyDescent="0.2">
      <c r="A16874">
        <v>59477</v>
      </c>
      <c r="B16874" t="s">
        <v>32</v>
      </c>
      <c r="C16874">
        <v>59477</v>
      </c>
      <c r="D16874" t="str">
        <f>"59477"</f>
        <v>59477</v>
      </c>
      <c r="E16874" t="s">
        <v>6</v>
      </c>
    </row>
    <row r="16875" spans="1:5" x14ac:dyDescent="0.2">
      <c r="A16875">
        <v>59479</v>
      </c>
      <c r="B16875" t="s">
        <v>32</v>
      </c>
      <c r="C16875">
        <v>59479</v>
      </c>
      <c r="D16875" t="str">
        <f>"59479"</f>
        <v>59479</v>
      </c>
      <c r="E16875">
        <v>68.569999999999993</v>
      </c>
    </row>
    <row r="16876" spans="1:5" x14ac:dyDescent="0.2">
      <c r="A16876">
        <v>59480</v>
      </c>
      <c r="B16876" t="s">
        <v>32</v>
      </c>
      <c r="C16876">
        <v>59480</v>
      </c>
      <c r="D16876" t="str">
        <f>"59480"</f>
        <v>59480</v>
      </c>
      <c r="E16876">
        <v>71.430000000000007</v>
      </c>
    </row>
    <row r="16877" spans="1:5" x14ac:dyDescent="0.2">
      <c r="A16877">
        <v>59482</v>
      </c>
      <c r="B16877" t="s">
        <v>32</v>
      </c>
      <c r="C16877">
        <v>59482</v>
      </c>
      <c r="D16877" t="str">
        <f>"59482"</f>
        <v>59482</v>
      </c>
      <c r="E16877">
        <v>67.739999999999995</v>
      </c>
    </row>
    <row r="16878" spans="1:5" x14ac:dyDescent="0.2">
      <c r="A16878">
        <v>59483</v>
      </c>
      <c r="B16878" t="s">
        <v>32</v>
      </c>
      <c r="C16878">
        <v>59483</v>
      </c>
      <c r="D16878" t="str">
        <f>"59483"</f>
        <v>59483</v>
      </c>
      <c r="E16878">
        <v>78.569999999999993</v>
      </c>
    </row>
    <row r="16879" spans="1:5" x14ac:dyDescent="0.2">
      <c r="A16879">
        <v>59484</v>
      </c>
      <c r="B16879" t="s">
        <v>32</v>
      </c>
      <c r="C16879">
        <v>59484</v>
      </c>
      <c r="D16879" t="str">
        <f>"59484"</f>
        <v>59484</v>
      </c>
      <c r="E16879">
        <v>66.67</v>
      </c>
    </row>
    <row r="16880" spans="1:5" x14ac:dyDescent="0.2">
      <c r="A16880">
        <v>59485</v>
      </c>
      <c r="B16880" t="s">
        <v>32</v>
      </c>
      <c r="C16880">
        <v>59485</v>
      </c>
      <c r="D16880" t="str">
        <f>"59485"</f>
        <v>59485</v>
      </c>
      <c r="E16880" t="s">
        <v>6</v>
      </c>
    </row>
    <row r="16881" spans="1:5" x14ac:dyDescent="0.2">
      <c r="A16881">
        <v>59486</v>
      </c>
      <c r="B16881" t="s">
        <v>32</v>
      </c>
      <c r="C16881">
        <v>59486</v>
      </c>
      <c r="D16881" t="str">
        <f>"59486"</f>
        <v>59486</v>
      </c>
      <c r="E16881">
        <v>65.22</v>
      </c>
    </row>
    <row r="16882" spans="1:5" x14ac:dyDescent="0.2">
      <c r="A16882">
        <v>59487</v>
      </c>
      <c r="B16882" t="s">
        <v>32</v>
      </c>
      <c r="C16882">
        <v>59487</v>
      </c>
      <c r="D16882" t="str">
        <f>"59487"</f>
        <v>59487</v>
      </c>
      <c r="E16882">
        <v>72.22</v>
      </c>
    </row>
    <row r="16883" spans="1:5" x14ac:dyDescent="0.2">
      <c r="A16883">
        <v>59489</v>
      </c>
      <c r="B16883" t="s">
        <v>32</v>
      </c>
      <c r="C16883">
        <v>59489</v>
      </c>
      <c r="D16883" t="str">
        <f>"59489"</f>
        <v>59489</v>
      </c>
      <c r="E16883">
        <v>64.290000000000006</v>
      </c>
    </row>
    <row r="16884" spans="1:5" x14ac:dyDescent="0.2">
      <c r="A16884">
        <v>59501</v>
      </c>
      <c r="B16884" t="s">
        <v>32</v>
      </c>
      <c r="C16884">
        <v>59501</v>
      </c>
      <c r="D16884" t="str">
        <f>"59501"</f>
        <v>59501</v>
      </c>
      <c r="E16884">
        <v>69.599999999999994</v>
      </c>
    </row>
    <row r="16885" spans="1:5" x14ac:dyDescent="0.2">
      <c r="A16885">
        <v>59520</v>
      </c>
      <c r="B16885" t="s">
        <v>32</v>
      </c>
      <c r="C16885">
        <v>59520</v>
      </c>
      <c r="D16885" t="str">
        <f>"59520"</f>
        <v>59520</v>
      </c>
      <c r="E16885">
        <v>72.92</v>
      </c>
    </row>
    <row r="16886" spans="1:5" x14ac:dyDescent="0.2">
      <c r="A16886">
        <v>59521</v>
      </c>
      <c r="B16886" t="s">
        <v>32</v>
      </c>
      <c r="C16886">
        <v>59521</v>
      </c>
      <c r="D16886" t="str">
        <f>"59521"</f>
        <v>59521</v>
      </c>
      <c r="E16886">
        <v>48.91</v>
      </c>
    </row>
    <row r="16887" spans="1:5" x14ac:dyDescent="0.2">
      <c r="A16887">
        <v>59522</v>
      </c>
      <c r="B16887" t="s">
        <v>32</v>
      </c>
      <c r="C16887">
        <v>59522</v>
      </c>
      <c r="D16887" t="str">
        <f>"59522"</f>
        <v>59522</v>
      </c>
      <c r="E16887">
        <v>60.27</v>
      </c>
    </row>
    <row r="16888" spans="1:5" x14ac:dyDescent="0.2">
      <c r="A16888">
        <v>59523</v>
      </c>
      <c r="B16888" t="s">
        <v>32</v>
      </c>
      <c r="C16888">
        <v>59523</v>
      </c>
      <c r="D16888" t="str">
        <f>"59523"</f>
        <v>59523</v>
      </c>
      <c r="E16888">
        <v>70.97</v>
      </c>
    </row>
    <row r="16889" spans="1:5" x14ac:dyDescent="0.2">
      <c r="A16889">
        <v>59524</v>
      </c>
      <c r="B16889" t="s">
        <v>32</v>
      </c>
      <c r="C16889">
        <v>59524</v>
      </c>
      <c r="D16889" t="str">
        <f>"59524"</f>
        <v>59524</v>
      </c>
      <c r="E16889">
        <v>52.63</v>
      </c>
    </row>
    <row r="16890" spans="1:5" x14ac:dyDescent="0.2">
      <c r="A16890">
        <v>59525</v>
      </c>
      <c r="B16890" t="s">
        <v>32</v>
      </c>
      <c r="C16890">
        <v>59525</v>
      </c>
      <c r="D16890" t="str">
        <f>"59525"</f>
        <v>59525</v>
      </c>
      <c r="E16890">
        <v>47.06</v>
      </c>
    </row>
    <row r="16891" spans="1:5" x14ac:dyDescent="0.2">
      <c r="A16891">
        <v>59526</v>
      </c>
      <c r="B16891" t="s">
        <v>32</v>
      </c>
      <c r="C16891">
        <v>59526</v>
      </c>
      <c r="D16891" t="str">
        <f>"59526"</f>
        <v>59526</v>
      </c>
      <c r="E16891">
        <v>55.56</v>
      </c>
    </row>
    <row r="16892" spans="1:5" x14ac:dyDescent="0.2">
      <c r="A16892">
        <v>59527</v>
      </c>
      <c r="B16892" t="s">
        <v>32</v>
      </c>
      <c r="C16892">
        <v>59527</v>
      </c>
      <c r="D16892" t="str">
        <f>"59527"</f>
        <v>59527</v>
      </c>
      <c r="E16892" t="s">
        <v>6</v>
      </c>
    </row>
    <row r="16893" spans="1:5" x14ac:dyDescent="0.2">
      <c r="A16893">
        <v>59528</v>
      </c>
      <c r="B16893" t="s">
        <v>32</v>
      </c>
      <c r="C16893">
        <v>59528</v>
      </c>
      <c r="D16893" t="str">
        <f>"59528"</f>
        <v>59528</v>
      </c>
      <c r="E16893">
        <v>75</v>
      </c>
    </row>
    <row r="16894" spans="1:5" x14ac:dyDescent="0.2">
      <c r="A16894">
        <v>59529</v>
      </c>
      <c r="B16894" t="s">
        <v>32</v>
      </c>
      <c r="C16894">
        <v>59529</v>
      </c>
      <c r="D16894" t="str">
        <f>"59529"</f>
        <v>59529</v>
      </c>
      <c r="E16894" t="s">
        <v>6</v>
      </c>
    </row>
    <row r="16895" spans="1:5" x14ac:dyDescent="0.2">
      <c r="A16895">
        <v>59530</v>
      </c>
      <c r="B16895" t="s">
        <v>32</v>
      </c>
      <c r="C16895">
        <v>59530</v>
      </c>
      <c r="D16895" t="str">
        <f>"59530"</f>
        <v>59530</v>
      </c>
      <c r="E16895" t="s">
        <v>6</v>
      </c>
    </row>
    <row r="16896" spans="1:5" x14ac:dyDescent="0.2">
      <c r="A16896">
        <v>59531</v>
      </c>
      <c r="B16896" t="s">
        <v>32</v>
      </c>
      <c r="C16896">
        <v>59531</v>
      </c>
      <c r="D16896" t="str">
        <f>"59531"</f>
        <v>59531</v>
      </c>
      <c r="E16896">
        <v>66.67</v>
      </c>
    </row>
    <row r="16897" spans="1:5" x14ac:dyDescent="0.2">
      <c r="A16897">
        <v>59532</v>
      </c>
      <c r="B16897" t="s">
        <v>32</v>
      </c>
      <c r="C16897">
        <v>59532</v>
      </c>
      <c r="D16897" t="str">
        <f>"59532"</f>
        <v>59532</v>
      </c>
      <c r="E16897" t="s">
        <v>6</v>
      </c>
    </row>
    <row r="16898" spans="1:5" x14ac:dyDescent="0.2">
      <c r="A16898">
        <v>59535</v>
      </c>
      <c r="B16898" t="s">
        <v>32</v>
      </c>
      <c r="C16898">
        <v>59535</v>
      </c>
      <c r="D16898" t="str">
        <f>"59535"</f>
        <v>59535</v>
      </c>
      <c r="E16898" t="s">
        <v>6</v>
      </c>
    </row>
    <row r="16899" spans="1:5" x14ac:dyDescent="0.2">
      <c r="A16899">
        <v>59537</v>
      </c>
      <c r="B16899" t="s">
        <v>32</v>
      </c>
      <c r="C16899">
        <v>59537</v>
      </c>
      <c r="D16899" t="str">
        <f>"59537"</f>
        <v>59537</v>
      </c>
      <c r="E16899" t="s">
        <v>6</v>
      </c>
    </row>
    <row r="16900" spans="1:5" x14ac:dyDescent="0.2">
      <c r="A16900">
        <v>59538</v>
      </c>
      <c r="B16900" t="s">
        <v>32</v>
      </c>
      <c r="C16900">
        <v>59538</v>
      </c>
      <c r="D16900" t="str">
        <f>"59538"</f>
        <v>59538</v>
      </c>
      <c r="E16900">
        <v>68.94</v>
      </c>
    </row>
    <row r="16901" spans="1:5" x14ac:dyDescent="0.2">
      <c r="A16901">
        <v>59540</v>
      </c>
      <c r="B16901" t="s">
        <v>32</v>
      </c>
      <c r="C16901">
        <v>59540</v>
      </c>
      <c r="D16901" t="str">
        <f>"59540"</f>
        <v>59540</v>
      </c>
      <c r="E16901">
        <v>75</v>
      </c>
    </row>
    <row r="16902" spans="1:5" x14ac:dyDescent="0.2">
      <c r="A16902">
        <v>59542</v>
      </c>
      <c r="B16902" t="s">
        <v>32</v>
      </c>
      <c r="C16902">
        <v>59542</v>
      </c>
      <c r="D16902" t="str">
        <f>"59542"</f>
        <v>59542</v>
      </c>
      <c r="E16902">
        <v>41.67</v>
      </c>
    </row>
    <row r="16903" spans="1:5" x14ac:dyDescent="0.2">
      <c r="A16903">
        <v>59544</v>
      </c>
      <c r="B16903" t="s">
        <v>32</v>
      </c>
      <c r="C16903">
        <v>59544</v>
      </c>
      <c r="D16903" t="str">
        <f>"59544"</f>
        <v>59544</v>
      </c>
      <c r="E16903" t="s">
        <v>6</v>
      </c>
    </row>
    <row r="16904" spans="1:5" x14ac:dyDescent="0.2">
      <c r="A16904">
        <v>59545</v>
      </c>
      <c r="B16904" t="s">
        <v>32</v>
      </c>
      <c r="C16904">
        <v>59545</v>
      </c>
      <c r="D16904" t="str">
        <f>"59545"</f>
        <v>59545</v>
      </c>
      <c r="E16904" t="s">
        <v>6</v>
      </c>
    </row>
    <row r="16905" spans="1:5" x14ac:dyDescent="0.2">
      <c r="A16905">
        <v>59546</v>
      </c>
      <c r="B16905" t="s">
        <v>32</v>
      </c>
      <c r="C16905">
        <v>59546</v>
      </c>
      <c r="D16905" t="str">
        <f>"59546"</f>
        <v>59546</v>
      </c>
      <c r="E16905" t="s">
        <v>6</v>
      </c>
    </row>
    <row r="16906" spans="1:5" x14ac:dyDescent="0.2">
      <c r="A16906">
        <v>59547</v>
      </c>
      <c r="B16906" t="s">
        <v>32</v>
      </c>
      <c r="C16906">
        <v>59547</v>
      </c>
      <c r="D16906" t="str">
        <f>"59547"</f>
        <v>59547</v>
      </c>
      <c r="E16906" t="s">
        <v>6</v>
      </c>
    </row>
    <row r="16907" spans="1:5" x14ac:dyDescent="0.2">
      <c r="A16907">
        <v>59601</v>
      </c>
      <c r="B16907" t="s">
        <v>32</v>
      </c>
      <c r="C16907">
        <v>59601</v>
      </c>
      <c r="D16907" t="str">
        <f>"59601"</f>
        <v>59601</v>
      </c>
      <c r="E16907">
        <v>77.040000000000006</v>
      </c>
    </row>
    <row r="16908" spans="1:5" x14ac:dyDescent="0.2">
      <c r="A16908">
        <v>59602</v>
      </c>
      <c r="B16908" t="s">
        <v>32</v>
      </c>
      <c r="C16908">
        <v>59602</v>
      </c>
      <c r="D16908" t="str">
        <f>"59602"</f>
        <v>59602</v>
      </c>
      <c r="E16908">
        <v>77.38</v>
      </c>
    </row>
    <row r="16909" spans="1:5" x14ac:dyDescent="0.2">
      <c r="A16909">
        <v>59623</v>
      </c>
      <c r="B16909" t="s">
        <v>32</v>
      </c>
      <c r="C16909">
        <v>59623</v>
      </c>
      <c r="D16909" t="str">
        <f>"59623"</f>
        <v>59623</v>
      </c>
      <c r="E16909" t="s">
        <v>6</v>
      </c>
    </row>
    <row r="16910" spans="1:5" x14ac:dyDescent="0.2">
      <c r="A16910">
        <v>59626</v>
      </c>
      <c r="B16910" t="s">
        <v>32</v>
      </c>
      <c r="C16910">
        <v>59626</v>
      </c>
      <c r="D16910" t="str">
        <f>"59626"</f>
        <v>59626</v>
      </c>
      <c r="E16910" t="s">
        <v>6</v>
      </c>
    </row>
    <row r="16911" spans="1:5" x14ac:dyDescent="0.2">
      <c r="A16911">
        <v>59631</v>
      </c>
      <c r="B16911" t="s">
        <v>32</v>
      </c>
      <c r="C16911">
        <v>59631</v>
      </c>
      <c r="D16911" t="str">
        <f>"59631"</f>
        <v>59631</v>
      </c>
      <c r="E16911" t="s">
        <v>6</v>
      </c>
    </row>
    <row r="16912" spans="1:5" x14ac:dyDescent="0.2">
      <c r="A16912">
        <v>59632</v>
      </c>
      <c r="B16912" t="s">
        <v>32</v>
      </c>
      <c r="C16912">
        <v>59632</v>
      </c>
      <c r="D16912" t="str">
        <f>"59632"</f>
        <v>59632</v>
      </c>
      <c r="E16912">
        <v>71.260000000000005</v>
      </c>
    </row>
    <row r="16913" spans="1:5" x14ac:dyDescent="0.2">
      <c r="A16913">
        <v>59633</v>
      </c>
      <c r="B16913" t="s">
        <v>32</v>
      </c>
      <c r="C16913">
        <v>59633</v>
      </c>
      <c r="D16913" t="str">
        <f>"59633"</f>
        <v>59633</v>
      </c>
      <c r="E16913" t="s">
        <v>6</v>
      </c>
    </row>
    <row r="16914" spans="1:5" x14ac:dyDescent="0.2">
      <c r="A16914">
        <v>59634</v>
      </c>
      <c r="B16914" t="s">
        <v>32</v>
      </c>
      <c r="C16914">
        <v>59634</v>
      </c>
      <c r="D16914" t="str">
        <f>"59634"</f>
        <v>59634</v>
      </c>
      <c r="E16914">
        <v>81.5</v>
      </c>
    </row>
    <row r="16915" spans="1:5" x14ac:dyDescent="0.2">
      <c r="A16915">
        <v>59635</v>
      </c>
      <c r="B16915" t="s">
        <v>32</v>
      </c>
      <c r="C16915">
        <v>59635</v>
      </c>
      <c r="D16915" t="str">
        <f>"59635"</f>
        <v>59635</v>
      </c>
      <c r="E16915">
        <v>74.8</v>
      </c>
    </row>
    <row r="16916" spans="1:5" x14ac:dyDescent="0.2">
      <c r="A16916">
        <v>59636</v>
      </c>
      <c r="B16916" t="s">
        <v>32</v>
      </c>
      <c r="C16916">
        <v>59636</v>
      </c>
      <c r="D16916" t="str">
        <f>"59636"</f>
        <v>59636</v>
      </c>
      <c r="E16916" t="s">
        <v>6</v>
      </c>
    </row>
    <row r="16917" spans="1:5" x14ac:dyDescent="0.2">
      <c r="A16917">
        <v>59638</v>
      </c>
      <c r="B16917" t="s">
        <v>32</v>
      </c>
      <c r="C16917">
        <v>59638</v>
      </c>
      <c r="D16917" t="str">
        <f>"59638"</f>
        <v>59638</v>
      </c>
      <c r="E16917" t="s">
        <v>6</v>
      </c>
    </row>
    <row r="16918" spans="1:5" x14ac:dyDescent="0.2">
      <c r="A16918">
        <v>59639</v>
      </c>
      <c r="B16918" t="s">
        <v>32</v>
      </c>
      <c r="C16918">
        <v>59639</v>
      </c>
      <c r="D16918" t="str">
        <f>"59639"</f>
        <v>59639</v>
      </c>
      <c r="E16918">
        <v>67.86</v>
      </c>
    </row>
    <row r="16919" spans="1:5" x14ac:dyDescent="0.2">
      <c r="A16919">
        <v>59640</v>
      </c>
      <c r="B16919" t="s">
        <v>32</v>
      </c>
      <c r="C16919">
        <v>59640</v>
      </c>
      <c r="D16919" t="str">
        <f>"59640"</f>
        <v>59640</v>
      </c>
      <c r="E16919" t="s">
        <v>6</v>
      </c>
    </row>
    <row r="16920" spans="1:5" x14ac:dyDescent="0.2">
      <c r="A16920">
        <v>59641</v>
      </c>
      <c r="B16920" t="s">
        <v>32</v>
      </c>
      <c r="C16920">
        <v>59641</v>
      </c>
      <c r="D16920" t="str">
        <f>"59641"</f>
        <v>59641</v>
      </c>
      <c r="E16920" t="s">
        <v>6</v>
      </c>
    </row>
    <row r="16921" spans="1:5" x14ac:dyDescent="0.2">
      <c r="A16921">
        <v>59642</v>
      </c>
      <c r="B16921" t="s">
        <v>32</v>
      </c>
      <c r="C16921">
        <v>59642</v>
      </c>
      <c r="D16921" t="str">
        <f>"59642"</f>
        <v>59642</v>
      </c>
      <c r="E16921" t="s">
        <v>6</v>
      </c>
    </row>
    <row r="16922" spans="1:5" x14ac:dyDescent="0.2">
      <c r="A16922">
        <v>59643</v>
      </c>
      <c r="B16922" t="s">
        <v>32</v>
      </c>
      <c r="C16922">
        <v>59643</v>
      </c>
      <c r="D16922" t="str">
        <f>"59643"</f>
        <v>59643</v>
      </c>
      <c r="E16922">
        <v>68.42</v>
      </c>
    </row>
    <row r="16923" spans="1:5" x14ac:dyDescent="0.2">
      <c r="A16923">
        <v>59644</v>
      </c>
      <c r="B16923" t="s">
        <v>32</v>
      </c>
      <c r="C16923">
        <v>59644</v>
      </c>
      <c r="D16923" t="str">
        <f>"59644"</f>
        <v>59644</v>
      </c>
      <c r="E16923">
        <v>71.5</v>
      </c>
    </row>
    <row r="16924" spans="1:5" x14ac:dyDescent="0.2">
      <c r="A16924">
        <v>59645</v>
      </c>
      <c r="B16924" t="s">
        <v>32</v>
      </c>
      <c r="C16924">
        <v>59645</v>
      </c>
      <c r="D16924" t="str">
        <f>"59645"</f>
        <v>59645</v>
      </c>
      <c r="E16924">
        <v>70.77</v>
      </c>
    </row>
    <row r="16925" spans="1:5" x14ac:dyDescent="0.2">
      <c r="A16925">
        <v>59647</v>
      </c>
      <c r="B16925" t="s">
        <v>32</v>
      </c>
      <c r="C16925">
        <v>59647</v>
      </c>
      <c r="D16925" t="str">
        <f>"59647"</f>
        <v>59647</v>
      </c>
      <c r="E16925">
        <v>72.73</v>
      </c>
    </row>
    <row r="16926" spans="1:5" x14ac:dyDescent="0.2">
      <c r="A16926">
        <v>59648</v>
      </c>
      <c r="B16926" t="s">
        <v>32</v>
      </c>
      <c r="C16926">
        <v>59648</v>
      </c>
      <c r="D16926" t="str">
        <f>"59648"</f>
        <v>59648</v>
      </c>
      <c r="E16926">
        <v>58.62</v>
      </c>
    </row>
    <row r="16927" spans="1:5" x14ac:dyDescent="0.2">
      <c r="A16927">
        <v>59701</v>
      </c>
      <c r="B16927" t="s">
        <v>32</v>
      </c>
      <c r="C16927">
        <v>59701</v>
      </c>
      <c r="D16927" t="str">
        <f>"59701"</f>
        <v>59701</v>
      </c>
      <c r="E16927">
        <v>70.7</v>
      </c>
    </row>
    <row r="16928" spans="1:5" x14ac:dyDescent="0.2">
      <c r="A16928">
        <v>59710</v>
      </c>
      <c r="B16928" t="s">
        <v>32</v>
      </c>
      <c r="C16928">
        <v>59710</v>
      </c>
      <c r="D16928" t="str">
        <f>"59710"</f>
        <v>59710</v>
      </c>
      <c r="E16928" t="s">
        <v>6</v>
      </c>
    </row>
    <row r="16929" spans="1:5" x14ac:dyDescent="0.2">
      <c r="A16929">
        <v>59711</v>
      </c>
      <c r="B16929" t="s">
        <v>32</v>
      </c>
      <c r="C16929">
        <v>59711</v>
      </c>
      <c r="D16929" t="str">
        <f>"59711"</f>
        <v>59711</v>
      </c>
      <c r="E16929">
        <v>73.14</v>
      </c>
    </row>
    <row r="16930" spans="1:5" x14ac:dyDescent="0.2">
      <c r="A16930">
        <v>59713</v>
      </c>
      <c r="B16930" t="s">
        <v>32</v>
      </c>
      <c r="C16930">
        <v>59713</v>
      </c>
      <c r="D16930" t="str">
        <f>"59713"</f>
        <v>59713</v>
      </c>
      <c r="E16930" t="s">
        <v>6</v>
      </c>
    </row>
    <row r="16931" spans="1:5" x14ac:dyDescent="0.2">
      <c r="A16931">
        <v>59714</v>
      </c>
      <c r="B16931" t="s">
        <v>32</v>
      </c>
      <c r="C16931">
        <v>59714</v>
      </c>
      <c r="D16931" t="str">
        <f>"59714"</f>
        <v>59714</v>
      </c>
      <c r="E16931">
        <v>76.709999999999994</v>
      </c>
    </row>
    <row r="16932" spans="1:5" x14ac:dyDescent="0.2">
      <c r="A16932">
        <v>59715</v>
      </c>
      <c r="B16932" t="s">
        <v>32</v>
      </c>
      <c r="C16932">
        <v>59715</v>
      </c>
      <c r="D16932" t="str">
        <f>"59715"</f>
        <v>59715</v>
      </c>
      <c r="E16932">
        <v>75.150000000000006</v>
      </c>
    </row>
    <row r="16933" spans="1:5" x14ac:dyDescent="0.2">
      <c r="A16933">
        <v>59716</v>
      </c>
      <c r="B16933" t="s">
        <v>32</v>
      </c>
      <c r="C16933">
        <v>59716</v>
      </c>
      <c r="D16933" t="str">
        <f>"59716"</f>
        <v>59716</v>
      </c>
      <c r="E16933" t="s">
        <v>6</v>
      </c>
    </row>
    <row r="16934" spans="1:5" x14ac:dyDescent="0.2">
      <c r="A16934">
        <v>59718</v>
      </c>
      <c r="B16934" t="s">
        <v>32</v>
      </c>
      <c r="C16934">
        <v>59718</v>
      </c>
      <c r="D16934" t="str">
        <f>"59718"</f>
        <v>59718</v>
      </c>
      <c r="E16934">
        <v>77.83</v>
      </c>
    </row>
    <row r="16935" spans="1:5" x14ac:dyDescent="0.2">
      <c r="A16935">
        <v>59720</v>
      </c>
      <c r="B16935" t="s">
        <v>32</v>
      </c>
      <c r="C16935">
        <v>59720</v>
      </c>
      <c r="D16935" t="str">
        <f>"59720"</f>
        <v>59720</v>
      </c>
      <c r="E16935">
        <v>75</v>
      </c>
    </row>
    <row r="16936" spans="1:5" x14ac:dyDescent="0.2">
      <c r="A16936">
        <v>59721</v>
      </c>
      <c r="B16936" t="s">
        <v>32</v>
      </c>
      <c r="C16936">
        <v>59721</v>
      </c>
      <c r="D16936" t="str">
        <f>"59721"</f>
        <v>59721</v>
      </c>
      <c r="E16936">
        <v>61.11</v>
      </c>
    </row>
    <row r="16937" spans="1:5" x14ac:dyDescent="0.2">
      <c r="A16937">
        <v>59722</v>
      </c>
      <c r="B16937" t="s">
        <v>32</v>
      </c>
      <c r="C16937">
        <v>59722</v>
      </c>
      <c r="D16937" t="str">
        <f>"59722"</f>
        <v>59722</v>
      </c>
      <c r="E16937">
        <v>67.84</v>
      </c>
    </row>
    <row r="16938" spans="1:5" x14ac:dyDescent="0.2">
      <c r="A16938">
        <v>59724</v>
      </c>
      <c r="B16938" t="s">
        <v>32</v>
      </c>
      <c r="C16938">
        <v>59724</v>
      </c>
      <c r="D16938" t="str">
        <f>"59724"</f>
        <v>59724</v>
      </c>
      <c r="E16938" t="s">
        <v>6</v>
      </c>
    </row>
    <row r="16939" spans="1:5" x14ac:dyDescent="0.2">
      <c r="A16939">
        <v>59725</v>
      </c>
      <c r="B16939" t="s">
        <v>32</v>
      </c>
      <c r="C16939">
        <v>59725</v>
      </c>
      <c r="D16939" t="str">
        <f>"59725"</f>
        <v>59725</v>
      </c>
      <c r="E16939">
        <v>68.98</v>
      </c>
    </row>
    <row r="16940" spans="1:5" x14ac:dyDescent="0.2">
      <c r="A16940">
        <v>59727</v>
      </c>
      <c r="B16940" t="s">
        <v>32</v>
      </c>
      <c r="C16940">
        <v>59727</v>
      </c>
      <c r="D16940" t="str">
        <f>"59727"</f>
        <v>59727</v>
      </c>
      <c r="E16940" t="s">
        <v>6</v>
      </c>
    </row>
    <row r="16941" spans="1:5" x14ac:dyDescent="0.2">
      <c r="A16941">
        <v>59728</v>
      </c>
      <c r="B16941" t="s">
        <v>32</v>
      </c>
      <c r="C16941">
        <v>59728</v>
      </c>
      <c r="D16941" t="str">
        <f>"59728"</f>
        <v>59728</v>
      </c>
      <c r="E16941" t="s">
        <v>6</v>
      </c>
    </row>
    <row r="16942" spans="1:5" x14ac:dyDescent="0.2">
      <c r="A16942">
        <v>59729</v>
      </c>
      <c r="B16942" t="s">
        <v>32</v>
      </c>
      <c r="C16942">
        <v>59729</v>
      </c>
      <c r="D16942" t="str">
        <f>"59729"</f>
        <v>59729</v>
      </c>
      <c r="E16942">
        <v>72.790000000000006</v>
      </c>
    </row>
    <row r="16943" spans="1:5" x14ac:dyDescent="0.2">
      <c r="A16943">
        <v>59730</v>
      </c>
      <c r="B16943" t="s">
        <v>32</v>
      </c>
      <c r="C16943">
        <v>59730</v>
      </c>
      <c r="D16943" t="str">
        <f>"59730"</f>
        <v>59730</v>
      </c>
      <c r="E16943">
        <v>76.11</v>
      </c>
    </row>
    <row r="16944" spans="1:5" x14ac:dyDescent="0.2">
      <c r="A16944">
        <v>59731</v>
      </c>
      <c r="B16944" t="s">
        <v>32</v>
      </c>
      <c r="C16944">
        <v>59731</v>
      </c>
      <c r="D16944" t="str">
        <f>"59731"</f>
        <v>59731</v>
      </c>
      <c r="E16944" t="s">
        <v>6</v>
      </c>
    </row>
    <row r="16945" spans="1:5" x14ac:dyDescent="0.2">
      <c r="A16945">
        <v>59732</v>
      </c>
      <c r="B16945" t="s">
        <v>32</v>
      </c>
      <c r="C16945">
        <v>59732</v>
      </c>
      <c r="D16945" t="str">
        <f>"59732"</f>
        <v>59732</v>
      </c>
      <c r="E16945" t="s">
        <v>6</v>
      </c>
    </row>
    <row r="16946" spans="1:5" x14ac:dyDescent="0.2">
      <c r="A16946">
        <v>59733</v>
      </c>
      <c r="B16946" t="s">
        <v>32</v>
      </c>
      <c r="C16946">
        <v>59733</v>
      </c>
      <c r="D16946" t="str">
        <f>"59733"</f>
        <v>59733</v>
      </c>
      <c r="E16946" t="s">
        <v>6</v>
      </c>
    </row>
    <row r="16947" spans="1:5" x14ac:dyDescent="0.2">
      <c r="A16947">
        <v>59735</v>
      </c>
      <c r="B16947" t="s">
        <v>32</v>
      </c>
      <c r="C16947">
        <v>59735</v>
      </c>
      <c r="D16947" t="str">
        <f>"59735"</f>
        <v>59735</v>
      </c>
      <c r="E16947" t="s">
        <v>6</v>
      </c>
    </row>
    <row r="16948" spans="1:5" x14ac:dyDescent="0.2">
      <c r="A16948">
        <v>59736</v>
      </c>
      <c r="B16948" t="s">
        <v>32</v>
      </c>
      <c r="C16948">
        <v>59736</v>
      </c>
      <c r="D16948" t="str">
        <f>"59736"</f>
        <v>59736</v>
      </c>
      <c r="E16948" t="s">
        <v>6</v>
      </c>
    </row>
    <row r="16949" spans="1:5" x14ac:dyDescent="0.2">
      <c r="A16949">
        <v>59739</v>
      </c>
      <c r="B16949" t="s">
        <v>32</v>
      </c>
      <c r="C16949">
        <v>59739</v>
      </c>
      <c r="D16949" t="str">
        <f>"59739"</f>
        <v>59739</v>
      </c>
      <c r="E16949">
        <v>66.67</v>
      </c>
    </row>
    <row r="16950" spans="1:5" x14ac:dyDescent="0.2">
      <c r="A16950">
        <v>59740</v>
      </c>
      <c r="B16950" t="s">
        <v>32</v>
      </c>
      <c r="C16950">
        <v>59740</v>
      </c>
      <c r="D16950" t="str">
        <f>"59740"</f>
        <v>59740</v>
      </c>
      <c r="E16950" t="s">
        <v>6</v>
      </c>
    </row>
    <row r="16951" spans="1:5" x14ac:dyDescent="0.2">
      <c r="A16951">
        <v>59741</v>
      </c>
      <c r="B16951" t="s">
        <v>32</v>
      </c>
      <c r="C16951">
        <v>59741</v>
      </c>
      <c r="D16951" t="str">
        <f>"59741"</f>
        <v>59741</v>
      </c>
      <c r="E16951">
        <v>73.62</v>
      </c>
    </row>
    <row r="16952" spans="1:5" x14ac:dyDescent="0.2">
      <c r="A16952">
        <v>59743</v>
      </c>
      <c r="B16952" t="s">
        <v>32</v>
      </c>
      <c r="C16952">
        <v>59743</v>
      </c>
      <c r="D16952" t="str">
        <f>"59743"</f>
        <v>59743</v>
      </c>
      <c r="E16952" t="s">
        <v>6</v>
      </c>
    </row>
    <row r="16953" spans="1:5" x14ac:dyDescent="0.2">
      <c r="A16953">
        <v>59745</v>
      </c>
      <c r="B16953" t="s">
        <v>32</v>
      </c>
      <c r="C16953">
        <v>59745</v>
      </c>
      <c r="D16953" t="str">
        <f>"59745"</f>
        <v>59745</v>
      </c>
      <c r="E16953" t="s">
        <v>6</v>
      </c>
    </row>
    <row r="16954" spans="1:5" x14ac:dyDescent="0.2">
      <c r="A16954">
        <v>59746</v>
      </c>
      <c r="B16954" t="s">
        <v>32</v>
      </c>
      <c r="C16954">
        <v>59746</v>
      </c>
      <c r="D16954" t="str">
        <f>"59746"</f>
        <v>59746</v>
      </c>
      <c r="E16954" t="s">
        <v>6</v>
      </c>
    </row>
    <row r="16955" spans="1:5" x14ac:dyDescent="0.2">
      <c r="A16955">
        <v>59747</v>
      </c>
      <c r="B16955" t="s">
        <v>32</v>
      </c>
      <c r="C16955">
        <v>59747</v>
      </c>
      <c r="D16955" t="str">
        <f>"59747"</f>
        <v>59747</v>
      </c>
      <c r="E16955" t="s">
        <v>6</v>
      </c>
    </row>
    <row r="16956" spans="1:5" x14ac:dyDescent="0.2">
      <c r="A16956">
        <v>59748</v>
      </c>
      <c r="B16956" t="s">
        <v>32</v>
      </c>
      <c r="C16956">
        <v>59748</v>
      </c>
      <c r="D16956" t="str">
        <f>"59748"</f>
        <v>59748</v>
      </c>
      <c r="E16956" t="s">
        <v>6</v>
      </c>
    </row>
    <row r="16957" spans="1:5" x14ac:dyDescent="0.2">
      <c r="A16957">
        <v>59749</v>
      </c>
      <c r="B16957" t="s">
        <v>32</v>
      </c>
      <c r="C16957">
        <v>59749</v>
      </c>
      <c r="D16957" t="str">
        <f>"59749"</f>
        <v>59749</v>
      </c>
      <c r="E16957">
        <v>70.89</v>
      </c>
    </row>
    <row r="16958" spans="1:5" x14ac:dyDescent="0.2">
      <c r="A16958">
        <v>59750</v>
      </c>
      <c r="B16958" t="s">
        <v>32</v>
      </c>
      <c r="C16958">
        <v>59750</v>
      </c>
      <c r="D16958" t="str">
        <f>"59750"</f>
        <v>59750</v>
      </c>
      <c r="E16958">
        <v>71.430000000000007</v>
      </c>
    </row>
    <row r="16959" spans="1:5" x14ac:dyDescent="0.2">
      <c r="A16959">
        <v>59751</v>
      </c>
      <c r="B16959" t="s">
        <v>32</v>
      </c>
      <c r="C16959">
        <v>59751</v>
      </c>
      <c r="D16959" t="str">
        <f>"59751"</f>
        <v>59751</v>
      </c>
      <c r="E16959" t="s">
        <v>6</v>
      </c>
    </row>
    <row r="16960" spans="1:5" x14ac:dyDescent="0.2">
      <c r="A16960">
        <v>59752</v>
      </c>
      <c r="B16960" t="s">
        <v>32</v>
      </c>
      <c r="C16960">
        <v>59752</v>
      </c>
      <c r="D16960" t="str">
        <f>"59752"</f>
        <v>59752</v>
      </c>
      <c r="E16960">
        <v>75</v>
      </c>
    </row>
    <row r="16961" spans="1:5" x14ac:dyDescent="0.2">
      <c r="A16961">
        <v>59754</v>
      </c>
      <c r="B16961" t="s">
        <v>32</v>
      </c>
      <c r="C16961">
        <v>59754</v>
      </c>
      <c r="D16961" t="str">
        <f>"59754"</f>
        <v>59754</v>
      </c>
      <c r="E16961">
        <v>65.31</v>
      </c>
    </row>
    <row r="16962" spans="1:5" x14ac:dyDescent="0.2">
      <c r="A16962">
        <v>59755</v>
      </c>
      <c r="B16962" t="s">
        <v>32</v>
      </c>
      <c r="C16962">
        <v>59755</v>
      </c>
      <c r="D16962" t="str">
        <f>"59755"</f>
        <v>59755</v>
      </c>
      <c r="E16962" t="s">
        <v>6</v>
      </c>
    </row>
    <row r="16963" spans="1:5" x14ac:dyDescent="0.2">
      <c r="A16963">
        <v>59756</v>
      </c>
      <c r="B16963" t="s">
        <v>32</v>
      </c>
      <c r="C16963">
        <v>59756</v>
      </c>
      <c r="D16963" t="str">
        <f>"59756"</f>
        <v>59756</v>
      </c>
      <c r="E16963" t="s">
        <v>6</v>
      </c>
    </row>
    <row r="16964" spans="1:5" x14ac:dyDescent="0.2">
      <c r="A16964">
        <v>59758</v>
      </c>
      <c r="B16964" t="s">
        <v>32</v>
      </c>
      <c r="C16964">
        <v>59758</v>
      </c>
      <c r="D16964" t="str">
        <f>"59758"</f>
        <v>59758</v>
      </c>
      <c r="E16964">
        <v>73.209999999999994</v>
      </c>
    </row>
    <row r="16965" spans="1:5" x14ac:dyDescent="0.2">
      <c r="A16965">
        <v>59759</v>
      </c>
      <c r="B16965" t="s">
        <v>32</v>
      </c>
      <c r="C16965">
        <v>59759</v>
      </c>
      <c r="D16965" t="str">
        <f>"59759"</f>
        <v>59759</v>
      </c>
      <c r="E16965">
        <v>70.37</v>
      </c>
    </row>
    <row r="16966" spans="1:5" x14ac:dyDescent="0.2">
      <c r="A16966">
        <v>59760</v>
      </c>
      <c r="B16966" t="s">
        <v>32</v>
      </c>
      <c r="C16966">
        <v>59760</v>
      </c>
      <c r="D16966" t="str">
        <f>"59760"</f>
        <v>59760</v>
      </c>
      <c r="E16966" t="s">
        <v>6</v>
      </c>
    </row>
    <row r="16967" spans="1:5" x14ac:dyDescent="0.2">
      <c r="A16967">
        <v>59761</v>
      </c>
      <c r="B16967" t="s">
        <v>32</v>
      </c>
      <c r="C16967">
        <v>59761</v>
      </c>
      <c r="D16967" t="str">
        <f>"59761"</f>
        <v>59761</v>
      </c>
      <c r="E16967">
        <v>75</v>
      </c>
    </row>
    <row r="16968" spans="1:5" x14ac:dyDescent="0.2">
      <c r="A16968">
        <v>59762</v>
      </c>
      <c r="B16968" t="s">
        <v>32</v>
      </c>
      <c r="C16968">
        <v>59762</v>
      </c>
      <c r="D16968" t="str">
        <f>"59762"</f>
        <v>59762</v>
      </c>
      <c r="E16968">
        <v>75</v>
      </c>
    </row>
    <row r="16969" spans="1:5" x14ac:dyDescent="0.2">
      <c r="A16969">
        <v>59801</v>
      </c>
      <c r="B16969" t="s">
        <v>32</v>
      </c>
      <c r="C16969">
        <v>59801</v>
      </c>
      <c r="D16969" t="str">
        <f>"59801"</f>
        <v>59801</v>
      </c>
      <c r="E16969">
        <v>70.44</v>
      </c>
    </row>
    <row r="16970" spans="1:5" x14ac:dyDescent="0.2">
      <c r="A16970">
        <v>59802</v>
      </c>
      <c r="B16970" t="s">
        <v>32</v>
      </c>
      <c r="C16970">
        <v>59802</v>
      </c>
      <c r="D16970" t="str">
        <f>"59802"</f>
        <v>59802</v>
      </c>
      <c r="E16970">
        <v>73.11</v>
      </c>
    </row>
    <row r="16971" spans="1:5" x14ac:dyDescent="0.2">
      <c r="A16971">
        <v>59803</v>
      </c>
      <c r="B16971" t="s">
        <v>32</v>
      </c>
      <c r="C16971">
        <v>59803</v>
      </c>
      <c r="D16971" t="str">
        <f>"59803"</f>
        <v>59803</v>
      </c>
      <c r="E16971">
        <v>77.540000000000006</v>
      </c>
    </row>
    <row r="16972" spans="1:5" x14ac:dyDescent="0.2">
      <c r="A16972">
        <v>59804</v>
      </c>
      <c r="B16972" t="s">
        <v>32</v>
      </c>
      <c r="C16972">
        <v>59804</v>
      </c>
      <c r="D16972" t="str">
        <f>"59804"</f>
        <v>59804</v>
      </c>
      <c r="E16972">
        <v>74.66</v>
      </c>
    </row>
    <row r="16973" spans="1:5" x14ac:dyDescent="0.2">
      <c r="A16973">
        <v>59808</v>
      </c>
      <c r="B16973" t="s">
        <v>32</v>
      </c>
      <c r="C16973">
        <v>59808</v>
      </c>
      <c r="D16973" t="str">
        <f>"59808"</f>
        <v>59808</v>
      </c>
      <c r="E16973">
        <v>74.37</v>
      </c>
    </row>
    <row r="16974" spans="1:5" x14ac:dyDescent="0.2">
      <c r="A16974">
        <v>59812</v>
      </c>
      <c r="B16974" t="s">
        <v>32</v>
      </c>
      <c r="C16974">
        <v>59812</v>
      </c>
      <c r="D16974" t="str">
        <f>"59812"</f>
        <v>59812</v>
      </c>
      <c r="E16974" t="s">
        <v>6</v>
      </c>
    </row>
    <row r="16975" spans="1:5" x14ac:dyDescent="0.2">
      <c r="A16975">
        <v>59820</v>
      </c>
      <c r="B16975" t="s">
        <v>32</v>
      </c>
      <c r="C16975">
        <v>59820</v>
      </c>
      <c r="D16975" t="str">
        <f>"59820"</f>
        <v>59820</v>
      </c>
      <c r="E16975">
        <v>69.23</v>
      </c>
    </row>
    <row r="16976" spans="1:5" x14ac:dyDescent="0.2">
      <c r="A16976">
        <v>59821</v>
      </c>
      <c r="B16976" t="s">
        <v>32</v>
      </c>
      <c r="C16976">
        <v>59821</v>
      </c>
      <c r="D16976" t="str">
        <f>"59821"</f>
        <v>59821</v>
      </c>
      <c r="E16976">
        <v>62.14</v>
      </c>
    </row>
    <row r="16977" spans="1:5" x14ac:dyDescent="0.2">
      <c r="A16977">
        <v>59823</v>
      </c>
      <c r="B16977" t="s">
        <v>32</v>
      </c>
      <c r="C16977">
        <v>59823</v>
      </c>
      <c r="D16977" t="str">
        <f>"59823"</f>
        <v>59823</v>
      </c>
      <c r="E16977">
        <v>74.7</v>
      </c>
    </row>
    <row r="16978" spans="1:5" x14ac:dyDescent="0.2">
      <c r="A16978">
        <v>59824</v>
      </c>
      <c r="B16978" t="s">
        <v>32</v>
      </c>
      <c r="C16978">
        <v>59824</v>
      </c>
      <c r="D16978" t="str">
        <f>"59824"</f>
        <v>59824</v>
      </c>
      <c r="E16978">
        <v>64.62</v>
      </c>
    </row>
    <row r="16979" spans="1:5" x14ac:dyDescent="0.2">
      <c r="A16979">
        <v>59825</v>
      </c>
      <c r="B16979" t="s">
        <v>32</v>
      </c>
      <c r="C16979">
        <v>59825</v>
      </c>
      <c r="D16979" t="str">
        <f>"59825"</f>
        <v>59825</v>
      </c>
      <c r="E16979">
        <v>72.64</v>
      </c>
    </row>
    <row r="16980" spans="1:5" x14ac:dyDescent="0.2">
      <c r="A16980">
        <v>59826</v>
      </c>
      <c r="B16980" t="s">
        <v>32</v>
      </c>
      <c r="C16980">
        <v>59826</v>
      </c>
      <c r="D16980" t="str">
        <f>"59826"</f>
        <v>59826</v>
      </c>
      <c r="E16980">
        <v>64</v>
      </c>
    </row>
    <row r="16981" spans="1:5" x14ac:dyDescent="0.2">
      <c r="A16981">
        <v>59827</v>
      </c>
      <c r="B16981" t="s">
        <v>32</v>
      </c>
      <c r="C16981">
        <v>59827</v>
      </c>
      <c r="D16981" t="str">
        <f>"59827"</f>
        <v>59827</v>
      </c>
      <c r="E16981">
        <v>66.67</v>
      </c>
    </row>
    <row r="16982" spans="1:5" x14ac:dyDescent="0.2">
      <c r="A16982">
        <v>59828</v>
      </c>
      <c r="B16982" t="s">
        <v>32</v>
      </c>
      <c r="C16982">
        <v>59828</v>
      </c>
      <c r="D16982" t="str">
        <f>"59828"</f>
        <v>59828</v>
      </c>
      <c r="E16982">
        <v>67.650000000000006</v>
      </c>
    </row>
    <row r="16983" spans="1:5" x14ac:dyDescent="0.2">
      <c r="A16983">
        <v>59829</v>
      </c>
      <c r="B16983" t="s">
        <v>32</v>
      </c>
      <c r="C16983">
        <v>59829</v>
      </c>
      <c r="D16983" t="str">
        <f>"59829"</f>
        <v>59829</v>
      </c>
      <c r="E16983">
        <v>66.06</v>
      </c>
    </row>
    <row r="16984" spans="1:5" x14ac:dyDescent="0.2">
      <c r="A16984">
        <v>59830</v>
      </c>
      <c r="B16984" t="s">
        <v>32</v>
      </c>
      <c r="C16984">
        <v>59830</v>
      </c>
      <c r="D16984" t="str">
        <f>"59830"</f>
        <v>59830</v>
      </c>
      <c r="E16984" t="s">
        <v>6</v>
      </c>
    </row>
    <row r="16985" spans="1:5" x14ac:dyDescent="0.2">
      <c r="A16985">
        <v>59831</v>
      </c>
      <c r="B16985" t="s">
        <v>32</v>
      </c>
      <c r="C16985">
        <v>59831</v>
      </c>
      <c r="D16985" t="str">
        <f>"59831"</f>
        <v>59831</v>
      </c>
      <c r="E16985">
        <v>46.67</v>
      </c>
    </row>
    <row r="16986" spans="1:5" x14ac:dyDescent="0.2">
      <c r="A16986">
        <v>59832</v>
      </c>
      <c r="B16986" t="s">
        <v>32</v>
      </c>
      <c r="C16986">
        <v>59832</v>
      </c>
      <c r="D16986" t="str">
        <f>"59832"</f>
        <v>59832</v>
      </c>
      <c r="E16986">
        <v>64.709999999999994</v>
      </c>
    </row>
    <row r="16987" spans="1:5" x14ac:dyDescent="0.2">
      <c r="A16987">
        <v>59833</v>
      </c>
      <c r="B16987" t="s">
        <v>32</v>
      </c>
      <c r="C16987">
        <v>59833</v>
      </c>
      <c r="D16987" t="str">
        <f>"59833"</f>
        <v>59833</v>
      </c>
      <c r="E16987">
        <v>76.64</v>
      </c>
    </row>
    <row r="16988" spans="1:5" x14ac:dyDescent="0.2">
      <c r="A16988">
        <v>59834</v>
      </c>
      <c r="B16988" t="s">
        <v>32</v>
      </c>
      <c r="C16988">
        <v>59834</v>
      </c>
      <c r="D16988" t="str">
        <f>"59834"</f>
        <v>59834</v>
      </c>
      <c r="E16988">
        <v>75.78</v>
      </c>
    </row>
    <row r="16989" spans="1:5" x14ac:dyDescent="0.2">
      <c r="A16989">
        <v>59837</v>
      </c>
      <c r="B16989" t="s">
        <v>32</v>
      </c>
      <c r="C16989">
        <v>59837</v>
      </c>
      <c r="D16989" t="str">
        <f>"59837"</f>
        <v>59837</v>
      </c>
      <c r="E16989">
        <v>66.67</v>
      </c>
    </row>
    <row r="16990" spans="1:5" x14ac:dyDescent="0.2">
      <c r="A16990">
        <v>59840</v>
      </c>
      <c r="B16990" t="s">
        <v>32</v>
      </c>
      <c r="C16990">
        <v>59840</v>
      </c>
      <c r="D16990" t="str">
        <f>"59840"</f>
        <v>59840</v>
      </c>
      <c r="E16990">
        <v>68.73</v>
      </c>
    </row>
    <row r="16991" spans="1:5" x14ac:dyDescent="0.2">
      <c r="A16991">
        <v>59841</v>
      </c>
      <c r="B16991" t="s">
        <v>32</v>
      </c>
      <c r="C16991">
        <v>59841</v>
      </c>
      <c r="D16991" t="str">
        <f>"59841"</f>
        <v>59841</v>
      </c>
      <c r="E16991" t="s">
        <v>6</v>
      </c>
    </row>
    <row r="16992" spans="1:5" x14ac:dyDescent="0.2">
      <c r="A16992">
        <v>59842</v>
      </c>
      <c r="B16992" t="s">
        <v>32</v>
      </c>
      <c r="C16992">
        <v>59842</v>
      </c>
      <c r="D16992" t="str">
        <f>"59842"</f>
        <v>59842</v>
      </c>
      <c r="E16992" t="s">
        <v>6</v>
      </c>
    </row>
    <row r="16993" spans="1:5" x14ac:dyDescent="0.2">
      <c r="A16993">
        <v>59843</v>
      </c>
      <c r="B16993" t="s">
        <v>32</v>
      </c>
      <c r="C16993">
        <v>59843</v>
      </c>
      <c r="D16993" t="str">
        <f>"59843"</f>
        <v>59843</v>
      </c>
      <c r="E16993">
        <v>63.64</v>
      </c>
    </row>
    <row r="16994" spans="1:5" x14ac:dyDescent="0.2">
      <c r="A16994">
        <v>59844</v>
      </c>
      <c r="B16994" t="s">
        <v>32</v>
      </c>
      <c r="C16994">
        <v>59844</v>
      </c>
      <c r="D16994" t="str">
        <f>"59844"</f>
        <v>59844</v>
      </c>
      <c r="E16994">
        <v>72</v>
      </c>
    </row>
    <row r="16995" spans="1:5" x14ac:dyDescent="0.2">
      <c r="A16995">
        <v>59845</v>
      </c>
      <c r="B16995" t="s">
        <v>32</v>
      </c>
      <c r="C16995">
        <v>59845</v>
      </c>
      <c r="D16995" t="str">
        <f>"59845"</f>
        <v>59845</v>
      </c>
      <c r="E16995">
        <v>48.89</v>
      </c>
    </row>
    <row r="16996" spans="1:5" x14ac:dyDescent="0.2">
      <c r="A16996">
        <v>59846</v>
      </c>
      <c r="B16996" t="s">
        <v>32</v>
      </c>
      <c r="C16996">
        <v>59846</v>
      </c>
      <c r="D16996" t="str">
        <f>"59846"</f>
        <v>59846</v>
      </c>
      <c r="E16996">
        <v>72.88</v>
      </c>
    </row>
    <row r="16997" spans="1:5" x14ac:dyDescent="0.2">
      <c r="A16997">
        <v>59847</v>
      </c>
      <c r="B16997" t="s">
        <v>32</v>
      </c>
      <c r="C16997">
        <v>59847</v>
      </c>
      <c r="D16997" t="str">
        <f>"59847"</f>
        <v>59847</v>
      </c>
      <c r="E16997">
        <v>75.09</v>
      </c>
    </row>
    <row r="16998" spans="1:5" x14ac:dyDescent="0.2">
      <c r="A16998">
        <v>59848</v>
      </c>
      <c r="B16998" t="s">
        <v>32</v>
      </c>
      <c r="C16998">
        <v>59848</v>
      </c>
      <c r="D16998" t="str">
        <f>"59848"</f>
        <v>59848</v>
      </c>
      <c r="E16998" t="s">
        <v>6</v>
      </c>
    </row>
    <row r="16999" spans="1:5" x14ac:dyDescent="0.2">
      <c r="A16999">
        <v>59851</v>
      </c>
      <c r="B16999" t="s">
        <v>32</v>
      </c>
      <c r="C16999">
        <v>59851</v>
      </c>
      <c r="D16999" t="str">
        <f>"59851"</f>
        <v>59851</v>
      </c>
      <c r="E16999" t="s">
        <v>6</v>
      </c>
    </row>
    <row r="17000" spans="1:5" x14ac:dyDescent="0.2">
      <c r="A17000">
        <v>59853</v>
      </c>
      <c r="B17000" t="s">
        <v>32</v>
      </c>
      <c r="C17000">
        <v>59853</v>
      </c>
      <c r="D17000" t="str">
        <f>"59853"</f>
        <v>59853</v>
      </c>
      <c r="E17000">
        <v>60.61</v>
      </c>
    </row>
    <row r="17001" spans="1:5" x14ac:dyDescent="0.2">
      <c r="A17001">
        <v>59854</v>
      </c>
      <c r="B17001" t="s">
        <v>32</v>
      </c>
      <c r="C17001">
        <v>59854</v>
      </c>
      <c r="D17001" t="str">
        <f>"59854"</f>
        <v>59854</v>
      </c>
      <c r="E17001">
        <v>54.55</v>
      </c>
    </row>
    <row r="17002" spans="1:5" x14ac:dyDescent="0.2">
      <c r="A17002">
        <v>59855</v>
      </c>
      <c r="B17002" t="s">
        <v>32</v>
      </c>
      <c r="C17002">
        <v>59855</v>
      </c>
      <c r="D17002" t="str">
        <f>"59855"</f>
        <v>59855</v>
      </c>
      <c r="E17002" t="s">
        <v>6</v>
      </c>
    </row>
    <row r="17003" spans="1:5" x14ac:dyDescent="0.2">
      <c r="A17003">
        <v>59856</v>
      </c>
      <c r="B17003" t="s">
        <v>32</v>
      </c>
      <c r="C17003">
        <v>59856</v>
      </c>
      <c r="D17003" t="str">
        <f>"59856"</f>
        <v>59856</v>
      </c>
      <c r="E17003" t="s">
        <v>6</v>
      </c>
    </row>
    <row r="17004" spans="1:5" x14ac:dyDescent="0.2">
      <c r="A17004">
        <v>59858</v>
      </c>
      <c r="B17004" t="s">
        <v>32</v>
      </c>
      <c r="C17004">
        <v>59858</v>
      </c>
      <c r="D17004" t="str">
        <f>"59858"</f>
        <v>59858</v>
      </c>
      <c r="E17004">
        <v>75</v>
      </c>
    </row>
    <row r="17005" spans="1:5" x14ac:dyDescent="0.2">
      <c r="A17005">
        <v>59859</v>
      </c>
      <c r="B17005" t="s">
        <v>32</v>
      </c>
      <c r="C17005">
        <v>59859</v>
      </c>
      <c r="D17005" t="str">
        <f>"59859"</f>
        <v>59859</v>
      </c>
      <c r="E17005">
        <v>65.56</v>
      </c>
    </row>
    <row r="17006" spans="1:5" x14ac:dyDescent="0.2">
      <c r="A17006">
        <v>59860</v>
      </c>
      <c r="B17006" t="s">
        <v>32</v>
      </c>
      <c r="C17006">
        <v>59860</v>
      </c>
      <c r="D17006" t="str">
        <f>"59860"</f>
        <v>59860</v>
      </c>
      <c r="E17006">
        <v>65.790000000000006</v>
      </c>
    </row>
    <row r="17007" spans="1:5" x14ac:dyDescent="0.2">
      <c r="A17007">
        <v>59863</v>
      </c>
      <c r="B17007" t="s">
        <v>32</v>
      </c>
      <c r="C17007">
        <v>59863</v>
      </c>
      <c r="D17007" t="str">
        <f>"59863"</f>
        <v>59863</v>
      </c>
      <c r="E17007" t="s">
        <v>6</v>
      </c>
    </row>
    <row r="17008" spans="1:5" x14ac:dyDescent="0.2">
      <c r="A17008">
        <v>59864</v>
      </c>
      <c r="B17008" t="s">
        <v>32</v>
      </c>
      <c r="C17008">
        <v>59864</v>
      </c>
      <c r="D17008" t="str">
        <f>"59864"</f>
        <v>59864</v>
      </c>
      <c r="E17008">
        <v>58.43</v>
      </c>
    </row>
    <row r="17009" spans="1:5" x14ac:dyDescent="0.2">
      <c r="A17009">
        <v>59865</v>
      </c>
      <c r="B17009" t="s">
        <v>32</v>
      </c>
      <c r="C17009">
        <v>59865</v>
      </c>
      <c r="D17009" t="str">
        <f>"59865"</f>
        <v>59865</v>
      </c>
      <c r="E17009">
        <v>62.9</v>
      </c>
    </row>
    <row r="17010" spans="1:5" x14ac:dyDescent="0.2">
      <c r="A17010">
        <v>59866</v>
      </c>
      <c r="B17010" t="s">
        <v>32</v>
      </c>
      <c r="C17010">
        <v>59866</v>
      </c>
      <c r="D17010" t="str">
        <f>"59866"</f>
        <v>59866</v>
      </c>
      <c r="E17010">
        <v>61.9</v>
      </c>
    </row>
    <row r="17011" spans="1:5" x14ac:dyDescent="0.2">
      <c r="A17011">
        <v>59867</v>
      </c>
      <c r="B17011" t="s">
        <v>32</v>
      </c>
      <c r="C17011">
        <v>59867</v>
      </c>
      <c r="D17011" t="str">
        <f>"59867"</f>
        <v>59867</v>
      </c>
      <c r="E17011" t="s">
        <v>6</v>
      </c>
    </row>
    <row r="17012" spans="1:5" x14ac:dyDescent="0.2">
      <c r="A17012">
        <v>59868</v>
      </c>
      <c r="B17012" t="s">
        <v>32</v>
      </c>
      <c r="C17012">
        <v>59868</v>
      </c>
      <c r="D17012" t="str">
        <f>"59868"</f>
        <v>59868</v>
      </c>
      <c r="E17012">
        <v>71.150000000000006</v>
      </c>
    </row>
    <row r="17013" spans="1:5" x14ac:dyDescent="0.2">
      <c r="A17013">
        <v>59870</v>
      </c>
      <c r="B17013" t="s">
        <v>32</v>
      </c>
      <c r="C17013">
        <v>59870</v>
      </c>
      <c r="D17013" t="str">
        <f>"59870"</f>
        <v>59870</v>
      </c>
      <c r="E17013">
        <v>70.72</v>
      </c>
    </row>
    <row r="17014" spans="1:5" x14ac:dyDescent="0.2">
      <c r="A17014">
        <v>59871</v>
      </c>
      <c r="B17014" t="s">
        <v>32</v>
      </c>
      <c r="C17014">
        <v>59871</v>
      </c>
      <c r="D17014" t="str">
        <f>"59871"</f>
        <v>59871</v>
      </c>
      <c r="E17014" t="s">
        <v>6</v>
      </c>
    </row>
    <row r="17015" spans="1:5" x14ac:dyDescent="0.2">
      <c r="A17015">
        <v>59872</v>
      </c>
      <c r="B17015" t="s">
        <v>32</v>
      </c>
      <c r="C17015">
        <v>59872</v>
      </c>
      <c r="D17015" t="str">
        <f>"59872"</f>
        <v>59872</v>
      </c>
      <c r="E17015">
        <v>67.349999999999994</v>
      </c>
    </row>
    <row r="17016" spans="1:5" x14ac:dyDescent="0.2">
      <c r="A17016">
        <v>59873</v>
      </c>
      <c r="B17016" t="s">
        <v>32</v>
      </c>
      <c r="C17016">
        <v>59873</v>
      </c>
      <c r="D17016" t="str">
        <f>"59873"</f>
        <v>59873</v>
      </c>
      <c r="E17016">
        <v>67.38</v>
      </c>
    </row>
    <row r="17017" spans="1:5" x14ac:dyDescent="0.2">
      <c r="A17017">
        <v>59874</v>
      </c>
      <c r="B17017" t="s">
        <v>32</v>
      </c>
      <c r="C17017">
        <v>59874</v>
      </c>
      <c r="D17017" t="str">
        <f>"59874"</f>
        <v>59874</v>
      </c>
      <c r="E17017">
        <v>64.709999999999994</v>
      </c>
    </row>
    <row r="17018" spans="1:5" x14ac:dyDescent="0.2">
      <c r="A17018">
        <v>59875</v>
      </c>
      <c r="B17018" t="s">
        <v>32</v>
      </c>
      <c r="C17018">
        <v>59875</v>
      </c>
      <c r="D17018" t="str">
        <f>"59875"</f>
        <v>59875</v>
      </c>
      <c r="E17018">
        <v>67.459999999999994</v>
      </c>
    </row>
    <row r="17019" spans="1:5" x14ac:dyDescent="0.2">
      <c r="A17019">
        <v>59901</v>
      </c>
      <c r="B17019" t="s">
        <v>32</v>
      </c>
      <c r="C17019">
        <v>59901</v>
      </c>
      <c r="D17019" t="str">
        <f>"59901"</f>
        <v>59901</v>
      </c>
      <c r="E17019">
        <v>71.400000000000006</v>
      </c>
    </row>
    <row r="17020" spans="1:5" x14ac:dyDescent="0.2">
      <c r="A17020">
        <v>59910</v>
      </c>
      <c r="B17020" t="s">
        <v>32</v>
      </c>
      <c r="C17020">
        <v>59910</v>
      </c>
      <c r="D17020" t="str">
        <f>"59910"</f>
        <v>59910</v>
      </c>
      <c r="E17020">
        <v>65</v>
      </c>
    </row>
    <row r="17021" spans="1:5" x14ac:dyDescent="0.2">
      <c r="A17021">
        <v>59911</v>
      </c>
      <c r="B17021" t="s">
        <v>32</v>
      </c>
      <c r="C17021">
        <v>59911</v>
      </c>
      <c r="D17021" t="str">
        <f>"59911"</f>
        <v>59911</v>
      </c>
      <c r="E17021">
        <v>71.5</v>
      </c>
    </row>
    <row r="17022" spans="1:5" x14ac:dyDescent="0.2">
      <c r="A17022">
        <v>59912</v>
      </c>
      <c r="B17022" t="s">
        <v>32</v>
      </c>
      <c r="C17022">
        <v>59912</v>
      </c>
      <c r="D17022" t="str">
        <f>"59912"</f>
        <v>59912</v>
      </c>
      <c r="E17022">
        <v>71.2</v>
      </c>
    </row>
    <row r="17023" spans="1:5" x14ac:dyDescent="0.2">
      <c r="A17023">
        <v>59913</v>
      </c>
      <c r="B17023" t="s">
        <v>32</v>
      </c>
      <c r="C17023">
        <v>59913</v>
      </c>
      <c r="D17023" t="str">
        <f>"59913"</f>
        <v>59913</v>
      </c>
      <c r="E17023" t="s">
        <v>6</v>
      </c>
    </row>
    <row r="17024" spans="1:5" x14ac:dyDescent="0.2">
      <c r="A17024">
        <v>59914</v>
      </c>
      <c r="B17024" t="s">
        <v>32</v>
      </c>
      <c r="C17024">
        <v>59914</v>
      </c>
      <c r="D17024" t="str">
        <f>"59914"</f>
        <v>59914</v>
      </c>
      <c r="E17024">
        <v>62.5</v>
      </c>
    </row>
    <row r="17025" spans="1:5" x14ac:dyDescent="0.2">
      <c r="A17025">
        <v>59915</v>
      </c>
      <c r="B17025" t="s">
        <v>32</v>
      </c>
      <c r="C17025">
        <v>59915</v>
      </c>
      <c r="D17025" t="str">
        <f>"59915"</f>
        <v>59915</v>
      </c>
      <c r="E17025">
        <v>42.86</v>
      </c>
    </row>
    <row r="17026" spans="1:5" x14ac:dyDescent="0.2">
      <c r="A17026">
        <v>59916</v>
      </c>
      <c r="B17026" t="s">
        <v>32</v>
      </c>
      <c r="C17026">
        <v>59916</v>
      </c>
      <c r="D17026" t="str">
        <f>"59916"</f>
        <v>59916</v>
      </c>
      <c r="E17026" t="s">
        <v>6</v>
      </c>
    </row>
    <row r="17027" spans="1:5" x14ac:dyDescent="0.2">
      <c r="A17027">
        <v>59917</v>
      </c>
      <c r="B17027" t="s">
        <v>32</v>
      </c>
      <c r="C17027">
        <v>59917</v>
      </c>
      <c r="D17027" t="str">
        <f>"59917"</f>
        <v>59917</v>
      </c>
      <c r="E17027">
        <v>65.260000000000005</v>
      </c>
    </row>
    <row r="17028" spans="1:5" x14ac:dyDescent="0.2">
      <c r="A17028">
        <v>59918</v>
      </c>
      <c r="B17028" t="s">
        <v>32</v>
      </c>
      <c r="C17028">
        <v>59918</v>
      </c>
      <c r="D17028" t="str">
        <f>"59918"</f>
        <v>59918</v>
      </c>
      <c r="E17028" t="s">
        <v>6</v>
      </c>
    </row>
    <row r="17029" spans="1:5" x14ac:dyDescent="0.2">
      <c r="A17029">
        <v>59919</v>
      </c>
      <c r="B17029" t="s">
        <v>32</v>
      </c>
      <c r="C17029">
        <v>59919</v>
      </c>
      <c r="D17029" t="str">
        <f>"59919"</f>
        <v>59919</v>
      </c>
      <c r="E17029" t="s">
        <v>6</v>
      </c>
    </row>
    <row r="17030" spans="1:5" x14ac:dyDescent="0.2">
      <c r="A17030">
        <v>59920</v>
      </c>
      <c r="B17030" t="s">
        <v>32</v>
      </c>
      <c r="C17030">
        <v>59920</v>
      </c>
      <c r="D17030" t="str">
        <f>"59920"</f>
        <v>59920</v>
      </c>
      <c r="E17030">
        <v>70.89</v>
      </c>
    </row>
    <row r="17031" spans="1:5" x14ac:dyDescent="0.2">
      <c r="A17031">
        <v>59921</v>
      </c>
      <c r="B17031" t="s">
        <v>32</v>
      </c>
      <c r="C17031">
        <v>59921</v>
      </c>
      <c r="D17031" t="str">
        <f>"59921"</f>
        <v>59921</v>
      </c>
      <c r="E17031" t="s">
        <v>6</v>
      </c>
    </row>
    <row r="17032" spans="1:5" x14ac:dyDescent="0.2">
      <c r="A17032">
        <v>59922</v>
      </c>
      <c r="B17032" t="s">
        <v>32</v>
      </c>
      <c r="C17032">
        <v>59922</v>
      </c>
      <c r="D17032" t="str">
        <f>"59922"</f>
        <v>59922</v>
      </c>
      <c r="E17032">
        <v>66.95</v>
      </c>
    </row>
    <row r="17033" spans="1:5" x14ac:dyDescent="0.2">
      <c r="A17033">
        <v>59923</v>
      </c>
      <c r="B17033" t="s">
        <v>32</v>
      </c>
      <c r="C17033">
        <v>59923</v>
      </c>
      <c r="D17033" t="str">
        <f>"59923"</f>
        <v>59923</v>
      </c>
      <c r="E17033">
        <v>68.38</v>
      </c>
    </row>
    <row r="17034" spans="1:5" x14ac:dyDescent="0.2">
      <c r="A17034">
        <v>59925</v>
      </c>
      <c r="B17034" t="s">
        <v>32</v>
      </c>
      <c r="C17034">
        <v>59925</v>
      </c>
      <c r="D17034" t="str">
        <f>"59925"</f>
        <v>59925</v>
      </c>
      <c r="E17034">
        <v>69.349999999999994</v>
      </c>
    </row>
    <row r="17035" spans="1:5" x14ac:dyDescent="0.2">
      <c r="A17035">
        <v>59926</v>
      </c>
      <c r="B17035" t="s">
        <v>32</v>
      </c>
      <c r="C17035">
        <v>59926</v>
      </c>
      <c r="D17035" t="str">
        <f>"59926"</f>
        <v>59926</v>
      </c>
      <c r="E17035">
        <v>66.67</v>
      </c>
    </row>
    <row r="17036" spans="1:5" x14ac:dyDescent="0.2">
      <c r="A17036">
        <v>59927</v>
      </c>
      <c r="B17036" t="s">
        <v>32</v>
      </c>
      <c r="C17036">
        <v>59927</v>
      </c>
      <c r="D17036" t="str">
        <f>"59927"</f>
        <v>59927</v>
      </c>
      <c r="E17036" t="s">
        <v>6</v>
      </c>
    </row>
    <row r="17037" spans="1:5" x14ac:dyDescent="0.2">
      <c r="A17037">
        <v>59928</v>
      </c>
      <c r="B17037" t="s">
        <v>32</v>
      </c>
      <c r="C17037">
        <v>59928</v>
      </c>
      <c r="D17037" t="str">
        <f>"59928"</f>
        <v>59928</v>
      </c>
      <c r="E17037" t="s">
        <v>6</v>
      </c>
    </row>
    <row r="17038" spans="1:5" x14ac:dyDescent="0.2">
      <c r="A17038">
        <v>59929</v>
      </c>
      <c r="B17038" t="s">
        <v>32</v>
      </c>
      <c r="C17038">
        <v>59929</v>
      </c>
      <c r="D17038" t="str">
        <f>"59929"</f>
        <v>59929</v>
      </c>
      <c r="E17038" t="s">
        <v>6</v>
      </c>
    </row>
    <row r="17039" spans="1:5" x14ac:dyDescent="0.2">
      <c r="A17039">
        <v>59930</v>
      </c>
      <c r="B17039" t="s">
        <v>32</v>
      </c>
      <c r="C17039">
        <v>59930</v>
      </c>
      <c r="D17039" t="str">
        <f>"59930"</f>
        <v>59930</v>
      </c>
      <c r="E17039">
        <v>67.739999999999995</v>
      </c>
    </row>
    <row r="17040" spans="1:5" x14ac:dyDescent="0.2">
      <c r="A17040">
        <v>59931</v>
      </c>
      <c r="B17040" t="s">
        <v>32</v>
      </c>
      <c r="C17040">
        <v>59931</v>
      </c>
      <c r="D17040" t="str">
        <f>"59931"</f>
        <v>59931</v>
      </c>
      <c r="E17040">
        <v>58.33</v>
      </c>
    </row>
    <row r="17041" spans="1:5" x14ac:dyDescent="0.2">
      <c r="A17041">
        <v>59932</v>
      </c>
      <c r="B17041" t="s">
        <v>32</v>
      </c>
      <c r="C17041">
        <v>59932</v>
      </c>
      <c r="D17041" t="str">
        <f>"59932"</f>
        <v>59932</v>
      </c>
      <c r="E17041">
        <v>75.680000000000007</v>
      </c>
    </row>
    <row r="17042" spans="1:5" x14ac:dyDescent="0.2">
      <c r="A17042">
        <v>59933</v>
      </c>
      <c r="B17042" t="s">
        <v>32</v>
      </c>
      <c r="C17042">
        <v>59933</v>
      </c>
      <c r="D17042" t="str">
        <f>"59933"</f>
        <v>59933</v>
      </c>
      <c r="E17042" t="s">
        <v>6</v>
      </c>
    </row>
    <row r="17043" spans="1:5" x14ac:dyDescent="0.2">
      <c r="A17043">
        <v>59934</v>
      </c>
      <c r="B17043" t="s">
        <v>32</v>
      </c>
      <c r="C17043">
        <v>59934</v>
      </c>
      <c r="D17043" t="str">
        <f>"59934"</f>
        <v>59934</v>
      </c>
      <c r="E17043" t="s">
        <v>6</v>
      </c>
    </row>
    <row r="17044" spans="1:5" x14ac:dyDescent="0.2">
      <c r="A17044">
        <v>59935</v>
      </c>
      <c r="B17044" t="s">
        <v>32</v>
      </c>
      <c r="C17044">
        <v>59935</v>
      </c>
      <c r="D17044" t="str">
        <f>"59935"</f>
        <v>59935</v>
      </c>
      <c r="E17044">
        <v>63.24</v>
      </c>
    </row>
    <row r="17045" spans="1:5" x14ac:dyDescent="0.2">
      <c r="A17045">
        <v>59936</v>
      </c>
      <c r="B17045" t="s">
        <v>32</v>
      </c>
      <c r="C17045">
        <v>59936</v>
      </c>
      <c r="D17045" t="str">
        <f>"59936"</f>
        <v>59936</v>
      </c>
      <c r="E17045" t="s">
        <v>6</v>
      </c>
    </row>
    <row r="17046" spans="1:5" x14ac:dyDescent="0.2">
      <c r="A17046">
        <v>59937</v>
      </c>
      <c r="B17046" t="s">
        <v>32</v>
      </c>
      <c r="C17046">
        <v>59937</v>
      </c>
      <c r="D17046" t="str">
        <f>"59937"</f>
        <v>59937</v>
      </c>
      <c r="E17046">
        <v>75.650000000000006</v>
      </c>
    </row>
    <row r="17047" spans="1:5" x14ac:dyDescent="0.2">
      <c r="A17047">
        <v>27006</v>
      </c>
      <c r="B17047" t="s">
        <v>33</v>
      </c>
      <c r="C17047">
        <v>27006</v>
      </c>
      <c r="D17047" t="str">
        <f>"27006"</f>
        <v>27006</v>
      </c>
      <c r="E17047">
        <v>77.83</v>
      </c>
    </row>
    <row r="17048" spans="1:5" x14ac:dyDescent="0.2">
      <c r="A17048">
        <v>27007</v>
      </c>
      <c r="B17048" t="s">
        <v>33</v>
      </c>
      <c r="C17048">
        <v>27007</v>
      </c>
      <c r="D17048" t="str">
        <f>"27007"</f>
        <v>27007</v>
      </c>
      <c r="E17048">
        <v>68.89</v>
      </c>
    </row>
    <row r="17049" spans="1:5" x14ac:dyDescent="0.2">
      <c r="A17049">
        <v>27009</v>
      </c>
      <c r="B17049" t="s">
        <v>33</v>
      </c>
      <c r="C17049">
        <v>27009</v>
      </c>
      <c r="D17049" t="str">
        <f>"27009"</f>
        <v>27009</v>
      </c>
      <c r="E17049">
        <v>78.03</v>
      </c>
    </row>
    <row r="17050" spans="1:5" x14ac:dyDescent="0.2">
      <c r="A17050">
        <v>27011</v>
      </c>
      <c r="B17050" t="s">
        <v>33</v>
      </c>
      <c r="C17050">
        <v>27011</v>
      </c>
      <c r="D17050" t="str">
        <f>"27011"</f>
        <v>27011</v>
      </c>
      <c r="E17050">
        <v>69.23</v>
      </c>
    </row>
    <row r="17051" spans="1:5" x14ac:dyDescent="0.2">
      <c r="A17051">
        <v>27012</v>
      </c>
      <c r="B17051" t="s">
        <v>33</v>
      </c>
      <c r="C17051">
        <v>27012</v>
      </c>
      <c r="D17051" t="str">
        <f>"27012"</f>
        <v>27012</v>
      </c>
      <c r="E17051">
        <v>77.64</v>
      </c>
    </row>
    <row r="17052" spans="1:5" x14ac:dyDescent="0.2">
      <c r="A17052">
        <v>27013</v>
      </c>
      <c r="B17052" t="s">
        <v>33</v>
      </c>
      <c r="C17052">
        <v>27013</v>
      </c>
      <c r="D17052" t="str">
        <f>"27013"</f>
        <v>27013</v>
      </c>
      <c r="E17052">
        <v>67.97</v>
      </c>
    </row>
    <row r="17053" spans="1:5" x14ac:dyDescent="0.2">
      <c r="A17053">
        <v>27014</v>
      </c>
      <c r="B17053" t="s">
        <v>33</v>
      </c>
      <c r="C17053">
        <v>27014</v>
      </c>
      <c r="D17053" t="str">
        <f>"27014"</f>
        <v>27014</v>
      </c>
      <c r="E17053" t="s">
        <v>6</v>
      </c>
    </row>
    <row r="17054" spans="1:5" x14ac:dyDescent="0.2">
      <c r="A17054">
        <v>27016</v>
      </c>
      <c r="B17054" t="s">
        <v>33</v>
      </c>
      <c r="C17054">
        <v>27016</v>
      </c>
      <c r="D17054" t="str">
        <f>"27016"</f>
        <v>27016</v>
      </c>
      <c r="E17054">
        <v>73.239999999999995</v>
      </c>
    </row>
    <row r="17055" spans="1:5" x14ac:dyDescent="0.2">
      <c r="A17055">
        <v>27017</v>
      </c>
      <c r="B17055" t="s">
        <v>33</v>
      </c>
      <c r="C17055">
        <v>27017</v>
      </c>
      <c r="D17055" t="str">
        <f>"27017"</f>
        <v>27017</v>
      </c>
      <c r="E17055">
        <v>63.61</v>
      </c>
    </row>
    <row r="17056" spans="1:5" x14ac:dyDescent="0.2">
      <c r="A17056">
        <v>27018</v>
      </c>
      <c r="B17056" t="s">
        <v>33</v>
      </c>
      <c r="C17056">
        <v>27018</v>
      </c>
      <c r="D17056" t="str">
        <f>"27018"</f>
        <v>27018</v>
      </c>
      <c r="E17056">
        <v>71.13</v>
      </c>
    </row>
    <row r="17057" spans="1:5" x14ac:dyDescent="0.2">
      <c r="A17057">
        <v>27019</v>
      </c>
      <c r="B17057" t="s">
        <v>33</v>
      </c>
      <c r="C17057">
        <v>27019</v>
      </c>
      <c r="D17057" t="str">
        <f>"27019"</f>
        <v>27019</v>
      </c>
      <c r="E17057">
        <v>72.83</v>
      </c>
    </row>
    <row r="17058" spans="1:5" x14ac:dyDescent="0.2">
      <c r="A17058">
        <v>27020</v>
      </c>
      <c r="B17058" t="s">
        <v>33</v>
      </c>
      <c r="C17058">
        <v>27020</v>
      </c>
      <c r="D17058" t="str">
        <f>"27020"</f>
        <v>27020</v>
      </c>
      <c r="E17058">
        <v>65.77</v>
      </c>
    </row>
    <row r="17059" spans="1:5" x14ac:dyDescent="0.2">
      <c r="A17059">
        <v>27021</v>
      </c>
      <c r="B17059" t="s">
        <v>33</v>
      </c>
      <c r="C17059">
        <v>27021</v>
      </c>
      <c r="D17059" t="str">
        <f>"27021"</f>
        <v>27021</v>
      </c>
      <c r="E17059">
        <v>73.069999999999993</v>
      </c>
    </row>
    <row r="17060" spans="1:5" x14ac:dyDescent="0.2">
      <c r="A17060">
        <v>27022</v>
      </c>
      <c r="B17060" t="s">
        <v>33</v>
      </c>
      <c r="C17060">
        <v>27022</v>
      </c>
      <c r="D17060" t="str">
        <f>"27022"</f>
        <v>27022</v>
      </c>
      <c r="E17060">
        <v>71.19</v>
      </c>
    </row>
    <row r="17061" spans="1:5" x14ac:dyDescent="0.2">
      <c r="A17061">
        <v>27023</v>
      </c>
      <c r="B17061" t="s">
        <v>33</v>
      </c>
      <c r="C17061">
        <v>27023</v>
      </c>
      <c r="D17061" t="str">
        <f>"27023"</f>
        <v>27023</v>
      </c>
      <c r="E17061">
        <v>78.63</v>
      </c>
    </row>
    <row r="17062" spans="1:5" x14ac:dyDescent="0.2">
      <c r="A17062">
        <v>27024</v>
      </c>
      <c r="B17062" t="s">
        <v>33</v>
      </c>
      <c r="C17062">
        <v>27024</v>
      </c>
      <c r="D17062" t="str">
        <f>"27024"</f>
        <v>27024</v>
      </c>
      <c r="E17062">
        <v>64.650000000000006</v>
      </c>
    </row>
    <row r="17063" spans="1:5" x14ac:dyDescent="0.2">
      <c r="A17063">
        <v>27025</v>
      </c>
      <c r="B17063" t="s">
        <v>33</v>
      </c>
      <c r="C17063">
        <v>27025</v>
      </c>
      <c r="D17063" t="str">
        <f>"27025"</f>
        <v>27025</v>
      </c>
      <c r="E17063">
        <v>69.069999999999993</v>
      </c>
    </row>
    <row r="17064" spans="1:5" x14ac:dyDescent="0.2">
      <c r="A17064">
        <v>27027</v>
      </c>
      <c r="B17064" t="s">
        <v>33</v>
      </c>
      <c r="C17064">
        <v>27027</v>
      </c>
      <c r="D17064" t="str">
        <f>"27027"</f>
        <v>27027</v>
      </c>
      <c r="E17064">
        <v>69.010000000000005</v>
      </c>
    </row>
    <row r="17065" spans="1:5" x14ac:dyDescent="0.2">
      <c r="A17065">
        <v>27028</v>
      </c>
      <c r="B17065" t="s">
        <v>33</v>
      </c>
      <c r="C17065">
        <v>27028</v>
      </c>
      <c r="D17065" t="str">
        <f>"27028"</f>
        <v>27028</v>
      </c>
      <c r="E17065">
        <v>67.56</v>
      </c>
    </row>
    <row r="17066" spans="1:5" x14ac:dyDescent="0.2">
      <c r="A17066">
        <v>27030</v>
      </c>
      <c r="B17066" t="s">
        <v>33</v>
      </c>
      <c r="C17066">
        <v>27030</v>
      </c>
      <c r="D17066" t="str">
        <f>"27030"</f>
        <v>27030</v>
      </c>
      <c r="E17066">
        <v>64.45</v>
      </c>
    </row>
    <row r="17067" spans="1:5" x14ac:dyDescent="0.2">
      <c r="A17067">
        <v>27040</v>
      </c>
      <c r="B17067" t="s">
        <v>33</v>
      </c>
      <c r="C17067">
        <v>27040</v>
      </c>
      <c r="D17067" t="str">
        <f>"27040"</f>
        <v>27040</v>
      </c>
      <c r="E17067">
        <v>76.400000000000006</v>
      </c>
    </row>
    <row r="17068" spans="1:5" x14ac:dyDescent="0.2">
      <c r="A17068">
        <v>27041</v>
      </c>
      <c r="B17068" t="s">
        <v>33</v>
      </c>
      <c r="C17068">
        <v>27041</v>
      </c>
      <c r="D17068" t="str">
        <f>"27041"</f>
        <v>27041</v>
      </c>
      <c r="E17068">
        <v>70.66</v>
      </c>
    </row>
    <row r="17069" spans="1:5" x14ac:dyDescent="0.2">
      <c r="A17069">
        <v>27042</v>
      </c>
      <c r="B17069" t="s">
        <v>33</v>
      </c>
      <c r="C17069">
        <v>27042</v>
      </c>
      <c r="D17069" t="str">
        <f>"27042"</f>
        <v>27042</v>
      </c>
      <c r="E17069">
        <v>75</v>
      </c>
    </row>
    <row r="17070" spans="1:5" x14ac:dyDescent="0.2">
      <c r="A17070">
        <v>27043</v>
      </c>
      <c r="B17070" t="s">
        <v>33</v>
      </c>
      <c r="C17070">
        <v>27043</v>
      </c>
      <c r="D17070" t="str">
        <f>"27043"</f>
        <v>27043</v>
      </c>
      <c r="E17070">
        <v>71.64</v>
      </c>
    </row>
    <row r="17071" spans="1:5" x14ac:dyDescent="0.2">
      <c r="A17071">
        <v>27045</v>
      </c>
      <c r="B17071" t="s">
        <v>33</v>
      </c>
      <c r="C17071">
        <v>27045</v>
      </c>
      <c r="D17071" t="str">
        <f>"27045"</f>
        <v>27045</v>
      </c>
      <c r="E17071">
        <v>70.98</v>
      </c>
    </row>
    <row r="17072" spans="1:5" x14ac:dyDescent="0.2">
      <c r="A17072">
        <v>27046</v>
      </c>
      <c r="B17072" t="s">
        <v>33</v>
      </c>
      <c r="C17072">
        <v>27046</v>
      </c>
      <c r="D17072" t="str">
        <f>"27046"</f>
        <v>27046</v>
      </c>
      <c r="E17072">
        <v>69.510000000000005</v>
      </c>
    </row>
    <row r="17073" spans="1:5" x14ac:dyDescent="0.2">
      <c r="A17073">
        <v>27047</v>
      </c>
      <c r="B17073" t="s">
        <v>33</v>
      </c>
      <c r="C17073">
        <v>27047</v>
      </c>
      <c r="D17073" t="str">
        <f>"27047"</f>
        <v>27047</v>
      </c>
      <c r="E17073">
        <v>68.09</v>
      </c>
    </row>
    <row r="17074" spans="1:5" x14ac:dyDescent="0.2">
      <c r="A17074">
        <v>27048</v>
      </c>
      <c r="B17074" t="s">
        <v>33</v>
      </c>
      <c r="C17074">
        <v>27048</v>
      </c>
      <c r="D17074" t="str">
        <f>"27048"</f>
        <v>27048</v>
      </c>
      <c r="E17074">
        <v>70.55</v>
      </c>
    </row>
    <row r="17075" spans="1:5" x14ac:dyDescent="0.2">
      <c r="A17075">
        <v>27050</v>
      </c>
      <c r="B17075" t="s">
        <v>33</v>
      </c>
      <c r="C17075">
        <v>27050</v>
      </c>
      <c r="D17075" t="str">
        <f>"27050"</f>
        <v>27050</v>
      </c>
      <c r="E17075">
        <v>72.83</v>
      </c>
    </row>
    <row r="17076" spans="1:5" x14ac:dyDescent="0.2">
      <c r="A17076">
        <v>27051</v>
      </c>
      <c r="B17076" t="s">
        <v>33</v>
      </c>
      <c r="C17076">
        <v>27051</v>
      </c>
      <c r="D17076" t="str">
        <f>"27051"</f>
        <v>27051</v>
      </c>
      <c r="E17076">
        <v>69.790000000000006</v>
      </c>
    </row>
    <row r="17077" spans="1:5" x14ac:dyDescent="0.2">
      <c r="A17077">
        <v>27052</v>
      </c>
      <c r="B17077" t="s">
        <v>33</v>
      </c>
      <c r="C17077">
        <v>27052</v>
      </c>
      <c r="D17077" t="str">
        <f>"27052"</f>
        <v>27052</v>
      </c>
      <c r="E17077">
        <v>70.5</v>
      </c>
    </row>
    <row r="17078" spans="1:5" x14ac:dyDescent="0.2">
      <c r="A17078">
        <v>27053</v>
      </c>
      <c r="B17078" t="s">
        <v>33</v>
      </c>
      <c r="C17078">
        <v>27053</v>
      </c>
      <c r="D17078" t="str">
        <f>"27053"</f>
        <v>27053</v>
      </c>
      <c r="E17078">
        <v>68.25</v>
      </c>
    </row>
    <row r="17079" spans="1:5" x14ac:dyDescent="0.2">
      <c r="A17079">
        <v>27054</v>
      </c>
      <c r="B17079" t="s">
        <v>33</v>
      </c>
      <c r="C17079">
        <v>27054</v>
      </c>
      <c r="D17079" t="str">
        <f>"27054"</f>
        <v>27054</v>
      </c>
      <c r="E17079">
        <v>65.319999999999993</v>
      </c>
    </row>
    <row r="17080" spans="1:5" x14ac:dyDescent="0.2">
      <c r="A17080">
        <v>27055</v>
      </c>
      <c r="B17080" t="s">
        <v>33</v>
      </c>
      <c r="C17080">
        <v>27055</v>
      </c>
      <c r="D17080" t="str">
        <f>"27055"</f>
        <v>27055</v>
      </c>
      <c r="E17080">
        <v>68.47</v>
      </c>
    </row>
    <row r="17081" spans="1:5" x14ac:dyDescent="0.2">
      <c r="A17081">
        <v>27101</v>
      </c>
      <c r="B17081" t="s">
        <v>33</v>
      </c>
      <c r="C17081">
        <v>27101</v>
      </c>
      <c r="D17081" t="str">
        <f>"27101"</f>
        <v>27101</v>
      </c>
      <c r="E17081">
        <v>63.67</v>
      </c>
    </row>
    <row r="17082" spans="1:5" x14ac:dyDescent="0.2">
      <c r="A17082">
        <v>27103</v>
      </c>
      <c r="B17082" t="s">
        <v>33</v>
      </c>
      <c r="C17082">
        <v>27103</v>
      </c>
      <c r="D17082" t="str">
        <f>"27103"</f>
        <v>27103</v>
      </c>
      <c r="E17082">
        <v>71.069999999999993</v>
      </c>
    </row>
    <row r="17083" spans="1:5" x14ac:dyDescent="0.2">
      <c r="A17083">
        <v>27104</v>
      </c>
      <c r="B17083" t="s">
        <v>33</v>
      </c>
      <c r="C17083">
        <v>27104</v>
      </c>
      <c r="D17083" t="str">
        <f>"27104"</f>
        <v>27104</v>
      </c>
      <c r="E17083">
        <v>76.2</v>
      </c>
    </row>
    <row r="17084" spans="1:5" x14ac:dyDescent="0.2">
      <c r="A17084">
        <v>27105</v>
      </c>
      <c r="B17084" t="s">
        <v>33</v>
      </c>
      <c r="C17084">
        <v>27105</v>
      </c>
      <c r="D17084" t="str">
        <f>"27105"</f>
        <v>27105</v>
      </c>
      <c r="E17084">
        <v>49.7</v>
      </c>
    </row>
    <row r="17085" spans="1:5" x14ac:dyDescent="0.2">
      <c r="A17085">
        <v>27106</v>
      </c>
      <c r="B17085" t="s">
        <v>33</v>
      </c>
      <c r="C17085">
        <v>27106</v>
      </c>
      <c r="D17085" t="str">
        <f>"27106"</f>
        <v>27106</v>
      </c>
      <c r="E17085">
        <v>69.3</v>
      </c>
    </row>
    <row r="17086" spans="1:5" x14ac:dyDescent="0.2">
      <c r="A17086">
        <v>27107</v>
      </c>
      <c r="B17086" t="s">
        <v>33</v>
      </c>
      <c r="C17086">
        <v>27107</v>
      </c>
      <c r="D17086" t="str">
        <f>"27107"</f>
        <v>27107</v>
      </c>
      <c r="E17086">
        <v>61.87</v>
      </c>
    </row>
    <row r="17087" spans="1:5" x14ac:dyDescent="0.2">
      <c r="A17087">
        <v>27108</v>
      </c>
      <c r="B17087" t="s">
        <v>33</v>
      </c>
      <c r="C17087">
        <v>27108</v>
      </c>
      <c r="D17087" t="str">
        <f>"27108"</f>
        <v>27108</v>
      </c>
      <c r="E17087" t="s">
        <v>6</v>
      </c>
    </row>
    <row r="17088" spans="1:5" x14ac:dyDescent="0.2">
      <c r="A17088">
        <v>27109</v>
      </c>
      <c r="B17088" t="s">
        <v>33</v>
      </c>
      <c r="C17088">
        <v>27109</v>
      </c>
      <c r="D17088" t="str">
        <f>"27109"</f>
        <v>27109</v>
      </c>
      <c r="E17088" t="s">
        <v>6</v>
      </c>
    </row>
    <row r="17089" spans="1:5" x14ac:dyDescent="0.2">
      <c r="A17089">
        <v>27110</v>
      </c>
      <c r="B17089" t="s">
        <v>33</v>
      </c>
      <c r="C17089">
        <v>27110</v>
      </c>
      <c r="D17089" t="str">
        <f>"27110"</f>
        <v>27110</v>
      </c>
      <c r="E17089" t="s">
        <v>6</v>
      </c>
    </row>
    <row r="17090" spans="1:5" x14ac:dyDescent="0.2">
      <c r="A17090">
        <v>27127</v>
      </c>
      <c r="B17090" t="s">
        <v>33</v>
      </c>
      <c r="C17090">
        <v>27127</v>
      </c>
      <c r="D17090" t="str">
        <f>"27127"</f>
        <v>27127</v>
      </c>
      <c r="E17090">
        <v>66.849999999999994</v>
      </c>
    </row>
    <row r="17091" spans="1:5" x14ac:dyDescent="0.2">
      <c r="A17091">
        <v>27157</v>
      </c>
      <c r="B17091" t="s">
        <v>33</v>
      </c>
      <c r="C17091">
        <v>27157</v>
      </c>
      <c r="D17091" t="str">
        <f>"27157"</f>
        <v>27157</v>
      </c>
      <c r="E17091" t="s">
        <v>6</v>
      </c>
    </row>
    <row r="17092" spans="1:5" x14ac:dyDescent="0.2">
      <c r="A17092">
        <v>27203</v>
      </c>
      <c r="B17092" t="s">
        <v>33</v>
      </c>
      <c r="C17092">
        <v>27203</v>
      </c>
      <c r="D17092" t="str">
        <f>"27203"</f>
        <v>27203</v>
      </c>
      <c r="E17092">
        <v>55.04</v>
      </c>
    </row>
    <row r="17093" spans="1:5" x14ac:dyDescent="0.2">
      <c r="A17093">
        <v>27205</v>
      </c>
      <c r="B17093" t="s">
        <v>33</v>
      </c>
      <c r="C17093">
        <v>27205</v>
      </c>
      <c r="D17093" t="str">
        <f>"27205"</f>
        <v>27205</v>
      </c>
      <c r="E17093">
        <v>67.39</v>
      </c>
    </row>
    <row r="17094" spans="1:5" x14ac:dyDescent="0.2">
      <c r="A17094">
        <v>27207</v>
      </c>
      <c r="B17094" t="s">
        <v>33</v>
      </c>
      <c r="C17094">
        <v>27207</v>
      </c>
      <c r="D17094" t="str">
        <f>"27207"</f>
        <v>27207</v>
      </c>
      <c r="E17094">
        <v>68.349999999999994</v>
      </c>
    </row>
    <row r="17095" spans="1:5" x14ac:dyDescent="0.2">
      <c r="A17095">
        <v>27208</v>
      </c>
      <c r="B17095" t="s">
        <v>33</v>
      </c>
      <c r="C17095">
        <v>27208</v>
      </c>
      <c r="D17095" t="str">
        <f>"27208"</f>
        <v>27208</v>
      </c>
      <c r="E17095">
        <v>67.14</v>
      </c>
    </row>
    <row r="17096" spans="1:5" x14ac:dyDescent="0.2">
      <c r="A17096">
        <v>27209</v>
      </c>
      <c r="B17096" t="s">
        <v>33</v>
      </c>
      <c r="C17096">
        <v>27209</v>
      </c>
      <c r="D17096" t="str">
        <f>"27209"</f>
        <v>27209</v>
      </c>
      <c r="E17096">
        <v>53.11</v>
      </c>
    </row>
    <row r="17097" spans="1:5" x14ac:dyDescent="0.2">
      <c r="A17097">
        <v>27212</v>
      </c>
      <c r="B17097" t="s">
        <v>33</v>
      </c>
      <c r="C17097">
        <v>27212</v>
      </c>
      <c r="D17097" t="str">
        <f>"27212"</f>
        <v>27212</v>
      </c>
      <c r="E17097">
        <v>67.69</v>
      </c>
    </row>
    <row r="17098" spans="1:5" x14ac:dyDescent="0.2">
      <c r="A17098">
        <v>27214</v>
      </c>
      <c r="B17098" t="s">
        <v>33</v>
      </c>
      <c r="C17098">
        <v>27214</v>
      </c>
      <c r="D17098" t="str">
        <f>"27214"</f>
        <v>27214</v>
      </c>
      <c r="E17098">
        <v>70.02</v>
      </c>
    </row>
    <row r="17099" spans="1:5" x14ac:dyDescent="0.2">
      <c r="A17099">
        <v>27215</v>
      </c>
      <c r="B17099" t="s">
        <v>33</v>
      </c>
      <c r="C17099">
        <v>27215</v>
      </c>
      <c r="D17099" t="str">
        <f>"27215"</f>
        <v>27215</v>
      </c>
      <c r="E17099">
        <v>70.67</v>
      </c>
    </row>
    <row r="17100" spans="1:5" x14ac:dyDescent="0.2">
      <c r="A17100">
        <v>27217</v>
      </c>
      <c r="B17100" t="s">
        <v>33</v>
      </c>
      <c r="C17100">
        <v>27217</v>
      </c>
      <c r="D17100" t="str">
        <f>"27217"</f>
        <v>27217</v>
      </c>
      <c r="E17100">
        <v>58.45</v>
      </c>
    </row>
    <row r="17101" spans="1:5" x14ac:dyDescent="0.2">
      <c r="A17101">
        <v>27229</v>
      </c>
      <c r="B17101" t="s">
        <v>33</v>
      </c>
      <c r="C17101">
        <v>27229</v>
      </c>
      <c r="D17101" t="str">
        <f>"27229"</f>
        <v>27229</v>
      </c>
      <c r="E17101">
        <v>53.29</v>
      </c>
    </row>
    <row r="17102" spans="1:5" x14ac:dyDescent="0.2">
      <c r="A17102">
        <v>27231</v>
      </c>
      <c r="B17102" t="s">
        <v>33</v>
      </c>
      <c r="C17102">
        <v>27231</v>
      </c>
      <c r="D17102" t="str">
        <f>"27231"</f>
        <v>27231</v>
      </c>
      <c r="E17102">
        <v>72.34</v>
      </c>
    </row>
    <row r="17103" spans="1:5" x14ac:dyDescent="0.2">
      <c r="A17103">
        <v>27233</v>
      </c>
      <c r="B17103" t="s">
        <v>33</v>
      </c>
      <c r="C17103">
        <v>27233</v>
      </c>
      <c r="D17103" t="str">
        <f>"27233"</f>
        <v>27233</v>
      </c>
      <c r="E17103">
        <v>73.08</v>
      </c>
    </row>
    <row r="17104" spans="1:5" x14ac:dyDescent="0.2">
      <c r="A17104">
        <v>27235</v>
      </c>
      <c r="B17104" t="s">
        <v>33</v>
      </c>
      <c r="C17104">
        <v>27235</v>
      </c>
      <c r="D17104" t="str">
        <f>"27235"</f>
        <v>27235</v>
      </c>
      <c r="E17104">
        <v>80.540000000000006</v>
      </c>
    </row>
    <row r="17105" spans="1:5" x14ac:dyDescent="0.2">
      <c r="A17105">
        <v>27239</v>
      </c>
      <c r="B17105" t="s">
        <v>33</v>
      </c>
      <c r="C17105">
        <v>27239</v>
      </c>
      <c r="D17105" t="str">
        <f>"27239"</f>
        <v>27239</v>
      </c>
      <c r="E17105">
        <v>67.989999999999995</v>
      </c>
    </row>
    <row r="17106" spans="1:5" x14ac:dyDescent="0.2">
      <c r="A17106">
        <v>27242</v>
      </c>
      <c r="B17106" t="s">
        <v>33</v>
      </c>
      <c r="C17106">
        <v>27242</v>
      </c>
      <c r="D17106" t="str">
        <f>"27242"</f>
        <v>27242</v>
      </c>
      <c r="E17106">
        <v>61.25</v>
      </c>
    </row>
    <row r="17107" spans="1:5" x14ac:dyDescent="0.2">
      <c r="A17107">
        <v>27243</v>
      </c>
      <c r="B17107" t="s">
        <v>33</v>
      </c>
      <c r="C17107">
        <v>27243</v>
      </c>
      <c r="D17107" t="str">
        <f>"27243"</f>
        <v>27243</v>
      </c>
      <c r="E17107">
        <v>75.34</v>
      </c>
    </row>
    <row r="17108" spans="1:5" x14ac:dyDescent="0.2">
      <c r="A17108">
        <v>27244</v>
      </c>
      <c r="B17108" t="s">
        <v>33</v>
      </c>
      <c r="C17108">
        <v>27244</v>
      </c>
      <c r="D17108" t="str">
        <f>"27244"</f>
        <v>27244</v>
      </c>
      <c r="E17108">
        <v>72.73</v>
      </c>
    </row>
    <row r="17109" spans="1:5" x14ac:dyDescent="0.2">
      <c r="A17109">
        <v>27248</v>
      </c>
      <c r="B17109" t="s">
        <v>33</v>
      </c>
      <c r="C17109">
        <v>27248</v>
      </c>
      <c r="D17109" t="str">
        <f>"27248"</f>
        <v>27248</v>
      </c>
      <c r="E17109">
        <v>67.89</v>
      </c>
    </row>
    <row r="17110" spans="1:5" x14ac:dyDescent="0.2">
      <c r="A17110">
        <v>27249</v>
      </c>
      <c r="B17110" t="s">
        <v>33</v>
      </c>
      <c r="C17110">
        <v>27249</v>
      </c>
      <c r="D17110" t="str">
        <f>"27249"</f>
        <v>27249</v>
      </c>
      <c r="E17110">
        <v>72.319999999999993</v>
      </c>
    </row>
    <row r="17111" spans="1:5" x14ac:dyDescent="0.2">
      <c r="A17111">
        <v>27252</v>
      </c>
      <c r="B17111" t="s">
        <v>33</v>
      </c>
      <c r="C17111">
        <v>27252</v>
      </c>
      <c r="D17111" t="str">
        <f>"27252"</f>
        <v>27252</v>
      </c>
      <c r="E17111">
        <v>68.92</v>
      </c>
    </row>
    <row r="17112" spans="1:5" x14ac:dyDescent="0.2">
      <c r="A17112">
        <v>27253</v>
      </c>
      <c r="B17112" t="s">
        <v>33</v>
      </c>
      <c r="C17112">
        <v>27253</v>
      </c>
      <c r="D17112" t="str">
        <f>"27253"</f>
        <v>27253</v>
      </c>
      <c r="E17112">
        <v>67.58</v>
      </c>
    </row>
    <row r="17113" spans="1:5" x14ac:dyDescent="0.2">
      <c r="A17113">
        <v>27258</v>
      </c>
      <c r="B17113" t="s">
        <v>33</v>
      </c>
      <c r="C17113">
        <v>27258</v>
      </c>
      <c r="D17113" t="str">
        <f>"27258"</f>
        <v>27258</v>
      </c>
      <c r="E17113">
        <v>70.75</v>
      </c>
    </row>
    <row r="17114" spans="1:5" x14ac:dyDescent="0.2">
      <c r="A17114">
        <v>27259</v>
      </c>
      <c r="B17114" t="s">
        <v>33</v>
      </c>
      <c r="C17114">
        <v>27259</v>
      </c>
      <c r="D17114" t="str">
        <f>"27259"</f>
        <v>27259</v>
      </c>
      <c r="E17114" t="s">
        <v>6</v>
      </c>
    </row>
    <row r="17115" spans="1:5" x14ac:dyDescent="0.2">
      <c r="A17115">
        <v>27260</v>
      </c>
      <c r="B17115" t="s">
        <v>33</v>
      </c>
      <c r="C17115">
        <v>27260</v>
      </c>
      <c r="D17115" t="str">
        <f>"27260"</f>
        <v>27260</v>
      </c>
      <c r="E17115">
        <v>42.71</v>
      </c>
    </row>
    <row r="17116" spans="1:5" x14ac:dyDescent="0.2">
      <c r="A17116">
        <v>27262</v>
      </c>
      <c r="B17116" t="s">
        <v>33</v>
      </c>
      <c r="C17116">
        <v>27262</v>
      </c>
      <c r="D17116" t="str">
        <f>"27262"</f>
        <v>27262</v>
      </c>
      <c r="E17116">
        <v>62.34</v>
      </c>
    </row>
    <row r="17117" spans="1:5" x14ac:dyDescent="0.2">
      <c r="A17117">
        <v>27263</v>
      </c>
      <c r="B17117" t="s">
        <v>33</v>
      </c>
      <c r="C17117">
        <v>27263</v>
      </c>
      <c r="D17117" t="str">
        <f>"27263"</f>
        <v>27263</v>
      </c>
      <c r="E17117">
        <v>64.23</v>
      </c>
    </row>
    <row r="17118" spans="1:5" x14ac:dyDescent="0.2">
      <c r="A17118">
        <v>27265</v>
      </c>
      <c r="B17118" t="s">
        <v>33</v>
      </c>
      <c r="C17118">
        <v>27265</v>
      </c>
      <c r="D17118" t="str">
        <f>"27265"</f>
        <v>27265</v>
      </c>
      <c r="E17118">
        <v>72.849999999999994</v>
      </c>
    </row>
    <row r="17119" spans="1:5" x14ac:dyDescent="0.2">
      <c r="A17119">
        <v>27278</v>
      </c>
      <c r="B17119" t="s">
        <v>33</v>
      </c>
      <c r="C17119">
        <v>27278</v>
      </c>
      <c r="D17119" t="str">
        <f>"27278"</f>
        <v>27278</v>
      </c>
      <c r="E17119">
        <v>75.69</v>
      </c>
    </row>
    <row r="17120" spans="1:5" x14ac:dyDescent="0.2">
      <c r="A17120">
        <v>27281</v>
      </c>
      <c r="B17120" t="s">
        <v>33</v>
      </c>
      <c r="C17120">
        <v>27281</v>
      </c>
      <c r="D17120" t="str">
        <f>"27281"</f>
        <v>27281</v>
      </c>
      <c r="E17120">
        <v>72.069999999999993</v>
      </c>
    </row>
    <row r="17121" spans="1:5" x14ac:dyDescent="0.2">
      <c r="A17121">
        <v>27282</v>
      </c>
      <c r="B17121" t="s">
        <v>33</v>
      </c>
      <c r="C17121">
        <v>27282</v>
      </c>
      <c r="D17121" t="str">
        <f>"27282"</f>
        <v>27282</v>
      </c>
      <c r="E17121">
        <v>76.13</v>
      </c>
    </row>
    <row r="17122" spans="1:5" x14ac:dyDescent="0.2">
      <c r="A17122">
        <v>27283</v>
      </c>
      <c r="B17122" t="s">
        <v>33</v>
      </c>
      <c r="C17122">
        <v>27283</v>
      </c>
      <c r="D17122" t="str">
        <f>"27283"</f>
        <v>27283</v>
      </c>
      <c r="E17122">
        <v>76.19</v>
      </c>
    </row>
    <row r="17123" spans="1:5" x14ac:dyDescent="0.2">
      <c r="A17123">
        <v>27284</v>
      </c>
      <c r="B17123" t="s">
        <v>33</v>
      </c>
      <c r="C17123">
        <v>27284</v>
      </c>
      <c r="D17123" t="str">
        <f>"27284"</f>
        <v>27284</v>
      </c>
      <c r="E17123">
        <v>74.819999999999993</v>
      </c>
    </row>
    <row r="17124" spans="1:5" x14ac:dyDescent="0.2">
      <c r="A17124">
        <v>27288</v>
      </c>
      <c r="B17124" t="s">
        <v>33</v>
      </c>
      <c r="C17124">
        <v>27288</v>
      </c>
      <c r="D17124" t="str">
        <f>"27288"</f>
        <v>27288</v>
      </c>
      <c r="E17124">
        <v>62.7</v>
      </c>
    </row>
    <row r="17125" spans="1:5" x14ac:dyDescent="0.2">
      <c r="A17125">
        <v>27291</v>
      </c>
      <c r="B17125" t="s">
        <v>33</v>
      </c>
      <c r="C17125">
        <v>27291</v>
      </c>
      <c r="D17125" t="str">
        <f>"27291"</f>
        <v>27291</v>
      </c>
      <c r="E17125">
        <v>71.64</v>
      </c>
    </row>
    <row r="17126" spans="1:5" x14ac:dyDescent="0.2">
      <c r="A17126">
        <v>27292</v>
      </c>
      <c r="B17126" t="s">
        <v>33</v>
      </c>
      <c r="C17126">
        <v>27292</v>
      </c>
      <c r="D17126" t="str">
        <f>"27292"</f>
        <v>27292</v>
      </c>
      <c r="E17126">
        <v>63.59</v>
      </c>
    </row>
    <row r="17127" spans="1:5" x14ac:dyDescent="0.2">
      <c r="A17127">
        <v>27295</v>
      </c>
      <c r="B17127" t="s">
        <v>33</v>
      </c>
      <c r="C17127">
        <v>27295</v>
      </c>
      <c r="D17127" t="str">
        <f>"27295"</f>
        <v>27295</v>
      </c>
      <c r="E17127">
        <v>70.010000000000005</v>
      </c>
    </row>
    <row r="17128" spans="1:5" x14ac:dyDescent="0.2">
      <c r="A17128">
        <v>27298</v>
      </c>
      <c r="B17128" t="s">
        <v>33</v>
      </c>
      <c r="C17128">
        <v>27298</v>
      </c>
      <c r="D17128" t="str">
        <f>"27298"</f>
        <v>27298</v>
      </c>
      <c r="E17128">
        <v>67.89</v>
      </c>
    </row>
    <row r="17129" spans="1:5" x14ac:dyDescent="0.2">
      <c r="A17129">
        <v>27299</v>
      </c>
      <c r="B17129" t="s">
        <v>33</v>
      </c>
      <c r="C17129">
        <v>27299</v>
      </c>
      <c r="D17129" t="str">
        <f>"27299"</f>
        <v>27299</v>
      </c>
      <c r="E17129">
        <v>64.81</v>
      </c>
    </row>
    <row r="17130" spans="1:5" x14ac:dyDescent="0.2">
      <c r="A17130">
        <v>27301</v>
      </c>
      <c r="B17130" t="s">
        <v>33</v>
      </c>
      <c r="C17130">
        <v>27301</v>
      </c>
      <c r="D17130" t="str">
        <f>"27301"</f>
        <v>27301</v>
      </c>
      <c r="E17130">
        <v>72.400000000000006</v>
      </c>
    </row>
    <row r="17131" spans="1:5" x14ac:dyDescent="0.2">
      <c r="A17131">
        <v>27302</v>
      </c>
      <c r="B17131" t="s">
        <v>33</v>
      </c>
      <c r="C17131">
        <v>27302</v>
      </c>
      <c r="D17131" t="str">
        <f>"27302"</f>
        <v>27302</v>
      </c>
      <c r="E17131">
        <v>72.849999999999994</v>
      </c>
    </row>
    <row r="17132" spans="1:5" x14ac:dyDescent="0.2">
      <c r="A17132">
        <v>27305</v>
      </c>
      <c r="B17132" t="s">
        <v>33</v>
      </c>
      <c r="C17132">
        <v>27305</v>
      </c>
      <c r="D17132" t="str">
        <f>"27305"</f>
        <v>27305</v>
      </c>
      <c r="E17132">
        <v>63.08</v>
      </c>
    </row>
    <row r="17133" spans="1:5" x14ac:dyDescent="0.2">
      <c r="A17133">
        <v>27306</v>
      </c>
      <c r="B17133" t="s">
        <v>33</v>
      </c>
      <c r="C17133">
        <v>27306</v>
      </c>
      <c r="D17133" t="str">
        <f>"27306"</f>
        <v>27306</v>
      </c>
      <c r="E17133">
        <v>66.540000000000006</v>
      </c>
    </row>
    <row r="17134" spans="1:5" x14ac:dyDescent="0.2">
      <c r="A17134">
        <v>27310</v>
      </c>
      <c r="B17134" t="s">
        <v>33</v>
      </c>
      <c r="C17134">
        <v>27310</v>
      </c>
      <c r="D17134" t="str">
        <f>"27310"</f>
        <v>27310</v>
      </c>
      <c r="E17134">
        <v>80.27</v>
      </c>
    </row>
    <row r="17135" spans="1:5" x14ac:dyDescent="0.2">
      <c r="A17135">
        <v>27311</v>
      </c>
      <c r="B17135" t="s">
        <v>33</v>
      </c>
      <c r="C17135">
        <v>27311</v>
      </c>
      <c r="D17135" t="str">
        <f>"27311"</f>
        <v>27311</v>
      </c>
      <c r="E17135">
        <v>63.24</v>
      </c>
    </row>
    <row r="17136" spans="1:5" x14ac:dyDescent="0.2">
      <c r="A17136">
        <v>27312</v>
      </c>
      <c r="B17136" t="s">
        <v>33</v>
      </c>
      <c r="C17136">
        <v>27312</v>
      </c>
      <c r="D17136" t="str">
        <f>"27312"</f>
        <v>27312</v>
      </c>
      <c r="E17136">
        <v>78.62</v>
      </c>
    </row>
    <row r="17137" spans="1:5" x14ac:dyDescent="0.2">
      <c r="A17137">
        <v>27313</v>
      </c>
      <c r="B17137" t="s">
        <v>33</v>
      </c>
      <c r="C17137">
        <v>27313</v>
      </c>
      <c r="D17137" t="str">
        <f>"27313"</f>
        <v>27313</v>
      </c>
      <c r="E17137">
        <v>73.19</v>
      </c>
    </row>
    <row r="17138" spans="1:5" x14ac:dyDescent="0.2">
      <c r="A17138">
        <v>27314</v>
      </c>
      <c r="B17138" t="s">
        <v>33</v>
      </c>
      <c r="C17138">
        <v>27314</v>
      </c>
      <c r="D17138" t="str">
        <f>"27314"</f>
        <v>27314</v>
      </c>
      <c r="E17138">
        <v>70.45</v>
      </c>
    </row>
    <row r="17139" spans="1:5" x14ac:dyDescent="0.2">
      <c r="A17139">
        <v>27315</v>
      </c>
      <c r="B17139" t="s">
        <v>33</v>
      </c>
      <c r="C17139">
        <v>27315</v>
      </c>
      <c r="D17139" t="str">
        <f>"27315"</f>
        <v>27315</v>
      </c>
      <c r="E17139">
        <v>71.599999999999994</v>
      </c>
    </row>
    <row r="17140" spans="1:5" x14ac:dyDescent="0.2">
      <c r="A17140">
        <v>27316</v>
      </c>
      <c r="B17140" t="s">
        <v>33</v>
      </c>
      <c r="C17140">
        <v>27316</v>
      </c>
      <c r="D17140" t="str">
        <f>"27316"</f>
        <v>27316</v>
      </c>
      <c r="E17140">
        <v>59.93</v>
      </c>
    </row>
    <row r="17141" spans="1:5" x14ac:dyDescent="0.2">
      <c r="A17141">
        <v>27317</v>
      </c>
      <c r="B17141" t="s">
        <v>33</v>
      </c>
      <c r="C17141">
        <v>27317</v>
      </c>
      <c r="D17141" t="str">
        <f>"27317"</f>
        <v>27317</v>
      </c>
      <c r="E17141">
        <v>67.38</v>
      </c>
    </row>
    <row r="17142" spans="1:5" x14ac:dyDescent="0.2">
      <c r="A17142">
        <v>27320</v>
      </c>
      <c r="B17142" t="s">
        <v>33</v>
      </c>
      <c r="C17142">
        <v>27320</v>
      </c>
      <c r="D17142" t="str">
        <f>"27320"</f>
        <v>27320</v>
      </c>
      <c r="E17142">
        <v>67.12</v>
      </c>
    </row>
    <row r="17143" spans="1:5" x14ac:dyDescent="0.2">
      <c r="A17143">
        <v>27325</v>
      </c>
      <c r="B17143" t="s">
        <v>33</v>
      </c>
      <c r="C17143">
        <v>27325</v>
      </c>
      <c r="D17143" t="str">
        <f>"27325"</f>
        <v>27325</v>
      </c>
      <c r="E17143">
        <v>62.95</v>
      </c>
    </row>
    <row r="17144" spans="1:5" x14ac:dyDescent="0.2">
      <c r="A17144">
        <v>27326</v>
      </c>
      <c r="B17144" t="s">
        <v>33</v>
      </c>
      <c r="C17144">
        <v>27326</v>
      </c>
      <c r="D17144" t="str">
        <f>"27326"</f>
        <v>27326</v>
      </c>
      <c r="E17144">
        <v>68.349999999999994</v>
      </c>
    </row>
    <row r="17145" spans="1:5" x14ac:dyDescent="0.2">
      <c r="A17145">
        <v>27330</v>
      </c>
      <c r="B17145" t="s">
        <v>33</v>
      </c>
      <c r="C17145">
        <v>27330</v>
      </c>
      <c r="D17145" t="str">
        <f>"27330"</f>
        <v>27330</v>
      </c>
      <c r="E17145">
        <v>64.83</v>
      </c>
    </row>
    <row r="17146" spans="1:5" x14ac:dyDescent="0.2">
      <c r="A17146">
        <v>27332</v>
      </c>
      <c r="B17146" t="s">
        <v>33</v>
      </c>
      <c r="C17146">
        <v>27332</v>
      </c>
      <c r="D17146" t="str">
        <f>"27332"</f>
        <v>27332</v>
      </c>
      <c r="E17146">
        <v>66.239999999999995</v>
      </c>
    </row>
    <row r="17147" spans="1:5" x14ac:dyDescent="0.2">
      <c r="A17147">
        <v>27340</v>
      </c>
      <c r="B17147" t="s">
        <v>33</v>
      </c>
      <c r="C17147">
        <v>27340</v>
      </c>
      <c r="D17147" t="str">
        <f>"27340"</f>
        <v>27340</v>
      </c>
      <c r="E17147" t="s">
        <v>6</v>
      </c>
    </row>
    <row r="17148" spans="1:5" x14ac:dyDescent="0.2">
      <c r="A17148">
        <v>27341</v>
      </c>
      <c r="B17148" t="s">
        <v>33</v>
      </c>
      <c r="C17148">
        <v>27341</v>
      </c>
      <c r="D17148" t="str">
        <f>"27341"</f>
        <v>27341</v>
      </c>
      <c r="E17148">
        <v>66.22</v>
      </c>
    </row>
    <row r="17149" spans="1:5" x14ac:dyDescent="0.2">
      <c r="A17149">
        <v>27343</v>
      </c>
      <c r="B17149" t="s">
        <v>33</v>
      </c>
      <c r="C17149">
        <v>27343</v>
      </c>
      <c r="D17149" t="str">
        <f>"27343"</f>
        <v>27343</v>
      </c>
      <c r="E17149">
        <v>69.12</v>
      </c>
    </row>
    <row r="17150" spans="1:5" x14ac:dyDescent="0.2">
      <c r="A17150">
        <v>27344</v>
      </c>
      <c r="B17150" t="s">
        <v>33</v>
      </c>
      <c r="C17150">
        <v>27344</v>
      </c>
      <c r="D17150" t="str">
        <f>"27344"</f>
        <v>27344</v>
      </c>
      <c r="E17150">
        <v>56.84</v>
      </c>
    </row>
    <row r="17151" spans="1:5" x14ac:dyDescent="0.2">
      <c r="A17151">
        <v>27349</v>
      </c>
      <c r="B17151" t="s">
        <v>33</v>
      </c>
      <c r="C17151">
        <v>27349</v>
      </c>
      <c r="D17151" t="str">
        <f>"27349"</f>
        <v>27349</v>
      </c>
      <c r="E17151">
        <v>71.84</v>
      </c>
    </row>
    <row r="17152" spans="1:5" x14ac:dyDescent="0.2">
      <c r="A17152">
        <v>27350</v>
      </c>
      <c r="B17152" t="s">
        <v>33</v>
      </c>
      <c r="C17152">
        <v>27350</v>
      </c>
      <c r="D17152" t="str">
        <f>"27350"</f>
        <v>27350</v>
      </c>
      <c r="E17152">
        <v>68.73</v>
      </c>
    </row>
    <row r="17153" spans="1:5" x14ac:dyDescent="0.2">
      <c r="A17153">
        <v>27351</v>
      </c>
      <c r="B17153" t="s">
        <v>33</v>
      </c>
      <c r="C17153">
        <v>27351</v>
      </c>
      <c r="D17153" t="str">
        <f>"27351"</f>
        <v>27351</v>
      </c>
      <c r="E17153" t="s">
        <v>6</v>
      </c>
    </row>
    <row r="17154" spans="1:5" x14ac:dyDescent="0.2">
      <c r="A17154">
        <v>27355</v>
      </c>
      <c r="B17154" t="s">
        <v>33</v>
      </c>
      <c r="C17154">
        <v>27355</v>
      </c>
      <c r="D17154" t="str">
        <f>"27355"</f>
        <v>27355</v>
      </c>
      <c r="E17154">
        <v>63.48</v>
      </c>
    </row>
    <row r="17155" spans="1:5" x14ac:dyDescent="0.2">
      <c r="A17155">
        <v>27356</v>
      </c>
      <c r="B17155" t="s">
        <v>33</v>
      </c>
      <c r="C17155">
        <v>27356</v>
      </c>
      <c r="D17155" t="str">
        <f>"27356"</f>
        <v>27356</v>
      </c>
      <c r="E17155">
        <v>62.07</v>
      </c>
    </row>
    <row r="17156" spans="1:5" x14ac:dyDescent="0.2">
      <c r="A17156">
        <v>27357</v>
      </c>
      <c r="B17156" t="s">
        <v>33</v>
      </c>
      <c r="C17156">
        <v>27357</v>
      </c>
      <c r="D17156" t="str">
        <f>"27357"</f>
        <v>27357</v>
      </c>
      <c r="E17156">
        <v>75</v>
      </c>
    </row>
    <row r="17157" spans="1:5" x14ac:dyDescent="0.2">
      <c r="A17157">
        <v>27358</v>
      </c>
      <c r="B17157" t="s">
        <v>33</v>
      </c>
      <c r="C17157">
        <v>27358</v>
      </c>
      <c r="D17157" t="str">
        <f>"27358"</f>
        <v>27358</v>
      </c>
      <c r="E17157">
        <v>78</v>
      </c>
    </row>
    <row r="17158" spans="1:5" x14ac:dyDescent="0.2">
      <c r="A17158">
        <v>27359</v>
      </c>
      <c r="B17158" t="s">
        <v>33</v>
      </c>
      <c r="C17158">
        <v>27359</v>
      </c>
      <c r="D17158" t="str">
        <f>"27359"</f>
        <v>27359</v>
      </c>
      <c r="E17158" t="s">
        <v>6</v>
      </c>
    </row>
    <row r="17159" spans="1:5" x14ac:dyDescent="0.2">
      <c r="A17159">
        <v>27360</v>
      </c>
      <c r="B17159" t="s">
        <v>33</v>
      </c>
      <c r="C17159">
        <v>27360</v>
      </c>
      <c r="D17159" t="str">
        <f>"27360"</f>
        <v>27360</v>
      </c>
      <c r="E17159">
        <v>65.510000000000005</v>
      </c>
    </row>
    <row r="17160" spans="1:5" x14ac:dyDescent="0.2">
      <c r="A17160">
        <v>27370</v>
      </c>
      <c r="B17160" t="s">
        <v>33</v>
      </c>
      <c r="C17160">
        <v>27370</v>
      </c>
      <c r="D17160" t="str">
        <f>"27370"</f>
        <v>27370</v>
      </c>
      <c r="E17160">
        <v>71.06</v>
      </c>
    </row>
    <row r="17161" spans="1:5" x14ac:dyDescent="0.2">
      <c r="A17161">
        <v>27371</v>
      </c>
      <c r="B17161" t="s">
        <v>33</v>
      </c>
      <c r="C17161">
        <v>27371</v>
      </c>
      <c r="D17161" t="str">
        <f>"27371"</f>
        <v>27371</v>
      </c>
      <c r="E17161">
        <v>65.33</v>
      </c>
    </row>
    <row r="17162" spans="1:5" x14ac:dyDescent="0.2">
      <c r="A17162">
        <v>27376</v>
      </c>
      <c r="B17162" t="s">
        <v>33</v>
      </c>
      <c r="C17162">
        <v>27376</v>
      </c>
      <c r="D17162" t="str">
        <f>"27376"</f>
        <v>27376</v>
      </c>
      <c r="E17162">
        <v>73.36</v>
      </c>
    </row>
    <row r="17163" spans="1:5" x14ac:dyDescent="0.2">
      <c r="A17163">
        <v>27377</v>
      </c>
      <c r="B17163" t="s">
        <v>33</v>
      </c>
      <c r="C17163">
        <v>27377</v>
      </c>
      <c r="D17163" t="str">
        <f>"27377"</f>
        <v>27377</v>
      </c>
      <c r="E17163">
        <v>75.69</v>
      </c>
    </row>
    <row r="17164" spans="1:5" x14ac:dyDescent="0.2">
      <c r="A17164">
        <v>27379</v>
      </c>
      <c r="B17164" t="s">
        <v>33</v>
      </c>
      <c r="C17164">
        <v>27379</v>
      </c>
      <c r="D17164" t="str">
        <f>"27379"</f>
        <v>27379</v>
      </c>
      <c r="E17164">
        <v>64.89</v>
      </c>
    </row>
    <row r="17165" spans="1:5" x14ac:dyDescent="0.2">
      <c r="A17165">
        <v>27401</v>
      </c>
      <c r="B17165" t="s">
        <v>33</v>
      </c>
      <c r="C17165">
        <v>27401</v>
      </c>
      <c r="D17165" t="str">
        <f>"27401"</f>
        <v>27401</v>
      </c>
      <c r="E17165">
        <v>53.6</v>
      </c>
    </row>
    <row r="17166" spans="1:5" x14ac:dyDescent="0.2">
      <c r="A17166">
        <v>27403</v>
      </c>
      <c r="B17166" t="s">
        <v>33</v>
      </c>
      <c r="C17166">
        <v>27403</v>
      </c>
      <c r="D17166" t="str">
        <f>"27403"</f>
        <v>27403</v>
      </c>
      <c r="E17166">
        <v>67.069999999999993</v>
      </c>
    </row>
    <row r="17167" spans="1:5" x14ac:dyDescent="0.2">
      <c r="A17167">
        <v>27405</v>
      </c>
      <c r="B17167" t="s">
        <v>33</v>
      </c>
      <c r="C17167">
        <v>27405</v>
      </c>
      <c r="D17167" t="str">
        <f>"27405"</f>
        <v>27405</v>
      </c>
      <c r="E17167">
        <v>53.67</v>
      </c>
    </row>
    <row r="17168" spans="1:5" x14ac:dyDescent="0.2">
      <c r="A17168">
        <v>27406</v>
      </c>
      <c r="B17168" t="s">
        <v>33</v>
      </c>
      <c r="C17168">
        <v>27406</v>
      </c>
      <c r="D17168" t="str">
        <f>"27406"</f>
        <v>27406</v>
      </c>
      <c r="E17168">
        <v>60.59</v>
      </c>
    </row>
    <row r="17169" spans="1:5" x14ac:dyDescent="0.2">
      <c r="A17169">
        <v>27407</v>
      </c>
      <c r="B17169" t="s">
        <v>33</v>
      </c>
      <c r="C17169">
        <v>27407</v>
      </c>
      <c r="D17169" t="str">
        <f>"27407"</f>
        <v>27407</v>
      </c>
      <c r="E17169">
        <v>62.63</v>
      </c>
    </row>
    <row r="17170" spans="1:5" x14ac:dyDescent="0.2">
      <c r="A17170">
        <v>27408</v>
      </c>
      <c r="B17170" t="s">
        <v>33</v>
      </c>
      <c r="C17170">
        <v>27408</v>
      </c>
      <c r="D17170" t="str">
        <f>"27408"</f>
        <v>27408</v>
      </c>
      <c r="E17170">
        <v>78.73</v>
      </c>
    </row>
    <row r="17171" spans="1:5" x14ac:dyDescent="0.2">
      <c r="A17171">
        <v>27409</v>
      </c>
      <c r="B17171" t="s">
        <v>33</v>
      </c>
      <c r="C17171">
        <v>27409</v>
      </c>
      <c r="D17171" t="str">
        <f>"27409"</f>
        <v>27409</v>
      </c>
      <c r="E17171">
        <v>70.44</v>
      </c>
    </row>
    <row r="17172" spans="1:5" x14ac:dyDescent="0.2">
      <c r="A17172">
        <v>27410</v>
      </c>
      <c r="B17172" t="s">
        <v>33</v>
      </c>
      <c r="C17172">
        <v>27410</v>
      </c>
      <c r="D17172" t="str">
        <f>"27410"</f>
        <v>27410</v>
      </c>
      <c r="E17172">
        <v>78.58</v>
      </c>
    </row>
    <row r="17173" spans="1:5" x14ac:dyDescent="0.2">
      <c r="A17173">
        <v>27412</v>
      </c>
      <c r="B17173" t="s">
        <v>33</v>
      </c>
      <c r="C17173">
        <v>27412</v>
      </c>
      <c r="D17173" t="str">
        <f>"27412"</f>
        <v>27412</v>
      </c>
      <c r="E17173" t="s">
        <v>6</v>
      </c>
    </row>
    <row r="17174" spans="1:5" x14ac:dyDescent="0.2">
      <c r="A17174">
        <v>27455</v>
      </c>
      <c r="B17174" t="s">
        <v>33</v>
      </c>
      <c r="C17174">
        <v>27455</v>
      </c>
      <c r="D17174" t="str">
        <f>"27455"</f>
        <v>27455</v>
      </c>
      <c r="E17174">
        <v>76.52</v>
      </c>
    </row>
    <row r="17175" spans="1:5" x14ac:dyDescent="0.2">
      <c r="A17175">
        <v>27497</v>
      </c>
      <c r="B17175" t="s">
        <v>33</v>
      </c>
      <c r="C17175">
        <v>27497</v>
      </c>
      <c r="D17175" t="str">
        <f>"27497"</f>
        <v>27497</v>
      </c>
      <c r="E17175" t="s">
        <v>6</v>
      </c>
    </row>
    <row r="17176" spans="1:5" x14ac:dyDescent="0.2">
      <c r="A17176">
        <v>27501</v>
      </c>
      <c r="B17176" t="s">
        <v>33</v>
      </c>
      <c r="C17176">
        <v>27501</v>
      </c>
      <c r="D17176" t="str">
        <f>"27501"</f>
        <v>27501</v>
      </c>
      <c r="E17176">
        <v>68.19</v>
      </c>
    </row>
    <row r="17177" spans="1:5" x14ac:dyDescent="0.2">
      <c r="A17177">
        <v>27502</v>
      </c>
      <c r="B17177" t="s">
        <v>33</v>
      </c>
      <c r="C17177">
        <v>27502</v>
      </c>
      <c r="D17177" t="str">
        <f>"27502"</f>
        <v>27502</v>
      </c>
      <c r="E17177">
        <v>81.3</v>
      </c>
    </row>
    <row r="17178" spans="1:5" x14ac:dyDescent="0.2">
      <c r="A17178">
        <v>27503</v>
      </c>
      <c r="B17178" t="s">
        <v>33</v>
      </c>
      <c r="C17178">
        <v>27503</v>
      </c>
      <c r="D17178" t="str">
        <f>"27503"</f>
        <v>27503</v>
      </c>
      <c r="E17178">
        <v>79.77</v>
      </c>
    </row>
    <row r="17179" spans="1:5" x14ac:dyDescent="0.2">
      <c r="A17179">
        <v>27504</v>
      </c>
      <c r="B17179" t="s">
        <v>33</v>
      </c>
      <c r="C17179">
        <v>27504</v>
      </c>
      <c r="D17179" t="str">
        <f>"27504"</f>
        <v>27504</v>
      </c>
      <c r="E17179">
        <v>67.010000000000005</v>
      </c>
    </row>
    <row r="17180" spans="1:5" x14ac:dyDescent="0.2">
      <c r="A17180">
        <v>27505</v>
      </c>
      <c r="B17180" t="s">
        <v>33</v>
      </c>
      <c r="C17180">
        <v>27505</v>
      </c>
      <c r="D17180" t="str">
        <f>"27505"</f>
        <v>27505</v>
      </c>
      <c r="E17180">
        <v>64.430000000000007</v>
      </c>
    </row>
    <row r="17181" spans="1:5" x14ac:dyDescent="0.2">
      <c r="A17181">
        <v>27507</v>
      </c>
      <c r="B17181" t="s">
        <v>33</v>
      </c>
      <c r="C17181">
        <v>27507</v>
      </c>
      <c r="D17181" t="str">
        <f>"27507"</f>
        <v>27507</v>
      </c>
      <c r="E17181">
        <v>70.27</v>
      </c>
    </row>
    <row r="17182" spans="1:5" x14ac:dyDescent="0.2">
      <c r="A17182">
        <v>27508</v>
      </c>
      <c r="B17182" t="s">
        <v>33</v>
      </c>
      <c r="C17182">
        <v>27508</v>
      </c>
      <c r="D17182" t="str">
        <f>"27508"</f>
        <v>27508</v>
      </c>
      <c r="E17182">
        <v>63.29</v>
      </c>
    </row>
    <row r="17183" spans="1:5" x14ac:dyDescent="0.2">
      <c r="A17183">
        <v>27509</v>
      </c>
      <c r="B17183" t="s">
        <v>33</v>
      </c>
      <c r="C17183">
        <v>27509</v>
      </c>
      <c r="D17183" t="str">
        <f>"27509"</f>
        <v>27509</v>
      </c>
      <c r="E17183">
        <v>66.67</v>
      </c>
    </row>
    <row r="17184" spans="1:5" x14ac:dyDescent="0.2">
      <c r="A17184">
        <v>27510</v>
      </c>
      <c r="B17184" t="s">
        <v>33</v>
      </c>
      <c r="C17184">
        <v>27510</v>
      </c>
      <c r="D17184" t="str">
        <f>"27510"</f>
        <v>27510</v>
      </c>
      <c r="E17184">
        <v>73.239999999999995</v>
      </c>
    </row>
    <row r="17185" spans="1:5" x14ac:dyDescent="0.2">
      <c r="A17185">
        <v>27511</v>
      </c>
      <c r="B17185" t="s">
        <v>33</v>
      </c>
      <c r="C17185">
        <v>27511</v>
      </c>
      <c r="D17185" t="str">
        <f>"27511"</f>
        <v>27511</v>
      </c>
      <c r="E17185">
        <v>75.55</v>
      </c>
    </row>
    <row r="17186" spans="1:5" x14ac:dyDescent="0.2">
      <c r="A17186">
        <v>27513</v>
      </c>
      <c r="B17186" t="s">
        <v>33</v>
      </c>
      <c r="C17186">
        <v>27513</v>
      </c>
      <c r="D17186" t="str">
        <f>"27513"</f>
        <v>27513</v>
      </c>
      <c r="E17186">
        <v>80.61</v>
      </c>
    </row>
    <row r="17187" spans="1:5" x14ac:dyDescent="0.2">
      <c r="A17187">
        <v>27514</v>
      </c>
      <c r="B17187" t="s">
        <v>33</v>
      </c>
      <c r="C17187">
        <v>27514</v>
      </c>
      <c r="D17187" t="str">
        <f>"27514"</f>
        <v>27514</v>
      </c>
      <c r="E17187">
        <v>76.239999999999995</v>
      </c>
    </row>
    <row r="17188" spans="1:5" x14ac:dyDescent="0.2">
      <c r="A17188">
        <v>27516</v>
      </c>
      <c r="B17188" t="s">
        <v>33</v>
      </c>
      <c r="C17188">
        <v>27516</v>
      </c>
      <c r="D17188" t="str">
        <f>"27516"</f>
        <v>27516</v>
      </c>
      <c r="E17188">
        <v>77.37</v>
      </c>
    </row>
    <row r="17189" spans="1:5" x14ac:dyDescent="0.2">
      <c r="A17189">
        <v>27517</v>
      </c>
      <c r="B17189" t="s">
        <v>33</v>
      </c>
      <c r="C17189">
        <v>27517</v>
      </c>
      <c r="D17189" t="str">
        <f>"27517"</f>
        <v>27517</v>
      </c>
      <c r="E17189">
        <v>80.209999999999994</v>
      </c>
    </row>
    <row r="17190" spans="1:5" x14ac:dyDescent="0.2">
      <c r="A17190">
        <v>27518</v>
      </c>
      <c r="B17190" t="s">
        <v>33</v>
      </c>
      <c r="C17190">
        <v>27518</v>
      </c>
      <c r="D17190" t="str">
        <f>"27518"</f>
        <v>27518</v>
      </c>
      <c r="E17190">
        <v>83.06</v>
      </c>
    </row>
    <row r="17191" spans="1:5" x14ac:dyDescent="0.2">
      <c r="A17191">
        <v>27519</v>
      </c>
      <c r="B17191" t="s">
        <v>33</v>
      </c>
      <c r="C17191">
        <v>27519</v>
      </c>
      <c r="D17191" t="str">
        <f>"27519"</f>
        <v>27519</v>
      </c>
      <c r="E17191">
        <v>83.26</v>
      </c>
    </row>
    <row r="17192" spans="1:5" x14ac:dyDescent="0.2">
      <c r="A17192">
        <v>27520</v>
      </c>
      <c r="B17192" t="s">
        <v>33</v>
      </c>
      <c r="C17192">
        <v>27520</v>
      </c>
      <c r="D17192" t="str">
        <f>"27520"</f>
        <v>27520</v>
      </c>
      <c r="E17192">
        <v>72.430000000000007</v>
      </c>
    </row>
    <row r="17193" spans="1:5" x14ac:dyDescent="0.2">
      <c r="A17193">
        <v>27521</v>
      </c>
      <c r="B17193" t="s">
        <v>33</v>
      </c>
      <c r="C17193">
        <v>27521</v>
      </c>
      <c r="D17193" t="str">
        <f>"27521"</f>
        <v>27521</v>
      </c>
      <c r="E17193">
        <v>63.89</v>
      </c>
    </row>
    <row r="17194" spans="1:5" x14ac:dyDescent="0.2">
      <c r="A17194">
        <v>27522</v>
      </c>
      <c r="B17194" t="s">
        <v>33</v>
      </c>
      <c r="C17194">
        <v>27522</v>
      </c>
      <c r="D17194" t="str">
        <f>"27522"</f>
        <v>27522</v>
      </c>
      <c r="E17194">
        <v>72.45</v>
      </c>
    </row>
    <row r="17195" spans="1:5" x14ac:dyDescent="0.2">
      <c r="A17195">
        <v>27523</v>
      </c>
      <c r="B17195" t="s">
        <v>33</v>
      </c>
      <c r="C17195">
        <v>27523</v>
      </c>
      <c r="D17195" t="str">
        <f>"27523"</f>
        <v>27523</v>
      </c>
      <c r="E17195">
        <v>81.290000000000006</v>
      </c>
    </row>
    <row r="17196" spans="1:5" x14ac:dyDescent="0.2">
      <c r="A17196">
        <v>27524</v>
      </c>
      <c r="B17196" t="s">
        <v>33</v>
      </c>
      <c r="C17196">
        <v>27524</v>
      </c>
      <c r="D17196" t="str">
        <f>"27524"</f>
        <v>27524</v>
      </c>
      <c r="E17196">
        <v>64.39</v>
      </c>
    </row>
    <row r="17197" spans="1:5" x14ac:dyDescent="0.2">
      <c r="A17197">
        <v>27525</v>
      </c>
      <c r="B17197" t="s">
        <v>33</v>
      </c>
      <c r="C17197">
        <v>27525</v>
      </c>
      <c r="D17197" t="str">
        <f>"27525"</f>
        <v>27525</v>
      </c>
      <c r="E17197">
        <v>69.14</v>
      </c>
    </row>
    <row r="17198" spans="1:5" x14ac:dyDescent="0.2">
      <c r="A17198">
        <v>27526</v>
      </c>
      <c r="B17198" t="s">
        <v>33</v>
      </c>
      <c r="C17198">
        <v>27526</v>
      </c>
      <c r="D17198" t="str">
        <f>"27526"</f>
        <v>27526</v>
      </c>
      <c r="E17198">
        <v>76.569999999999993</v>
      </c>
    </row>
    <row r="17199" spans="1:5" x14ac:dyDescent="0.2">
      <c r="A17199">
        <v>27527</v>
      </c>
      <c r="B17199" t="s">
        <v>33</v>
      </c>
      <c r="C17199">
        <v>27527</v>
      </c>
      <c r="D17199" t="str">
        <f>"27527"</f>
        <v>27527</v>
      </c>
      <c r="E17199">
        <v>78.34</v>
      </c>
    </row>
    <row r="17200" spans="1:5" x14ac:dyDescent="0.2">
      <c r="A17200">
        <v>27529</v>
      </c>
      <c r="B17200" t="s">
        <v>33</v>
      </c>
      <c r="C17200">
        <v>27529</v>
      </c>
      <c r="D17200" t="str">
        <f>"27529"</f>
        <v>27529</v>
      </c>
      <c r="E17200">
        <v>73.19</v>
      </c>
    </row>
    <row r="17201" spans="1:5" x14ac:dyDescent="0.2">
      <c r="A17201">
        <v>27530</v>
      </c>
      <c r="B17201" t="s">
        <v>33</v>
      </c>
      <c r="C17201">
        <v>27530</v>
      </c>
      <c r="D17201" t="str">
        <f>"27530"</f>
        <v>27530</v>
      </c>
      <c r="E17201">
        <v>63.13</v>
      </c>
    </row>
    <row r="17202" spans="1:5" x14ac:dyDescent="0.2">
      <c r="A17202">
        <v>27531</v>
      </c>
      <c r="B17202" t="s">
        <v>33</v>
      </c>
      <c r="C17202">
        <v>27531</v>
      </c>
      <c r="D17202" t="str">
        <f>"27531"</f>
        <v>27531</v>
      </c>
      <c r="E17202" t="s">
        <v>6</v>
      </c>
    </row>
    <row r="17203" spans="1:5" x14ac:dyDescent="0.2">
      <c r="A17203">
        <v>27534</v>
      </c>
      <c r="B17203" t="s">
        <v>33</v>
      </c>
      <c r="C17203">
        <v>27534</v>
      </c>
      <c r="D17203" t="str">
        <f>"27534"</f>
        <v>27534</v>
      </c>
      <c r="E17203">
        <v>68.05</v>
      </c>
    </row>
    <row r="17204" spans="1:5" x14ac:dyDescent="0.2">
      <c r="A17204">
        <v>27536</v>
      </c>
      <c r="B17204" t="s">
        <v>33</v>
      </c>
      <c r="C17204">
        <v>27536</v>
      </c>
      <c r="D17204" t="str">
        <f>"27536"</f>
        <v>27536</v>
      </c>
      <c r="E17204">
        <v>48.91</v>
      </c>
    </row>
    <row r="17205" spans="1:5" x14ac:dyDescent="0.2">
      <c r="A17205">
        <v>27537</v>
      </c>
      <c r="B17205" t="s">
        <v>33</v>
      </c>
      <c r="C17205">
        <v>27537</v>
      </c>
      <c r="D17205" t="str">
        <f>"27537"</f>
        <v>27537</v>
      </c>
      <c r="E17205">
        <v>57.86</v>
      </c>
    </row>
    <row r="17206" spans="1:5" x14ac:dyDescent="0.2">
      <c r="A17206">
        <v>27539</v>
      </c>
      <c r="B17206" t="s">
        <v>33</v>
      </c>
      <c r="C17206">
        <v>27539</v>
      </c>
      <c r="D17206" t="str">
        <f>"27539"</f>
        <v>27539</v>
      </c>
      <c r="E17206">
        <v>78.87</v>
      </c>
    </row>
    <row r="17207" spans="1:5" x14ac:dyDescent="0.2">
      <c r="A17207">
        <v>27540</v>
      </c>
      <c r="B17207" t="s">
        <v>33</v>
      </c>
      <c r="C17207">
        <v>27540</v>
      </c>
      <c r="D17207" t="str">
        <f>"27540"</f>
        <v>27540</v>
      </c>
      <c r="E17207">
        <v>79.39</v>
      </c>
    </row>
    <row r="17208" spans="1:5" x14ac:dyDescent="0.2">
      <c r="A17208">
        <v>27541</v>
      </c>
      <c r="B17208" t="s">
        <v>33</v>
      </c>
      <c r="C17208">
        <v>27541</v>
      </c>
      <c r="D17208" t="str">
        <f>"27541"</f>
        <v>27541</v>
      </c>
      <c r="E17208">
        <v>74.44</v>
      </c>
    </row>
    <row r="17209" spans="1:5" x14ac:dyDescent="0.2">
      <c r="A17209">
        <v>27542</v>
      </c>
      <c r="B17209" t="s">
        <v>33</v>
      </c>
      <c r="C17209">
        <v>27542</v>
      </c>
      <c r="D17209" t="str">
        <f>"27542"</f>
        <v>27542</v>
      </c>
      <c r="E17209">
        <v>64.599999999999994</v>
      </c>
    </row>
    <row r="17210" spans="1:5" x14ac:dyDescent="0.2">
      <c r="A17210">
        <v>27544</v>
      </c>
      <c r="B17210" t="s">
        <v>33</v>
      </c>
      <c r="C17210">
        <v>27544</v>
      </c>
      <c r="D17210" t="str">
        <f>"27544"</f>
        <v>27544</v>
      </c>
      <c r="E17210">
        <v>62.64</v>
      </c>
    </row>
    <row r="17211" spans="1:5" x14ac:dyDescent="0.2">
      <c r="A17211">
        <v>27545</v>
      </c>
      <c r="B17211" t="s">
        <v>33</v>
      </c>
      <c r="C17211">
        <v>27545</v>
      </c>
      <c r="D17211" t="str">
        <f>"27545"</f>
        <v>27545</v>
      </c>
      <c r="E17211">
        <v>70.72</v>
      </c>
    </row>
    <row r="17212" spans="1:5" x14ac:dyDescent="0.2">
      <c r="A17212">
        <v>27546</v>
      </c>
      <c r="B17212" t="s">
        <v>33</v>
      </c>
      <c r="C17212">
        <v>27546</v>
      </c>
      <c r="D17212" t="str">
        <f>"27546"</f>
        <v>27546</v>
      </c>
      <c r="E17212">
        <v>64.7</v>
      </c>
    </row>
    <row r="17213" spans="1:5" x14ac:dyDescent="0.2">
      <c r="A17213">
        <v>27549</v>
      </c>
      <c r="B17213" t="s">
        <v>33</v>
      </c>
      <c r="C17213">
        <v>27549</v>
      </c>
      <c r="D17213" t="str">
        <f>"27549"</f>
        <v>27549</v>
      </c>
      <c r="E17213">
        <v>63.72</v>
      </c>
    </row>
    <row r="17214" spans="1:5" x14ac:dyDescent="0.2">
      <c r="A17214">
        <v>27551</v>
      </c>
      <c r="B17214" t="s">
        <v>33</v>
      </c>
      <c r="C17214">
        <v>27551</v>
      </c>
      <c r="D17214" t="str">
        <f>"27551"</f>
        <v>27551</v>
      </c>
      <c r="E17214">
        <v>67.069999999999993</v>
      </c>
    </row>
    <row r="17215" spans="1:5" x14ac:dyDescent="0.2">
      <c r="A17215">
        <v>27553</v>
      </c>
      <c r="B17215" t="s">
        <v>33</v>
      </c>
      <c r="C17215">
        <v>27553</v>
      </c>
      <c r="D17215" t="str">
        <f>"27553"</f>
        <v>27553</v>
      </c>
      <c r="E17215">
        <v>57.95</v>
      </c>
    </row>
    <row r="17216" spans="1:5" x14ac:dyDescent="0.2">
      <c r="A17216">
        <v>27555</v>
      </c>
      <c r="B17216" t="s">
        <v>33</v>
      </c>
      <c r="C17216">
        <v>27555</v>
      </c>
      <c r="D17216" t="str">
        <f>"27555"</f>
        <v>27555</v>
      </c>
      <c r="E17216" t="s">
        <v>6</v>
      </c>
    </row>
    <row r="17217" spans="1:5" x14ac:dyDescent="0.2">
      <c r="A17217">
        <v>27556</v>
      </c>
      <c r="B17217" t="s">
        <v>33</v>
      </c>
      <c r="C17217">
        <v>27556</v>
      </c>
      <c r="D17217" t="str">
        <f>"27556"</f>
        <v>27556</v>
      </c>
      <c r="E17217" t="s">
        <v>6</v>
      </c>
    </row>
    <row r="17218" spans="1:5" x14ac:dyDescent="0.2">
      <c r="A17218">
        <v>27557</v>
      </c>
      <c r="B17218" t="s">
        <v>33</v>
      </c>
      <c r="C17218">
        <v>27557</v>
      </c>
      <c r="D17218" t="str">
        <f>"27557"</f>
        <v>27557</v>
      </c>
      <c r="E17218">
        <v>62.8</v>
      </c>
    </row>
    <row r="17219" spans="1:5" x14ac:dyDescent="0.2">
      <c r="A17219">
        <v>27559</v>
      </c>
      <c r="B17219" t="s">
        <v>33</v>
      </c>
      <c r="C17219">
        <v>27559</v>
      </c>
      <c r="D17219" t="str">
        <f>"27559"</f>
        <v>27559</v>
      </c>
      <c r="E17219">
        <v>70.91</v>
      </c>
    </row>
    <row r="17220" spans="1:5" x14ac:dyDescent="0.2">
      <c r="A17220">
        <v>27560</v>
      </c>
      <c r="B17220" t="s">
        <v>33</v>
      </c>
      <c r="C17220">
        <v>27560</v>
      </c>
      <c r="D17220" t="str">
        <f>"27560"</f>
        <v>27560</v>
      </c>
      <c r="E17220">
        <v>84.24</v>
      </c>
    </row>
    <row r="17221" spans="1:5" x14ac:dyDescent="0.2">
      <c r="A17221">
        <v>27562</v>
      </c>
      <c r="B17221" t="s">
        <v>33</v>
      </c>
      <c r="C17221">
        <v>27562</v>
      </c>
      <c r="D17221" t="str">
        <f>"27562"</f>
        <v>27562</v>
      </c>
      <c r="E17221">
        <v>77.78</v>
      </c>
    </row>
    <row r="17222" spans="1:5" x14ac:dyDescent="0.2">
      <c r="A17222">
        <v>27563</v>
      </c>
      <c r="B17222" t="s">
        <v>33</v>
      </c>
      <c r="C17222">
        <v>27563</v>
      </c>
      <c r="D17222" t="str">
        <f>"27563"</f>
        <v>27563</v>
      </c>
      <c r="E17222">
        <v>54.35</v>
      </c>
    </row>
    <row r="17223" spans="1:5" x14ac:dyDescent="0.2">
      <c r="A17223">
        <v>27565</v>
      </c>
      <c r="B17223" t="s">
        <v>33</v>
      </c>
      <c r="C17223">
        <v>27565</v>
      </c>
      <c r="D17223" t="str">
        <f>"27565"</f>
        <v>27565</v>
      </c>
      <c r="E17223">
        <v>65.38</v>
      </c>
    </row>
    <row r="17224" spans="1:5" x14ac:dyDescent="0.2">
      <c r="A17224">
        <v>27568</v>
      </c>
      <c r="B17224" t="s">
        <v>33</v>
      </c>
      <c r="C17224">
        <v>27568</v>
      </c>
      <c r="D17224" t="str">
        <f>"27568"</f>
        <v>27568</v>
      </c>
      <c r="E17224" t="s">
        <v>6</v>
      </c>
    </row>
    <row r="17225" spans="1:5" x14ac:dyDescent="0.2">
      <c r="A17225">
        <v>27569</v>
      </c>
      <c r="B17225" t="s">
        <v>33</v>
      </c>
      <c r="C17225">
        <v>27569</v>
      </c>
      <c r="D17225" t="str">
        <f>"27569"</f>
        <v>27569</v>
      </c>
      <c r="E17225">
        <v>66.569999999999993</v>
      </c>
    </row>
    <row r="17226" spans="1:5" x14ac:dyDescent="0.2">
      <c r="A17226">
        <v>27571</v>
      </c>
      <c r="B17226" t="s">
        <v>33</v>
      </c>
      <c r="C17226">
        <v>27571</v>
      </c>
      <c r="D17226" t="str">
        <f>"27571"</f>
        <v>27571</v>
      </c>
      <c r="E17226">
        <v>77.45</v>
      </c>
    </row>
    <row r="17227" spans="1:5" x14ac:dyDescent="0.2">
      <c r="A17227">
        <v>27572</v>
      </c>
      <c r="B17227" t="s">
        <v>33</v>
      </c>
      <c r="C17227">
        <v>27572</v>
      </c>
      <c r="D17227" t="str">
        <f>"27572"</f>
        <v>27572</v>
      </c>
      <c r="E17227">
        <v>75.95</v>
      </c>
    </row>
    <row r="17228" spans="1:5" x14ac:dyDescent="0.2">
      <c r="A17228">
        <v>27573</v>
      </c>
      <c r="B17228" t="s">
        <v>33</v>
      </c>
      <c r="C17228">
        <v>27573</v>
      </c>
      <c r="D17228" t="str">
        <f>"27573"</f>
        <v>27573</v>
      </c>
      <c r="E17228">
        <v>58.58</v>
      </c>
    </row>
    <row r="17229" spans="1:5" x14ac:dyDescent="0.2">
      <c r="A17229">
        <v>27574</v>
      </c>
      <c r="B17229" t="s">
        <v>33</v>
      </c>
      <c r="C17229">
        <v>27574</v>
      </c>
      <c r="D17229" t="str">
        <f>"27574"</f>
        <v>27574</v>
      </c>
      <c r="E17229">
        <v>69.84</v>
      </c>
    </row>
    <row r="17230" spans="1:5" x14ac:dyDescent="0.2">
      <c r="A17230">
        <v>27576</v>
      </c>
      <c r="B17230" t="s">
        <v>33</v>
      </c>
      <c r="C17230">
        <v>27576</v>
      </c>
      <c r="D17230" t="str">
        <f>"27576"</f>
        <v>27576</v>
      </c>
      <c r="E17230">
        <v>57.69</v>
      </c>
    </row>
    <row r="17231" spans="1:5" x14ac:dyDescent="0.2">
      <c r="A17231">
        <v>27577</v>
      </c>
      <c r="B17231" t="s">
        <v>33</v>
      </c>
      <c r="C17231">
        <v>27577</v>
      </c>
      <c r="D17231" t="str">
        <f>"27577"</f>
        <v>27577</v>
      </c>
      <c r="E17231">
        <v>63.9</v>
      </c>
    </row>
    <row r="17232" spans="1:5" x14ac:dyDescent="0.2">
      <c r="A17232">
        <v>27581</v>
      </c>
      <c r="B17232" t="s">
        <v>33</v>
      </c>
      <c r="C17232">
        <v>27581</v>
      </c>
      <c r="D17232" t="str">
        <f>"27581"</f>
        <v>27581</v>
      </c>
      <c r="E17232">
        <v>76.33</v>
      </c>
    </row>
    <row r="17233" spans="1:5" x14ac:dyDescent="0.2">
      <c r="A17233">
        <v>27582</v>
      </c>
      <c r="B17233" t="s">
        <v>33</v>
      </c>
      <c r="C17233">
        <v>27582</v>
      </c>
      <c r="D17233" t="str">
        <f>"27582"</f>
        <v>27582</v>
      </c>
      <c r="E17233" t="s">
        <v>6</v>
      </c>
    </row>
    <row r="17234" spans="1:5" x14ac:dyDescent="0.2">
      <c r="A17234">
        <v>27583</v>
      </c>
      <c r="B17234" t="s">
        <v>33</v>
      </c>
      <c r="C17234">
        <v>27583</v>
      </c>
      <c r="D17234" t="str">
        <f>"27583"</f>
        <v>27583</v>
      </c>
      <c r="E17234">
        <v>74.62</v>
      </c>
    </row>
    <row r="17235" spans="1:5" x14ac:dyDescent="0.2">
      <c r="A17235">
        <v>27587</v>
      </c>
      <c r="B17235" t="s">
        <v>33</v>
      </c>
      <c r="C17235">
        <v>27587</v>
      </c>
      <c r="D17235" t="str">
        <f>"27587"</f>
        <v>27587</v>
      </c>
      <c r="E17235">
        <v>77.17</v>
      </c>
    </row>
    <row r="17236" spans="1:5" x14ac:dyDescent="0.2">
      <c r="A17236">
        <v>27589</v>
      </c>
      <c r="B17236" t="s">
        <v>33</v>
      </c>
      <c r="C17236">
        <v>27589</v>
      </c>
      <c r="D17236" t="str">
        <f>"27589"</f>
        <v>27589</v>
      </c>
      <c r="E17236">
        <v>56.01</v>
      </c>
    </row>
    <row r="17237" spans="1:5" x14ac:dyDescent="0.2">
      <c r="A17237">
        <v>27591</v>
      </c>
      <c r="B17237" t="s">
        <v>33</v>
      </c>
      <c r="C17237">
        <v>27591</v>
      </c>
      <c r="D17237" t="str">
        <f>"27591"</f>
        <v>27591</v>
      </c>
      <c r="E17237">
        <v>70.12</v>
      </c>
    </row>
    <row r="17238" spans="1:5" x14ac:dyDescent="0.2">
      <c r="A17238">
        <v>27592</v>
      </c>
      <c r="B17238" t="s">
        <v>33</v>
      </c>
      <c r="C17238">
        <v>27592</v>
      </c>
      <c r="D17238" t="str">
        <f>"27592"</f>
        <v>27592</v>
      </c>
      <c r="E17238">
        <v>73.22</v>
      </c>
    </row>
    <row r="17239" spans="1:5" x14ac:dyDescent="0.2">
      <c r="A17239">
        <v>27596</v>
      </c>
      <c r="B17239" t="s">
        <v>33</v>
      </c>
      <c r="C17239">
        <v>27596</v>
      </c>
      <c r="D17239" t="str">
        <f>"27596"</f>
        <v>27596</v>
      </c>
      <c r="E17239">
        <v>75.150000000000006</v>
      </c>
    </row>
    <row r="17240" spans="1:5" x14ac:dyDescent="0.2">
      <c r="A17240">
        <v>27597</v>
      </c>
      <c r="B17240" t="s">
        <v>33</v>
      </c>
      <c r="C17240">
        <v>27597</v>
      </c>
      <c r="D17240" t="str">
        <f>"27597"</f>
        <v>27597</v>
      </c>
      <c r="E17240">
        <v>68.819999999999993</v>
      </c>
    </row>
    <row r="17241" spans="1:5" x14ac:dyDescent="0.2">
      <c r="A17241">
        <v>27599</v>
      </c>
      <c r="B17241" t="s">
        <v>33</v>
      </c>
      <c r="C17241">
        <v>27599</v>
      </c>
      <c r="D17241" t="str">
        <f>"27599"</f>
        <v>27599</v>
      </c>
      <c r="E17241" t="s">
        <v>6</v>
      </c>
    </row>
    <row r="17242" spans="1:5" x14ac:dyDescent="0.2">
      <c r="A17242">
        <v>27601</v>
      </c>
      <c r="B17242" t="s">
        <v>33</v>
      </c>
      <c r="C17242">
        <v>27601</v>
      </c>
      <c r="D17242" t="str">
        <f>"27601"</f>
        <v>27601</v>
      </c>
      <c r="E17242">
        <v>70.510000000000005</v>
      </c>
    </row>
    <row r="17243" spans="1:5" x14ac:dyDescent="0.2">
      <c r="A17243">
        <v>27603</v>
      </c>
      <c r="B17243" t="s">
        <v>33</v>
      </c>
      <c r="C17243">
        <v>27603</v>
      </c>
      <c r="D17243" t="str">
        <f>"27603"</f>
        <v>27603</v>
      </c>
      <c r="E17243">
        <v>74.13</v>
      </c>
    </row>
    <row r="17244" spans="1:5" x14ac:dyDescent="0.2">
      <c r="A17244">
        <v>27604</v>
      </c>
      <c r="B17244" t="s">
        <v>33</v>
      </c>
      <c r="C17244">
        <v>27604</v>
      </c>
      <c r="D17244" t="str">
        <f>"27604"</f>
        <v>27604</v>
      </c>
      <c r="E17244">
        <v>68.19</v>
      </c>
    </row>
    <row r="17245" spans="1:5" x14ac:dyDescent="0.2">
      <c r="A17245">
        <v>27605</v>
      </c>
      <c r="B17245" t="s">
        <v>33</v>
      </c>
      <c r="C17245">
        <v>27605</v>
      </c>
      <c r="D17245" t="str">
        <f>"27605"</f>
        <v>27605</v>
      </c>
      <c r="E17245">
        <v>86.75</v>
      </c>
    </row>
    <row r="17246" spans="1:5" x14ac:dyDescent="0.2">
      <c r="A17246">
        <v>27606</v>
      </c>
      <c r="B17246" t="s">
        <v>33</v>
      </c>
      <c r="C17246">
        <v>27606</v>
      </c>
      <c r="D17246" t="str">
        <f>"27606"</f>
        <v>27606</v>
      </c>
      <c r="E17246">
        <v>73.39</v>
      </c>
    </row>
    <row r="17247" spans="1:5" x14ac:dyDescent="0.2">
      <c r="A17247">
        <v>27607</v>
      </c>
      <c r="B17247" t="s">
        <v>33</v>
      </c>
      <c r="C17247">
        <v>27607</v>
      </c>
      <c r="D17247" t="str">
        <f>"27607"</f>
        <v>27607</v>
      </c>
      <c r="E17247">
        <v>79.8</v>
      </c>
    </row>
    <row r="17248" spans="1:5" x14ac:dyDescent="0.2">
      <c r="A17248">
        <v>27608</v>
      </c>
      <c r="B17248" t="s">
        <v>33</v>
      </c>
      <c r="C17248">
        <v>27608</v>
      </c>
      <c r="D17248" t="str">
        <f>"27608"</f>
        <v>27608</v>
      </c>
      <c r="E17248">
        <v>86.55</v>
      </c>
    </row>
    <row r="17249" spans="1:5" x14ac:dyDescent="0.2">
      <c r="A17249">
        <v>27609</v>
      </c>
      <c r="B17249" t="s">
        <v>33</v>
      </c>
      <c r="C17249">
        <v>27609</v>
      </c>
      <c r="D17249" t="str">
        <f>"27609"</f>
        <v>27609</v>
      </c>
      <c r="E17249">
        <v>77.2</v>
      </c>
    </row>
    <row r="17250" spans="1:5" x14ac:dyDescent="0.2">
      <c r="A17250">
        <v>27610</v>
      </c>
      <c r="B17250" t="s">
        <v>33</v>
      </c>
      <c r="C17250">
        <v>27610</v>
      </c>
      <c r="D17250" t="str">
        <f>"27610"</f>
        <v>27610</v>
      </c>
      <c r="E17250">
        <v>57.6</v>
      </c>
    </row>
    <row r="17251" spans="1:5" x14ac:dyDescent="0.2">
      <c r="A17251">
        <v>27612</v>
      </c>
      <c r="B17251" t="s">
        <v>33</v>
      </c>
      <c r="C17251">
        <v>27612</v>
      </c>
      <c r="D17251" t="str">
        <f>"27612"</f>
        <v>27612</v>
      </c>
      <c r="E17251">
        <v>82.32</v>
      </c>
    </row>
    <row r="17252" spans="1:5" x14ac:dyDescent="0.2">
      <c r="A17252">
        <v>27613</v>
      </c>
      <c r="B17252" t="s">
        <v>33</v>
      </c>
      <c r="C17252">
        <v>27613</v>
      </c>
      <c r="D17252" t="str">
        <f>"27613"</f>
        <v>27613</v>
      </c>
      <c r="E17252">
        <v>81.819999999999993</v>
      </c>
    </row>
    <row r="17253" spans="1:5" x14ac:dyDescent="0.2">
      <c r="A17253">
        <v>27614</v>
      </c>
      <c r="B17253" t="s">
        <v>33</v>
      </c>
      <c r="C17253">
        <v>27614</v>
      </c>
      <c r="D17253" t="str">
        <f>"27614"</f>
        <v>27614</v>
      </c>
      <c r="E17253">
        <v>80.02</v>
      </c>
    </row>
    <row r="17254" spans="1:5" x14ac:dyDescent="0.2">
      <c r="A17254">
        <v>27615</v>
      </c>
      <c r="B17254" t="s">
        <v>33</v>
      </c>
      <c r="C17254">
        <v>27615</v>
      </c>
      <c r="D17254" t="str">
        <f>"27615"</f>
        <v>27615</v>
      </c>
      <c r="E17254">
        <v>80.319999999999993</v>
      </c>
    </row>
    <row r="17255" spans="1:5" x14ac:dyDescent="0.2">
      <c r="A17255">
        <v>27616</v>
      </c>
      <c r="B17255" t="s">
        <v>33</v>
      </c>
      <c r="C17255">
        <v>27616</v>
      </c>
      <c r="D17255" t="str">
        <f>"27616"</f>
        <v>27616</v>
      </c>
      <c r="E17255">
        <v>67.75</v>
      </c>
    </row>
    <row r="17256" spans="1:5" x14ac:dyDescent="0.2">
      <c r="A17256">
        <v>27617</v>
      </c>
      <c r="B17256" t="s">
        <v>33</v>
      </c>
      <c r="C17256">
        <v>27617</v>
      </c>
      <c r="D17256" t="str">
        <f>"27617"</f>
        <v>27617</v>
      </c>
      <c r="E17256">
        <v>83.27</v>
      </c>
    </row>
    <row r="17257" spans="1:5" x14ac:dyDescent="0.2">
      <c r="A17257">
        <v>27697</v>
      </c>
      <c r="B17257" t="s">
        <v>33</v>
      </c>
      <c r="C17257">
        <v>27697</v>
      </c>
      <c r="D17257" t="str">
        <f>"27697"</f>
        <v>27697</v>
      </c>
      <c r="E17257" t="s">
        <v>6</v>
      </c>
    </row>
    <row r="17258" spans="1:5" x14ac:dyDescent="0.2">
      <c r="A17258">
        <v>27701</v>
      </c>
      <c r="B17258" t="s">
        <v>33</v>
      </c>
      <c r="C17258">
        <v>27701</v>
      </c>
      <c r="D17258" t="str">
        <f>"27701"</f>
        <v>27701</v>
      </c>
      <c r="E17258">
        <v>64.92</v>
      </c>
    </row>
    <row r="17259" spans="1:5" x14ac:dyDescent="0.2">
      <c r="A17259">
        <v>27703</v>
      </c>
      <c r="B17259" t="s">
        <v>33</v>
      </c>
      <c r="C17259">
        <v>27703</v>
      </c>
      <c r="D17259" t="str">
        <f>"27703"</f>
        <v>27703</v>
      </c>
      <c r="E17259">
        <v>68.680000000000007</v>
      </c>
    </row>
    <row r="17260" spans="1:5" x14ac:dyDescent="0.2">
      <c r="A17260">
        <v>27704</v>
      </c>
      <c r="B17260" t="s">
        <v>33</v>
      </c>
      <c r="C17260">
        <v>27704</v>
      </c>
      <c r="D17260" t="str">
        <f>"27704"</f>
        <v>27704</v>
      </c>
      <c r="E17260">
        <v>61.2</v>
      </c>
    </row>
    <row r="17261" spans="1:5" x14ac:dyDescent="0.2">
      <c r="A17261">
        <v>27705</v>
      </c>
      <c r="B17261" t="s">
        <v>33</v>
      </c>
      <c r="C17261">
        <v>27705</v>
      </c>
      <c r="D17261" t="str">
        <f>"27705"</f>
        <v>27705</v>
      </c>
      <c r="E17261">
        <v>73.02</v>
      </c>
    </row>
    <row r="17262" spans="1:5" x14ac:dyDescent="0.2">
      <c r="A17262">
        <v>27707</v>
      </c>
      <c r="B17262" t="s">
        <v>33</v>
      </c>
      <c r="C17262">
        <v>27707</v>
      </c>
      <c r="D17262" t="str">
        <f>"27707"</f>
        <v>27707</v>
      </c>
      <c r="E17262">
        <v>68.45</v>
      </c>
    </row>
    <row r="17263" spans="1:5" x14ac:dyDescent="0.2">
      <c r="A17263">
        <v>27708</v>
      </c>
      <c r="B17263" t="s">
        <v>33</v>
      </c>
      <c r="C17263">
        <v>27708</v>
      </c>
      <c r="D17263" t="str">
        <f>"27708"</f>
        <v>27708</v>
      </c>
      <c r="E17263" t="s">
        <v>6</v>
      </c>
    </row>
    <row r="17264" spans="1:5" x14ac:dyDescent="0.2">
      <c r="A17264">
        <v>27709</v>
      </c>
      <c r="B17264" t="s">
        <v>33</v>
      </c>
      <c r="C17264">
        <v>27709</v>
      </c>
      <c r="D17264" t="str">
        <f>"27709"</f>
        <v>27709</v>
      </c>
      <c r="E17264" t="s">
        <v>6</v>
      </c>
    </row>
    <row r="17265" spans="1:5" x14ac:dyDescent="0.2">
      <c r="A17265">
        <v>27710</v>
      </c>
      <c r="B17265" t="s">
        <v>33</v>
      </c>
      <c r="C17265">
        <v>27710</v>
      </c>
      <c r="D17265" t="str">
        <f>"27710"</f>
        <v>27710</v>
      </c>
      <c r="E17265" t="s">
        <v>6</v>
      </c>
    </row>
    <row r="17266" spans="1:5" x14ac:dyDescent="0.2">
      <c r="A17266">
        <v>27712</v>
      </c>
      <c r="B17266" t="s">
        <v>33</v>
      </c>
      <c r="C17266">
        <v>27712</v>
      </c>
      <c r="D17266" t="str">
        <f>"27712"</f>
        <v>27712</v>
      </c>
      <c r="E17266">
        <v>78.819999999999993</v>
      </c>
    </row>
    <row r="17267" spans="1:5" x14ac:dyDescent="0.2">
      <c r="A17267">
        <v>27713</v>
      </c>
      <c r="B17267" t="s">
        <v>33</v>
      </c>
      <c r="C17267">
        <v>27713</v>
      </c>
      <c r="D17267" t="str">
        <f>"27713"</f>
        <v>27713</v>
      </c>
      <c r="E17267">
        <v>78.180000000000007</v>
      </c>
    </row>
    <row r="17268" spans="1:5" x14ac:dyDescent="0.2">
      <c r="A17268">
        <v>27801</v>
      </c>
      <c r="B17268" t="s">
        <v>33</v>
      </c>
      <c r="C17268">
        <v>27801</v>
      </c>
      <c r="D17268" t="str">
        <f>"27801"</f>
        <v>27801</v>
      </c>
      <c r="E17268">
        <v>49.68</v>
      </c>
    </row>
    <row r="17269" spans="1:5" x14ac:dyDescent="0.2">
      <c r="A17269">
        <v>27803</v>
      </c>
      <c r="B17269" t="s">
        <v>33</v>
      </c>
      <c r="C17269">
        <v>27803</v>
      </c>
      <c r="D17269" t="str">
        <f>"27803"</f>
        <v>27803</v>
      </c>
      <c r="E17269">
        <v>60.29</v>
      </c>
    </row>
    <row r="17270" spans="1:5" x14ac:dyDescent="0.2">
      <c r="A17270">
        <v>27804</v>
      </c>
      <c r="B17270" t="s">
        <v>33</v>
      </c>
      <c r="C17270">
        <v>27804</v>
      </c>
      <c r="D17270" t="str">
        <f>"27804"</f>
        <v>27804</v>
      </c>
      <c r="E17270">
        <v>65.13</v>
      </c>
    </row>
    <row r="17271" spans="1:5" x14ac:dyDescent="0.2">
      <c r="A17271">
        <v>27805</v>
      </c>
      <c r="B17271" t="s">
        <v>33</v>
      </c>
      <c r="C17271">
        <v>27805</v>
      </c>
      <c r="D17271" t="str">
        <f>"27805"</f>
        <v>27805</v>
      </c>
      <c r="E17271">
        <v>60</v>
      </c>
    </row>
    <row r="17272" spans="1:5" x14ac:dyDescent="0.2">
      <c r="A17272">
        <v>27806</v>
      </c>
      <c r="B17272" t="s">
        <v>33</v>
      </c>
      <c r="C17272">
        <v>27806</v>
      </c>
      <c r="D17272" t="str">
        <f>"27806"</f>
        <v>27806</v>
      </c>
      <c r="E17272">
        <v>60.67</v>
      </c>
    </row>
    <row r="17273" spans="1:5" x14ac:dyDescent="0.2">
      <c r="A17273">
        <v>27807</v>
      </c>
      <c r="B17273" t="s">
        <v>33</v>
      </c>
      <c r="C17273">
        <v>27807</v>
      </c>
      <c r="D17273" t="str">
        <f>"27807"</f>
        <v>27807</v>
      </c>
      <c r="E17273">
        <v>61.54</v>
      </c>
    </row>
    <row r="17274" spans="1:5" x14ac:dyDescent="0.2">
      <c r="A17274">
        <v>27808</v>
      </c>
      <c r="B17274" t="s">
        <v>33</v>
      </c>
      <c r="C17274">
        <v>27808</v>
      </c>
      <c r="D17274" t="str">
        <f>"27808"</f>
        <v>27808</v>
      </c>
      <c r="E17274">
        <v>77.88</v>
      </c>
    </row>
    <row r="17275" spans="1:5" x14ac:dyDescent="0.2">
      <c r="A17275">
        <v>27809</v>
      </c>
      <c r="B17275" t="s">
        <v>33</v>
      </c>
      <c r="C17275">
        <v>27809</v>
      </c>
      <c r="D17275" t="str">
        <f>"27809"</f>
        <v>27809</v>
      </c>
      <c r="E17275">
        <v>64.11</v>
      </c>
    </row>
    <row r="17276" spans="1:5" x14ac:dyDescent="0.2">
      <c r="A17276">
        <v>27810</v>
      </c>
      <c r="B17276" t="s">
        <v>33</v>
      </c>
      <c r="C17276">
        <v>27810</v>
      </c>
      <c r="D17276" t="str">
        <f>"27810"</f>
        <v>27810</v>
      </c>
      <c r="E17276">
        <v>65.97</v>
      </c>
    </row>
    <row r="17277" spans="1:5" x14ac:dyDescent="0.2">
      <c r="A17277">
        <v>27812</v>
      </c>
      <c r="B17277" t="s">
        <v>33</v>
      </c>
      <c r="C17277">
        <v>27812</v>
      </c>
      <c r="D17277" t="str">
        <f>"27812"</f>
        <v>27812</v>
      </c>
      <c r="E17277">
        <v>55.88</v>
      </c>
    </row>
    <row r="17278" spans="1:5" x14ac:dyDescent="0.2">
      <c r="A17278">
        <v>27813</v>
      </c>
      <c r="B17278" t="s">
        <v>33</v>
      </c>
      <c r="C17278">
        <v>27813</v>
      </c>
      <c r="D17278" t="str">
        <f>"27813"</f>
        <v>27813</v>
      </c>
      <c r="E17278" t="s">
        <v>6</v>
      </c>
    </row>
    <row r="17279" spans="1:5" x14ac:dyDescent="0.2">
      <c r="A17279">
        <v>27814</v>
      </c>
      <c r="B17279" t="s">
        <v>33</v>
      </c>
      <c r="C17279">
        <v>27814</v>
      </c>
      <c r="D17279" t="str">
        <f>"27814"</f>
        <v>27814</v>
      </c>
      <c r="E17279">
        <v>76.47</v>
      </c>
    </row>
    <row r="17280" spans="1:5" x14ac:dyDescent="0.2">
      <c r="A17280">
        <v>27816</v>
      </c>
      <c r="B17280" t="s">
        <v>33</v>
      </c>
      <c r="C17280">
        <v>27816</v>
      </c>
      <c r="D17280" t="str">
        <f>"27816"</f>
        <v>27816</v>
      </c>
      <c r="E17280">
        <v>59.82</v>
      </c>
    </row>
    <row r="17281" spans="1:5" x14ac:dyDescent="0.2">
      <c r="A17281">
        <v>27817</v>
      </c>
      <c r="B17281" t="s">
        <v>33</v>
      </c>
      <c r="C17281">
        <v>27817</v>
      </c>
      <c r="D17281" t="str">
        <f>"27817"</f>
        <v>27817</v>
      </c>
      <c r="E17281">
        <v>67.87</v>
      </c>
    </row>
    <row r="17282" spans="1:5" x14ac:dyDescent="0.2">
      <c r="A17282">
        <v>27818</v>
      </c>
      <c r="B17282" t="s">
        <v>33</v>
      </c>
      <c r="C17282">
        <v>27818</v>
      </c>
      <c r="D17282" t="str">
        <f>"27818"</f>
        <v>27818</v>
      </c>
      <c r="E17282">
        <v>62.75</v>
      </c>
    </row>
    <row r="17283" spans="1:5" x14ac:dyDescent="0.2">
      <c r="A17283">
        <v>27819</v>
      </c>
      <c r="B17283" t="s">
        <v>33</v>
      </c>
      <c r="C17283">
        <v>27819</v>
      </c>
      <c r="D17283" t="str">
        <f>"27819"</f>
        <v>27819</v>
      </c>
      <c r="E17283" t="s">
        <v>6</v>
      </c>
    </row>
    <row r="17284" spans="1:5" x14ac:dyDescent="0.2">
      <c r="A17284">
        <v>27820</v>
      </c>
      <c r="B17284" t="s">
        <v>33</v>
      </c>
      <c r="C17284">
        <v>27820</v>
      </c>
      <c r="D17284" t="str">
        <f>"27820"</f>
        <v>27820</v>
      </c>
      <c r="E17284">
        <v>68.180000000000007</v>
      </c>
    </row>
    <row r="17285" spans="1:5" x14ac:dyDescent="0.2">
      <c r="A17285">
        <v>27821</v>
      </c>
      <c r="B17285" t="s">
        <v>33</v>
      </c>
      <c r="C17285">
        <v>27821</v>
      </c>
      <c r="D17285" t="str">
        <f>"27821"</f>
        <v>27821</v>
      </c>
      <c r="E17285">
        <v>54.55</v>
      </c>
    </row>
    <row r="17286" spans="1:5" x14ac:dyDescent="0.2">
      <c r="A17286">
        <v>27822</v>
      </c>
      <c r="B17286" t="s">
        <v>33</v>
      </c>
      <c r="C17286">
        <v>27822</v>
      </c>
      <c r="D17286" t="str">
        <f>"27822"</f>
        <v>27822</v>
      </c>
      <c r="E17286">
        <v>68.290000000000006</v>
      </c>
    </row>
    <row r="17287" spans="1:5" x14ac:dyDescent="0.2">
      <c r="A17287">
        <v>27823</v>
      </c>
      <c r="B17287" t="s">
        <v>33</v>
      </c>
      <c r="C17287">
        <v>27823</v>
      </c>
      <c r="D17287" t="str">
        <f>"27823"</f>
        <v>27823</v>
      </c>
      <c r="E17287">
        <v>54.3</v>
      </c>
    </row>
    <row r="17288" spans="1:5" x14ac:dyDescent="0.2">
      <c r="A17288">
        <v>27824</v>
      </c>
      <c r="B17288" t="s">
        <v>33</v>
      </c>
      <c r="C17288">
        <v>27824</v>
      </c>
      <c r="D17288" t="str">
        <f>"27824"</f>
        <v>27824</v>
      </c>
      <c r="E17288">
        <v>54</v>
      </c>
    </row>
    <row r="17289" spans="1:5" x14ac:dyDescent="0.2">
      <c r="A17289">
        <v>27826</v>
      </c>
      <c r="B17289" t="s">
        <v>33</v>
      </c>
      <c r="C17289">
        <v>27826</v>
      </c>
      <c r="D17289" t="str">
        <f>"27826"</f>
        <v>27826</v>
      </c>
      <c r="E17289">
        <v>62.5</v>
      </c>
    </row>
    <row r="17290" spans="1:5" x14ac:dyDescent="0.2">
      <c r="A17290">
        <v>27827</v>
      </c>
      <c r="B17290" t="s">
        <v>33</v>
      </c>
      <c r="C17290">
        <v>27827</v>
      </c>
      <c r="D17290" t="str">
        <f>"27827"</f>
        <v>27827</v>
      </c>
      <c r="E17290" t="s">
        <v>6</v>
      </c>
    </row>
    <row r="17291" spans="1:5" x14ac:dyDescent="0.2">
      <c r="A17291">
        <v>27828</v>
      </c>
      <c r="B17291" t="s">
        <v>33</v>
      </c>
      <c r="C17291">
        <v>27828</v>
      </c>
      <c r="D17291" t="str">
        <f>"27828"</f>
        <v>27828</v>
      </c>
      <c r="E17291">
        <v>61.31</v>
      </c>
    </row>
    <row r="17292" spans="1:5" x14ac:dyDescent="0.2">
      <c r="A17292">
        <v>27829</v>
      </c>
      <c r="B17292" t="s">
        <v>33</v>
      </c>
      <c r="C17292">
        <v>27829</v>
      </c>
      <c r="D17292" t="str">
        <f>"27829"</f>
        <v>27829</v>
      </c>
      <c r="E17292">
        <v>63.16</v>
      </c>
    </row>
    <row r="17293" spans="1:5" x14ac:dyDescent="0.2">
      <c r="A17293">
        <v>27830</v>
      </c>
      <c r="B17293" t="s">
        <v>33</v>
      </c>
      <c r="C17293">
        <v>27830</v>
      </c>
      <c r="D17293" t="str">
        <f>"27830"</f>
        <v>27830</v>
      </c>
      <c r="E17293">
        <v>64.92</v>
      </c>
    </row>
    <row r="17294" spans="1:5" x14ac:dyDescent="0.2">
      <c r="A17294">
        <v>27831</v>
      </c>
      <c r="B17294" t="s">
        <v>33</v>
      </c>
      <c r="C17294">
        <v>27831</v>
      </c>
      <c r="D17294" t="str">
        <f>"27831"</f>
        <v>27831</v>
      </c>
      <c r="E17294">
        <v>53.39</v>
      </c>
    </row>
    <row r="17295" spans="1:5" x14ac:dyDescent="0.2">
      <c r="A17295">
        <v>27832</v>
      </c>
      <c r="B17295" t="s">
        <v>33</v>
      </c>
      <c r="C17295">
        <v>27832</v>
      </c>
      <c r="D17295" t="str">
        <f>"27832"</f>
        <v>27832</v>
      </c>
      <c r="E17295">
        <v>57.85</v>
      </c>
    </row>
    <row r="17296" spans="1:5" x14ac:dyDescent="0.2">
      <c r="A17296">
        <v>27834</v>
      </c>
      <c r="B17296" t="s">
        <v>33</v>
      </c>
      <c r="C17296">
        <v>27834</v>
      </c>
      <c r="D17296" t="str">
        <f>"27834"</f>
        <v>27834</v>
      </c>
      <c r="E17296">
        <v>56.86</v>
      </c>
    </row>
    <row r="17297" spans="1:5" x14ac:dyDescent="0.2">
      <c r="A17297">
        <v>27837</v>
      </c>
      <c r="B17297" t="s">
        <v>33</v>
      </c>
      <c r="C17297">
        <v>27837</v>
      </c>
      <c r="D17297" t="str">
        <f>"27837"</f>
        <v>27837</v>
      </c>
      <c r="E17297">
        <v>66.67</v>
      </c>
    </row>
    <row r="17298" spans="1:5" x14ac:dyDescent="0.2">
      <c r="A17298">
        <v>27839</v>
      </c>
      <c r="B17298" t="s">
        <v>33</v>
      </c>
      <c r="C17298">
        <v>27839</v>
      </c>
      <c r="D17298" t="str">
        <f>"27839"</f>
        <v>27839</v>
      </c>
      <c r="E17298">
        <v>65.25</v>
      </c>
    </row>
    <row r="17299" spans="1:5" x14ac:dyDescent="0.2">
      <c r="A17299">
        <v>27840</v>
      </c>
      <c r="B17299" t="s">
        <v>33</v>
      </c>
      <c r="C17299">
        <v>27840</v>
      </c>
      <c r="D17299" t="str">
        <f>"27840"</f>
        <v>27840</v>
      </c>
      <c r="E17299">
        <v>59.09</v>
      </c>
    </row>
    <row r="17300" spans="1:5" x14ac:dyDescent="0.2">
      <c r="A17300">
        <v>27841</v>
      </c>
      <c r="B17300" t="s">
        <v>33</v>
      </c>
      <c r="C17300">
        <v>27841</v>
      </c>
      <c r="D17300" t="str">
        <f>"27841"</f>
        <v>27841</v>
      </c>
      <c r="E17300" t="s">
        <v>6</v>
      </c>
    </row>
    <row r="17301" spans="1:5" x14ac:dyDescent="0.2">
      <c r="A17301">
        <v>27842</v>
      </c>
      <c r="B17301" t="s">
        <v>33</v>
      </c>
      <c r="C17301">
        <v>27842</v>
      </c>
      <c r="D17301" t="str">
        <f>"27842"</f>
        <v>27842</v>
      </c>
      <c r="E17301">
        <v>79.099999999999994</v>
      </c>
    </row>
    <row r="17302" spans="1:5" x14ac:dyDescent="0.2">
      <c r="A17302">
        <v>27843</v>
      </c>
      <c r="B17302" t="s">
        <v>33</v>
      </c>
      <c r="C17302">
        <v>27843</v>
      </c>
      <c r="D17302" t="str">
        <f>"27843"</f>
        <v>27843</v>
      </c>
      <c r="E17302">
        <v>58.97</v>
      </c>
    </row>
    <row r="17303" spans="1:5" x14ac:dyDescent="0.2">
      <c r="A17303">
        <v>27844</v>
      </c>
      <c r="B17303" t="s">
        <v>33</v>
      </c>
      <c r="C17303">
        <v>27844</v>
      </c>
      <c r="D17303" t="str">
        <f>"27844"</f>
        <v>27844</v>
      </c>
      <c r="E17303">
        <v>51.38</v>
      </c>
    </row>
    <row r="17304" spans="1:5" x14ac:dyDescent="0.2">
      <c r="A17304">
        <v>27845</v>
      </c>
      <c r="B17304" t="s">
        <v>33</v>
      </c>
      <c r="C17304">
        <v>27845</v>
      </c>
      <c r="D17304" t="str">
        <f>"27845"</f>
        <v>27845</v>
      </c>
      <c r="E17304">
        <v>65.22</v>
      </c>
    </row>
    <row r="17305" spans="1:5" x14ac:dyDescent="0.2">
      <c r="A17305">
        <v>27846</v>
      </c>
      <c r="B17305" t="s">
        <v>33</v>
      </c>
      <c r="C17305">
        <v>27846</v>
      </c>
      <c r="D17305" t="str">
        <f>"27846"</f>
        <v>27846</v>
      </c>
      <c r="E17305">
        <v>68.75</v>
      </c>
    </row>
    <row r="17306" spans="1:5" x14ac:dyDescent="0.2">
      <c r="A17306">
        <v>27847</v>
      </c>
      <c r="B17306" t="s">
        <v>33</v>
      </c>
      <c r="C17306">
        <v>27847</v>
      </c>
      <c r="D17306" t="str">
        <f>"27847"</f>
        <v>27847</v>
      </c>
      <c r="E17306">
        <v>45.45</v>
      </c>
    </row>
    <row r="17307" spans="1:5" x14ac:dyDescent="0.2">
      <c r="A17307">
        <v>27849</v>
      </c>
      <c r="B17307" t="s">
        <v>33</v>
      </c>
      <c r="C17307">
        <v>27849</v>
      </c>
      <c r="D17307" t="str">
        <f>"27849"</f>
        <v>27849</v>
      </c>
      <c r="E17307">
        <v>53.97</v>
      </c>
    </row>
    <row r="17308" spans="1:5" x14ac:dyDescent="0.2">
      <c r="A17308">
        <v>27850</v>
      </c>
      <c r="B17308" t="s">
        <v>33</v>
      </c>
      <c r="C17308">
        <v>27850</v>
      </c>
      <c r="D17308" t="str">
        <f>"27850"</f>
        <v>27850</v>
      </c>
      <c r="E17308">
        <v>69.400000000000006</v>
      </c>
    </row>
    <row r="17309" spans="1:5" x14ac:dyDescent="0.2">
      <c r="A17309">
        <v>27851</v>
      </c>
      <c r="B17309" t="s">
        <v>33</v>
      </c>
      <c r="C17309">
        <v>27851</v>
      </c>
      <c r="D17309" t="str">
        <f>"27851"</f>
        <v>27851</v>
      </c>
      <c r="E17309">
        <v>63.59</v>
      </c>
    </row>
    <row r="17310" spans="1:5" x14ac:dyDescent="0.2">
      <c r="A17310">
        <v>27852</v>
      </c>
      <c r="B17310" t="s">
        <v>33</v>
      </c>
      <c r="C17310">
        <v>27852</v>
      </c>
      <c r="D17310" t="str">
        <f>"27852"</f>
        <v>27852</v>
      </c>
      <c r="E17310">
        <v>66.38</v>
      </c>
    </row>
    <row r="17311" spans="1:5" x14ac:dyDescent="0.2">
      <c r="A17311">
        <v>27853</v>
      </c>
      <c r="B17311" t="s">
        <v>33</v>
      </c>
      <c r="C17311">
        <v>27853</v>
      </c>
      <c r="D17311" t="str">
        <f>"27853"</f>
        <v>27853</v>
      </c>
      <c r="E17311">
        <v>63.16</v>
      </c>
    </row>
    <row r="17312" spans="1:5" x14ac:dyDescent="0.2">
      <c r="A17312">
        <v>27855</v>
      </c>
      <c r="B17312" t="s">
        <v>33</v>
      </c>
      <c r="C17312">
        <v>27855</v>
      </c>
      <c r="D17312" t="str">
        <f>"27855"</f>
        <v>27855</v>
      </c>
      <c r="E17312">
        <v>59.53</v>
      </c>
    </row>
    <row r="17313" spans="1:5" x14ac:dyDescent="0.2">
      <c r="A17313">
        <v>27856</v>
      </c>
      <c r="B17313" t="s">
        <v>33</v>
      </c>
      <c r="C17313">
        <v>27856</v>
      </c>
      <c r="D17313" t="str">
        <f>"27856"</f>
        <v>27856</v>
      </c>
      <c r="E17313">
        <v>67.33</v>
      </c>
    </row>
    <row r="17314" spans="1:5" x14ac:dyDescent="0.2">
      <c r="A17314">
        <v>27857</v>
      </c>
      <c r="B17314" t="s">
        <v>33</v>
      </c>
      <c r="C17314">
        <v>27857</v>
      </c>
      <c r="D17314" t="str">
        <f>"27857"</f>
        <v>27857</v>
      </c>
      <c r="E17314">
        <v>63.27</v>
      </c>
    </row>
    <row r="17315" spans="1:5" x14ac:dyDescent="0.2">
      <c r="A17315">
        <v>27858</v>
      </c>
      <c r="B17315" t="s">
        <v>33</v>
      </c>
      <c r="C17315">
        <v>27858</v>
      </c>
      <c r="D17315" t="str">
        <f>"27858"</f>
        <v>27858</v>
      </c>
      <c r="E17315">
        <v>70.569999999999993</v>
      </c>
    </row>
    <row r="17316" spans="1:5" x14ac:dyDescent="0.2">
      <c r="A17316">
        <v>27860</v>
      </c>
      <c r="B17316" t="s">
        <v>33</v>
      </c>
      <c r="C17316">
        <v>27860</v>
      </c>
      <c r="D17316" t="str">
        <f>"27860"</f>
        <v>27860</v>
      </c>
      <c r="E17316">
        <v>63.29</v>
      </c>
    </row>
    <row r="17317" spans="1:5" x14ac:dyDescent="0.2">
      <c r="A17317">
        <v>27862</v>
      </c>
      <c r="B17317" t="s">
        <v>33</v>
      </c>
      <c r="C17317">
        <v>27862</v>
      </c>
      <c r="D17317" t="str">
        <f>"27862"</f>
        <v>27862</v>
      </c>
      <c r="E17317">
        <v>62.07</v>
      </c>
    </row>
    <row r="17318" spans="1:5" x14ac:dyDescent="0.2">
      <c r="A17318">
        <v>27863</v>
      </c>
      <c r="B17318" t="s">
        <v>33</v>
      </c>
      <c r="C17318">
        <v>27863</v>
      </c>
      <c r="D17318" t="str">
        <f>"27863"</f>
        <v>27863</v>
      </c>
      <c r="E17318">
        <v>68.56</v>
      </c>
    </row>
    <row r="17319" spans="1:5" x14ac:dyDescent="0.2">
      <c r="A17319">
        <v>27864</v>
      </c>
      <c r="B17319" t="s">
        <v>33</v>
      </c>
      <c r="C17319">
        <v>27864</v>
      </c>
      <c r="D17319" t="str">
        <f>"27864"</f>
        <v>27864</v>
      </c>
      <c r="E17319">
        <v>57.14</v>
      </c>
    </row>
    <row r="17320" spans="1:5" x14ac:dyDescent="0.2">
      <c r="A17320">
        <v>27865</v>
      </c>
      <c r="B17320" t="s">
        <v>33</v>
      </c>
      <c r="C17320">
        <v>27865</v>
      </c>
      <c r="D17320" t="str">
        <f>"27865"</f>
        <v>27865</v>
      </c>
      <c r="E17320">
        <v>67.5</v>
      </c>
    </row>
    <row r="17321" spans="1:5" x14ac:dyDescent="0.2">
      <c r="A17321">
        <v>27866</v>
      </c>
      <c r="B17321" t="s">
        <v>33</v>
      </c>
      <c r="C17321">
        <v>27866</v>
      </c>
      <c r="D17321" t="str">
        <f>"27866"</f>
        <v>27866</v>
      </c>
      <c r="E17321">
        <v>61.29</v>
      </c>
    </row>
    <row r="17322" spans="1:5" x14ac:dyDescent="0.2">
      <c r="A17322">
        <v>27869</v>
      </c>
      <c r="B17322" t="s">
        <v>33</v>
      </c>
      <c r="C17322">
        <v>27869</v>
      </c>
      <c r="D17322" t="str">
        <f>"27869"</f>
        <v>27869</v>
      </c>
      <c r="E17322">
        <v>56.1</v>
      </c>
    </row>
    <row r="17323" spans="1:5" x14ac:dyDescent="0.2">
      <c r="A17323">
        <v>27870</v>
      </c>
      <c r="B17323" t="s">
        <v>33</v>
      </c>
      <c r="C17323">
        <v>27870</v>
      </c>
      <c r="D17323" t="str">
        <f>"27870"</f>
        <v>27870</v>
      </c>
      <c r="E17323">
        <v>59.51</v>
      </c>
    </row>
    <row r="17324" spans="1:5" x14ac:dyDescent="0.2">
      <c r="A17324">
        <v>27871</v>
      </c>
      <c r="B17324" t="s">
        <v>33</v>
      </c>
      <c r="C17324">
        <v>27871</v>
      </c>
      <c r="D17324" t="str">
        <f>"27871"</f>
        <v>27871</v>
      </c>
      <c r="E17324">
        <v>56.18</v>
      </c>
    </row>
    <row r="17325" spans="1:5" x14ac:dyDescent="0.2">
      <c r="A17325">
        <v>27872</v>
      </c>
      <c r="B17325" t="s">
        <v>33</v>
      </c>
      <c r="C17325">
        <v>27872</v>
      </c>
      <c r="D17325" t="str">
        <f>"27872"</f>
        <v>27872</v>
      </c>
      <c r="E17325">
        <v>53.33</v>
      </c>
    </row>
    <row r="17326" spans="1:5" x14ac:dyDescent="0.2">
      <c r="A17326">
        <v>27874</v>
      </c>
      <c r="B17326" t="s">
        <v>33</v>
      </c>
      <c r="C17326">
        <v>27874</v>
      </c>
      <c r="D17326" t="str">
        <f>"27874"</f>
        <v>27874</v>
      </c>
      <c r="E17326">
        <v>54.86</v>
      </c>
    </row>
    <row r="17327" spans="1:5" x14ac:dyDescent="0.2">
      <c r="A17327">
        <v>27875</v>
      </c>
      <c r="B17327" t="s">
        <v>33</v>
      </c>
      <c r="C17327">
        <v>27875</v>
      </c>
      <c r="D17327" t="str">
        <f>"27875"</f>
        <v>27875</v>
      </c>
      <c r="E17327">
        <v>62.5</v>
      </c>
    </row>
    <row r="17328" spans="1:5" x14ac:dyDescent="0.2">
      <c r="A17328">
        <v>27876</v>
      </c>
      <c r="B17328" t="s">
        <v>33</v>
      </c>
      <c r="C17328">
        <v>27876</v>
      </c>
      <c r="D17328" t="str">
        <f>"27876"</f>
        <v>27876</v>
      </c>
      <c r="E17328">
        <v>63.27</v>
      </c>
    </row>
    <row r="17329" spans="1:5" x14ac:dyDescent="0.2">
      <c r="A17329">
        <v>27877</v>
      </c>
      <c r="B17329" t="s">
        <v>33</v>
      </c>
      <c r="C17329">
        <v>27877</v>
      </c>
      <c r="D17329" t="str">
        <f>"27877"</f>
        <v>27877</v>
      </c>
      <c r="E17329" t="s">
        <v>6</v>
      </c>
    </row>
    <row r="17330" spans="1:5" x14ac:dyDescent="0.2">
      <c r="A17330">
        <v>27878</v>
      </c>
      <c r="B17330" t="s">
        <v>33</v>
      </c>
      <c r="C17330">
        <v>27878</v>
      </c>
      <c r="D17330" t="str">
        <f>"27878"</f>
        <v>27878</v>
      </c>
      <c r="E17330" t="s">
        <v>6</v>
      </c>
    </row>
    <row r="17331" spans="1:5" x14ac:dyDescent="0.2">
      <c r="A17331">
        <v>27879</v>
      </c>
      <c r="B17331" t="s">
        <v>33</v>
      </c>
      <c r="C17331">
        <v>27879</v>
      </c>
      <c r="D17331" t="str">
        <f>"27879"</f>
        <v>27879</v>
      </c>
      <c r="E17331" t="s">
        <v>6</v>
      </c>
    </row>
    <row r="17332" spans="1:5" x14ac:dyDescent="0.2">
      <c r="A17332">
        <v>27880</v>
      </c>
      <c r="B17332" t="s">
        <v>33</v>
      </c>
      <c r="C17332">
        <v>27880</v>
      </c>
      <c r="D17332" t="str">
        <f>"27880"</f>
        <v>27880</v>
      </c>
      <c r="E17332">
        <v>68.239999999999995</v>
      </c>
    </row>
    <row r="17333" spans="1:5" x14ac:dyDescent="0.2">
      <c r="A17333">
        <v>27882</v>
      </c>
      <c r="B17333" t="s">
        <v>33</v>
      </c>
      <c r="C17333">
        <v>27882</v>
      </c>
      <c r="D17333" t="str">
        <f>"27882"</f>
        <v>27882</v>
      </c>
      <c r="E17333">
        <v>61.66</v>
      </c>
    </row>
    <row r="17334" spans="1:5" x14ac:dyDescent="0.2">
      <c r="A17334">
        <v>27883</v>
      </c>
      <c r="B17334" t="s">
        <v>33</v>
      </c>
      <c r="C17334">
        <v>27883</v>
      </c>
      <c r="D17334" t="str">
        <f>"27883"</f>
        <v>27883</v>
      </c>
      <c r="E17334">
        <v>55.48</v>
      </c>
    </row>
    <row r="17335" spans="1:5" x14ac:dyDescent="0.2">
      <c r="A17335">
        <v>27884</v>
      </c>
      <c r="B17335" t="s">
        <v>33</v>
      </c>
      <c r="C17335">
        <v>27884</v>
      </c>
      <c r="D17335" t="str">
        <f>"27884"</f>
        <v>27884</v>
      </c>
      <c r="E17335">
        <v>66.13</v>
      </c>
    </row>
    <row r="17336" spans="1:5" x14ac:dyDescent="0.2">
      <c r="A17336">
        <v>27885</v>
      </c>
      <c r="B17336" t="s">
        <v>33</v>
      </c>
      <c r="C17336">
        <v>27885</v>
      </c>
      <c r="D17336" t="str">
        <f>"27885"</f>
        <v>27885</v>
      </c>
      <c r="E17336">
        <v>61.9</v>
      </c>
    </row>
    <row r="17337" spans="1:5" x14ac:dyDescent="0.2">
      <c r="A17337">
        <v>27886</v>
      </c>
      <c r="B17337" t="s">
        <v>33</v>
      </c>
      <c r="C17337">
        <v>27886</v>
      </c>
      <c r="D17337" t="str">
        <f>"27886"</f>
        <v>27886</v>
      </c>
      <c r="E17337">
        <v>57.84</v>
      </c>
    </row>
    <row r="17338" spans="1:5" x14ac:dyDescent="0.2">
      <c r="A17338">
        <v>27888</v>
      </c>
      <c r="B17338" t="s">
        <v>33</v>
      </c>
      <c r="C17338">
        <v>27888</v>
      </c>
      <c r="D17338" t="str">
        <f>"27888"</f>
        <v>27888</v>
      </c>
      <c r="E17338">
        <v>57.14</v>
      </c>
    </row>
    <row r="17339" spans="1:5" x14ac:dyDescent="0.2">
      <c r="A17339">
        <v>27889</v>
      </c>
      <c r="B17339" t="s">
        <v>33</v>
      </c>
      <c r="C17339">
        <v>27889</v>
      </c>
      <c r="D17339" t="str">
        <f>"27889"</f>
        <v>27889</v>
      </c>
      <c r="E17339">
        <v>62.07</v>
      </c>
    </row>
    <row r="17340" spans="1:5" x14ac:dyDescent="0.2">
      <c r="A17340">
        <v>27890</v>
      </c>
      <c r="B17340" t="s">
        <v>33</v>
      </c>
      <c r="C17340">
        <v>27890</v>
      </c>
      <c r="D17340" t="str">
        <f>"27890"</f>
        <v>27890</v>
      </c>
      <c r="E17340">
        <v>48.98</v>
      </c>
    </row>
    <row r="17341" spans="1:5" x14ac:dyDescent="0.2">
      <c r="A17341">
        <v>27891</v>
      </c>
      <c r="B17341" t="s">
        <v>33</v>
      </c>
      <c r="C17341">
        <v>27891</v>
      </c>
      <c r="D17341" t="str">
        <f>"27891"</f>
        <v>27891</v>
      </c>
      <c r="E17341">
        <v>59.03</v>
      </c>
    </row>
    <row r="17342" spans="1:5" x14ac:dyDescent="0.2">
      <c r="A17342">
        <v>27892</v>
      </c>
      <c r="B17342" t="s">
        <v>33</v>
      </c>
      <c r="C17342">
        <v>27892</v>
      </c>
      <c r="D17342" t="str">
        <f>"27892"</f>
        <v>27892</v>
      </c>
      <c r="E17342">
        <v>62.33</v>
      </c>
    </row>
    <row r="17343" spans="1:5" x14ac:dyDescent="0.2">
      <c r="A17343">
        <v>27893</v>
      </c>
      <c r="B17343" t="s">
        <v>33</v>
      </c>
      <c r="C17343">
        <v>27893</v>
      </c>
      <c r="D17343" t="str">
        <f>"27893"</f>
        <v>27893</v>
      </c>
      <c r="E17343">
        <v>52.54</v>
      </c>
    </row>
    <row r="17344" spans="1:5" x14ac:dyDescent="0.2">
      <c r="A17344">
        <v>27896</v>
      </c>
      <c r="B17344" t="s">
        <v>33</v>
      </c>
      <c r="C17344">
        <v>27896</v>
      </c>
      <c r="D17344" t="str">
        <f>"27896"</f>
        <v>27896</v>
      </c>
      <c r="E17344">
        <v>70.680000000000007</v>
      </c>
    </row>
    <row r="17345" spans="1:5" x14ac:dyDescent="0.2">
      <c r="A17345">
        <v>27897</v>
      </c>
      <c r="B17345" t="s">
        <v>33</v>
      </c>
      <c r="C17345">
        <v>27897</v>
      </c>
      <c r="D17345" t="str">
        <f>"27897"</f>
        <v>27897</v>
      </c>
      <c r="E17345">
        <v>53.45</v>
      </c>
    </row>
    <row r="17346" spans="1:5" x14ac:dyDescent="0.2">
      <c r="A17346">
        <v>27909</v>
      </c>
      <c r="B17346" t="s">
        <v>33</v>
      </c>
      <c r="C17346">
        <v>27909</v>
      </c>
      <c r="D17346" t="str">
        <f>"27909"</f>
        <v>27909</v>
      </c>
      <c r="E17346">
        <v>65.42</v>
      </c>
    </row>
    <row r="17347" spans="1:5" x14ac:dyDescent="0.2">
      <c r="A17347">
        <v>27910</v>
      </c>
      <c r="B17347" t="s">
        <v>33</v>
      </c>
      <c r="C17347">
        <v>27910</v>
      </c>
      <c r="D17347" t="str">
        <f>"27910"</f>
        <v>27910</v>
      </c>
      <c r="E17347">
        <v>57.6</v>
      </c>
    </row>
    <row r="17348" spans="1:5" x14ac:dyDescent="0.2">
      <c r="A17348">
        <v>27915</v>
      </c>
      <c r="B17348" t="s">
        <v>33</v>
      </c>
      <c r="C17348">
        <v>27915</v>
      </c>
      <c r="D17348" t="str">
        <f>"27915"</f>
        <v>27915</v>
      </c>
      <c r="E17348" t="s">
        <v>6</v>
      </c>
    </row>
    <row r="17349" spans="1:5" x14ac:dyDescent="0.2">
      <c r="A17349">
        <v>27916</v>
      </c>
      <c r="B17349" t="s">
        <v>33</v>
      </c>
      <c r="C17349">
        <v>27916</v>
      </c>
      <c r="D17349" t="str">
        <f>"27916"</f>
        <v>27916</v>
      </c>
      <c r="E17349">
        <v>74.36</v>
      </c>
    </row>
    <row r="17350" spans="1:5" x14ac:dyDescent="0.2">
      <c r="A17350">
        <v>27917</v>
      </c>
      <c r="B17350" t="s">
        <v>33</v>
      </c>
      <c r="C17350">
        <v>27917</v>
      </c>
      <c r="D17350" t="str">
        <f>"27917"</f>
        <v>27917</v>
      </c>
      <c r="E17350">
        <v>54.84</v>
      </c>
    </row>
    <row r="17351" spans="1:5" x14ac:dyDescent="0.2">
      <c r="A17351">
        <v>27919</v>
      </c>
      <c r="B17351" t="s">
        <v>33</v>
      </c>
      <c r="C17351">
        <v>27919</v>
      </c>
      <c r="D17351" t="str">
        <f>"27919"</f>
        <v>27919</v>
      </c>
      <c r="E17351">
        <v>72</v>
      </c>
    </row>
    <row r="17352" spans="1:5" x14ac:dyDescent="0.2">
      <c r="A17352">
        <v>27920</v>
      </c>
      <c r="B17352" t="s">
        <v>33</v>
      </c>
      <c r="C17352">
        <v>27920</v>
      </c>
      <c r="D17352" t="str">
        <f>"27920"</f>
        <v>27920</v>
      </c>
      <c r="E17352" t="s">
        <v>6</v>
      </c>
    </row>
    <row r="17353" spans="1:5" x14ac:dyDescent="0.2">
      <c r="A17353">
        <v>27921</v>
      </c>
      <c r="B17353" t="s">
        <v>33</v>
      </c>
      <c r="C17353">
        <v>27921</v>
      </c>
      <c r="D17353" t="str">
        <f>"27921"</f>
        <v>27921</v>
      </c>
      <c r="E17353">
        <v>75.8</v>
      </c>
    </row>
    <row r="17354" spans="1:5" x14ac:dyDescent="0.2">
      <c r="A17354">
        <v>27922</v>
      </c>
      <c r="B17354" t="s">
        <v>33</v>
      </c>
      <c r="C17354">
        <v>27922</v>
      </c>
      <c r="D17354" t="str">
        <f>"27922"</f>
        <v>27922</v>
      </c>
      <c r="E17354">
        <v>58.82</v>
      </c>
    </row>
    <row r="17355" spans="1:5" x14ac:dyDescent="0.2">
      <c r="A17355">
        <v>27923</v>
      </c>
      <c r="B17355" t="s">
        <v>33</v>
      </c>
      <c r="C17355">
        <v>27923</v>
      </c>
      <c r="D17355" t="str">
        <f>"27923"</f>
        <v>27923</v>
      </c>
      <c r="E17355">
        <v>67.739999999999995</v>
      </c>
    </row>
    <row r="17356" spans="1:5" x14ac:dyDescent="0.2">
      <c r="A17356">
        <v>27924</v>
      </c>
      <c r="B17356" t="s">
        <v>33</v>
      </c>
      <c r="C17356">
        <v>27924</v>
      </c>
      <c r="D17356" t="str">
        <f>"27924"</f>
        <v>27924</v>
      </c>
      <c r="E17356">
        <v>63.33</v>
      </c>
    </row>
    <row r="17357" spans="1:5" x14ac:dyDescent="0.2">
      <c r="A17357">
        <v>27925</v>
      </c>
      <c r="B17357" t="s">
        <v>33</v>
      </c>
      <c r="C17357">
        <v>27925</v>
      </c>
      <c r="D17357" t="str">
        <f>"27925"</f>
        <v>27925</v>
      </c>
      <c r="E17357">
        <v>56.41</v>
      </c>
    </row>
    <row r="17358" spans="1:5" x14ac:dyDescent="0.2">
      <c r="A17358">
        <v>27926</v>
      </c>
      <c r="B17358" t="s">
        <v>33</v>
      </c>
      <c r="C17358">
        <v>27926</v>
      </c>
      <c r="D17358" t="str">
        <f>"27926"</f>
        <v>27926</v>
      </c>
      <c r="E17358">
        <v>72.06</v>
      </c>
    </row>
    <row r="17359" spans="1:5" x14ac:dyDescent="0.2">
      <c r="A17359">
        <v>27927</v>
      </c>
      <c r="B17359" t="s">
        <v>33</v>
      </c>
      <c r="C17359">
        <v>27927</v>
      </c>
      <c r="D17359" t="str">
        <f>"27927"</f>
        <v>27927</v>
      </c>
      <c r="E17359">
        <v>81.03</v>
      </c>
    </row>
    <row r="17360" spans="1:5" x14ac:dyDescent="0.2">
      <c r="A17360">
        <v>27928</v>
      </c>
      <c r="B17360" t="s">
        <v>33</v>
      </c>
      <c r="C17360">
        <v>27928</v>
      </c>
      <c r="D17360" t="str">
        <f>"27928"</f>
        <v>27928</v>
      </c>
      <c r="E17360">
        <v>64.56</v>
      </c>
    </row>
    <row r="17361" spans="1:5" x14ac:dyDescent="0.2">
      <c r="A17361">
        <v>27929</v>
      </c>
      <c r="B17361" t="s">
        <v>33</v>
      </c>
      <c r="C17361">
        <v>27929</v>
      </c>
      <c r="D17361" t="str">
        <f>"27929"</f>
        <v>27929</v>
      </c>
      <c r="E17361">
        <v>78.48</v>
      </c>
    </row>
    <row r="17362" spans="1:5" x14ac:dyDescent="0.2">
      <c r="A17362">
        <v>27932</v>
      </c>
      <c r="B17362" t="s">
        <v>33</v>
      </c>
      <c r="C17362">
        <v>27932</v>
      </c>
      <c r="D17362" t="str">
        <f>"27932"</f>
        <v>27932</v>
      </c>
      <c r="E17362">
        <v>64.42</v>
      </c>
    </row>
    <row r="17363" spans="1:5" x14ac:dyDescent="0.2">
      <c r="A17363">
        <v>27935</v>
      </c>
      <c r="B17363" t="s">
        <v>33</v>
      </c>
      <c r="C17363">
        <v>27935</v>
      </c>
      <c r="D17363" t="str">
        <f>"27935"</f>
        <v>27935</v>
      </c>
      <c r="E17363">
        <v>70.489999999999995</v>
      </c>
    </row>
    <row r="17364" spans="1:5" x14ac:dyDescent="0.2">
      <c r="A17364">
        <v>27936</v>
      </c>
      <c r="B17364" t="s">
        <v>33</v>
      </c>
      <c r="C17364">
        <v>27936</v>
      </c>
      <c r="D17364" t="str">
        <f>"27936"</f>
        <v>27936</v>
      </c>
      <c r="E17364" t="s">
        <v>6</v>
      </c>
    </row>
    <row r="17365" spans="1:5" x14ac:dyDescent="0.2">
      <c r="A17365">
        <v>27937</v>
      </c>
      <c r="B17365" t="s">
        <v>33</v>
      </c>
      <c r="C17365">
        <v>27937</v>
      </c>
      <c r="D17365" t="str">
        <f>"27937"</f>
        <v>27937</v>
      </c>
      <c r="E17365">
        <v>70.89</v>
      </c>
    </row>
    <row r="17366" spans="1:5" x14ac:dyDescent="0.2">
      <c r="A17366">
        <v>27938</v>
      </c>
      <c r="B17366" t="s">
        <v>33</v>
      </c>
      <c r="C17366">
        <v>27938</v>
      </c>
      <c r="D17366" t="str">
        <f>"27938"</f>
        <v>27938</v>
      </c>
      <c r="E17366">
        <v>66.67</v>
      </c>
    </row>
    <row r="17367" spans="1:5" x14ac:dyDescent="0.2">
      <c r="A17367">
        <v>27939</v>
      </c>
      <c r="B17367" t="s">
        <v>33</v>
      </c>
      <c r="C17367">
        <v>27939</v>
      </c>
      <c r="D17367" t="str">
        <f>"27939"</f>
        <v>27939</v>
      </c>
      <c r="E17367">
        <v>65.63</v>
      </c>
    </row>
    <row r="17368" spans="1:5" x14ac:dyDescent="0.2">
      <c r="A17368">
        <v>27941</v>
      </c>
      <c r="B17368" t="s">
        <v>33</v>
      </c>
      <c r="C17368">
        <v>27941</v>
      </c>
      <c r="D17368" t="str">
        <f>"27941"</f>
        <v>27941</v>
      </c>
      <c r="E17368">
        <v>70.97</v>
      </c>
    </row>
    <row r="17369" spans="1:5" x14ac:dyDescent="0.2">
      <c r="A17369">
        <v>27942</v>
      </c>
      <c r="B17369" t="s">
        <v>33</v>
      </c>
      <c r="C17369">
        <v>27942</v>
      </c>
      <c r="D17369" t="str">
        <f>"27942"</f>
        <v>27942</v>
      </c>
      <c r="E17369">
        <v>60</v>
      </c>
    </row>
    <row r="17370" spans="1:5" x14ac:dyDescent="0.2">
      <c r="A17370">
        <v>27943</v>
      </c>
      <c r="B17370" t="s">
        <v>33</v>
      </c>
      <c r="C17370">
        <v>27943</v>
      </c>
      <c r="D17370" t="str">
        <f>"27943"</f>
        <v>27943</v>
      </c>
      <c r="E17370" t="s">
        <v>6</v>
      </c>
    </row>
    <row r="17371" spans="1:5" x14ac:dyDescent="0.2">
      <c r="A17371">
        <v>27944</v>
      </c>
      <c r="B17371" t="s">
        <v>33</v>
      </c>
      <c r="C17371">
        <v>27944</v>
      </c>
      <c r="D17371" t="str">
        <f>"27944"</f>
        <v>27944</v>
      </c>
      <c r="E17371">
        <v>69.78</v>
      </c>
    </row>
    <row r="17372" spans="1:5" x14ac:dyDescent="0.2">
      <c r="A17372">
        <v>27946</v>
      </c>
      <c r="B17372" t="s">
        <v>33</v>
      </c>
      <c r="C17372">
        <v>27946</v>
      </c>
      <c r="D17372" t="str">
        <f>"27946"</f>
        <v>27946</v>
      </c>
      <c r="E17372">
        <v>74.510000000000005</v>
      </c>
    </row>
    <row r="17373" spans="1:5" x14ac:dyDescent="0.2">
      <c r="A17373">
        <v>27947</v>
      </c>
      <c r="B17373" t="s">
        <v>33</v>
      </c>
      <c r="C17373">
        <v>27947</v>
      </c>
      <c r="D17373" t="str">
        <f>"27947"</f>
        <v>27947</v>
      </c>
      <c r="E17373">
        <v>67.349999999999994</v>
      </c>
    </row>
    <row r="17374" spans="1:5" x14ac:dyDescent="0.2">
      <c r="A17374">
        <v>27948</v>
      </c>
      <c r="B17374" t="s">
        <v>33</v>
      </c>
      <c r="C17374">
        <v>27948</v>
      </c>
      <c r="D17374" t="str">
        <f>"27948"</f>
        <v>27948</v>
      </c>
      <c r="E17374">
        <v>73.650000000000006</v>
      </c>
    </row>
    <row r="17375" spans="1:5" x14ac:dyDescent="0.2">
      <c r="A17375">
        <v>27949</v>
      </c>
      <c r="B17375" t="s">
        <v>33</v>
      </c>
      <c r="C17375">
        <v>27949</v>
      </c>
      <c r="D17375" t="str">
        <f>"27949"</f>
        <v>27949</v>
      </c>
      <c r="E17375">
        <v>77.09</v>
      </c>
    </row>
    <row r="17376" spans="1:5" x14ac:dyDescent="0.2">
      <c r="A17376">
        <v>27950</v>
      </c>
      <c r="B17376" t="s">
        <v>33</v>
      </c>
      <c r="C17376">
        <v>27950</v>
      </c>
      <c r="D17376" t="str">
        <f>"27950"</f>
        <v>27950</v>
      </c>
      <c r="E17376">
        <v>75.86</v>
      </c>
    </row>
    <row r="17377" spans="1:5" x14ac:dyDescent="0.2">
      <c r="A17377">
        <v>27953</v>
      </c>
      <c r="B17377" t="s">
        <v>33</v>
      </c>
      <c r="C17377">
        <v>27953</v>
      </c>
      <c r="D17377" t="str">
        <f>"27953"</f>
        <v>27953</v>
      </c>
      <c r="E17377">
        <v>62.79</v>
      </c>
    </row>
    <row r="17378" spans="1:5" x14ac:dyDescent="0.2">
      <c r="A17378">
        <v>27954</v>
      </c>
      <c r="B17378" t="s">
        <v>33</v>
      </c>
      <c r="C17378">
        <v>27954</v>
      </c>
      <c r="D17378" t="str">
        <f>"27954"</f>
        <v>27954</v>
      </c>
      <c r="E17378">
        <v>70.680000000000007</v>
      </c>
    </row>
    <row r="17379" spans="1:5" x14ac:dyDescent="0.2">
      <c r="A17379">
        <v>27956</v>
      </c>
      <c r="B17379" t="s">
        <v>33</v>
      </c>
      <c r="C17379">
        <v>27956</v>
      </c>
      <c r="D17379" t="str">
        <f>"27956"</f>
        <v>27956</v>
      </c>
      <c r="E17379">
        <v>78.569999999999993</v>
      </c>
    </row>
    <row r="17380" spans="1:5" x14ac:dyDescent="0.2">
      <c r="A17380">
        <v>27957</v>
      </c>
      <c r="B17380" t="s">
        <v>33</v>
      </c>
      <c r="C17380">
        <v>27957</v>
      </c>
      <c r="D17380" t="str">
        <f>"27957"</f>
        <v>27957</v>
      </c>
      <c r="E17380">
        <v>66.150000000000006</v>
      </c>
    </row>
    <row r="17381" spans="1:5" x14ac:dyDescent="0.2">
      <c r="A17381">
        <v>27958</v>
      </c>
      <c r="B17381" t="s">
        <v>33</v>
      </c>
      <c r="C17381">
        <v>27958</v>
      </c>
      <c r="D17381" t="str">
        <f>"27958"</f>
        <v>27958</v>
      </c>
      <c r="E17381">
        <v>76.599999999999994</v>
      </c>
    </row>
    <row r="17382" spans="1:5" x14ac:dyDescent="0.2">
      <c r="A17382">
        <v>27959</v>
      </c>
      <c r="B17382" t="s">
        <v>33</v>
      </c>
      <c r="C17382">
        <v>27959</v>
      </c>
      <c r="D17382" t="str">
        <f>"27959"</f>
        <v>27959</v>
      </c>
      <c r="E17382">
        <v>76.33</v>
      </c>
    </row>
    <row r="17383" spans="1:5" x14ac:dyDescent="0.2">
      <c r="A17383">
        <v>27960</v>
      </c>
      <c r="B17383" t="s">
        <v>33</v>
      </c>
      <c r="C17383">
        <v>27960</v>
      </c>
      <c r="D17383" t="str">
        <f>"27960"</f>
        <v>27960</v>
      </c>
      <c r="E17383" t="s">
        <v>6</v>
      </c>
    </row>
    <row r="17384" spans="1:5" x14ac:dyDescent="0.2">
      <c r="A17384">
        <v>27962</v>
      </c>
      <c r="B17384" t="s">
        <v>33</v>
      </c>
      <c r="C17384">
        <v>27962</v>
      </c>
      <c r="D17384" t="str">
        <f>"27962"</f>
        <v>27962</v>
      </c>
      <c r="E17384">
        <v>59.18</v>
      </c>
    </row>
    <row r="17385" spans="1:5" x14ac:dyDescent="0.2">
      <c r="A17385">
        <v>27964</v>
      </c>
      <c r="B17385" t="s">
        <v>33</v>
      </c>
      <c r="C17385">
        <v>27964</v>
      </c>
      <c r="D17385" t="str">
        <f>"27964"</f>
        <v>27964</v>
      </c>
      <c r="E17385">
        <v>75.86</v>
      </c>
    </row>
    <row r="17386" spans="1:5" x14ac:dyDescent="0.2">
      <c r="A17386">
        <v>27965</v>
      </c>
      <c r="B17386" t="s">
        <v>33</v>
      </c>
      <c r="C17386">
        <v>27965</v>
      </c>
      <c r="D17386" t="str">
        <f>"27965"</f>
        <v>27965</v>
      </c>
      <c r="E17386">
        <v>59.26</v>
      </c>
    </row>
    <row r="17387" spans="1:5" x14ac:dyDescent="0.2">
      <c r="A17387">
        <v>27966</v>
      </c>
      <c r="B17387" t="s">
        <v>33</v>
      </c>
      <c r="C17387">
        <v>27966</v>
      </c>
      <c r="D17387" t="str">
        <f>"27966"</f>
        <v>27966</v>
      </c>
      <c r="E17387">
        <v>68.42</v>
      </c>
    </row>
    <row r="17388" spans="1:5" x14ac:dyDescent="0.2">
      <c r="A17388">
        <v>27967</v>
      </c>
      <c r="B17388" t="s">
        <v>33</v>
      </c>
      <c r="C17388">
        <v>27967</v>
      </c>
      <c r="D17388" t="str">
        <f>"27967"</f>
        <v>27967</v>
      </c>
      <c r="E17388" t="s">
        <v>6</v>
      </c>
    </row>
    <row r="17389" spans="1:5" x14ac:dyDescent="0.2">
      <c r="A17389">
        <v>27968</v>
      </c>
      <c r="B17389" t="s">
        <v>33</v>
      </c>
      <c r="C17389">
        <v>27968</v>
      </c>
      <c r="D17389" t="str">
        <f>"27968"</f>
        <v>27968</v>
      </c>
      <c r="E17389" t="s">
        <v>6</v>
      </c>
    </row>
    <row r="17390" spans="1:5" x14ac:dyDescent="0.2">
      <c r="A17390">
        <v>27970</v>
      </c>
      <c r="B17390" t="s">
        <v>33</v>
      </c>
      <c r="C17390">
        <v>27970</v>
      </c>
      <c r="D17390" t="str">
        <f>"27970"</f>
        <v>27970</v>
      </c>
      <c r="E17390">
        <v>61.94</v>
      </c>
    </row>
    <row r="17391" spans="1:5" x14ac:dyDescent="0.2">
      <c r="A17391">
        <v>27973</v>
      </c>
      <c r="B17391" t="s">
        <v>33</v>
      </c>
      <c r="C17391">
        <v>27973</v>
      </c>
      <c r="D17391" t="str">
        <f>"27973"</f>
        <v>27973</v>
      </c>
      <c r="E17391">
        <v>73.239999999999995</v>
      </c>
    </row>
    <row r="17392" spans="1:5" x14ac:dyDescent="0.2">
      <c r="A17392">
        <v>27974</v>
      </c>
      <c r="B17392" t="s">
        <v>33</v>
      </c>
      <c r="C17392">
        <v>27974</v>
      </c>
      <c r="D17392" t="str">
        <f>"27974"</f>
        <v>27974</v>
      </c>
      <c r="E17392">
        <v>69.09</v>
      </c>
    </row>
    <row r="17393" spans="1:5" x14ac:dyDescent="0.2">
      <c r="A17393">
        <v>27976</v>
      </c>
      <c r="B17393" t="s">
        <v>33</v>
      </c>
      <c r="C17393">
        <v>27976</v>
      </c>
      <c r="D17393" t="str">
        <f>"27976"</f>
        <v>27976</v>
      </c>
      <c r="E17393">
        <v>76.540000000000006</v>
      </c>
    </row>
    <row r="17394" spans="1:5" x14ac:dyDescent="0.2">
      <c r="A17394">
        <v>27978</v>
      </c>
      <c r="B17394" t="s">
        <v>33</v>
      </c>
      <c r="C17394">
        <v>27978</v>
      </c>
      <c r="D17394" t="str">
        <f>"27978"</f>
        <v>27978</v>
      </c>
      <c r="E17394" t="s">
        <v>6</v>
      </c>
    </row>
    <row r="17395" spans="1:5" x14ac:dyDescent="0.2">
      <c r="A17395">
        <v>27979</v>
      </c>
      <c r="B17395" t="s">
        <v>33</v>
      </c>
      <c r="C17395">
        <v>27979</v>
      </c>
      <c r="D17395" t="str">
        <f>"27979"</f>
        <v>27979</v>
      </c>
      <c r="E17395">
        <v>70.77</v>
      </c>
    </row>
    <row r="17396" spans="1:5" x14ac:dyDescent="0.2">
      <c r="A17396">
        <v>27980</v>
      </c>
      <c r="B17396" t="s">
        <v>33</v>
      </c>
      <c r="C17396">
        <v>27980</v>
      </c>
      <c r="D17396" t="str">
        <f>"27980"</f>
        <v>27980</v>
      </c>
      <c r="E17396">
        <v>68.13</v>
      </c>
    </row>
    <row r="17397" spans="1:5" x14ac:dyDescent="0.2">
      <c r="A17397">
        <v>27981</v>
      </c>
      <c r="B17397" t="s">
        <v>33</v>
      </c>
      <c r="C17397">
        <v>27981</v>
      </c>
      <c r="D17397" t="str">
        <f>"27981"</f>
        <v>27981</v>
      </c>
      <c r="E17397">
        <v>69.44</v>
      </c>
    </row>
    <row r="17398" spans="1:5" x14ac:dyDescent="0.2">
      <c r="A17398">
        <v>27983</v>
      </c>
      <c r="B17398" t="s">
        <v>33</v>
      </c>
      <c r="C17398">
        <v>27983</v>
      </c>
      <c r="D17398" t="str">
        <f>"27983"</f>
        <v>27983</v>
      </c>
      <c r="E17398">
        <v>61.7</v>
      </c>
    </row>
    <row r="17399" spans="1:5" x14ac:dyDescent="0.2">
      <c r="A17399">
        <v>27985</v>
      </c>
      <c r="B17399" t="s">
        <v>33</v>
      </c>
      <c r="C17399">
        <v>27985</v>
      </c>
      <c r="D17399" t="str">
        <f>"27985"</f>
        <v>27985</v>
      </c>
      <c r="E17399" t="s">
        <v>6</v>
      </c>
    </row>
    <row r="17400" spans="1:5" x14ac:dyDescent="0.2">
      <c r="A17400">
        <v>27986</v>
      </c>
      <c r="B17400" t="s">
        <v>33</v>
      </c>
      <c r="C17400">
        <v>27986</v>
      </c>
      <c r="D17400" t="str">
        <f>"27986"</f>
        <v>27986</v>
      </c>
      <c r="E17400">
        <v>65.31</v>
      </c>
    </row>
    <row r="17401" spans="1:5" x14ac:dyDescent="0.2">
      <c r="A17401">
        <v>28001</v>
      </c>
      <c r="B17401" t="s">
        <v>33</v>
      </c>
      <c r="C17401">
        <v>28001</v>
      </c>
      <c r="D17401" t="str">
        <f>"28001"</f>
        <v>28001</v>
      </c>
      <c r="E17401">
        <v>66.3</v>
      </c>
    </row>
    <row r="17402" spans="1:5" x14ac:dyDescent="0.2">
      <c r="A17402">
        <v>28006</v>
      </c>
      <c r="B17402" t="s">
        <v>33</v>
      </c>
      <c r="C17402">
        <v>28006</v>
      </c>
      <c r="D17402" t="str">
        <f>"28006"</f>
        <v>28006</v>
      </c>
      <c r="E17402">
        <v>76.36</v>
      </c>
    </row>
    <row r="17403" spans="1:5" x14ac:dyDescent="0.2">
      <c r="A17403">
        <v>28007</v>
      </c>
      <c r="B17403" t="s">
        <v>33</v>
      </c>
      <c r="C17403">
        <v>28007</v>
      </c>
      <c r="D17403" t="str">
        <f>"28007"</f>
        <v>28007</v>
      </c>
      <c r="E17403" t="s">
        <v>6</v>
      </c>
    </row>
    <row r="17404" spans="1:5" x14ac:dyDescent="0.2">
      <c r="A17404">
        <v>28009</v>
      </c>
      <c r="B17404" t="s">
        <v>33</v>
      </c>
      <c r="C17404">
        <v>28009</v>
      </c>
      <c r="D17404" t="str">
        <f>"28009"</f>
        <v>28009</v>
      </c>
      <c r="E17404" t="s">
        <v>6</v>
      </c>
    </row>
    <row r="17405" spans="1:5" x14ac:dyDescent="0.2">
      <c r="A17405">
        <v>28012</v>
      </c>
      <c r="B17405" t="s">
        <v>33</v>
      </c>
      <c r="C17405">
        <v>28012</v>
      </c>
      <c r="D17405" t="str">
        <f>"28012"</f>
        <v>28012</v>
      </c>
      <c r="E17405">
        <v>76.3</v>
      </c>
    </row>
    <row r="17406" spans="1:5" x14ac:dyDescent="0.2">
      <c r="A17406">
        <v>28016</v>
      </c>
      <c r="B17406" t="s">
        <v>33</v>
      </c>
      <c r="C17406">
        <v>28016</v>
      </c>
      <c r="D17406" t="str">
        <f>"28016"</f>
        <v>28016</v>
      </c>
      <c r="E17406">
        <v>66.2</v>
      </c>
    </row>
    <row r="17407" spans="1:5" x14ac:dyDescent="0.2">
      <c r="A17407">
        <v>28017</v>
      </c>
      <c r="B17407" t="s">
        <v>33</v>
      </c>
      <c r="C17407">
        <v>28017</v>
      </c>
      <c r="D17407" t="str">
        <f>"28017"</f>
        <v>28017</v>
      </c>
      <c r="E17407" t="s">
        <v>6</v>
      </c>
    </row>
    <row r="17408" spans="1:5" x14ac:dyDescent="0.2">
      <c r="A17408">
        <v>28018</v>
      </c>
      <c r="B17408" t="s">
        <v>33</v>
      </c>
      <c r="C17408">
        <v>28018</v>
      </c>
      <c r="D17408" t="str">
        <f>"28018"</f>
        <v>28018</v>
      </c>
      <c r="E17408">
        <v>69.05</v>
      </c>
    </row>
    <row r="17409" spans="1:5" x14ac:dyDescent="0.2">
      <c r="A17409">
        <v>28019</v>
      </c>
      <c r="B17409" t="s">
        <v>33</v>
      </c>
      <c r="C17409">
        <v>28019</v>
      </c>
      <c r="D17409" t="str">
        <f>"28019"</f>
        <v>28019</v>
      </c>
      <c r="E17409" t="s">
        <v>6</v>
      </c>
    </row>
    <row r="17410" spans="1:5" x14ac:dyDescent="0.2">
      <c r="A17410">
        <v>28020</v>
      </c>
      <c r="B17410" t="s">
        <v>33</v>
      </c>
      <c r="C17410">
        <v>28020</v>
      </c>
      <c r="D17410" t="str">
        <f>"28020"</f>
        <v>28020</v>
      </c>
      <c r="E17410">
        <v>67</v>
      </c>
    </row>
    <row r="17411" spans="1:5" x14ac:dyDescent="0.2">
      <c r="A17411">
        <v>28021</v>
      </c>
      <c r="B17411" t="s">
        <v>33</v>
      </c>
      <c r="C17411">
        <v>28021</v>
      </c>
      <c r="D17411" t="str">
        <f>"28021"</f>
        <v>28021</v>
      </c>
      <c r="E17411">
        <v>68.41</v>
      </c>
    </row>
    <row r="17412" spans="1:5" x14ac:dyDescent="0.2">
      <c r="A17412">
        <v>28023</v>
      </c>
      <c r="B17412" t="s">
        <v>33</v>
      </c>
      <c r="C17412">
        <v>28023</v>
      </c>
      <c r="D17412" t="str">
        <f>"28023"</f>
        <v>28023</v>
      </c>
      <c r="E17412">
        <v>67.95</v>
      </c>
    </row>
    <row r="17413" spans="1:5" x14ac:dyDescent="0.2">
      <c r="A17413">
        <v>28025</v>
      </c>
      <c r="B17413" t="s">
        <v>33</v>
      </c>
      <c r="C17413">
        <v>28025</v>
      </c>
      <c r="D17413" t="str">
        <f>"28025"</f>
        <v>28025</v>
      </c>
      <c r="E17413">
        <v>67.900000000000006</v>
      </c>
    </row>
    <row r="17414" spans="1:5" x14ac:dyDescent="0.2">
      <c r="A17414">
        <v>28027</v>
      </c>
      <c r="B17414" t="s">
        <v>33</v>
      </c>
      <c r="C17414">
        <v>28027</v>
      </c>
      <c r="D17414" t="str">
        <f>"28027"</f>
        <v>28027</v>
      </c>
      <c r="E17414">
        <v>73.430000000000007</v>
      </c>
    </row>
    <row r="17415" spans="1:5" x14ac:dyDescent="0.2">
      <c r="A17415">
        <v>28031</v>
      </c>
      <c r="B17415" t="s">
        <v>33</v>
      </c>
      <c r="C17415">
        <v>28031</v>
      </c>
      <c r="D17415" t="str">
        <f>"28031"</f>
        <v>28031</v>
      </c>
      <c r="E17415">
        <v>80.040000000000006</v>
      </c>
    </row>
    <row r="17416" spans="1:5" x14ac:dyDescent="0.2">
      <c r="A17416">
        <v>28032</v>
      </c>
      <c r="B17416" t="s">
        <v>33</v>
      </c>
      <c r="C17416">
        <v>28032</v>
      </c>
      <c r="D17416" t="str">
        <f>"28032"</f>
        <v>28032</v>
      </c>
      <c r="E17416">
        <v>75.8</v>
      </c>
    </row>
    <row r="17417" spans="1:5" x14ac:dyDescent="0.2">
      <c r="A17417">
        <v>28033</v>
      </c>
      <c r="B17417" t="s">
        <v>33</v>
      </c>
      <c r="C17417">
        <v>28033</v>
      </c>
      <c r="D17417" t="str">
        <f>"28033"</f>
        <v>28033</v>
      </c>
      <c r="E17417">
        <v>69.47</v>
      </c>
    </row>
    <row r="17418" spans="1:5" x14ac:dyDescent="0.2">
      <c r="A17418">
        <v>28034</v>
      </c>
      <c r="B17418" t="s">
        <v>33</v>
      </c>
      <c r="C17418">
        <v>28034</v>
      </c>
      <c r="D17418" t="str">
        <f>"28034"</f>
        <v>28034</v>
      </c>
      <c r="E17418">
        <v>67.67</v>
      </c>
    </row>
    <row r="17419" spans="1:5" x14ac:dyDescent="0.2">
      <c r="A17419">
        <v>28036</v>
      </c>
      <c r="B17419" t="s">
        <v>33</v>
      </c>
      <c r="C17419">
        <v>28036</v>
      </c>
      <c r="D17419" t="str">
        <f>"28036"</f>
        <v>28036</v>
      </c>
      <c r="E17419">
        <v>80.459999999999994</v>
      </c>
    </row>
    <row r="17420" spans="1:5" x14ac:dyDescent="0.2">
      <c r="A17420">
        <v>28037</v>
      </c>
      <c r="B17420" t="s">
        <v>33</v>
      </c>
      <c r="C17420">
        <v>28037</v>
      </c>
      <c r="D17420" t="str">
        <f>"28037"</f>
        <v>28037</v>
      </c>
      <c r="E17420">
        <v>79.489999999999995</v>
      </c>
    </row>
    <row r="17421" spans="1:5" x14ac:dyDescent="0.2">
      <c r="A17421">
        <v>28038</v>
      </c>
      <c r="B17421" t="s">
        <v>33</v>
      </c>
      <c r="C17421">
        <v>28038</v>
      </c>
      <c r="D17421" t="str">
        <f>"28038"</f>
        <v>28038</v>
      </c>
      <c r="E17421" t="s">
        <v>6</v>
      </c>
    </row>
    <row r="17422" spans="1:5" x14ac:dyDescent="0.2">
      <c r="A17422">
        <v>28039</v>
      </c>
      <c r="B17422" t="s">
        <v>33</v>
      </c>
      <c r="C17422">
        <v>28039</v>
      </c>
      <c r="D17422" t="str">
        <f>"28039"</f>
        <v>28039</v>
      </c>
      <c r="E17422" t="s">
        <v>6</v>
      </c>
    </row>
    <row r="17423" spans="1:5" x14ac:dyDescent="0.2">
      <c r="A17423">
        <v>28040</v>
      </c>
      <c r="B17423" t="s">
        <v>33</v>
      </c>
      <c r="C17423">
        <v>28040</v>
      </c>
      <c r="D17423" t="str">
        <f>"28040"</f>
        <v>28040</v>
      </c>
      <c r="E17423">
        <v>63.61</v>
      </c>
    </row>
    <row r="17424" spans="1:5" x14ac:dyDescent="0.2">
      <c r="A17424">
        <v>28041</v>
      </c>
      <c r="B17424" t="s">
        <v>33</v>
      </c>
      <c r="C17424">
        <v>28041</v>
      </c>
      <c r="D17424" t="str">
        <f>"28041"</f>
        <v>28041</v>
      </c>
      <c r="E17424" t="s">
        <v>6</v>
      </c>
    </row>
    <row r="17425" spans="1:5" x14ac:dyDescent="0.2">
      <c r="A17425">
        <v>28043</v>
      </c>
      <c r="B17425" t="s">
        <v>33</v>
      </c>
      <c r="C17425">
        <v>28043</v>
      </c>
      <c r="D17425" t="str">
        <f>"28043"</f>
        <v>28043</v>
      </c>
      <c r="E17425">
        <v>62.42</v>
      </c>
    </row>
    <row r="17426" spans="1:5" x14ac:dyDescent="0.2">
      <c r="A17426">
        <v>28052</v>
      </c>
      <c r="B17426" t="s">
        <v>33</v>
      </c>
      <c r="C17426">
        <v>28052</v>
      </c>
      <c r="D17426" t="str">
        <f>"28052"</f>
        <v>28052</v>
      </c>
      <c r="E17426">
        <v>56.9</v>
      </c>
    </row>
    <row r="17427" spans="1:5" x14ac:dyDescent="0.2">
      <c r="A17427">
        <v>28054</v>
      </c>
      <c r="B17427" t="s">
        <v>33</v>
      </c>
      <c r="C17427">
        <v>28054</v>
      </c>
      <c r="D17427" t="str">
        <f>"28054"</f>
        <v>28054</v>
      </c>
      <c r="E17427">
        <v>65.39</v>
      </c>
    </row>
    <row r="17428" spans="1:5" x14ac:dyDescent="0.2">
      <c r="A17428">
        <v>28056</v>
      </c>
      <c r="B17428" t="s">
        <v>33</v>
      </c>
      <c r="C17428">
        <v>28056</v>
      </c>
      <c r="D17428" t="str">
        <f>"28056"</f>
        <v>28056</v>
      </c>
      <c r="E17428">
        <v>74.09</v>
      </c>
    </row>
    <row r="17429" spans="1:5" x14ac:dyDescent="0.2">
      <c r="A17429">
        <v>28071</v>
      </c>
      <c r="B17429" t="s">
        <v>33</v>
      </c>
      <c r="C17429">
        <v>28071</v>
      </c>
      <c r="D17429" t="str">
        <f>"28071"</f>
        <v>28071</v>
      </c>
      <c r="E17429">
        <v>69.77</v>
      </c>
    </row>
    <row r="17430" spans="1:5" x14ac:dyDescent="0.2">
      <c r="A17430">
        <v>28073</v>
      </c>
      <c r="B17430" t="s">
        <v>33</v>
      </c>
      <c r="C17430">
        <v>28073</v>
      </c>
      <c r="D17430" t="str">
        <f>"28073"</f>
        <v>28073</v>
      </c>
      <c r="E17430">
        <v>62.74</v>
      </c>
    </row>
    <row r="17431" spans="1:5" x14ac:dyDescent="0.2">
      <c r="A17431">
        <v>28075</v>
      </c>
      <c r="B17431" t="s">
        <v>33</v>
      </c>
      <c r="C17431">
        <v>28075</v>
      </c>
      <c r="D17431" t="str">
        <f>"28075"</f>
        <v>28075</v>
      </c>
      <c r="E17431">
        <v>78.38</v>
      </c>
    </row>
    <row r="17432" spans="1:5" x14ac:dyDescent="0.2">
      <c r="A17432">
        <v>28077</v>
      </c>
      <c r="B17432" t="s">
        <v>33</v>
      </c>
      <c r="C17432">
        <v>28077</v>
      </c>
      <c r="D17432" t="str">
        <f>"28077"</f>
        <v>28077</v>
      </c>
      <c r="E17432" t="s">
        <v>6</v>
      </c>
    </row>
    <row r="17433" spans="1:5" x14ac:dyDescent="0.2">
      <c r="A17433">
        <v>28078</v>
      </c>
      <c r="B17433" t="s">
        <v>33</v>
      </c>
      <c r="C17433">
        <v>28078</v>
      </c>
      <c r="D17433" t="str">
        <f>"28078"</f>
        <v>28078</v>
      </c>
      <c r="E17433">
        <v>80.58</v>
      </c>
    </row>
    <row r="17434" spans="1:5" x14ac:dyDescent="0.2">
      <c r="A17434">
        <v>28079</v>
      </c>
      <c r="B17434" t="s">
        <v>33</v>
      </c>
      <c r="C17434">
        <v>28079</v>
      </c>
      <c r="D17434" t="str">
        <f>"28079"</f>
        <v>28079</v>
      </c>
      <c r="E17434">
        <v>74.209999999999994</v>
      </c>
    </row>
    <row r="17435" spans="1:5" x14ac:dyDescent="0.2">
      <c r="A17435">
        <v>28080</v>
      </c>
      <c r="B17435" t="s">
        <v>33</v>
      </c>
      <c r="C17435">
        <v>28080</v>
      </c>
      <c r="D17435" t="str">
        <f>"28080"</f>
        <v>28080</v>
      </c>
      <c r="E17435">
        <v>73.39</v>
      </c>
    </row>
    <row r="17436" spans="1:5" x14ac:dyDescent="0.2">
      <c r="A17436">
        <v>28081</v>
      </c>
      <c r="B17436" t="s">
        <v>33</v>
      </c>
      <c r="C17436">
        <v>28081</v>
      </c>
      <c r="D17436" t="str">
        <f>"28081"</f>
        <v>28081</v>
      </c>
      <c r="E17436">
        <v>65.17</v>
      </c>
    </row>
    <row r="17437" spans="1:5" x14ac:dyDescent="0.2">
      <c r="A17437">
        <v>28083</v>
      </c>
      <c r="B17437" t="s">
        <v>33</v>
      </c>
      <c r="C17437">
        <v>28083</v>
      </c>
      <c r="D17437" t="str">
        <f>"28083"</f>
        <v>28083</v>
      </c>
      <c r="E17437">
        <v>63.73</v>
      </c>
    </row>
    <row r="17438" spans="1:5" x14ac:dyDescent="0.2">
      <c r="A17438">
        <v>28086</v>
      </c>
      <c r="B17438" t="s">
        <v>33</v>
      </c>
      <c r="C17438">
        <v>28086</v>
      </c>
      <c r="D17438" t="str">
        <f>"28086"</f>
        <v>28086</v>
      </c>
      <c r="E17438">
        <v>66.010000000000005</v>
      </c>
    </row>
    <row r="17439" spans="1:5" x14ac:dyDescent="0.2">
      <c r="A17439">
        <v>28088</v>
      </c>
      <c r="B17439" t="s">
        <v>33</v>
      </c>
      <c r="C17439">
        <v>28088</v>
      </c>
      <c r="D17439" t="str">
        <f>"28088"</f>
        <v>28088</v>
      </c>
      <c r="E17439">
        <v>70.97</v>
      </c>
    </row>
    <row r="17440" spans="1:5" x14ac:dyDescent="0.2">
      <c r="A17440">
        <v>28089</v>
      </c>
      <c r="B17440" t="s">
        <v>33</v>
      </c>
      <c r="C17440">
        <v>28089</v>
      </c>
      <c r="D17440" t="str">
        <f>"28089"</f>
        <v>28089</v>
      </c>
      <c r="E17440" t="s">
        <v>6</v>
      </c>
    </row>
    <row r="17441" spans="1:5" x14ac:dyDescent="0.2">
      <c r="A17441">
        <v>28090</v>
      </c>
      <c r="B17441" t="s">
        <v>33</v>
      </c>
      <c r="C17441">
        <v>28090</v>
      </c>
      <c r="D17441" t="str">
        <f>"28090"</f>
        <v>28090</v>
      </c>
      <c r="E17441">
        <v>64.59</v>
      </c>
    </row>
    <row r="17442" spans="1:5" x14ac:dyDescent="0.2">
      <c r="A17442">
        <v>28091</v>
      </c>
      <c r="B17442" t="s">
        <v>33</v>
      </c>
      <c r="C17442">
        <v>28091</v>
      </c>
      <c r="D17442" t="str">
        <f>"28091"</f>
        <v>28091</v>
      </c>
      <c r="E17442">
        <v>61.8</v>
      </c>
    </row>
    <row r="17443" spans="1:5" x14ac:dyDescent="0.2">
      <c r="A17443">
        <v>28092</v>
      </c>
      <c r="B17443" t="s">
        <v>33</v>
      </c>
      <c r="C17443">
        <v>28092</v>
      </c>
      <c r="D17443" t="str">
        <f>"28092"</f>
        <v>28092</v>
      </c>
      <c r="E17443">
        <v>68.73</v>
      </c>
    </row>
    <row r="17444" spans="1:5" x14ac:dyDescent="0.2">
      <c r="A17444">
        <v>28097</v>
      </c>
      <c r="B17444" t="s">
        <v>33</v>
      </c>
      <c r="C17444">
        <v>28097</v>
      </c>
      <c r="D17444" t="str">
        <f>"28097"</f>
        <v>28097</v>
      </c>
      <c r="E17444">
        <v>73.94</v>
      </c>
    </row>
    <row r="17445" spans="1:5" x14ac:dyDescent="0.2">
      <c r="A17445">
        <v>28098</v>
      </c>
      <c r="B17445" t="s">
        <v>33</v>
      </c>
      <c r="C17445">
        <v>28098</v>
      </c>
      <c r="D17445" t="str">
        <f>"28098"</f>
        <v>28098</v>
      </c>
      <c r="E17445">
        <v>69.83</v>
      </c>
    </row>
    <row r="17446" spans="1:5" x14ac:dyDescent="0.2">
      <c r="A17446">
        <v>28101</v>
      </c>
      <c r="B17446" t="s">
        <v>33</v>
      </c>
      <c r="C17446">
        <v>28101</v>
      </c>
      <c r="D17446" t="str">
        <f>"28101"</f>
        <v>28101</v>
      </c>
      <c r="E17446">
        <v>81.08</v>
      </c>
    </row>
    <row r="17447" spans="1:5" x14ac:dyDescent="0.2">
      <c r="A17447">
        <v>28103</v>
      </c>
      <c r="B17447" t="s">
        <v>33</v>
      </c>
      <c r="C17447">
        <v>28103</v>
      </c>
      <c r="D17447" t="str">
        <f>"28103"</f>
        <v>28103</v>
      </c>
      <c r="E17447">
        <v>66.59</v>
      </c>
    </row>
    <row r="17448" spans="1:5" x14ac:dyDescent="0.2">
      <c r="A17448">
        <v>28104</v>
      </c>
      <c r="B17448" t="s">
        <v>33</v>
      </c>
      <c r="C17448">
        <v>28104</v>
      </c>
      <c r="D17448" t="str">
        <f>"28104"</f>
        <v>28104</v>
      </c>
      <c r="E17448">
        <v>78.58</v>
      </c>
    </row>
    <row r="17449" spans="1:5" x14ac:dyDescent="0.2">
      <c r="A17449">
        <v>28105</v>
      </c>
      <c r="B17449" t="s">
        <v>33</v>
      </c>
      <c r="C17449">
        <v>28105</v>
      </c>
      <c r="D17449" t="str">
        <f>"28105"</f>
        <v>28105</v>
      </c>
      <c r="E17449">
        <v>75.959999999999994</v>
      </c>
    </row>
    <row r="17450" spans="1:5" x14ac:dyDescent="0.2">
      <c r="A17450">
        <v>28107</v>
      </c>
      <c r="B17450" t="s">
        <v>33</v>
      </c>
      <c r="C17450">
        <v>28107</v>
      </c>
      <c r="D17450" t="str">
        <f>"28107"</f>
        <v>28107</v>
      </c>
      <c r="E17450">
        <v>75.34</v>
      </c>
    </row>
    <row r="17451" spans="1:5" x14ac:dyDescent="0.2">
      <c r="A17451">
        <v>28109</v>
      </c>
      <c r="B17451" t="s">
        <v>33</v>
      </c>
      <c r="C17451">
        <v>28109</v>
      </c>
      <c r="D17451" t="str">
        <f>"28109"</f>
        <v>28109</v>
      </c>
      <c r="E17451" t="s">
        <v>6</v>
      </c>
    </row>
    <row r="17452" spans="1:5" x14ac:dyDescent="0.2">
      <c r="A17452">
        <v>28110</v>
      </c>
      <c r="B17452" t="s">
        <v>33</v>
      </c>
      <c r="C17452">
        <v>28110</v>
      </c>
      <c r="D17452" t="str">
        <f>"28110"</f>
        <v>28110</v>
      </c>
      <c r="E17452">
        <v>67.69</v>
      </c>
    </row>
    <row r="17453" spans="1:5" x14ac:dyDescent="0.2">
      <c r="A17453">
        <v>28112</v>
      </c>
      <c r="B17453" t="s">
        <v>33</v>
      </c>
      <c r="C17453">
        <v>28112</v>
      </c>
      <c r="D17453" t="str">
        <f>"28112"</f>
        <v>28112</v>
      </c>
      <c r="E17453">
        <v>64.55</v>
      </c>
    </row>
    <row r="17454" spans="1:5" x14ac:dyDescent="0.2">
      <c r="A17454">
        <v>28114</v>
      </c>
      <c r="B17454" t="s">
        <v>33</v>
      </c>
      <c r="C17454">
        <v>28114</v>
      </c>
      <c r="D17454" t="str">
        <f>"28114"</f>
        <v>28114</v>
      </c>
      <c r="E17454">
        <v>62.75</v>
      </c>
    </row>
    <row r="17455" spans="1:5" x14ac:dyDescent="0.2">
      <c r="A17455">
        <v>28115</v>
      </c>
      <c r="B17455" t="s">
        <v>33</v>
      </c>
      <c r="C17455">
        <v>28115</v>
      </c>
      <c r="D17455" t="str">
        <f>"28115"</f>
        <v>28115</v>
      </c>
      <c r="E17455">
        <v>72.260000000000005</v>
      </c>
    </row>
    <row r="17456" spans="1:5" x14ac:dyDescent="0.2">
      <c r="A17456">
        <v>28117</v>
      </c>
      <c r="B17456" t="s">
        <v>33</v>
      </c>
      <c r="C17456">
        <v>28117</v>
      </c>
      <c r="D17456" t="str">
        <f>"28117"</f>
        <v>28117</v>
      </c>
      <c r="E17456">
        <v>78.09</v>
      </c>
    </row>
    <row r="17457" spans="1:5" x14ac:dyDescent="0.2">
      <c r="A17457">
        <v>28119</v>
      </c>
      <c r="B17457" t="s">
        <v>33</v>
      </c>
      <c r="C17457">
        <v>28119</v>
      </c>
      <c r="D17457" t="str">
        <f>"28119"</f>
        <v>28119</v>
      </c>
      <c r="E17457">
        <v>52.73</v>
      </c>
    </row>
    <row r="17458" spans="1:5" x14ac:dyDescent="0.2">
      <c r="A17458">
        <v>28120</v>
      </c>
      <c r="B17458" t="s">
        <v>33</v>
      </c>
      <c r="C17458">
        <v>28120</v>
      </c>
      <c r="D17458" t="str">
        <f>"28120"</f>
        <v>28120</v>
      </c>
      <c r="E17458">
        <v>74.16</v>
      </c>
    </row>
    <row r="17459" spans="1:5" x14ac:dyDescent="0.2">
      <c r="A17459">
        <v>28124</v>
      </c>
      <c r="B17459" t="s">
        <v>33</v>
      </c>
      <c r="C17459">
        <v>28124</v>
      </c>
      <c r="D17459" t="str">
        <f>"28124"</f>
        <v>28124</v>
      </c>
      <c r="E17459">
        <v>71.849999999999994</v>
      </c>
    </row>
    <row r="17460" spans="1:5" x14ac:dyDescent="0.2">
      <c r="A17460">
        <v>28125</v>
      </c>
      <c r="B17460" t="s">
        <v>33</v>
      </c>
      <c r="C17460">
        <v>28125</v>
      </c>
      <c r="D17460" t="str">
        <f>"28125"</f>
        <v>28125</v>
      </c>
      <c r="E17460">
        <v>73.599999999999994</v>
      </c>
    </row>
    <row r="17461" spans="1:5" x14ac:dyDescent="0.2">
      <c r="A17461">
        <v>28127</v>
      </c>
      <c r="B17461" t="s">
        <v>33</v>
      </c>
      <c r="C17461">
        <v>28127</v>
      </c>
      <c r="D17461" t="str">
        <f>"28127"</f>
        <v>28127</v>
      </c>
      <c r="E17461">
        <v>71.83</v>
      </c>
    </row>
    <row r="17462" spans="1:5" x14ac:dyDescent="0.2">
      <c r="A17462">
        <v>28128</v>
      </c>
      <c r="B17462" t="s">
        <v>33</v>
      </c>
      <c r="C17462">
        <v>28128</v>
      </c>
      <c r="D17462" t="str">
        <f>"28128"</f>
        <v>28128</v>
      </c>
      <c r="E17462">
        <v>69.11</v>
      </c>
    </row>
    <row r="17463" spans="1:5" x14ac:dyDescent="0.2">
      <c r="A17463">
        <v>28129</v>
      </c>
      <c r="B17463" t="s">
        <v>33</v>
      </c>
      <c r="C17463">
        <v>28129</v>
      </c>
      <c r="D17463" t="str">
        <f>"28129"</f>
        <v>28129</v>
      </c>
      <c r="E17463">
        <v>76.42</v>
      </c>
    </row>
    <row r="17464" spans="1:5" x14ac:dyDescent="0.2">
      <c r="A17464">
        <v>28133</v>
      </c>
      <c r="B17464" t="s">
        <v>33</v>
      </c>
      <c r="C17464">
        <v>28133</v>
      </c>
      <c r="D17464" t="str">
        <f>"28133"</f>
        <v>28133</v>
      </c>
      <c r="E17464">
        <v>70.34</v>
      </c>
    </row>
    <row r="17465" spans="1:5" x14ac:dyDescent="0.2">
      <c r="A17465">
        <v>28134</v>
      </c>
      <c r="B17465" t="s">
        <v>33</v>
      </c>
      <c r="C17465">
        <v>28134</v>
      </c>
      <c r="D17465" t="str">
        <f>"28134"</f>
        <v>28134</v>
      </c>
      <c r="E17465">
        <v>72.22</v>
      </c>
    </row>
    <row r="17466" spans="1:5" x14ac:dyDescent="0.2">
      <c r="A17466">
        <v>28135</v>
      </c>
      <c r="B17466" t="s">
        <v>33</v>
      </c>
      <c r="C17466">
        <v>28135</v>
      </c>
      <c r="D17466" t="str">
        <f>"28135"</f>
        <v>28135</v>
      </c>
      <c r="E17466">
        <v>58.82</v>
      </c>
    </row>
    <row r="17467" spans="1:5" x14ac:dyDescent="0.2">
      <c r="A17467">
        <v>28137</v>
      </c>
      <c r="B17467" t="s">
        <v>33</v>
      </c>
      <c r="C17467">
        <v>28137</v>
      </c>
      <c r="D17467" t="str">
        <f>"28137"</f>
        <v>28137</v>
      </c>
      <c r="E17467">
        <v>72.09</v>
      </c>
    </row>
    <row r="17468" spans="1:5" x14ac:dyDescent="0.2">
      <c r="A17468">
        <v>28138</v>
      </c>
      <c r="B17468" t="s">
        <v>33</v>
      </c>
      <c r="C17468">
        <v>28138</v>
      </c>
      <c r="D17468" t="str">
        <f>"28138"</f>
        <v>28138</v>
      </c>
      <c r="E17468">
        <v>69.67</v>
      </c>
    </row>
    <row r="17469" spans="1:5" x14ac:dyDescent="0.2">
      <c r="A17469">
        <v>28139</v>
      </c>
      <c r="B17469" t="s">
        <v>33</v>
      </c>
      <c r="C17469">
        <v>28139</v>
      </c>
      <c r="D17469" t="str">
        <f>"28139"</f>
        <v>28139</v>
      </c>
      <c r="E17469">
        <v>68.010000000000005</v>
      </c>
    </row>
    <row r="17470" spans="1:5" x14ac:dyDescent="0.2">
      <c r="A17470">
        <v>28144</v>
      </c>
      <c r="B17470" t="s">
        <v>33</v>
      </c>
      <c r="C17470">
        <v>28144</v>
      </c>
      <c r="D17470" t="str">
        <f>"28144"</f>
        <v>28144</v>
      </c>
      <c r="E17470">
        <v>60.51</v>
      </c>
    </row>
    <row r="17471" spans="1:5" x14ac:dyDescent="0.2">
      <c r="A17471">
        <v>28146</v>
      </c>
      <c r="B17471" t="s">
        <v>33</v>
      </c>
      <c r="C17471">
        <v>28146</v>
      </c>
      <c r="D17471" t="str">
        <f>"28146"</f>
        <v>28146</v>
      </c>
      <c r="E17471">
        <v>69.739999999999995</v>
      </c>
    </row>
    <row r="17472" spans="1:5" x14ac:dyDescent="0.2">
      <c r="A17472">
        <v>28147</v>
      </c>
      <c r="B17472" t="s">
        <v>33</v>
      </c>
      <c r="C17472">
        <v>28147</v>
      </c>
      <c r="D17472" t="str">
        <f>"28147"</f>
        <v>28147</v>
      </c>
      <c r="E17472">
        <v>65.12</v>
      </c>
    </row>
    <row r="17473" spans="1:5" x14ac:dyDescent="0.2">
      <c r="A17473">
        <v>28150</v>
      </c>
      <c r="B17473" t="s">
        <v>33</v>
      </c>
      <c r="C17473">
        <v>28150</v>
      </c>
      <c r="D17473" t="str">
        <f>"28150"</f>
        <v>28150</v>
      </c>
      <c r="E17473">
        <v>62.42</v>
      </c>
    </row>
    <row r="17474" spans="1:5" x14ac:dyDescent="0.2">
      <c r="A17474">
        <v>28152</v>
      </c>
      <c r="B17474" t="s">
        <v>33</v>
      </c>
      <c r="C17474">
        <v>28152</v>
      </c>
      <c r="D17474" t="str">
        <f>"28152"</f>
        <v>28152</v>
      </c>
      <c r="E17474">
        <v>64.06</v>
      </c>
    </row>
    <row r="17475" spans="1:5" x14ac:dyDescent="0.2">
      <c r="A17475">
        <v>28159</v>
      </c>
      <c r="B17475" t="s">
        <v>33</v>
      </c>
      <c r="C17475">
        <v>28159</v>
      </c>
      <c r="D17475" t="str">
        <f>"28159"</f>
        <v>28159</v>
      </c>
      <c r="E17475">
        <v>58.21</v>
      </c>
    </row>
    <row r="17476" spans="1:5" x14ac:dyDescent="0.2">
      <c r="A17476">
        <v>28160</v>
      </c>
      <c r="B17476" t="s">
        <v>33</v>
      </c>
      <c r="C17476">
        <v>28160</v>
      </c>
      <c r="D17476" t="str">
        <f>"28160"</f>
        <v>28160</v>
      </c>
      <c r="E17476">
        <v>58.23</v>
      </c>
    </row>
    <row r="17477" spans="1:5" x14ac:dyDescent="0.2">
      <c r="A17477">
        <v>28163</v>
      </c>
      <c r="B17477" t="s">
        <v>33</v>
      </c>
      <c r="C17477">
        <v>28163</v>
      </c>
      <c r="D17477" t="str">
        <f>"28163"</f>
        <v>28163</v>
      </c>
      <c r="E17477">
        <v>73.25</v>
      </c>
    </row>
    <row r="17478" spans="1:5" x14ac:dyDescent="0.2">
      <c r="A17478">
        <v>28164</v>
      </c>
      <c r="B17478" t="s">
        <v>33</v>
      </c>
      <c r="C17478">
        <v>28164</v>
      </c>
      <c r="D17478" t="str">
        <f>"28164"</f>
        <v>28164</v>
      </c>
      <c r="E17478">
        <v>74.42</v>
      </c>
    </row>
    <row r="17479" spans="1:5" x14ac:dyDescent="0.2">
      <c r="A17479">
        <v>28166</v>
      </c>
      <c r="B17479" t="s">
        <v>33</v>
      </c>
      <c r="C17479">
        <v>28166</v>
      </c>
      <c r="D17479" t="str">
        <f>"28166"</f>
        <v>28166</v>
      </c>
      <c r="E17479">
        <v>72.489999999999995</v>
      </c>
    </row>
    <row r="17480" spans="1:5" x14ac:dyDescent="0.2">
      <c r="A17480">
        <v>28167</v>
      </c>
      <c r="B17480" t="s">
        <v>33</v>
      </c>
      <c r="C17480">
        <v>28167</v>
      </c>
      <c r="D17480" t="str">
        <f>"28167"</f>
        <v>28167</v>
      </c>
      <c r="E17480">
        <v>63.73</v>
      </c>
    </row>
    <row r="17481" spans="1:5" x14ac:dyDescent="0.2">
      <c r="A17481">
        <v>28168</v>
      </c>
      <c r="B17481" t="s">
        <v>33</v>
      </c>
      <c r="C17481">
        <v>28168</v>
      </c>
      <c r="D17481" t="str">
        <f>"28168"</f>
        <v>28168</v>
      </c>
      <c r="E17481">
        <v>69.040000000000006</v>
      </c>
    </row>
    <row r="17482" spans="1:5" x14ac:dyDescent="0.2">
      <c r="A17482">
        <v>28169</v>
      </c>
      <c r="B17482" t="s">
        <v>33</v>
      </c>
      <c r="C17482">
        <v>28169</v>
      </c>
      <c r="D17482" t="str">
        <f>"28169"</f>
        <v>28169</v>
      </c>
      <c r="E17482" t="s">
        <v>6</v>
      </c>
    </row>
    <row r="17483" spans="1:5" x14ac:dyDescent="0.2">
      <c r="A17483">
        <v>28170</v>
      </c>
      <c r="B17483" t="s">
        <v>33</v>
      </c>
      <c r="C17483">
        <v>28170</v>
      </c>
      <c r="D17483" t="str">
        <f>"28170"</f>
        <v>28170</v>
      </c>
      <c r="E17483">
        <v>56.47</v>
      </c>
    </row>
    <row r="17484" spans="1:5" x14ac:dyDescent="0.2">
      <c r="A17484">
        <v>28173</v>
      </c>
      <c r="B17484" t="s">
        <v>33</v>
      </c>
      <c r="C17484">
        <v>28173</v>
      </c>
      <c r="D17484" t="str">
        <f>"28173"</f>
        <v>28173</v>
      </c>
      <c r="E17484">
        <v>77.44</v>
      </c>
    </row>
    <row r="17485" spans="1:5" x14ac:dyDescent="0.2">
      <c r="A17485">
        <v>28174</v>
      </c>
      <c r="B17485" t="s">
        <v>33</v>
      </c>
      <c r="C17485">
        <v>28174</v>
      </c>
      <c r="D17485" t="str">
        <f>"28174"</f>
        <v>28174</v>
      </c>
      <c r="E17485">
        <v>61.18</v>
      </c>
    </row>
    <row r="17486" spans="1:5" x14ac:dyDescent="0.2">
      <c r="A17486">
        <v>28202</v>
      </c>
      <c r="B17486" t="s">
        <v>33</v>
      </c>
      <c r="C17486">
        <v>28202</v>
      </c>
      <c r="D17486" t="str">
        <f>"28202"</f>
        <v>28202</v>
      </c>
      <c r="E17486">
        <v>88.1</v>
      </c>
    </row>
    <row r="17487" spans="1:5" x14ac:dyDescent="0.2">
      <c r="A17487">
        <v>28203</v>
      </c>
      <c r="B17487" t="s">
        <v>33</v>
      </c>
      <c r="C17487">
        <v>28203</v>
      </c>
      <c r="D17487" t="str">
        <f>"28203"</f>
        <v>28203</v>
      </c>
      <c r="E17487">
        <v>86.93</v>
      </c>
    </row>
    <row r="17488" spans="1:5" x14ac:dyDescent="0.2">
      <c r="A17488">
        <v>28204</v>
      </c>
      <c r="B17488" t="s">
        <v>33</v>
      </c>
      <c r="C17488">
        <v>28204</v>
      </c>
      <c r="D17488" t="str">
        <f>"28204"</f>
        <v>28204</v>
      </c>
      <c r="E17488">
        <v>85.34</v>
      </c>
    </row>
    <row r="17489" spans="1:5" x14ac:dyDescent="0.2">
      <c r="A17489">
        <v>28205</v>
      </c>
      <c r="B17489" t="s">
        <v>33</v>
      </c>
      <c r="C17489">
        <v>28205</v>
      </c>
      <c r="D17489" t="str">
        <f>"28205"</f>
        <v>28205</v>
      </c>
      <c r="E17489">
        <v>71.260000000000005</v>
      </c>
    </row>
    <row r="17490" spans="1:5" x14ac:dyDescent="0.2">
      <c r="A17490">
        <v>28206</v>
      </c>
      <c r="B17490" t="s">
        <v>33</v>
      </c>
      <c r="C17490">
        <v>28206</v>
      </c>
      <c r="D17490" t="str">
        <f>"28206"</f>
        <v>28206</v>
      </c>
      <c r="E17490">
        <v>52.95</v>
      </c>
    </row>
    <row r="17491" spans="1:5" x14ac:dyDescent="0.2">
      <c r="A17491">
        <v>28207</v>
      </c>
      <c r="B17491" t="s">
        <v>33</v>
      </c>
      <c r="C17491">
        <v>28207</v>
      </c>
      <c r="D17491" t="str">
        <f>"28207"</f>
        <v>28207</v>
      </c>
      <c r="E17491">
        <v>85.62</v>
      </c>
    </row>
    <row r="17492" spans="1:5" x14ac:dyDescent="0.2">
      <c r="A17492">
        <v>28208</v>
      </c>
      <c r="B17492" t="s">
        <v>33</v>
      </c>
      <c r="C17492">
        <v>28208</v>
      </c>
      <c r="D17492" t="str">
        <f>"28208"</f>
        <v>28208</v>
      </c>
      <c r="E17492">
        <v>51.46</v>
      </c>
    </row>
    <row r="17493" spans="1:5" x14ac:dyDescent="0.2">
      <c r="A17493">
        <v>28209</v>
      </c>
      <c r="B17493" t="s">
        <v>33</v>
      </c>
      <c r="C17493">
        <v>28209</v>
      </c>
      <c r="D17493" t="str">
        <f>"28209"</f>
        <v>28209</v>
      </c>
      <c r="E17493">
        <v>84.1</v>
      </c>
    </row>
    <row r="17494" spans="1:5" x14ac:dyDescent="0.2">
      <c r="A17494">
        <v>28210</v>
      </c>
      <c r="B17494" t="s">
        <v>33</v>
      </c>
      <c r="C17494">
        <v>28210</v>
      </c>
      <c r="D17494" t="str">
        <f>"28210"</f>
        <v>28210</v>
      </c>
      <c r="E17494">
        <v>77.42</v>
      </c>
    </row>
    <row r="17495" spans="1:5" x14ac:dyDescent="0.2">
      <c r="A17495">
        <v>28211</v>
      </c>
      <c r="B17495" t="s">
        <v>33</v>
      </c>
      <c r="C17495">
        <v>28211</v>
      </c>
      <c r="D17495" t="str">
        <f>"28211"</f>
        <v>28211</v>
      </c>
      <c r="E17495">
        <v>79.790000000000006</v>
      </c>
    </row>
    <row r="17496" spans="1:5" x14ac:dyDescent="0.2">
      <c r="A17496">
        <v>28212</v>
      </c>
      <c r="B17496" t="s">
        <v>33</v>
      </c>
      <c r="C17496">
        <v>28212</v>
      </c>
      <c r="D17496" t="str">
        <f>"28212"</f>
        <v>28212</v>
      </c>
      <c r="E17496">
        <v>55.41</v>
      </c>
    </row>
    <row r="17497" spans="1:5" x14ac:dyDescent="0.2">
      <c r="A17497">
        <v>28213</v>
      </c>
      <c r="B17497" t="s">
        <v>33</v>
      </c>
      <c r="C17497">
        <v>28213</v>
      </c>
      <c r="D17497" t="str">
        <f>"28213"</f>
        <v>28213</v>
      </c>
      <c r="E17497">
        <v>60.38</v>
      </c>
    </row>
    <row r="17498" spans="1:5" x14ac:dyDescent="0.2">
      <c r="A17498">
        <v>28214</v>
      </c>
      <c r="B17498" t="s">
        <v>33</v>
      </c>
      <c r="C17498">
        <v>28214</v>
      </c>
      <c r="D17498" t="str">
        <f>"28214"</f>
        <v>28214</v>
      </c>
      <c r="E17498">
        <v>66.17</v>
      </c>
    </row>
    <row r="17499" spans="1:5" x14ac:dyDescent="0.2">
      <c r="A17499">
        <v>28215</v>
      </c>
      <c r="B17499" t="s">
        <v>33</v>
      </c>
      <c r="C17499">
        <v>28215</v>
      </c>
      <c r="D17499" t="str">
        <f>"28215"</f>
        <v>28215</v>
      </c>
      <c r="E17499">
        <v>59.78</v>
      </c>
    </row>
    <row r="17500" spans="1:5" x14ac:dyDescent="0.2">
      <c r="A17500">
        <v>28216</v>
      </c>
      <c r="B17500" t="s">
        <v>33</v>
      </c>
      <c r="C17500">
        <v>28216</v>
      </c>
      <c r="D17500" t="str">
        <f>"28216"</f>
        <v>28216</v>
      </c>
      <c r="E17500">
        <v>63.39</v>
      </c>
    </row>
    <row r="17501" spans="1:5" x14ac:dyDescent="0.2">
      <c r="A17501">
        <v>28217</v>
      </c>
      <c r="B17501" t="s">
        <v>33</v>
      </c>
      <c r="C17501">
        <v>28217</v>
      </c>
      <c r="D17501" t="str">
        <f>"28217"</f>
        <v>28217</v>
      </c>
      <c r="E17501">
        <v>59.65</v>
      </c>
    </row>
    <row r="17502" spans="1:5" x14ac:dyDescent="0.2">
      <c r="A17502">
        <v>28226</v>
      </c>
      <c r="B17502" t="s">
        <v>33</v>
      </c>
      <c r="C17502">
        <v>28226</v>
      </c>
      <c r="D17502" t="str">
        <f>"28226"</f>
        <v>28226</v>
      </c>
      <c r="E17502">
        <v>79.42</v>
      </c>
    </row>
    <row r="17503" spans="1:5" x14ac:dyDescent="0.2">
      <c r="A17503">
        <v>28227</v>
      </c>
      <c r="B17503" t="s">
        <v>33</v>
      </c>
      <c r="C17503">
        <v>28227</v>
      </c>
      <c r="D17503" t="str">
        <f>"28227"</f>
        <v>28227</v>
      </c>
      <c r="E17503">
        <v>66.73</v>
      </c>
    </row>
    <row r="17504" spans="1:5" x14ac:dyDescent="0.2">
      <c r="A17504">
        <v>28244</v>
      </c>
      <c r="B17504" t="s">
        <v>33</v>
      </c>
      <c r="C17504">
        <v>28244</v>
      </c>
      <c r="D17504" t="str">
        <f>"28244"</f>
        <v>28244</v>
      </c>
      <c r="E17504" t="s">
        <v>6</v>
      </c>
    </row>
    <row r="17505" spans="1:5" x14ac:dyDescent="0.2">
      <c r="A17505">
        <v>28262</v>
      </c>
      <c r="B17505" t="s">
        <v>33</v>
      </c>
      <c r="C17505">
        <v>28262</v>
      </c>
      <c r="D17505" t="str">
        <f>"28262"</f>
        <v>28262</v>
      </c>
      <c r="E17505">
        <v>69.209999999999994</v>
      </c>
    </row>
    <row r="17506" spans="1:5" x14ac:dyDescent="0.2">
      <c r="A17506">
        <v>28269</v>
      </c>
      <c r="B17506" t="s">
        <v>33</v>
      </c>
      <c r="C17506">
        <v>28269</v>
      </c>
      <c r="D17506" t="str">
        <f>"28269"</f>
        <v>28269</v>
      </c>
      <c r="E17506">
        <v>70.42</v>
      </c>
    </row>
    <row r="17507" spans="1:5" x14ac:dyDescent="0.2">
      <c r="A17507">
        <v>28270</v>
      </c>
      <c r="B17507" t="s">
        <v>33</v>
      </c>
      <c r="C17507">
        <v>28270</v>
      </c>
      <c r="D17507" t="str">
        <f>"28270"</f>
        <v>28270</v>
      </c>
      <c r="E17507">
        <v>80.09</v>
      </c>
    </row>
    <row r="17508" spans="1:5" x14ac:dyDescent="0.2">
      <c r="A17508">
        <v>28273</v>
      </c>
      <c r="B17508" t="s">
        <v>33</v>
      </c>
      <c r="C17508">
        <v>28273</v>
      </c>
      <c r="D17508" t="str">
        <f>"28273"</f>
        <v>28273</v>
      </c>
      <c r="E17508">
        <v>72</v>
      </c>
    </row>
    <row r="17509" spans="1:5" x14ac:dyDescent="0.2">
      <c r="A17509">
        <v>28277</v>
      </c>
      <c r="B17509" t="s">
        <v>33</v>
      </c>
      <c r="C17509">
        <v>28277</v>
      </c>
      <c r="D17509" t="str">
        <f>"28277"</f>
        <v>28277</v>
      </c>
      <c r="E17509">
        <v>81.56</v>
      </c>
    </row>
    <row r="17510" spans="1:5" x14ac:dyDescent="0.2">
      <c r="A17510">
        <v>28278</v>
      </c>
      <c r="B17510" t="s">
        <v>33</v>
      </c>
      <c r="C17510">
        <v>28278</v>
      </c>
      <c r="D17510" t="str">
        <f>"28278"</f>
        <v>28278</v>
      </c>
      <c r="E17510">
        <v>79.2</v>
      </c>
    </row>
    <row r="17511" spans="1:5" x14ac:dyDescent="0.2">
      <c r="A17511">
        <v>28282</v>
      </c>
      <c r="B17511" t="s">
        <v>33</v>
      </c>
      <c r="C17511">
        <v>28282</v>
      </c>
      <c r="D17511" t="str">
        <f>"28282"</f>
        <v>28282</v>
      </c>
      <c r="E17511" t="s">
        <v>6</v>
      </c>
    </row>
    <row r="17512" spans="1:5" x14ac:dyDescent="0.2">
      <c r="A17512">
        <v>28284</v>
      </c>
      <c r="B17512" t="s">
        <v>33</v>
      </c>
      <c r="C17512">
        <v>28284</v>
      </c>
      <c r="D17512" t="str">
        <f>"28284"</f>
        <v>28284</v>
      </c>
      <c r="E17512" t="s">
        <v>6</v>
      </c>
    </row>
    <row r="17513" spans="1:5" x14ac:dyDescent="0.2">
      <c r="A17513">
        <v>28285</v>
      </c>
      <c r="B17513" t="s">
        <v>33</v>
      </c>
      <c r="C17513">
        <v>28285</v>
      </c>
      <c r="D17513" t="str">
        <f>"28285"</f>
        <v>28285</v>
      </c>
      <c r="E17513" t="s">
        <v>6</v>
      </c>
    </row>
    <row r="17514" spans="1:5" x14ac:dyDescent="0.2">
      <c r="A17514">
        <v>28301</v>
      </c>
      <c r="B17514" t="s">
        <v>33</v>
      </c>
      <c r="C17514">
        <v>28301</v>
      </c>
      <c r="D17514" t="str">
        <f>"28301"</f>
        <v>28301</v>
      </c>
      <c r="E17514">
        <v>50.74</v>
      </c>
    </row>
    <row r="17515" spans="1:5" x14ac:dyDescent="0.2">
      <c r="A17515">
        <v>28303</v>
      </c>
      <c r="B17515" t="s">
        <v>33</v>
      </c>
      <c r="C17515">
        <v>28303</v>
      </c>
      <c r="D17515" t="str">
        <f>"28303"</f>
        <v>28303</v>
      </c>
      <c r="E17515">
        <v>64.48</v>
      </c>
    </row>
    <row r="17516" spans="1:5" x14ac:dyDescent="0.2">
      <c r="A17516">
        <v>28304</v>
      </c>
      <c r="B17516" t="s">
        <v>33</v>
      </c>
      <c r="C17516">
        <v>28304</v>
      </c>
      <c r="D17516" t="str">
        <f>"28304"</f>
        <v>28304</v>
      </c>
      <c r="E17516">
        <v>62.12</v>
      </c>
    </row>
    <row r="17517" spans="1:5" x14ac:dyDescent="0.2">
      <c r="A17517">
        <v>28305</v>
      </c>
      <c r="B17517" t="s">
        <v>33</v>
      </c>
      <c r="C17517">
        <v>28305</v>
      </c>
      <c r="D17517" t="str">
        <f>"28305"</f>
        <v>28305</v>
      </c>
      <c r="E17517">
        <v>71.02</v>
      </c>
    </row>
    <row r="17518" spans="1:5" x14ac:dyDescent="0.2">
      <c r="A17518">
        <v>28306</v>
      </c>
      <c r="B17518" t="s">
        <v>33</v>
      </c>
      <c r="C17518">
        <v>28306</v>
      </c>
      <c r="D17518" t="str">
        <f>"28306"</f>
        <v>28306</v>
      </c>
      <c r="E17518">
        <v>63.7</v>
      </c>
    </row>
    <row r="17519" spans="1:5" x14ac:dyDescent="0.2">
      <c r="A17519">
        <v>28307</v>
      </c>
      <c r="B17519" t="s">
        <v>33</v>
      </c>
      <c r="C17519">
        <v>28307</v>
      </c>
      <c r="D17519" t="str">
        <f>"28307"</f>
        <v>28307</v>
      </c>
      <c r="E17519">
        <v>57.06</v>
      </c>
    </row>
    <row r="17520" spans="1:5" x14ac:dyDescent="0.2">
      <c r="A17520">
        <v>28308</v>
      </c>
      <c r="B17520" t="s">
        <v>33</v>
      </c>
      <c r="C17520">
        <v>28308</v>
      </c>
      <c r="D17520" t="str">
        <f>"28308"</f>
        <v>28308</v>
      </c>
      <c r="E17520" t="s">
        <v>6</v>
      </c>
    </row>
    <row r="17521" spans="1:5" x14ac:dyDescent="0.2">
      <c r="A17521">
        <v>28310</v>
      </c>
      <c r="B17521" t="s">
        <v>33</v>
      </c>
      <c r="C17521">
        <v>28310</v>
      </c>
      <c r="D17521" t="str">
        <f>"28310"</f>
        <v>28310</v>
      </c>
      <c r="E17521" t="s">
        <v>6</v>
      </c>
    </row>
    <row r="17522" spans="1:5" x14ac:dyDescent="0.2">
      <c r="A17522">
        <v>28311</v>
      </c>
      <c r="B17522" t="s">
        <v>33</v>
      </c>
      <c r="C17522">
        <v>28311</v>
      </c>
      <c r="D17522" t="str">
        <f>"28311"</f>
        <v>28311</v>
      </c>
      <c r="E17522">
        <v>65.599999999999994</v>
      </c>
    </row>
    <row r="17523" spans="1:5" x14ac:dyDescent="0.2">
      <c r="A17523">
        <v>28312</v>
      </c>
      <c r="B17523" t="s">
        <v>33</v>
      </c>
      <c r="C17523">
        <v>28312</v>
      </c>
      <c r="D17523" t="str">
        <f>"28312"</f>
        <v>28312</v>
      </c>
      <c r="E17523">
        <v>65.680000000000007</v>
      </c>
    </row>
    <row r="17524" spans="1:5" x14ac:dyDescent="0.2">
      <c r="A17524">
        <v>28314</v>
      </c>
      <c r="B17524" t="s">
        <v>33</v>
      </c>
      <c r="C17524">
        <v>28314</v>
      </c>
      <c r="D17524" t="str">
        <f>"28314"</f>
        <v>28314</v>
      </c>
      <c r="E17524">
        <v>61.97</v>
      </c>
    </row>
    <row r="17525" spans="1:5" x14ac:dyDescent="0.2">
      <c r="A17525">
        <v>28315</v>
      </c>
      <c r="B17525" t="s">
        <v>33</v>
      </c>
      <c r="C17525">
        <v>28315</v>
      </c>
      <c r="D17525" t="str">
        <f>"28315"</f>
        <v>28315</v>
      </c>
      <c r="E17525">
        <v>66.84</v>
      </c>
    </row>
    <row r="17526" spans="1:5" x14ac:dyDescent="0.2">
      <c r="A17526">
        <v>28318</v>
      </c>
      <c r="B17526" t="s">
        <v>33</v>
      </c>
      <c r="C17526">
        <v>28318</v>
      </c>
      <c r="D17526" t="str">
        <f>"28318"</f>
        <v>28318</v>
      </c>
      <c r="E17526">
        <v>63.73</v>
      </c>
    </row>
    <row r="17527" spans="1:5" x14ac:dyDescent="0.2">
      <c r="A17527">
        <v>28320</v>
      </c>
      <c r="B17527" t="s">
        <v>33</v>
      </c>
      <c r="C17527">
        <v>28320</v>
      </c>
      <c r="D17527" t="str">
        <f>"28320"</f>
        <v>28320</v>
      </c>
      <c r="E17527">
        <v>62.62</v>
      </c>
    </row>
    <row r="17528" spans="1:5" x14ac:dyDescent="0.2">
      <c r="A17528">
        <v>28323</v>
      </c>
      <c r="B17528" t="s">
        <v>33</v>
      </c>
      <c r="C17528">
        <v>28323</v>
      </c>
      <c r="D17528" t="str">
        <f>"28323"</f>
        <v>28323</v>
      </c>
      <c r="E17528">
        <v>63.19</v>
      </c>
    </row>
    <row r="17529" spans="1:5" x14ac:dyDescent="0.2">
      <c r="A17529">
        <v>28325</v>
      </c>
      <c r="B17529" t="s">
        <v>33</v>
      </c>
      <c r="C17529">
        <v>28325</v>
      </c>
      <c r="D17529" t="str">
        <f>"28325"</f>
        <v>28325</v>
      </c>
      <c r="E17529" t="s">
        <v>6</v>
      </c>
    </row>
    <row r="17530" spans="1:5" x14ac:dyDescent="0.2">
      <c r="A17530">
        <v>28326</v>
      </c>
      <c r="B17530" t="s">
        <v>33</v>
      </c>
      <c r="C17530">
        <v>28326</v>
      </c>
      <c r="D17530" t="str">
        <f>"28326"</f>
        <v>28326</v>
      </c>
      <c r="E17530">
        <v>61.35</v>
      </c>
    </row>
    <row r="17531" spans="1:5" x14ac:dyDescent="0.2">
      <c r="A17531">
        <v>28327</v>
      </c>
      <c r="B17531" t="s">
        <v>33</v>
      </c>
      <c r="C17531">
        <v>28327</v>
      </c>
      <c r="D17531" t="str">
        <f>"28327"</f>
        <v>28327</v>
      </c>
      <c r="E17531">
        <v>71.39</v>
      </c>
    </row>
    <row r="17532" spans="1:5" x14ac:dyDescent="0.2">
      <c r="A17532">
        <v>28328</v>
      </c>
      <c r="B17532" t="s">
        <v>33</v>
      </c>
      <c r="C17532">
        <v>28328</v>
      </c>
      <c r="D17532" t="str">
        <f>"28328"</f>
        <v>28328</v>
      </c>
      <c r="E17532">
        <v>57.32</v>
      </c>
    </row>
    <row r="17533" spans="1:5" x14ac:dyDescent="0.2">
      <c r="A17533">
        <v>28330</v>
      </c>
      <c r="B17533" t="s">
        <v>33</v>
      </c>
      <c r="C17533">
        <v>28330</v>
      </c>
      <c r="D17533" t="str">
        <f>"28330"</f>
        <v>28330</v>
      </c>
      <c r="E17533" t="s">
        <v>6</v>
      </c>
    </row>
    <row r="17534" spans="1:5" x14ac:dyDescent="0.2">
      <c r="A17534">
        <v>28332</v>
      </c>
      <c r="B17534" t="s">
        <v>33</v>
      </c>
      <c r="C17534">
        <v>28332</v>
      </c>
      <c r="D17534" t="str">
        <f>"28332"</f>
        <v>28332</v>
      </c>
      <c r="E17534" t="s">
        <v>6</v>
      </c>
    </row>
    <row r="17535" spans="1:5" x14ac:dyDescent="0.2">
      <c r="A17535">
        <v>28333</v>
      </c>
      <c r="B17535" t="s">
        <v>33</v>
      </c>
      <c r="C17535">
        <v>28333</v>
      </c>
      <c r="D17535" t="str">
        <f>"28333"</f>
        <v>28333</v>
      </c>
      <c r="E17535">
        <v>55.41</v>
      </c>
    </row>
    <row r="17536" spans="1:5" x14ac:dyDescent="0.2">
      <c r="A17536">
        <v>28334</v>
      </c>
      <c r="B17536" t="s">
        <v>33</v>
      </c>
      <c r="C17536">
        <v>28334</v>
      </c>
      <c r="D17536" t="str">
        <f>"28334"</f>
        <v>28334</v>
      </c>
      <c r="E17536">
        <v>60.27</v>
      </c>
    </row>
    <row r="17537" spans="1:5" x14ac:dyDescent="0.2">
      <c r="A17537">
        <v>28337</v>
      </c>
      <c r="B17537" t="s">
        <v>33</v>
      </c>
      <c r="C17537">
        <v>28337</v>
      </c>
      <c r="D17537" t="str">
        <f>"28337"</f>
        <v>28337</v>
      </c>
      <c r="E17537">
        <v>58.69</v>
      </c>
    </row>
    <row r="17538" spans="1:5" x14ac:dyDescent="0.2">
      <c r="A17538">
        <v>28338</v>
      </c>
      <c r="B17538" t="s">
        <v>33</v>
      </c>
      <c r="C17538">
        <v>28338</v>
      </c>
      <c r="D17538" t="str">
        <f>"28338"</f>
        <v>28338</v>
      </c>
      <c r="E17538">
        <v>62.72</v>
      </c>
    </row>
    <row r="17539" spans="1:5" x14ac:dyDescent="0.2">
      <c r="A17539">
        <v>28339</v>
      </c>
      <c r="B17539" t="s">
        <v>33</v>
      </c>
      <c r="C17539">
        <v>28339</v>
      </c>
      <c r="D17539" t="str">
        <f>"28339"</f>
        <v>28339</v>
      </c>
      <c r="E17539">
        <v>64.260000000000005</v>
      </c>
    </row>
    <row r="17540" spans="1:5" x14ac:dyDescent="0.2">
      <c r="A17540">
        <v>28340</v>
      </c>
      <c r="B17540" t="s">
        <v>33</v>
      </c>
      <c r="C17540">
        <v>28340</v>
      </c>
      <c r="D17540" t="str">
        <f>"28340"</f>
        <v>28340</v>
      </c>
      <c r="E17540">
        <v>53.77</v>
      </c>
    </row>
    <row r="17541" spans="1:5" x14ac:dyDescent="0.2">
      <c r="A17541">
        <v>28341</v>
      </c>
      <c r="B17541" t="s">
        <v>33</v>
      </c>
      <c r="C17541">
        <v>28341</v>
      </c>
      <c r="D17541" t="str">
        <f>"28341"</f>
        <v>28341</v>
      </c>
      <c r="E17541">
        <v>57.41</v>
      </c>
    </row>
    <row r="17542" spans="1:5" x14ac:dyDescent="0.2">
      <c r="A17542">
        <v>28342</v>
      </c>
      <c r="B17542" t="s">
        <v>33</v>
      </c>
      <c r="C17542">
        <v>28342</v>
      </c>
      <c r="D17542" t="str">
        <f>"28342"</f>
        <v>28342</v>
      </c>
      <c r="E17542" t="s">
        <v>6</v>
      </c>
    </row>
    <row r="17543" spans="1:5" x14ac:dyDescent="0.2">
      <c r="A17543">
        <v>28343</v>
      </c>
      <c r="B17543" t="s">
        <v>33</v>
      </c>
      <c r="C17543">
        <v>28343</v>
      </c>
      <c r="D17543" t="str">
        <f>"28343"</f>
        <v>28343</v>
      </c>
      <c r="E17543">
        <v>55.17</v>
      </c>
    </row>
    <row r="17544" spans="1:5" x14ac:dyDescent="0.2">
      <c r="A17544">
        <v>28344</v>
      </c>
      <c r="B17544" t="s">
        <v>33</v>
      </c>
      <c r="C17544">
        <v>28344</v>
      </c>
      <c r="D17544" t="str">
        <f>"28344"</f>
        <v>28344</v>
      </c>
      <c r="E17544">
        <v>57.6</v>
      </c>
    </row>
    <row r="17545" spans="1:5" x14ac:dyDescent="0.2">
      <c r="A17545">
        <v>28345</v>
      </c>
      <c r="B17545" t="s">
        <v>33</v>
      </c>
      <c r="C17545">
        <v>28345</v>
      </c>
      <c r="D17545" t="str">
        <f>"28345"</f>
        <v>28345</v>
      </c>
      <c r="E17545">
        <v>57.86</v>
      </c>
    </row>
    <row r="17546" spans="1:5" x14ac:dyDescent="0.2">
      <c r="A17546">
        <v>28347</v>
      </c>
      <c r="B17546" t="s">
        <v>33</v>
      </c>
      <c r="C17546">
        <v>28347</v>
      </c>
      <c r="D17546" t="str">
        <f>"28347"</f>
        <v>28347</v>
      </c>
      <c r="E17546">
        <v>48.78</v>
      </c>
    </row>
    <row r="17547" spans="1:5" x14ac:dyDescent="0.2">
      <c r="A17547">
        <v>28348</v>
      </c>
      <c r="B17547" t="s">
        <v>33</v>
      </c>
      <c r="C17547">
        <v>28348</v>
      </c>
      <c r="D17547" t="str">
        <f>"28348"</f>
        <v>28348</v>
      </c>
      <c r="E17547">
        <v>64.47</v>
      </c>
    </row>
    <row r="17548" spans="1:5" x14ac:dyDescent="0.2">
      <c r="A17548">
        <v>28349</v>
      </c>
      <c r="B17548" t="s">
        <v>33</v>
      </c>
      <c r="C17548">
        <v>28349</v>
      </c>
      <c r="D17548" t="str">
        <f>"28349"</f>
        <v>28349</v>
      </c>
      <c r="E17548">
        <v>64.540000000000006</v>
      </c>
    </row>
    <row r="17549" spans="1:5" x14ac:dyDescent="0.2">
      <c r="A17549">
        <v>28350</v>
      </c>
      <c r="B17549" t="s">
        <v>33</v>
      </c>
      <c r="C17549">
        <v>28350</v>
      </c>
      <c r="D17549" t="str">
        <f>"28350"</f>
        <v>28350</v>
      </c>
      <c r="E17549" t="s">
        <v>6</v>
      </c>
    </row>
    <row r="17550" spans="1:5" x14ac:dyDescent="0.2">
      <c r="A17550">
        <v>28351</v>
      </c>
      <c r="B17550" t="s">
        <v>33</v>
      </c>
      <c r="C17550">
        <v>28351</v>
      </c>
      <c r="D17550" t="str">
        <f>"28351"</f>
        <v>28351</v>
      </c>
      <c r="E17550">
        <v>56.48</v>
      </c>
    </row>
    <row r="17551" spans="1:5" x14ac:dyDescent="0.2">
      <c r="A17551">
        <v>28352</v>
      </c>
      <c r="B17551" t="s">
        <v>33</v>
      </c>
      <c r="C17551">
        <v>28352</v>
      </c>
      <c r="D17551" t="str">
        <f>"28352"</f>
        <v>28352</v>
      </c>
      <c r="E17551">
        <v>55.34</v>
      </c>
    </row>
    <row r="17552" spans="1:5" x14ac:dyDescent="0.2">
      <c r="A17552">
        <v>28356</v>
      </c>
      <c r="B17552" t="s">
        <v>33</v>
      </c>
      <c r="C17552">
        <v>28356</v>
      </c>
      <c r="D17552" t="str">
        <f>"28356"</f>
        <v>28356</v>
      </c>
      <c r="E17552">
        <v>70.56</v>
      </c>
    </row>
    <row r="17553" spans="1:5" x14ac:dyDescent="0.2">
      <c r="A17553">
        <v>28357</v>
      </c>
      <c r="B17553" t="s">
        <v>33</v>
      </c>
      <c r="C17553">
        <v>28357</v>
      </c>
      <c r="D17553" t="str">
        <f>"28357"</f>
        <v>28357</v>
      </c>
      <c r="E17553">
        <v>52.53</v>
      </c>
    </row>
    <row r="17554" spans="1:5" x14ac:dyDescent="0.2">
      <c r="A17554">
        <v>28358</v>
      </c>
      <c r="B17554" t="s">
        <v>33</v>
      </c>
      <c r="C17554">
        <v>28358</v>
      </c>
      <c r="D17554" t="str">
        <f>"28358"</f>
        <v>28358</v>
      </c>
      <c r="E17554">
        <v>55.73</v>
      </c>
    </row>
    <row r="17555" spans="1:5" x14ac:dyDescent="0.2">
      <c r="A17555">
        <v>28360</v>
      </c>
      <c r="B17555" t="s">
        <v>33</v>
      </c>
      <c r="C17555">
        <v>28360</v>
      </c>
      <c r="D17555" t="str">
        <f>"28360"</f>
        <v>28360</v>
      </c>
      <c r="E17555">
        <v>53.28</v>
      </c>
    </row>
    <row r="17556" spans="1:5" x14ac:dyDescent="0.2">
      <c r="A17556">
        <v>28362</v>
      </c>
      <c r="B17556" t="s">
        <v>33</v>
      </c>
      <c r="C17556">
        <v>28362</v>
      </c>
      <c r="D17556" t="str">
        <f>"28362"</f>
        <v>28362</v>
      </c>
      <c r="E17556" t="s">
        <v>6</v>
      </c>
    </row>
    <row r="17557" spans="1:5" x14ac:dyDescent="0.2">
      <c r="A17557">
        <v>28363</v>
      </c>
      <c r="B17557" t="s">
        <v>33</v>
      </c>
      <c r="C17557">
        <v>28363</v>
      </c>
      <c r="D17557" t="str">
        <f>"28363"</f>
        <v>28363</v>
      </c>
      <c r="E17557">
        <v>63.04</v>
      </c>
    </row>
    <row r="17558" spans="1:5" x14ac:dyDescent="0.2">
      <c r="A17558">
        <v>28364</v>
      </c>
      <c r="B17558" t="s">
        <v>33</v>
      </c>
      <c r="C17558">
        <v>28364</v>
      </c>
      <c r="D17558" t="str">
        <f>"28364"</f>
        <v>28364</v>
      </c>
      <c r="E17558">
        <v>49.08</v>
      </c>
    </row>
    <row r="17559" spans="1:5" x14ac:dyDescent="0.2">
      <c r="A17559">
        <v>28365</v>
      </c>
      <c r="B17559" t="s">
        <v>33</v>
      </c>
      <c r="C17559">
        <v>28365</v>
      </c>
      <c r="D17559" t="str">
        <f>"28365"</f>
        <v>28365</v>
      </c>
      <c r="E17559">
        <v>59.81</v>
      </c>
    </row>
    <row r="17560" spans="1:5" x14ac:dyDescent="0.2">
      <c r="A17560">
        <v>28366</v>
      </c>
      <c r="B17560" t="s">
        <v>33</v>
      </c>
      <c r="C17560">
        <v>28366</v>
      </c>
      <c r="D17560" t="str">
        <f>"28366"</f>
        <v>28366</v>
      </c>
      <c r="E17560">
        <v>59.52</v>
      </c>
    </row>
    <row r="17561" spans="1:5" x14ac:dyDescent="0.2">
      <c r="A17561">
        <v>28367</v>
      </c>
      <c r="B17561" t="s">
        <v>33</v>
      </c>
      <c r="C17561">
        <v>28367</v>
      </c>
      <c r="D17561" t="str">
        <f>"28367"</f>
        <v>28367</v>
      </c>
      <c r="E17561" t="s">
        <v>6</v>
      </c>
    </row>
    <row r="17562" spans="1:5" x14ac:dyDescent="0.2">
      <c r="A17562">
        <v>28369</v>
      </c>
      <c r="B17562" t="s">
        <v>33</v>
      </c>
      <c r="C17562">
        <v>28369</v>
      </c>
      <c r="D17562" t="str">
        <f>"28369"</f>
        <v>28369</v>
      </c>
      <c r="E17562">
        <v>50</v>
      </c>
    </row>
    <row r="17563" spans="1:5" x14ac:dyDescent="0.2">
      <c r="A17563">
        <v>28371</v>
      </c>
      <c r="B17563" t="s">
        <v>33</v>
      </c>
      <c r="C17563">
        <v>28371</v>
      </c>
      <c r="D17563" t="str">
        <f>"28371"</f>
        <v>28371</v>
      </c>
      <c r="E17563">
        <v>58.54</v>
      </c>
    </row>
    <row r="17564" spans="1:5" x14ac:dyDescent="0.2">
      <c r="A17564">
        <v>28372</v>
      </c>
      <c r="B17564" t="s">
        <v>33</v>
      </c>
      <c r="C17564">
        <v>28372</v>
      </c>
      <c r="D17564" t="str">
        <f>"28372"</f>
        <v>28372</v>
      </c>
      <c r="E17564">
        <v>55.6</v>
      </c>
    </row>
    <row r="17565" spans="1:5" x14ac:dyDescent="0.2">
      <c r="A17565">
        <v>28373</v>
      </c>
      <c r="B17565" t="s">
        <v>33</v>
      </c>
      <c r="C17565">
        <v>28373</v>
      </c>
      <c r="D17565" t="str">
        <f>"28373"</f>
        <v>28373</v>
      </c>
      <c r="E17565">
        <v>65.790000000000006</v>
      </c>
    </row>
    <row r="17566" spans="1:5" x14ac:dyDescent="0.2">
      <c r="A17566">
        <v>28374</v>
      </c>
      <c r="B17566" t="s">
        <v>33</v>
      </c>
      <c r="C17566">
        <v>28374</v>
      </c>
      <c r="D17566" t="str">
        <f>"28374"</f>
        <v>28374</v>
      </c>
      <c r="E17566">
        <v>80.760000000000005</v>
      </c>
    </row>
    <row r="17567" spans="1:5" x14ac:dyDescent="0.2">
      <c r="A17567">
        <v>28375</v>
      </c>
      <c r="B17567" t="s">
        <v>33</v>
      </c>
      <c r="C17567">
        <v>28375</v>
      </c>
      <c r="D17567" t="str">
        <f>"28375"</f>
        <v>28375</v>
      </c>
      <c r="E17567" t="s">
        <v>6</v>
      </c>
    </row>
    <row r="17568" spans="1:5" x14ac:dyDescent="0.2">
      <c r="A17568">
        <v>28376</v>
      </c>
      <c r="B17568" t="s">
        <v>33</v>
      </c>
      <c r="C17568">
        <v>28376</v>
      </c>
      <c r="D17568" t="str">
        <f>"28376"</f>
        <v>28376</v>
      </c>
      <c r="E17568">
        <v>60.8</v>
      </c>
    </row>
    <row r="17569" spans="1:5" x14ac:dyDescent="0.2">
      <c r="A17569">
        <v>28377</v>
      </c>
      <c r="B17569" t="s">
        <v>33</v>
      </c>
      <c r="C17569">
        <v>28377</v>
      </c>
      <c r="D17569" t="str">
        <f>"28377"</f>
        <v>28377</v>
      </c>
      <c r="E17569">
        <v>48.29</v>
      </c>
    </row>
    <row r="17570" spans="1:5" x14ac:dyDescent="0.2">
      <c r="A17570">
        <v>28378</v>
      </c>
      <c r="B17570" t="s">
        <v>33</v>
      </c>
      <c r="C17570">
        <v>28378</v>
      </c>
      <c r="D17570" t="str">
        <f>"28378"</f>
        <v>28378</v>
      </c>
      <c r="E17570" t="s">
        <v>6</v>
      </c>
    </row>
    <row r="17571" spans="1:5" x14ac:dyDescent="0.2">
      <c r="A17571">
        <v>28379</v>
      </c>
      <c r="B17571" t="s">
        <v>33</v>
      </c>
      <c r="C17571">
        <v>28379</v>
      </c>
      <c r="D17571" t="str">
        <f>"28379"</f>
        <v>28379</v>
      </c>
      <c r="E17571">
        <v>58.81</v>
      </c>
    </row>
    <row r="17572" spans="1:5" x14ac:dyDescent="0.2">
      <c r="A17572">
        <v>28382</v>
      </c>
      <c r="B17572" t="s">
        <v>33</v>
      </c>
      <c r="C17572">
        <v>28382</v>
      </c>
      <c r="D17572" t="str">
        <f>"28382"</f>
        <v>28382</v>
      </c>
      <c r="E17572">
        <v>60.28</v>
      </c>
    </row>
    <row r="17573" spans="1:5" x14ac:dyDescent="0.2">
      <c r="A17573">
        <v>28383</v>
      </c>
      <c r="B17573" t="s">
        <v>33</v>
      </c>
      <c r="C17573">
        <v>28383</v>
      </c>
      <c r="D17573" t="str">
        <f>"28383"</f>
        <v>28383</v>
      </c>
      <c r="E17573">
        <v>50.9</v>
      </c>
    </row>
    <row r="17574" spans="1:5" x14ac:dyDescent="0.2">
      <c r="A17574">
        <v>28384</v>
      </c>
      <c r="B17574" t="s">
        <v>33</v>
      </c>
      <c r="C17574">
        <v>28384</v>
      </c>
      <c r="D17574" t="str">
        <f>"28384"</f>
        <v>28384</v>
      </c>
      <c r="E17574">
        <v>52.53</v>
      </c>
    </row>
    <row r="17575" spans="1:5" x14ac:dyDescent="0.2">
      <c r="A17575">
        <v>28385</v>
      </c>
      <c r="B17575" t="s">
        <v>33</v>
      </c>
      <c r="C17575">
        <v>28385</v>
      </c>
      <c r="D17575" t="str">
        <f>"28385"</f>
        <v>28385</v>
      </c>
      <c r="E17575">
        <v>58.02</v>
      </c>
    </row>
    <row r="17576" spans="1:5" x14ac:dyDescent="0.2">
      <c r="A17576">
        <v>28386</v>
      </c>
      <c r="B17576" t="s">
        <v>33</v>
      </c>
      <c r="C17576">
        <v>28386</v>
      </c>
      <c r="D17576" t="str">
        <f>"28386"</f>
        <v>28386</v>
      </c>
      <c r="E17576">
        <v>44.88</v>
      </c>
    </row>
    <row r="17577" spans="1:5" x14ac:dyDescent="0.2">
      <c r="A17577">
        <v>28387</v>
      </c>
      <c r="B17577" t="s">
        <v>33</v>
      </c>
      <c r="C17577">
        <v>28387</v>
      </c>
      <c r="D17577" t="str">
        <f>"28387"</f>
        <v>28387</v>
      </c>
      <c r="E17577">
        <v>74.97</v>
      </c>
    </row>
    <row r="17578" spans="1:5" x14ac:dyDescent="0.2">
      <c r="A17578">
        <v>28390</v>
      </c>
      <c r="B17578" t="s">
        <v>33</v>
      </c>
      <c r="C17578">
        <v>28390</v>
      </c>
      <c r="D17578" t="str">
        <f>"28390"</f>
        <v>28390</v>
      </c>
      <c r="E17578">
        <v>62.19</v>
      </c>
    </row>
    <row r="17579" spans="1:5" x14ac:dyDescent="0.2">
      <c r="A17579">
        <v>28391</v>
      </c>
      <c r="B17579" t="s">
        <v>33</v>
      </c>
      <c r="C17579">
        <v>28391</v>
      </c>
      <c r="D17579" t="str">
        <f>"28391"</f>
        <v>28391</v>
      </c>
      <c r="E17579">
        <v>71.849999999999994</v>
      </c>
    </row>
    <row r="17580" spans="1:5" x14ac:dyDescent="0.2">
      <c r="A17580">
        <v>28392</v>
      </c>
      <c r="B17580" t="s">
        <v>33</v>
      </c>
      <c r="C17580">
        <v>28392</v>
      </c>
      <c r="D17580" t="str">
        <f>"28392"</f>
        <v>28392</v>
      </c>
      <c r="E17580">
        <v>60.87</v>
      </c>
    </row>
    <row r="17581" spans="1:5" x14ac:dyDescent="0.2">
      <c r="A17581">
        <v>28393</v>
      </c>
      <c r="B17581" t="s">
        <v>33</v>
      </c>
      <c r="C17581">
        <v>28393</v>
      </c>
      <c r="D17581" t="str">
        <f>"28393"</f>
        <v>28393</v>
      </c>
      <c r="E17581">
        <v>57.65</v>
      </c>
    </row>
    <row r="17582" spans="1:5" x14ac:dyDescent="0.2">
      <c r="A17582">
        <v>28394</v>
      </c>
      <c r="B17582" t="s">
        <v>33</v>
      </c>
      <c r="C17582">
        <v>28394</v>
      </c>
      <c r="D17582" t="str">
        <f>"28394"</f>
        <v>28394</v>
      </c>
      <c r="E17582">
        <v>70.540000000000006</v>
      </c>
    </row>
    <row r="17583" spans="1:5" x14ac:dyDescent="0.2">
      <c r="A17583">
        <v>28395</v>
      </c>
      <c r="B17583" t="s">
        <v>33</v>
      </c>
      <c r="C17583">
        <v>28395</v>
      </c>
      <c r="D17583" t="str">
        <f>"28395"</f>
        <v>28395</v>
      </c>
      <c r="E17583">
        <v>70.430000000000007</v>
      </c>
    </row>
    <row r="17584" spans="1:5" x14ac:dyDescent="0.2">
      <c r="A17584">
        <v>28396</v>
      </c>
      <c r="B17584" t="s">
        <v>33</v>
      </c>
      <c r="C17584">
        <v>28396</v>
      </c>
      <c r="D17584" t="str">
        <f>"28396"</f>
        <v>28396</v>
      </c>
      <c r="E17584">
        <v>60</v>
      </c>
    </row>
    <row r="17585" spans="1:5" x14ac:dyDescent="0.2">
      <c r="A17585">
        <v>28398</v>
      </c>
      <c r="B17585" t="s">
        <v>33</v>
      </c>
      <c r="C17585">
        <v>28398</v>
      </c>
      <c r="D17585" t="str">
        <f>"28398"</f>
        <v>28398</v>
      </c>
      <c r="E17585">
        <v>52.31</v>
      </c>
    </row>
    <row r="17586" spans="1:5" x14ac:dyDescent="0.2">
      <c r="A17586">
        <v>28399</v>
      </c>
      <c r="B17586" t="s">
        <v>33</v>
      </c>
      <c r="C17586">
        <v>28399</v>
      </c>
      <c r="D17586" t="str">
        <f>"28399"</f>
        <v>28399</v>
      </c>
      <c r="E17586">
        <v>60</v>
      </c>
    </row>
    <row r="17587" spans="1:5" x14ac:dyDescent="0.2">
      <c r="A17587">
        <v>28401</v>
      </c>
      <c r="B17587" t="s">
        <v>33</v>
      </c>
      <c r="C17587">
        <v>28401</v>
      </c>
      <c r="D17587" t="str">
        <f>"28401"</f>
        <v>28401</v>
      </c>
      <c r="E17587">
        <v>61.92</v>
      </c>
    </row>
    <row r="17588" spans="1:5" x14ac:dyDescent="0.2">
      <c r="A17588">
        <v>28403</v>
      </c>
      <c r="B17588" t="s">
        <v>33</v>
      </c>
      <c r="C17588">
        <v>28403</v>
      </c>
      <c r="D17588" t="str">
        <f>"28403"</f>
        <v>28403</v>
      </c>
      <c r="E17588">
        <v>70.489999999999995</v>
      </c>
    </row>
    <row r="17589" spans="1:5" x14ac:dyDescent="0.2">
      <c r="A17589">
        <v>28405</v>
      </c>
      <c r="B17589" t="s">
        <v>33</v>
      </c>
      <c r="C17589">
        <v>28405</v>
      </c>
      <c r="D17589" t="str">
        <f>"28405"</f>
        <v>28405</v>
      </c>
      <c r="E17589">
        <v>71.52</v>
      </c>
    </row>
    <row r="17590" spans="1:5" x14ac:dyDescent="0.2">
      <c r="A17590">
        <v>28409</v>
      </c>
      <c r="B17590" t="s">
        <v>33</v>
      </c>
      <c r="C17590">
        <v>28409</v>
      </c>
      <c r="D17590" t="str">
        <f>"28409"</f>
        <v>28409</v>
      </c>
      <c r="E17590">
        <v>77.08</v>
      </c>
    </row>
    <row r="17591" spans="1:5" x14ac:dyDescent="0.2">
      <c r="A17591">
        <v>28411</v>
      </c>
      <c r="B17591" t="s">
        <v>33</v>
      </c>
      <c r="C17591">
        <v>28411</v>
      </c>
      <c r="D17591" t="str">
        <f>"28411"</f>
        <v>28411</v>
      </c>
      <c r="E17591">
        <v>78.5</v>
      </c>
    </row>
    <row r="17592" spans="1:5" x14ac:dyDescent="0.2">
      <c r="A17592">
        <v>28412</v>
      </c>
      <c r="B17592" t="s">
        <v>33</v>
      </c>
      <c r="C17592">
        <v>28412</v>
      </c>
      <c r="D17592" t="str">
        <f>"28412"</f>
        <v>28412</v>
      </c>
      <c r="E17592">
        <v>73.86</v>
      </c>
    </row>
    <row r="17593" spans="1:5" x14ac:dyDescent="0.2">
      <c r="A17593">
        <v>28420</v>
      </c>
      <c r="B17593" t="s">
        <v>33</v>
      </c>
      <c r="C17593">
        <v>28420</v>
      </c>
      <c r="D17593" t="str">
        <f>"28420"</f>
        <v>28420</v>
      </c>
      <c r="E17593">
        <v>56.85</v>
      </c>
    </row>
    <row r="17594" spans="1:5" x14ac:dyDescent="0.2">
      <c r="A17594">
        <v>28421</v>
      </c>
      <c r="B17594" t="s">
        <v>33</v>
      </c>
      <c r="C17594">
        <v>28421</v>
      </c>
      <c r="D17594" t="str">
        <f>"28421"</f>
        <v>28421</v>
      </c>
      <c r="E17594">
        <v>63.64</v>
      </c>
    </row>
    <row r="17595" spans="1:5" x14ac:dyDescent="0.2">
      <c r="A17595">
        <v>28422</v>
      </c>
      <c r="B17595" t="s">
        <v>33</v>
      </c>
      <c r="C17595">
        <v>28422</v>
      </c>
      <c r="D17595" t="str">
        <f>"28422"</f>
        <v>28422</v>
      </c>
      <c r="E17595">
        <v>72.81</v>
      </c>
    </row>
    <row r="17596" spans="1:5" x14ac:dyDescent="0.2">
      <c r="A17596">
        <v>28423</v>
      </c>
      <c r="B17596" t="s">
        <v>33</v>
      </c>
      <c r="C17596">
        <v>28423</v>
      </c>
      <c r="D17596" t="str">
        <f>"28423"</f>
        <v>28423</v>
      </c>
      <c r="E17596">
        <v>62.96</v>
      </c>
    </row>
    <row r="17597" spans="1:5" x14ac:dyDescent="0.2">
      <c r="A17597">
        <v>28424</v>
      </c>
      <c r="B17597" t="s">
        <v>33</v>
      </c>
      <c r="C17597">
        <v>28424</v>
      </c>
      <c r="D17597" t="str">
        <f>"28424"</f>
        <v>28424</v>
      </c>
      <c r="E17597" t="s">
        <v>6</v>
      </c>
    </row>
    <row r="17598" spans="1:5" x14ac:dyDescent="0.2">
      <c r="A17598">
        <v>28425</v>
      </c>
      <c r="B17598" t="s">
        <v>33</v>
      </c>
      <c r="C17598">
        <v>28425</v>
      </c>
      <c r="D17598" t="str">
        <f>"28425"</f>
        <v>28425</v>
      </c>
      <c r="E17598">
        <v>63.15</v>
      </c>
    </row>
    <row r="17599" spans="1:5" x14ac:dyDescent="0.2">
      <c r="A17599">
        <v>28428</v>
      </c>
      <c r="B17599" t="s">
        <v>33</v>
      </c>
      <c r="C17599">
        <v>28428</v>
      </c>
      <c r="D17599" t="str">
        <f>"28428"</f>
        <v>28428</v>
      </c>
      <c r="E17599">
        <v>77.55</v>
      </c>
    </row>
    <row r="17600" spans="1:5" x14ac:dyDescent="0.2">
      <c r="A17600">
        <v>28429</v>
      </c>
      <c r="B17600" t="s">
        <v>33</v>
      </c>
      <c r="C17600">
        <v>28429</v>
      </c>
      <c r="D17600" t="str">
        <f>"28429"</f>
        <v>28429</v>
      </c>
      <c r="E17600">
        <v>68.849999999999994</v>
      </c>
    </row>
    <row r="17601" spans="1:5" x14ac:dyDescent="0.2">
      <c r="A17601">
        <v>28430</v>
      </c>
      <c r="B17601" t="s">
        <v>33</v>
      </c>
      <c r="C17601">
        <v>28430</v>
      </c>
      <c r="D17601" t="str">
        <f>"28430"</f>
        <v>28430</v>
      </c>
      <c r="E17601">
        <v>62.32</v>
      </c>
    </row>
    <row r="17602" spans="1:5" x14ac:dyDescent="0.2">
      <c r="A17602">
        <v>28431</v>
      </c>
      <c r="B17602" t="s">
        <v>33</v>
      </c>
      <c r="C17602">
        <v>28431</v>
      </c>
      <c r="D17602" t="str">
        <f>"28431"</f>
        <v>28431</v>
      </c>
      <c r="E17602">
        <v>56.47</v>
      </c>
    </row>
    <row r="17603" spans="1:5" x14ac:dyDescent="0.2">
      <c r="A17603">
        <v>28432</v>
      </c>
      <c r="B17603" t="s">
        <v>33</v>
      </c>
      <c r="C17603">
        <v>28432</v>
      </c>
      <c r="D17603" t="str">
        <f>"28432"</f>
        <v>28432</v>
      </c>
      <c r="E17603">
        <v>63.16</v>
      </c>
    </row>
    <row r="17604" spans="1:5" x14ac:dyDescent="0.2">
      <c r="A17604">
        <v>28433</v>
      </c>
      <c r="B17604" t="s">
        <v>33</v>
      </c>
      <c r="C17604">
        <v>28433</v>
      </c>
      <c r="D17604" t="str">
        <f>"28433"</f>
        <v>28433</v>
      </c>
      <c r="E17604">
        <v>57.14</v>
      </c>
    </row>
    <row r="17605" spans="1:5" x14ac:dyDescent="0.2">
      <c r="A17605">
        <v>28434</v>
      </c>
      <c r="B17605" t="s">
        <v>33</v>
      </c>
      <c r="C17605">
        <v>28434</v>
      </c>
      <c r="D17605" t="str">
        <f>"28434"</f>
        <v>28434</v>
      </c>
      <c r="E17605">
        <v>60</v>
      </c>
    </row>
    <row r="17606" spans="1:5" x14ac:dyDescent="0.2">
      <c r="A17606">
        <v>28435</v>
      </c>
      <c r="B17606" t="s">
        <v>33</v>
      </c>
      <c r="C17606">
        <v>28435</v>
      </c>
      <c r="D17606" t="str">
        <f>"28435"</f>
        <v>28435</v>
      </c>
      <c r="E17606">
        <v>60</v>
      </c>
    </row>
    <row r="17607" spans="1:5" x14ac:dyDescent="0.2">
      <c r="A17607">
        <v>28436</v>
      </c>
      <c r="B17607" t="s">
        <v>33</v>
      </c>
      <c r="C17607">
        <v>28436</v>
      </c>
      <c r="D17607" t="str">
        <f>"28436"</f>
        <v>28436</v>
      </c>
      <c r="E17607">
        <v>62.5</v>
      </c>
    </row>
    <row r="17608" spans="1:5" x14ac:dyDescent="0.2">
      <c r="A17608">
        <v>28438</v>
      </c>
      <c r="B17608" t="s">
        <v>33</v>
      </c>
      <c r="C17608">
        <v>28438</v>
      </c>
      <c r="D17608" t="str">
        <f>"28438"</f>
        <v>28438</v>
      </c>
      <c r="E17608">
        <v>63.93</v>
      </c>
    </row>
    <row r="17609" spans="1:5" x14ac:dyDescent="0.2">
      <c r="A17609">
        <v>28439</v>
      </c>
      <c r="B17609" t="s">
        <v>33</v>
      </c>
      <c r="C17609">
        <v>28439</v>
      </c>
      <c r="D17609" t="str">
        <f>"28439"</f>
        <v>28439</v>
      </c>
      <c r="E17609">
        <v>57.14</v>
      </c>
    </row>
    <row r="17610" spans="1:5" x14ac:dyDescent="0.2">
      <c r="A17610">
        <v>28441</v>
      </c>
      <c r="B17610" t="s">
        <v>33</v>
      </c>
      <c r="C17610">
        <v>28441</v>
      </c>
      <c r="D17610" t="str">
        <f>"28441"</f>
        <v>28441</v>
      </c>
      <c r="E17610">
        <v>54.47</v>
      </c>
    </row>
    <row r="17611" spans="1:5" x14ac:dyDescent="0.2">
      <c r="A17611">
        <v>28442</v>
      </c>
      <c r="B17611" t="s">
        <v>33</v>
      </c>
      <c r="C17611">
        <v>28442</v>
      </c>
      <c r="D17611" t="str">
        <f>"28442"</f>
        <v>28442</v>
      </c>
      <c r="E17611">
        <v>60</v>
      </c>
    </row>
    <row r="17612" spans="1:5" x14ac:dyDescent="0.2">
      <c r="A17612">
        <v>28443</v>
      </c>
      <c r="B17612" t="s">
        <v>33</v>
      </c>
      <c r="C17612">
        <v>28443</v>
      </c>
      <c r="D17612" t="str">
        <f>"28443"</f>
        <v>28443</v>
      </c>
      <c r="E17612">
        <v>74.16</v>
      </c>
    </row>
    <row r="17613" spans="1:5" x14ac:dyDescent="0.2">
      <c r="A17613">
        <v>28444</v>
      </c>
      <c r="B17613" t="s">
        <v>33</v>
      </c>
      <c r="C17613">
        <v>28444</v>
      </c>
      <c r="D17613" t="str">
        <f>"28444"</f>
        <v>28444</v>
      </c>
      <c r="E17613">
        <v>61.9</v>
      </c>
    </row>
    <row r="17614" spans="1:5" x14ac:dyDescent="0.2">
      <c r="A17614">
        <v>28445</v>
      </c>
      <c r="B17614" t="s">
        <v>33</v>
      </c>
      <c r="C17614">
        <v>28445</v>
      </c>
      <c r="D17614" t="str">
        <f>"28445"</f>
        <v>28445</v>
      </c>
      <c r="E17614">
        <v>72.81</v>
      </c>
    </row>
    <row r="17615" spans="1:5" x14ac:dyDescent="0.2">
      <c r="A17615">
        <v>28447</v>
      </c>
      <c r="B17615" t="s">
        <v>33</v>
      </c>
      <c r="C17615">
        <v>28447</v>
      </c>
      <c r="D17615" t="str">
        <f>"28447"</f>
        <v>28447</v>
      </c>
      <c r="E17615">
        <v>61.22</v>
      </c>
    </row>
    <row r="17616" spans="1:5" x14ac:dyDescent="0.2">
      <c r="A17616">
        <v>28448</v>
      </c>
      <c r="B17616" t="s">
        <v>33</v>
      </c>
      <c r="C17616">
        <v>28448</v>
      </c>
      <c r="D17616" t="str">
        <f>"28448"</f>
        <v>28448</v>
      </c>
      <c r="E17616">
        <v>56.76</v>
      </c>
    </row>
    <row r="17617" spans="1:5" x14ac:dyDescent="0.2">
      <c r="A17617">
        <v>28449</v>
      </c>
      <c r="B17617" t="s">
        <v>33</v>
      </c>
      <c r="C17617">
        <v>28449</v>
      </c>
      <c r="D17617" t="str">
        <f>"28449"</f>
        <v>28449</v>
      </c>
      <c r="E17617">
        <v>77.78</v>
      </c>
    </row>
    <row r="17618" spans="1:5" x14ac:dyDescent="0.2">
      <c r="A17618">
        <v>28450</v>
      </c>
      <c r="B17618" t="s">
        <v>33</v>
      </c>
      <c r="C17618">
        <v>28450</v>
      </c>
      <c r="D17618" t="str">
        <f>"28450"</f>
        <v>28450</v>
      </c>
      <c r="E17618">
        <v>69.66</v>
      </c>
    </row>
    <row r="17619" spans="1:5" x14ac:dyDescent="0.2">
      <c r="A17619">
        <v>28451</v>
      </c>
      <c r="B17619" t="s">
        <v>33</v>
      </c>
      <c r="C17619">
        <v>28451</v>
      </c>
      <c r="D17619" t="str">
        <f>"28451"</f>
        <v>28451</v>
      </c>
      <c r="E17619">
        <v>73.97</v>
      </c>
    </row>
    <row r="17620" spans="1:5" x14ac:dyDescent="0.2">
      <c r="A17620">
        <v>28452</v>
      </c>
      <c r="B17620" t="s">
        <v>33</v>
      </c>
      <c r="C17620">
        <v>28452</v>
      </c>
      <c r="D17620" t="str">
        <f>"28452"</f>
        <v>28452</v>
      </c>
      <c r="E17620">
        <v>51.61</v>
      </c>
    </row>
    <row r="17621" spans="1:5" x14ac:dyDescent="0.2">
      <c r="A17621">
        <v>28453</v>
      </c>
      <c r="B17621" t="s">
        <v>33</v>
      </c>
      <c r="C17621">
        <v>28453</v>
      </c>
      <c r="D17621" t="str">
        <f>"28453"</f>
        <v>28453</v>
      </c>
      <c r="E17621">
        <v>50</v>
      </c>
    </row>
    <row r="17622" spans="1:5" x14ac:dyDescent="0.2">
      <c r="A17622">
        <v>28454</v>
      </c>
      <c r="B17622" t="s">
        <v>33</v>
      </c>
      <c r="C17622">
        <v>28454</v>
      </c>
      <c r="D17622" t="str">
        <f>"28454"</f>
        <v>28454</v>
      </c>
      <c r="E17622">
        <v>63.49</v>
      </c>
    </row>
    <row r="17623" spans="1:5" x14ac:dyDescent="0.2">
      <c r="A17623">
        <v>28455</v>
      </c>
      <c r="B17623" t="s">
        <v>33</v>
      </c>
      <c r="C17623">
        <v>28455</v>
      </c>
      <c r="D17623" t="str">
        <f>"28455"</f>
        <v>28455</v>
      </c>
      <c r="E17623">
        <v>60</v>
      </c>
    </row>
    <row r="17624" spans="1:5" x14ac:dyDescent="0.2">
      <c r="A17624">
        <v>28456</v>
      </c>
      <c r="B17624" t="s">
        <v>33</v>
      </c>
      <c r="C17624">
        <v>28456</v>
      </c>
      <c r="D17624" t="str">
        <f>"28456"</f>
        <v>28456</v>
      </c>
      <c r="E17624">
        <v>60.67</v>
      </c>
    </row>
    <row r="17625" spans="1:5" x14ac:dyDescent="0.2">
      <c r="A17625">
        <v>28457</v>
      </c>
      <c r="B17625" t="s">
        <v>33</v>
      </c>
      <c r="C17625">
        <v>28457</v>
      </c>
      <c r="D17625" t="str">
        <f>"28457"</f>
        <v>28457</v>
      </c>
      <c r="E17625">
        <v>63.38</v>
      </c>
    </row>
    <row r="17626" spans="1:5" x14ac:dyDescent="0.2">
      <c r="A17626">
        <v>28458</v>
      </c>
      <c r="B17626" t="s">
        <v>33</v>
      </c>
      <c r="C17626">
        <v>28458</v>
      </c>
      <c r="D17626" t="str">
        <f>"28458"</f>
        <v>28458</v>
      </c>
      <c r="E17626">
        <v>52.63</v>
      </c>
    </row>
    <row r="17627" spans="1:5" x14ac:dyDescent="0.2">
      <c r="A17627">
        <v>28460</v>
      </c>
      <c r="B17627" t="s">
        <v>33</v>
      </c>
      <c r="C17627">
        <v>28460</v>
      </c>
      <c r="D17627" t="str">
        <f>"28460"</f>
        <v>28460</v>
      </c>
      <c r="E17627">
        <v>74.760000000000005</v>
      </c>
    </row>
    <row r="17628" spans="1:5" x14ac:dyDescent="0.2">
      <c r="A17628">
        <v>28461</v>
      </c>
      <c r="B17628" t="s">
        <v>33</v>
      </c>
      <c r="C17628">
        <v>28461</v>
      </c>
      <c r="D17628" t="str">
        <f>"28461"</f>
        <v>28461</v>
      </c>
      <c r="E17628">
        <v>77.09</v>
      </c>
    </row>
    <row r="17629" spans="1:5" x14ac:dyDescent="0.2">
      <c r="A17629">
        <v>28462</v>
      </c>
      <c r="B17629" t="s">
        <v>33</v>
      </c>
      <c r="C17629">
        <v>28462</v>
      </c>
      <c r="D17629" t="str">
        <f>"28462"</f>
        <v>28462</v>
      </c>
      <c r="E17629">
        <v>65.42</v>
      </c>
    </row>
    <row r="17630" spans="1:5" x14ac:dyDescent="0.2">
      <c r="A17630">
        <v>28463</v>
      </c>
      <c r="B17630" t="s">
        <v>33</v>
      </c>
      <c r="C17630">
        <v>28463</v>
      </c>
      <c r="D17630" t="str">
        <f>"28463"</f>
        <v>28463</v>
      </c>
      <c r="E17630">
        <v>55.4</v>
      </c>
    </row>
    <row r="17631" spans="1:5" x14ac:dyDescent="0.2">
      <c r="A17631">
        <v>28464</v>
      </c>
      <c r="B17631" t="s">
        <v>33</v>
      </c>
      <c r="C17631">
        <v>28464</v>
      </c>
      <c r="D17631" t="str">
        <f>"28464"</f>
        <v>28464</v>
      </c>
      <c r="E17631">
        <v>51.09</v>
      </c>
    </row>
    <row r="17632" spans="1:5" x14ac:dyDescent="0.2">
      <c r="A17632">
        <v>28465</v>
      </c>
      <c r="B17632" t="s">
        <v>33</v>
      </c>
      <c r="C17632">
        <v>28465</v>
      </c>
      <c r="D17632" t="str">
        <f>"28465"</f>
        <v>28465</v>
      </c>
      <c r="E17632">
        <v>76.19</v>
      </c>
    </row>
    <row r="17633" spans="1:5" x14ac:dyDescent="0.2">
      <c r="A17633">
        <v>28466</v>
      </c>
      <c r="B17633" t="s">
        <v>33</v>
      </c>
      <c r="C17633">
        <v>28466</v>
      </c>
      <c r="D17633" t="str">
        <f>"28466"</f>
        <v>28466</v>
      </c>
      <c r="E17633">
        <v>59.01</v>
      </c>
    </row>
    <row r="17634" spans="1:5" x14ac:dyDescent="0.2">
      <c r="A17634">
        <v>28467</v>
      </c>
      <c r="B17634" t="s">
        <v>33</v>
      </c>
      <c r="C17634">
        <v>28467</v>
      </c>
      <c r="D17634" t="str">
        <f>"28467"</f>
        <v>28467</v>
      </c>
      <c r="E17634">
        <v>77.489999999999995</v>
      </c>
    </row>
    <row r="17635" spans="1:5" x14ac:dyDescent="0.2">
      <c r="A17635">
        <v>28468</v>
      </c>
      <c r="B17635" t="s">
        <v>33</v>
      </c>
      <c r="C17635">
        <v>28468</v>
      </c>
      <c r="D17635" t="str">
        <f>"28468"</f>
        <v>28468</v>
      </c>
      <c r="E17635">
        <v>78.510000000000005</v>
      </c>
    </row>
    <row r="17636" spans="1:5" x14ac:dyDescent="0.2">
      <c r="A17636">
        <v>28469</v>
      </c>
      <c r="B17636" t="s">
        <v>33</v>
      </c>
      <c r="C17636">
        <v>28469</v>
      </c>
      <c r="D17636" t="str">
        <f>"28469"</f>
        <v>28469</v>
      </c>
      <c r="E17636">
        <v>75.31</v>
      </c>
    </row>
    <row r="17637" spans="1:5" x14ac:dyDescent="0.2">
      <c r="A17637">
        <v>28470</v>
      </c>
      <c r="B17637" t="s">
        <v>33</v>
      </c>
      <c r="C17637">
        <v>28470</v>
      </c>
      <c r="D17637" t="str">
        <f>"28470"</f>
        <v>28470</v>
      </c>
      <c r="E17637">
        <v>64.67</v>
      </c>
    </row>
    <row r="17638" spans="1:5" x14ac:dyDescent="0.2">
      <c r="A17638">
        <v>28472</v>
      </c>
      <c r="B17638" t="s">
        <v>33</v>
      </c>
      <c r="C17638">
        <v>28472</v>
      </c>
      <c r="D17638" t="str">
        <f>"28472"</f>
        <v>28472</v>
      </c>
      <c r="E17638">
        <v>57.55</v>
      </c>
    </row>
    <row r="17639" spans="1:5" x14ac:dyDescent="0.2">
      <c r="A17639">
        <v>28478</v>
      </c>
      <c r="B17639" t="s">
        <v>33</v>
      </c>
      <c r="C17639">
        <v>28478</v>
      </c>
      <c r="D17639" t="str">
        <f>"28478"</f>
        <v>28478</v>
      </c>
      <c r="E17639">
        <v>62.71</v>
      </c>
    </row>
    <row r="17640" spans="1:5" x14ac:dyDescent="0.2">
      <c r="A17640">
        <v>28479</v>
      </c>
      <c r="B17640" t="s">
        <v>33</v>
      </c>
      <c r="C17640">
        <v>28479</v>
      </c>
      <c r="D17640" t="str">
        <f>"28479"</f>
        <v>28479</v>
      </c>
      <c r="E17640">
        <v>73.64</v>
      </c>
    </row>
    <row r="17641" spans="1:5" x14ac:dyDescent="0.2">
      <c r="A17641">
        <v>28480</v>
      </c>
      <c r="B17641" t="s">
        <v>33</v>
      </c>
      <c r="C17641">
        <v>28480</v>
      </c>
      <c r="D17641" t="str">
        <f>"28480"</f>
        <v>28480</v>
      </c>
      <c r="E17641">
        <v>80.58</v>
      </c>
    </row>
    <row r="17642" spans="1:5" x14ac:dyDescent="0.2">
      <c r="A17642">
        <v>28501</v>
      </c>
      <c r="B17642" t="s">
        <v>33</v>
      </c>
      <c r="C17642">
        <v>28501</v>
      </c>
      <c r="D17642" t="str">
        <f>"28501"</f>
        <v>28501</v>
      </c>
      <c r="E17642">
        <v>53</v>
      </c>
    </row>
    <row r="17643" spans="1:5" x14ac:dyDescent="0.2">
      <c r="A17643">
        <v>28504</v>
      </c>
      <c r="B17643" t="s">
        <v>33</v>
      </c>
      <c r="C17643">
        <v>28504</v>
      </c>
      <c r="D17643" t="str">
        <f>"28504"</f>
        <v>28504</v>
      </c>
      <c r="E17643">
        <v>66.06</v>
      </c>
    </row>
    <row r="17644" spans="1:5" x14ac:dyDescent="0.2">
      <c r="A17644">
        <v>28508</v>
      </c>
      <c r="B17644" t="s">
        <v>33</v>
      </c>
      <c r="C17644">
        <v>28508</v>
      </c>
      <c r="D17644" t="str">
        <f>"28508"</f>
        <v>28508</v>
      </c>
      <c r="E17644">
        <v>52.17</v>
      </c>
    </row>
    <row r="17645" spans="1:5" x14ac:dyDescent="0.2">
      <c r="A17645">
        <v>28510</v>
      </c>
      <c r="B17645" t="s">
        <v>33</v>
      </c>
      <c r="C17645">
        <v>28510</v>
      </c>
      <c r="D17645" t="str">
        <f>"28510"</f>
        <v>28510</v>
      </c>
      <c r="E17645">
        <v>75.34</v>
      </c>
    </row>
    <row r="17646" spans="1:5" x14ac:dyDescent="0.2">
      <c r="A17646">
        <v>28511</v>
      </c>
      <c r="B17646" t="s">
        <v>33</v>
      </c>
      <c r="C17646">
        <v>28511</v>
      </c>
      <c r="D17646" t="str">
        <f>"28511"</f>
        <v>28511</v>
      </c>
      <c r="E17646">
        <v>70.83</v>
      </c>
    </row>
    <row r="17647" spans="1:5" x14ac:dyDescent="0.2">
      <c r="A17647">
        <v>28512</v>
      </c>
      <c r="B17647" t="s">
        <v>33</v>
      </c>
      <c r="C17647">
        <v>28512</v>
      </c>
      <c r="D17647" t="str">
        <f>"28512"</f>
        <v>28512</v>
      </c>
      <c r="E17647">
        <v>78.239999999999995</v>
      </c>
    </row>
    <row r="17648" spans="1:5" x14ac:dyDescent="0.2">
      <c r="A17648">
        <v>28513</v>
      </c>
      <c r="B17648" t="s">
        <v>33</v>
      </c>
      <c r="C17648">
        <v>28513</v>
      </c>
      <c r="D17648" t="str">
        <f>"28513"</f>
        <v>28513</v>
      </c>
      <c r="E17648">
        <v>64.89</v>
      </c>
    </row>
    <row r="17649" spans="1:5" x14ac:dyDescent="0.2">
      <c r="A17649">
        <v>28515</v>
      </c>
      <c r="B17649" t="s">
        <v>33</v>
      </c>
      <c r="C17649">
        <v>28515</v>
      </c>
      <c r="D17649" t="str">
        <f>"28515"</f>
        <v>28515</v>
      </c>
      <c r="E17649">
        <v>62.07</v>
      </c>
    </row>
    <row r="17650" spans="1:5" x14ac:dyDescent="0.2">
      <c r="A17650">
        <v>28516</v>
      </c>
      <c r="B17650" t="s">
        <v>33</v>
      </c>
      <c r="C17650">
        <v>28516</v>
      </c>
      <c r="D17650" t="str">
        <f>"28516"</f>
        <v>28516</v>
      </c>
      <c r="E17650">
        <v>71.81</v>
      </c>
    </row>
    <row r="17651" spans="1:5" x14ac:dyDescent="0.2">
      <c r="A17651">
        <v>28518</v>
      </c>
      <c r="B17651" t="s">
        <v>33</v>
      </c>
      <c r="C17651">
        <v>28518</v>
      </c>
      <c r="D17651" t="str">
        <f>"28518"</f>
        <v>28518</v>
      </c>
      <c r="E17651">
        <v>63.27</v>
      </c>
    </row>
    <row r="17652" spans="1:5" x14ac:dyDescent="0.2">
      <c r="A17652">
        <v>28520</v>
      </c>
      <c r="B17652" t="s">
        <v>33</v>
      </c>
      <c r="C17652">
        <v>28520</v>
      </c>
      <c r="D17652" t="str">
        <f>"28520"</f>
        <v>28520</v>
      </c>
      <c r="E17652">
        <v>72.73</v>
      </c>
    </row>
    <row r="17653" spans="1:5" x14ac:dyDescent="0.2">
      <c r="A17653">
        <v>28521</v>
      </c>
      <c r="B17653" t="s">
        <v>33</v>
      </c>
      <c r="C17653">
        <v>28521</v>
      </c>
      <c r="D17653" t="str">
        <f>"28521"</f>
        <v>28521</v>
      </c>
      <c r="E17653">
        <v>65.52</v>
      </c>
    </row>
    <row r="17654" spans="1:5" x14ac:dyDescent="0.2">
      <c r="A17654">
        <v>28523</v>
      </c>
      <c r="B17654" t="s">
        <v>33</v>
      </c>
      <c r="C17654">
        <v>28523</v>
      </c>
      <c r="D17654" t="str">
        <f>"28523"</f>
        <v>28523</v>
      </c>
      <c r="E17654">
        <v>68.97</v>
      </c>
    </row>
    <row r="17655" spans="1:5" x14ac:dyDescent="0.2">
      <c r="A17655">
        <v>28524</v>
      </c>
      <c r="B17655" t="s">
        <v>33</v>
      </c>
      <c r="C17655">
        <v>28524</v>
      </c>
      <c r="D17655" t="str">
        <f>"28524"</f>
        <v>28524</v>
      </c>
      <c r="E17655">
        <v>78.569999999999993</v>
      </c>
    </row>
    <row r="17656" spans="1:5" x14ac:dyDescent="0.2">
      <c r="A17656">
        <v>28525</v>
      </c>
      <c r="B17656" t="s">
        <v>33</v>
      </c>
      <c r="C17656">
        <v>28525</v>
      </c>
      <c r="D17656" t="str">
        <f>"28525"</f>
        <v>28525</v>
      </c>
      <c r="E17656">
        <v>64.39</v>
      </c>
    </row>
    <row r="17657" spans="1:5" x14ac:dyDescent="0.2">
      <c r="A17657">
        <v>28526</v>
      </c>
      <c r="B17657" t="s">
        <v>33</v>
      </c>
      <c r="C17657">
        <v>28526</v>
      </c>
      <c r="D17657" t="str">
        <f>"28526"</f>
        <v>28526</v>
      </c>
      <c r="E17657">
        <v>64.290000000000006</v>
      </c>
    </row>
    <row r="17658" spans="1:5" x14ac:dyDescent="0.2">
      <c r="A17658">
        <v>28527</v>
      </c>
      <c r="B17658" t="s">
        <v>33</v>
      </c>
      <c r="C17658">
        <v>28527</v>
      </c>
      <c r="D17658" t="str">
        <f>"28527"</f>
        <v>28527</v>
      </c>
      <c r="E17658">
        <v>72.55</v>
      </c>
    </row>
    <row r="17659" spans="1:5" x14ac:dyDescent="0.2">
      <c r="A17659">
        <v>28528</v>
      </c>
      <c r="B17659" t="s">
        <v>33</v>
      </c>
      <c r="C17659">
        <v>28528</v>
      </c>
      <c r="D17659" t="str">
        <f>"28528"</f>
        <v>28528</v>
      </c>
      <c r="E17659">
        <v>65.38</v>
      </c>
    </row>
    <row r="17660" spans="1:5" x14ac:dyDescent="0.2">
      <c r="A17660">
        <v>28529</v>
      </c>
      <c r="B17660" t="s">
        <v>33</v>
      </c>
      <c r="C17660">
        <v>28529</v>
      </c>
      <c r="D17660" t="str">
        <f>"28529"</f>
        <v>28529</v>
      </c>
      <c r="E17660">
        <v>65.91</v>
      </c>
    </row>
    <row r="17661" spans="1:5" x14ac:dyDescent="0.2">
      <c r="A17661">
        <v>28530</v>
      </c>
      <c r="B17661" t="s">
        <v>33</v>
      </c>
      <c r="C17661">
        <v>28530</v>
      </c>
      <c r="D17661" t="str">
        <f>"28530"</f>
        <v>28530</v>
      </c>
      <c r="E17661">
        <v>57.46</v>
      </c>
    </row>
    <row r="17662" spans="1:5" x14ac:dyDescent="0.2">
      <c r="A17662">
        <v>28531</v>
      </c>
      <c r="B17662" t="s">
        <v>33</v>
      </c>
      <c r="C17662">
        <v>28531</v>
      </c>
      <c r="D17662" t="str">
        <f>"28531"</f>
        <v>28531</v>
      </c>
      <c r="E17662">
        <v>74.069999999999993</v>
      </c>
    </row>
    <row r="17663" spans="1:5" x14ac:dyDescent="0.2">
      <c r="A17663">
        <v>28532</v>
      </c>
      <c r="B17663" t="s">
        <v>33</v>
      </c>
      <c r="C17663">
        <v>28532</v>
      </c>
      <c r="D17663" t="str">
        <f>"28532"</f>
        <v>28532</v>
      </c>
      <c r="E17663">
        <v>67.64</v>
      </c>
    </row>
    <row r="17664" spans="1:5" x14ac:dyDescent="0.2">
      <c r="A17664">
        <v>28537</v>
      </c>
      <c r="B17664" t="s">
        <v>33</v>
      </c>
      <c r="C17664">
        <v>28537</v>
      </c>
      <c r="D17664" t="str">
        <f>"28537"</f>
        <v>28537</v>
      </c>
      <c r="E17664" t="s">
        <v>6</v>
      </c>
    </row>
    <row r="17665" spans="1:5" x14ac:dyDescent="0.2">
      <c r="A17665">
        <v>28538</v>
      </c>
      <c r="B17665" t="s">
        <v>33</v>
      </c>
      <c r="C17665">
        <v>28538</v>
      </c>
      <c r="D17665" t="str">
        <f>"28538"</f>
        <v>28538</v>
      </c>
      <c r="E17665">
        <v>58.24</v>
      </c>
    </row>
    <row r="17666" spans="1:5" x14ac:dyDescent="0.2">
      <c r="A17666">
        <v>28539</v>
      </c>
      <c r="B17666" t="s">
        <v>33</v>
      </c>
      <c r="C17666">
        <v>28539</v>
      </c>
      <c r="D17666" t="str">
        <f>"28539"</f>
        <v>28539</v>
      </c>
      <c r="E17666">
        <v>66.81</v>
      </c>
    </row>
    <row r="17667" spans="1:5" x14ac:dyDescent="0.2">
      <c r="A17667">
        <v>28540</v>
      </c>
      <c r="B17667" t="s">
        <v>33</v>
      </c>
      <c r="C17667">
        <v>28540</v>
      </c>
      <c r="D17667" t="str">
        <f>"28540"</f>
        <v>28540</v>
      </c>
      <c r="E17667">
        <v>64.53</v>
      </c>
    </row>
    <row r="17668" spans="1:5" x14ac:dyDescent="0.2">
      <c r="A17668">
        <v>28542</v>
      </c>
      <c r="B17668" t="s">
        <v>33</v>
      </c>
      <c r="C17668">
        <v>28542</v>
      </c>
      <c r="D17668" t="str">
        <f>"28542"</f>
        <v>28542</v>
      </c>
      <c r="E17668" t="s">
        <v>6</v>
      </c>
    </row>
    <row r="17669" spans="1:5" x14ac:dyDescent="0.2">
      <c r="A17669">
        <v>28543</v>
      </c>
      <c r="B17669" t="s">
        <v>33</v>
      </c>
      <c r="C17669">
        <v>28543</v>
      </c>
      <c r="D17669" t="str">
        <f>"28543"</f>
        <v>28543</v>
      </c>
      <c r="E17669">
        <v>55.62</v>
      </c>
    </row>
    <row r="17670" spans="1:5" x14ac:dyDescent="0.2">
      <c r="A17670">
        <v>28544</v>
      </c>
      <c r="B17670" t="s">
        <v>33</v>
      </c>
      <c r="C17670">
        <v>28544</v>
      </c>
      <c r="D17670" t="str">
        <f>"28544"</f>
        <v>28544</v>
      </c>
      <c r="E17670">
        <v>57.6</v>
      </c>
    </row>
    <row r="17671" spans="1:5" x14ac:dyDescent="0.2">
      <c r="A17671">
        <v>28546</v>
      </c>
      <c r="B17671" t="s">
        <v>33</v>
      </c>
      <c r="C17671">
        <v>28546</v>
      </c>
      <c r="D17671" t="str">
        <f>"28546"</f>
        <v>28546</v>
      </c>
      <c r="E17671">
        <v>64.58</v>
      </c>
    </row>
    <row r="17672" spans="1:5" x14ac:dyDescent="0.2">
      <c r="A17672">
        <v>28547</v>
      </c>
      <c r="B17672" t="s">
        <v>33</v>
      </c>
      <c r="C17672">
        <v>28547</v>
      </c>
      <c r="D17672" t="str">
        <f>"28547"</f>
        <v>28547</v>
      </c>
      <c r="E17672">
        <v>64.959999999999994</v>
      </c>
    </row>
    <row r="17673" spans="1:5" x14ac:dyDescent="0.2">
      <c r="A17673">
        <v>28551</v>
      </c>
      <c r="B17673" t="s">
        <v>33</v>
      </c>
      <c r="C17673">
        <v>28551</v>
      </c>
      <c r="D17673" t="str">
        <f>"28551"</f>
        <v>28551</v>
      </c>
      <c r="E17673">
        <v>63.91</v>
      </c>
    </row>
    <row r="17674" spans="1:5" x14ac:dyDescent="0.2">
      <c r="A17674">
        <v>28552</v>
      </c>
      <c r="B17674" t="s">
        <v>33</v>
      </c>
      <c r="C17674">
        <v>28552</v>
      </c>
      <c r="D17674" t="str">
        <f>"28552"</f>
        <v>28552</v>
      </c>
      <c r="E17674" t="s">
        <v>6</v>
      </c>
    </row>
    <row r="17675" spans="1:5" x14ac:dyDescent="0.2">
      <c r="A17675">
        <v>28553</v>
      </c>
      <c r="B17675" t="s">
        <v>33</v>
      </c>
      <c r="C17675">
        <v>28553</v>
      </c>
      <c r="D17675" t="str">
        <f>"28553"</f>
        <v>28553</v>
      </c>
      <c r="E17675">
        <v>78.95</v>
      </c>
    </row>
    <row r="17676" spans="1:5" x14ac:dyDescent="0.2">
      <c r="A17676">
        <v>28554</v>
      </c>
      <c r="B17676" t="s">
        <v>33</v>
      </c>
      <c r="C17676">
        <v>28554</v>
      </c>
      <c r="D17676" t="str">
        <f>"28554"</f>
        <v>28554</v>
      </c>
      <c r="E17676" t="s">
        <v>6</v>
      </c>
    </row>
    <row r="17677" spans="1:5" x14ac:dyDescent="0.2">
      <c r="A17677">
        <v>28555</v>
      </c>
      <c r="B17677" t="s">
        <v>33</v>
      </c>
      <c r="C17677">
        <v>28555</v>
      </c>
      <c r="D17677" t="str">
        <f>"28555"</f>
        <v>28555</v>
      </c>
      <c r="E17677">
        <v>64.41</v>
      </c>
    </row>
    <row r="17678" spans="1:5" x14ac:dyDescent="0.2">
      <c r="A17678">
        <v>28556</v>
      </c>
      <c r="B17678" t="s">
        <v>33</v>
      </c>
      <c r="C17678">
        <v>28556</v>
      </c>
      <c r="D17678" t="str">
        <f>"28556"</f>
        <v>28556</v>
      </c>
      <c r="E17678">
        <v>76.319999999999993</v>
      </c>
    </row>
    <row r="17679" spans="1:5" x14ac:dyDescent="0.2">
      <c r="A17679">
        <v>28557</v>
      </c>
      <c r="B17679" t="s">
        <v>33</v>
      </c>
      <c r="C17679">
        <v>28557</v>
      </c>
      <c r="D17679" t="str">
        <f>"28557"</f>
        <v>28557</v>
      </c>
      <c r="E17679">
        <v>72.739999999999995</v>
      </c>
    </row>
    <row r="17680" spans="1:5" x14ac:dyDescent="0.2">
      <c r="A17680">
        <v>28560</v>
      </c>
      <c r="B17680" t="s">
        <v>33</v>
      </c>
      <c r="C17680">
        <v>28560</v>
      </c>
      <c r="D17680" t="str">
        <f>"28560"</f>
        <v>28560</v>
      </c>
      <c r="E17680">
        <v>67.83</v>
      </c>
    </row>
    <row r="17681" spans="1:5" x14ac:dyDescent="0.2">
      <c r="A17681">
        <v>28562</v>
      </c>
      <c r="B17681" t="s">
        <v>33</v>
      </c>
      <c r="C17681">
        <v>28562</v>
      </c>
      <c r="D17681" t="str">
        <f>"28562"</f>
        <v>28562</v>
      </c>
      <c r="E17681">
        <v>73.010000000000005</v>
      </c>
    </row>
    <row r="17682" spans="1:5" x14ac:dyDescent="0.2">
      <c r="A17682">
        <v>28570</v>
      </c>
      <c r="B17682" t="s">
        <v>33</v>
      </c>
      <c r="C17682">
        <v>28570</v>
      </c>
      <c r="D17682" t="str">
        <f>"28570"</f>
        <v>28570</v>
      </c>
      <c r="E17682">
        <v>68.72</v>
      </c>
    </row>
    <row r="17683" spans="1:5" x14ac:dyDescent="0.2">
      <c r="A17683">
        <v>28571</v>
      </c>
      <c r="B17683" t="s">
        <v>33</v>
      </c>
      <c r="C17683">
        <v>28571</v>
      </c>
      <c r="D17683" t="str">
        <f>"28571"</f>
        <v>28571</v>
      </c>
      <c r="E17683">
        <v>74.42</v>
      </c>
    </row>
    <row r="17684" spans="1:5" x14ac:dyDescent="0.2">
      <c r="A17684">
        <v>28572</v>
      </c>
      <c r="B17684" t="s">
        <v>33</v>
      </c>
      <c r="C17684">
        <v>28572</v>
      </c>
      <c r="D17684" t="str">
        <f>"28572"</f>
        <v>28572</v>
      </c>
      <c r="E17684">
        <v>62.8</v>
      </c>
    </row>
    <row r="17685" spans="1:5" x14ac:dyDescent="0.2">
      <c r="A17685">
        <v>28573</v>
      </c>
      <c r="B17685" t="s">
        <v>33</v>
      </c>
      <c r="C17685">
        <v>28573</v>
      </c>
      <c r="D17685" t="str">
        <f>"28573"</f>
        <v>28573</v>
      </c>
      <c r="E17685">
        <v>64.209999999999994</v>
      </c>
    </row>
    <row r="17686" spans="1:5" x14ac:dyDescent="0.2">
      <c r="A17686">
        <v>28574</v>
      </c>
      <c r="B17686" t="s">
        <v>33</v>
      </c>
      <c r="C17686">
        <v>28574</v>
      </c>
      <c r="D17686" t="str">
        <f>"28574"</f>
        <v>28574</v>
      </c>
      <c r="E17686">
        <v>62.46</v>
      </c>
    </row>
    <row r="17687" spans="1:5" x14ac:dyDescent="0.2">
      <c r="A17687">
        <v>28577</v>
      </c>
      <c r="B17687" t="s">
        <v>33</v>
      </c>
      <c r="C17687">
        <v>28577</v>
      </c>
      <c r="D17687" t="str">
        <f>"28577"</f>
        <v>28577</v>
      </c>
      <c r="E17687">
        <v>75</v>
      </c>
    </row>
    <row r="17688" spans="1:5" x14ac:dyDescent="0.2">
      <c r="A17688">
        <v>28578</v>
      </c>
      <c r="B17688" t="s">
        <v>33</v>
      </c>
      <c r="C17688">
        <v>28578</v>
      </c>
      <c r="D17688" t="str">
        <f>"28578"</f>
        <v>28578</v>
      </c>
      <c r="E17688">
        <v>52.31</v>
      </c>
    </row>
    <row r="17689" spans="1:5" x14ac:dyDescent="0.2">
      <c r="A17689">
        <v>28579</v>
      </c>
      <c r="B17689" t="s">
        <v>33</v>
      </c>
      <c r="C17689">
        <v>28579</v>
      </c>
      <c r="D17689" t="str">
        <f>"28579"</f>
        <v>28579</v>
      </c>
      <c r="E17689">
        <v>69.23</v>
      </c>
    </row>
    <row r="17690" spans="1:5" x14ac:dyDescent="0.2">
      <c r="A17690">
        <v>28580</v>
      </c>
      <c r="B17690" t="s">
        <v>33</v>
      </c>
      <c r="C17690">
        <v>28580</v>
      </c>
      <c r="D17690" t="str">
        <f>"28580"</f>
        <v>28580</v>
      </c>
      <c r="E17690">
        <v>61.61</v>
      </c>
    </row>
    <row r="17691" spans="1:5" x14ac:dyDescent="0.2">
      <c r="A17691">
        <v>28581</v>
      </c>
      <c r="B17691" t="s">
        <v>33</v>
      </c>
      <c r="C17691">
        <v>28581</v>
      </c>
      <c r="D17691" t="str">
        <f>"28581"</f>
        <v>28581</v>
      </c>
      <c r="E17691" t="s">
        <v>6</v>
      </c>
    </row>
    <row r="17692" spans="1:5" x14ac:dyDescent="0.2">
      <c r="A17692">
        <v>28582</v>
      </c>
      <c r="B17692" t="s">
        <v>33</v>
      </c>
      <c r="C17692">
        <v>28582</v>
      </c>
      <c r="D17692" t="str">
        <f>"28582"</f>
        <v>28582</v>
      </c>
      <c r="E17692">
        <v>71.11</v>
      </c>
    </row>
    <row r="17693" spans="1:5" x14ac:dyDescent="0.2">
      <c r="A17693">
        <v>28583</v>
      </c>
      <c r="B17693" t="s">
        <v>33</v>
      </c>
      <c r="C17693">
        <v>28583</v>
      </c>
      <c r="D17693" t="str">
        <f>"28583"</f>
        <v>28583</v>
      </c>
      <c r="E17693" t="s">
        <v>6</v>
      </c>
    </row>
    <row r="17694" spans="1:5" x14ac:dyDescent="0.2">
      <c r="A17694">
        <v>28584</v>
      </c>
      <c r="B17694" t="s">
        <v>33</v>
      </c>
      <c r="C17694">
        <v>28584</v>
      </c>
      <c r="D17694" t="str">
        <f>"28584"</f>
        <v>28584</v>
      </c>
      <c r="E17694">
        <v>73.11</v>
      </c>
    </row>
    <row r="17695" spans="1:5" x14ac:dyDescent="0.2">
      <c r="A17695">
        <v>28585</v>
      </c>
      <c r="B17695" t="s">
        <v>33</v>
      </c>
      <c r="C17695">
        <v>28585</v>
      </c>
      <c r="D17695" t="str">
        <f>"28585"</f>
        <v>28585</v>
      </c>
      <c r="E17695">
        <v>65.790000000000006</v>
      </c>
    </row>
    <row r="17696" spans="1:5" x14ac:dyDescent="0.2">
      <c r="A17696">
        <v>28586</v>
      </c>
      <c r="B17696" t="s">
        <v>33</v>
      </c>
      <c r="C17696">
        <v>28586</v>
      </c>
      <c r="D17696" t="str">
        <f>"28586"</f>
        <v>28586</v>
      </c>
      <c r="E17696">
        <v>63.76</v>
      </c>
    </row>
    <row r="17697" spans="1:5" x14ac:dyDescent="0.2">
      <c r="A17697">
        <v>28587</v>
      </c>
      <c r="B17697" t="s">
        <v>33</v>
      </c>
      <c r="C17697">
        <v>28587</v>
      </c>
      <c r="D17697" t="str">
        <f>"28587"</f>
        <v>28587</v>
      </c>
      <c r="E17697">
        <v>54.55</v>
      </c>
    </row>
    <row r="17698" spans="1:5" x14ac:dyDescent="0.2">
      <c r="A17698">
        <v>28590</v>
      </c>
      <c r="B17698" t="s">
        <v>33</v>
      </c>
      <c r="C17698">
        <v>28590</v>
      </c>
      <c r="D17698" t="str">
        <f>"28590"</f>
        <v>28590</v>
      </c>
      <c r="E17698">
        <v>72.86</v>
      </c>
    </row>
    <row r="17699" spans="1:5" x14ac:dyDescent="0.2">
      <c r="A17699">
        <v>28594</v>
      </c>
      <c r="B17699" t="s">
        <v>33</v>
      </c>
      <c r="C17699">
        <v>28594</v>
      </c>
      <c r="D17699" t="str">
        <f>"28594"</f>
        <v>28594</v>
      </c>
      <c r="E17699">
        <v>79.91</v>
      </c>
    </row>
    <row r="17700" spans="1:5" x14ac:dyDescent="0.2">
      <c r="A17700">
        <v>28601</v>
      </c>
      <c r="B17700" t="s">
        <v>33</v>
      </c>
      <c r="C17700">
        <v>28601</v>
      </c>
      <c r="D17700" t="str">
        <f>"28601"</f>
        <v>28601</v>
      </c>
      <c r="E17700">
        <v>70.56</v>
      </c>
    </row>
    <row r="17701" spans="1:5" x14ac:dyDescent="0.2">
      <c r="A17701">
        <v>28602</v>
      </c>
      <c r="B17701" t="s">
        <v>33</v>
      </c>
      <c r="C17701">
        <v>28602</v>
      </c>
      <c r="D17701" t="str">
        <f>"28602"</f>
        <v>28602</v>
      </c>
      <c r="E17701">
        <v>66.48</v>
      </c>
    </row>
    <row r="17702" spans="1:5" x14ac:dyDescent="0.2">
      <c r="A17702">
        <v>28604</v>
      </c>
      <c r="B17702" t="s">
        <v>33</v>
      </c>
      <c r="C17702">
        <v>28604</v>
      </c>
      <c r="D17702" t="str">
        <f>"28604"</f>
        <v>28604</v>
      </c>
      <c r="E17702">
        <v>68.58</v>
      </c>
    </row>
    <row r="17703" spans="1:5" x14ac:dyDescent="0.2">
      <c r="A17703">
        <v>28605</v>
      </c>
      <c r="B17703" t="s">
        <v>33</v>
      </c>
      <c r="C17703">
        <v>28605</v>
      </c>
      <c r="D17703" t="str">
        <f>"28605"</f>
        <v>28605</v>
      </c>
      <c r="E17703">
        <v>75.900000000000006</v>
      </c>
    </row>
    <row r="17704" spans="1:5" x14ac:dyDescent="0.2">
      <c r="A17704">
        <v>28606</v>
      </c>
      <c r="B17704" t="s">
        <v>33</v>
      </c>
      <c r="C17704">
        <v>28606</v>
      </c>
      <c r="D17704" t="str">
        <f>"28606"</f>
        <v>28606</v>
      </c>
      <c r="E17704">
        <v>65.48</v>
      </c>
    </row>
    <row r="17705" spans="1:5" x14ac:dyDescent="0.2">
      <c r="A17705">
        <v>28607</v>
      </c>
      <c r="B17705" t="s">
        <v>33</v>
      </c>
      <c r="C17705">
        <v>28607</v>
      </c>
      <c r="D17705" t="str">
        <f>"28607"</f>
        <v>28607</v>
      </c>
      <c r="E17705">
        <v>68.06</v>
      </c>
    </row>
    <row r="17706" spans="1:5" x14ac:dyDescent="0.2">
      <c r="A17706">
        <v>28608</v>
      </c>
      <c r="B17706" t="s">
        <v>33</v>
      </c>
      <c r="C17706">
        <v>28608</v>
      </c>
      <c r="D17706" t="str">
        <f>"28608"</f>
        <v>28608</v>
      </c>
      <c r="E17706" t="s">
        <v>6</v>
      </c>
    </row>
    <row r="17707" spans="1:5" x14ac:dyDescent="0.2">
      <c r="A17707">
        <v>28609</v>
      </c>
      <c r="B17707" t="s">
        <v>33</v>
      </c>
      <c r="C17707">
        <v>28609</v>
      </c>
      <c r="D17707" t="str">
        <f>"28609"</f>
        <v>28609</v>
      </c>
      <c r="E17707">
        <v>72.63</v>
      </c>
    </row>
    <row r="17708" spans="1:5" x14ac:dyDescent="0.2">
      <c r="A17708">
        <v>28610</v>
      </c>
      <c r="B17708" t="s">
        <v>33</v>
      </c>
      <c r="C17708">
        <v>28610</v>
      </c>
      <c r="D17708" t="str">
        <f>"28610"</f>
        <v>28610</v>
      </c>
      <c r="E17708">
        <v>68.53</v>
      </c>
    </row>
    <row r="17709" spans="1:5" x14ac:dyDescent="0.2">
      <c r="A17709">
        <v>28611</v>
      </c>
      <c r="B17709" t="s">
        <v>33</v>
      </c>
      <c r="C17709">
        <v>28611</v>
      </c>
      <c r="D17709" t="str">
        <f>"28611"</f>
        <v>28611</v>
      </c>
      <c r="E17709">
        <v>65.63</v>
      </c>
    </row>
    <row r="17710" spans="1:5" x14ac:dyDescent="0.2">
      <c r="A17710">
        <v>28612</v>
      </c>
      <c r="B17710" t="s">
        <v>33</v>
      </c>
      <c r="C17710">
        <v>28612</v>
      </c>
      <c r="D17710" t="str">
        <f>"28612"</f>
        <v>28612</v>
      </c>
      <c r="E17710">
        <v>67.37</v>
      </c>
    </row>
    <row r="17711" spans="1:5" x14ac:dyDescent="0.2">
      <c r="A17711">
        <v>28613</v>
      </c>
      <c r="B17711" t="s">
        <v>33</v>
      </c>
      <c r="C17711">
        <v>28613</v>
      </c>
      <c r="D17711" t="str">
        <f>"28613"</f>
        <v>28613</v>
      </c>
      <c r="E17711">
        <v>68.900000000000006</v>
      </c>
    </row>
    <row r="17712" spans="1:5" x14ac:dyDescent="0.2">
      <c r="A17712">
        <v>28615</v>
      </c>
      <c r="B17712" t="s">
        <v>33</v>
      </c>
      <c r="C17712">
        <v>28615</v>
      </c>
      <c r="D17712" t="str">
        <f>"28615"</f>
        <v>28615</v>
      </c>
      <c r="E17712">
        <v>56.16</v>
      </c>
    </row>
    <row r="17713" spans="1:5" x14ac:dyDescent="0.2">
      <c r="A17713">
        <v>28616</v>
      </c>
      <c r="B17713" t="s">
        <v>33</v>
      </c>
      <c r="C17713">
        <v>28616</v>
      </c>
      <c r="D17713" t="str">
        <f>"28616"</f>
        <v>28616</v>
      </c>
      <c r="E17713" t="s">
        <v>6</v>
      </c>
    </row>
    <row r="17714" spans="1:5" x14ac:dyDescent="0.2">
      <c r="A17714">
        <v>28617</v>
      </c>
      <c r="B17714" t="s">
        <v>33</v>
      </c>
      <c r="C17714">
        <v>28617</v>
      </c>
      <c r="D17714" t="str">
        <f>"28617"</f>
        <v>28617</v>
      </c>
      <c r="E17714">
        <v>62.79</v>
      </c>
    </row>
    <row r="17715" spans="1:5" x14ac:dyDescent="0.2">
      <c r="A17715">
        <v>28618</v>
      </c>
      <c r="B17715" t="s">
        <v>33</v>
      </c>
      <c r="C17715">
        <v>28618</v>
      </c>
      <c r="D17715" t="str">
        <f>"28618"</f>
        <v>28618</v>
      </c>
      <c r="E17715">
        <v>67.31</v>
      </c>
    </row>
    <row r="17716" spans="1:5" x14ac:dyDescent="0.2">
      <c r="A17716">
        <v>28621</v>
      </c>
      <c r="B17716" t="s">
        <v>33</v>
      </c>
      <c r="C17716">
        <v>28621</v>
      </c>
      <c r="D17716" t="str">
        <f>"28621"</f>
        <v>28621</v>
      </c>
      <c r="E17716">
        <v>65.790000000000006</v>
      </c>
    </row>
    <row r="17717" spans="1:5" x14ac:dyDescent="0.2">
      <c r="A17717">
        <v>28622</v>
      </c>
      <c r="B17717" t="s">
        <v>33</v>
      </c>
      <c r="C17717">
        <v>28622</v>
      </c>
      <c r="D17717" t="str">
        <f>"28622"</f>
        <v>28622</v>
      </c>
      <c r="E17717">
        <v>58.7</v>
      </c>
    </row>
    <row r="17718" spans="1:5" x14ac:dyDescent="0.2">
      <c r="A17718">
        <v>28623</v>
      </c>
      <c r="B17718" t="s">
        <v>33</v>
      </c>
      <c r="C17718">
        <v>28623</v>
      </c>
      <c r="D17718" t="str">
        <f>"28623"</f>
        <v>28623</v>
      </c>
      <c r="E17718">
        <v>62.69</v>
      </c>
    </row>
    <row r="17719" spans="1:5" x14ac:dyDescent="0.2">
      <c r="A17719">
        <v>28624</v>
      </c>
      <c r="B17719" t="s">
        <v>33</v>
      </c>
      <c r="C17719">
        <v>28624</v>
      </c>
      <c r="D17719" t="str">
        <f>"28624"</f>
        <v>28624</v>
      </c>
      <c r="E17719">
        <v>61.54</v>
      </c>
    </row>
    <row r="17720" spans="1:5" x14ac:dyDescent="0.2">
      <c r="A17720">
        <v>28625</v>
      </c>
      <c r="B17720" t="s">
        <v>33</v>
      </c>
      <c r="C17720">
        <v>28625</v>
      </c>
      <c r="D17720" t="str">
        <f>"28625"</f>
        <v>28625</v>
      </c>
      <c r="E17720">
        <v>69.28</v>
      </c>
    </row>
    <row r="17721" spans="1:5" x14ac:dyDescent="0.2">
      <c r="A17721">
        <v>28626</v>
      </c>
      <c r="B17721" t="s">
        <v>33</v>
      </c>
      <c r="C17721">
        <v>28626</v>
      </c>
      <c r="D17721" t="str">
        <f>"28626"</f>
        <v>28626</v>
      </c>
      <c r="E17721">
        <v>70.19</v>
      </c>
    </row>
    <row r="17722" spans="1:5" x14ac:dyDescent="0.2">
      <c r="A17722">
        <v>28627</v>
      </c>
      <c r="B17722" t="s">
        <v>33</v>
      </c>
      <c r="C17722">
        <v>28627</v>
      </c>
      <c r="D17722" t="str">
        <f>"28627"</f>
        <v>28627</v>
      </c>
      <c r="E17722">
        <v>61.54</v>
      </c>
    </row>
    <row r="17723" spans="1:5" x14ac:dyDescent="0.2">
      <c r="A17723">
        <v>28628</v>
      </c>
      <c r="B17723" t="s">
        <v>33</v>
      </c>
      <c r="C17723">
        <v>28628</v>
      </c>
      <c r="D17723" t="str">
        <f>"28628"</f>
        <v>28628</v>
      </c>
      <c r="E17723" t="s">
        <v>6</v>
      </c>
    </row>
    <row r="17724" spans="1:5" x14ac:dyDescent="0.2">
      <c r="A17724">
        <v>28629</v>
      </c>
      <c r="B17724" t="s">
        <v>33</v>
      </c>
      <c r="C17724">
        <v>28629</v>
      </c>
      <c r="D17724" t="str">
        <f>"28629"</f>
        <v>28629</v>
      </c>
      <c r="E17724" t="s">
        <v>6</v>
      </c>
    </row>
    <row r="17725" spans="1:5" x14ac:dyDescent="0.2">
      <c r="A17725">
        <v>28630</v>
      </c>
      <c r="B17725" t="s">
        <v>33</v>
      </c>
      <c r="C17725">
        <v>28630</v>
      </c>
      <c r="D17725" t="str">
        <f>"28630"</f>
        <v>28630</v>
      </c>
      <c r="E17725">
        <v>69.66</v>
      </c>
    </row>
    <row r="17726" spans="1:5" x14ac:dyDescent="0.2">
      <c r="A17726">
        <v>28631</v>
      </c>
      <c r="B17726" t="s">
        <v>33</v>
      </c>
      <c r="C17726">
        <v>28631</v>
      </c>
      <c r="D17726" t="str">
        <f>"28631"</f>
        <v>28631</v>
      </c>
      <c r="E17726">
        <v>65.38</v>
      </c>
    </row>
    <row r="17727" spans="1:5" x14ac:dyDescent="0.2">
      <c r="A17727">
        <v>28634</v>
      </c>
      <c r="B17727" t="s">
        <v>33</v>
      </c>
      <c r="C17727">
        <v>28634</v>
      </c>
      <c r="D17727" t="str">
        <f>"28634"</f>
        <v>28634</v>
      </c>
      <c r="E17727">
        <v>67.739999999999995</v>
      </c>
    </row>
    <row r="17728" spans="1:5" x14ac:dyDescent="0.2">
      <c r="A17728">
        <v>28635</v>
      </c>
      <c r="B17728" t="s">
        <v>33</v>
      </c>
      <c r="C17728">
        <v>28635</v>
      </c>
      <c r="D17728" t="str">
        <f>"28635"</f>
        <v>28635</v>
      </c>
      <c r="E17728">
        <v>64.38</v>
      </c>
    </row>
    <row r="17729" spans="1:5" x14ac:dyDescent="0.2">
      <c r="A17729">
        <v>28636</v>
      </c>
      <c r="B17729" t="s">
        <v>33</v>
      </c>
      <c r="C17729">
        <v>28636</v>
      </c>
      <c r="D17729" t="str">
        <f>"28636"</f>
        <v>28636</v>
      </c>
      <c r="E17729">
        <v>68.52</v>
      </c>
    </row>
    <row r="17730" spans="1:5" x14ac:dyDescent="0.2">
      <c r="A17730">
        <v>28637</v>
      </c>
      <c r="B17730" t="s">
        <v>33</v>
      </c>
      <c r="C17730">
        <v>28637</v>
      </c>
      <c r="D17730" t="str">
        <f>"28637"</f>
        <v>28637</v>
      </c>
      <c r="E17730">
        <v>68.27</v>
      </c>
    </row>
    <row r="17731" spans="1:5" x14ac:dyDescent="0.2">
      <c r="A17731">
        <v>28638</v>
      </c>
      <c r="B17731" t="s">
        <v>33</v>
      </c>
      <c r="C17731">
        <v>28638</v>
      </c>
      <c r="D17731" t="str">
        <f>"28638"</f>
        <v>28638</v>
      </c>
      <c r="E17731">
        <v>67.599999999999994</v>
      </c>
    </row>
    <row r="17732" spans="1:5" x14ac:dyDescent="0.2">
      <c r="A17732">
        <v>28640</v>
      </c>
      <c r="B17732" t="s">
        <v>33</v>
      </c>
      <c r="C17732">
        <v>28640</v>
      </c>
      <c r="D17732" t="str">
        <f>"28640"</f>
        <v>28640</v>
      </c>
      <c r="E17732">
        <v>65.989999999999995</v>
      </c>
    </row>
    <row r="17733" spans="1:5" x14ac:dyDescent="0.2">
      <c r="A17733">
        <v>28642</v>
      </c>
      <c r="B17733" t="s">
        <v>33</v>
      </c>
      <c r="C17733">
        <v>28642</v>
      </c>
      <c r="D17733" t="str">
        <f>"28642"</f>
        <v>28642</v>
      </c>
      <c r="E17733">
        <v>64.290000000000006</v>
      </c>
    </row>
    <row r="17734" spans="1:5" x14ac:dyDescent="0.2">
      <c r="A17734">
        <v>28643</v>
      </c>
      <c r="B17734" t="s">
        <v>33</v>
      </c>
      <c r="C17734">
        <v>28643</v>
      </c>
      <c r="D17734" t="str">
        <f>"28643"</f>
        <v>28643</v>
      </c>
      <c r="E17734">
        <v>63.49</v>
      </c>
    </row>
    <row r="17735" spans="1:5" x14ac:dyDescent="0.2">
      <c r="A17735">
        <v>28644</v>
      </c>
      <c r="B17735" t="s">
        <v>33</v>
      </c>
      <c r="C17735">
        <v>28644</v>
      </c>
      <c r="D17735" t="str">
        <f>"28644"</f>
        <v>28644</v>
      </c>
      <c r="E17735">
        <v>67.209999999999994</v>
      </c>
    </row>
    <row r="17736" spans="1:5" x14ac:dyDescent="0.2">
      <c r="A17736">
        <v>28645</v>
      </c>
      <c r="B17736" t="s">
        <v>33</v>
      </c>
      <c r="C17736">
        <v>28645</v>
      </c>
      <c r="D17736" t="str">
        <f>"28645"</f>
        <v>28645</v>
      </c>
      <c r="E17736">
        <v>64.069999999999993</v>
      </c>
    </row>
    <row r="17737" spans="1:5" x14ac:dyDescent="0.2">
      <c r="A17737">
        <v>28646</v>
      </c>
      <c r="B17737" t="s">
        <v>33</v>
      </c>
      <c r="C17737">
        <v>28646</v>
      </c>
      <c r="D17737" t="str">
        <f>"28646"</f>
        <v>28646</v>
      </c>
      <c r="E17737" t="s">
        <v>6</v>
      </c>
    </row>
    <row r="17738" spans="1:5" x14ac:dyDescent="0.2">
      <c r="A17738">
        <v>28649</v>
      </c>
      <c r="B17738" t="s">
        <v>33</v>
      </c>
      <c r="C17738">
        <v>28649</v>
      </c>
      <c r="D17738" t="str">
        <f>"28649"</f>
        <v>28649</v>
      </c>
      <c r="E17738">
        <v>67.569999999999993</v>
      </c>
    </row>
    <row r="17739" spans="1:5" x14ac:dyDescent="0.2">
      <c r="A17739">
        <v>28650</v>
      </c>
      <c r="B17739" t="s">
        <v>33</v>
      </c>
      <c r="C17739">
        <v>28650</v>
      </c>
      <c r="D17739" t="str">
        <f>"28650"</f>
        <v>28650</v>
      </c>
      <c r="E17739">
        <v>69.569999999999993</v>
      </c>
    </row>
    <row r="17740" spans="1:5" x14ac:dyDescent="0.2">
      <c r="A17740">
        <v>28651</v>
      </c>
      <c r="B17740" t="s">
        <v>33</v>
      </c>
      <c r="C17740">
        <v>28651</v>
      </c>
      <c r="D17740" t="str">
        <f>"28651"</f>
        <v>28651</v>
      </c>
      <c r="E17740">
        <v>67.16</v>
      </c>
    </row>
    <row r="17741" spans="1:5" x14ac:dyDescent="0.2">
      <c r="A17741">
        <v>28654</v>
      </c>
      <c r="B17741" t="s">
        <v>33</v>
      </c>
      <c r="C17741">
        <v>28654</v>
      </c>
      <c r="D17741" t="str">
        <f>"28654"</f>
        <v>28654</v>
      </c>
      <c r="E17741">
        <v>64.709999999999994</v>
      </c>
    </row>
    <row r="17742" spans="1:5" x14ac:dyDescent="0.2">
      <c r="A17742">
        <v>28655</v>
      </c>
      <c r="B17742" t="s">
        <v>33</v>
      </c>
      <c r="C17742">
        <v>28655</v>
      </c>
      <c r="D17742" t="str">
        <f>"28655"</f>
        <v>28655</v>
      </c>
      <c r="E17742">
        <v>66.45</v>
      </c>
    </row>
    <row r="17743" spans="1:5" x14ac:dyDescent="0.2">
      <c r="A17743">
        <v>28657</v>
      </c>
      <c r="B17743" t="s">
        <v>33</v>
      </c>
      <c r="C17743">
        <v>28657</v>
      </c>
      <c r="D17743" t="str">
        <f>"28657"</f>
        <v>28657</v>
      </c>
      <c r="E17743">
        <v>64.06</v>
      </c>
    </row>
    <row r="17744" spans="1:5" x14ac:dyDescent="0.2">
      <c r="A17744">
        <v>28658</v>
      </c>
      <c r="B17744" t="s">
        <v>33</v>
      </c>
      <c r="C17744">
        <v>28658</v>
      </c>
      <c r="D17744" t="str">
        <f>"28658"</f>
        <v>28658</v>
      </c>
      <c r="E17744">
        <v>67.73</v>
      </c>
    </row>
    <row r="17745" spans="1:5" x14ac:dyDescent="0.2">
      <c r="A17745">
        <v>28659</v>
      </c>
      <c r="B17745" t="s">
        <v>33</v>
      </c>
      <c r="C17745">
        <v>28659</v>
      </c>
      <c r="D17745" t="str">
        <f>"28659"</f>
        <v>28659</v>
      </c>
      <c r="E17745">
        <v>63.8</v>
      </c>
    </row>
    <row r="17746" spans="1:5" x14ac:dyDescent="0.2">
      <c r="A17746">
        <v>28660</v>
      </c>
      <c r="B17746" t="s">
        <v>33</v>
      </c>
      <c r="C17746">
        <v>28660</v>
      </c>
      <c r="D17746" t="str">
        <f>"28660"</f>
        <v>28660</v>
      </c>
      <c r="E17746">
        <v>68</v>
      </c>
    </row>
    <row r="17747" spans="1:5" x14ac:dyDescent="0.2">
      <c r="A17747">
        <v>28663</v>
      </c>
      <c r="B17747" t="s">
        <v>33</v>
      </c>
      <c r="C17747">
        <v>28663</v>
      </c>
      <c r="D17747" t="str">
        <f>"28663"</f>
        <v>28663</v>
      </c>
      <c r="E17747">
        <v>66.67</v>
      </c>
    </row>
    <row r="17748" spans="1:5" x14ac:dyDescent="0.2">
      <c r="A17748">
        <v>28665</v>
      </c>
      <c r="B17748" t="s">
        <v>33</v>
      </c>
      <c r="C17748">
        <v>28665</v>
      </c>
      <c r="D17748" t="str">
        <f>"28665"</f>
        <v>28665</v>
      </c>
      <c r="E17748">
        <v>68.52</v>
      </c>
    </row>
    <row r="17749" spans="1:5" x14ac:dyDescent="0.2">
      <c r="A17749">
        <v>28667</v>
      </c>
      <c r="B17749" t="s">
        <v>33</v>
      </c>
      <c r="C17749">
        <v>28667</v>
      </c>
      <c r="D17749" t="str">
        <f>"28667"</f>
        <v>28667</v>
      </c>
      <c r="E17749" t="s">
        <v>6</v>
      </c>
    </row>
    <row r="17750" spans="1:5" x14ac:dyDescent="0.2">
      <c r="A17750">
        <v>28668</v>
      </c>
      <c r="B17750" t="s">
        <v>33</v>
      </c>
      <c r="C17750">
        <v>28668</v>
      </c>
      <c r="D17750" t="str">
        <f>"28668"</f>
        <v>28668</v>
      </c>
      <c r="E17750">
        <v>81.25</v>
      </c>
    </row>
    <row r="17751" spans="1:5" x14ac:dyDescent="0.2">
      <c r="A17751">
        <v>28669</v>
      </c>
      <c r="B17751" t="s">
        <v>33</v>
      </c>
      <c r="C17751">
        <v>28669</v>
      </c>
      <c r="D17751" t="str">
        <f>"28669"</f>
        <v>28669</v>
      </c>
      <c r="E17751">
        <v>65.790000000000006</v>
      </c>
    </row>
    <row r="17752" spans="1:5" x14ac:dyDescent="0.2">
      <c r="A17752">
        <v>28670</v>
      </c>
      <c r="B17752" t="s">
        <v>33</v>
      </c>
      <c r="C17752">
        <v>28670</v>
      </c>
      <c r="D17752" t="str">
        <f>"28670"</f>
        <v>28670</v>
      </c>
      <c r="E17752">
        <v>69.72</v>
      </c>
    </row>
    <row r="17753" spans="1:5" x14ac:dyDescent="0.2">
      <c r="A17753">
        <v>28672</v>
      </c>
      <c r="B17753" t="s">
        <v>33</v>
      </c>
      <c r="C17753">
        <v>28672</v>
      </c>
      <c r="D17753" t="str">
        <f>"28672"</f>
        <v>28672</v>
      </c>
      <c r="E17753" t="s">
        <v>6</v>
      </c>
    </row>
    <row r="17754" spans="1:5" x14ac:dyDescent="0.2">
      <c r="A17754">
        <v>28673</v>
      </c>
      <c r="B17754" t="s">
        <v>33</v>
      </c>
      <c r="C17754">
        <v>28673</v>
      </c>
      <c r="D17754" t="str">
        <f>"28673"</f>
        <v>28673</v>
      </c>
      <c r="E17754">
        <v>78.62</v>
      </c>
    </row>
    <row r="17755" spans="1:5" x14ac:dyDescent="0.2">
      <c r="A17755">
        <v>28675</v>
      </c>
      <c r="B17755" t="s">
        <v>33</v>
      </c>
      <c r="C17755">
        <v>28675</v>
      </c>
      <c r="D17755" t="str">
        <f>"28675"</f>
        <v>28675</v>
      </c>
      <c r="E17755">
        <v>62.5</v>
      </c>
    </row>
    <row r="17756" spans="1:5" x14ac:dyDescent="0.2">
      <c r="A17756">
        <v>28676</v>
      </c>
      <c r="B17756" t="s">
        <v>33</v>
      </c>
      <c r="C17756">
        <v>28676</v>
      </c>
      <c r="D17756" t="str">
        <f>"28676"</f>
        <v>28676</v>
      </c>
      <c r="E17756">
        <v>70.86</v>
      </c>
    </row>
    <row r="17757" spans="1:5" x14ac:dyDescent="0.2">
      <c r="A17757">
        <v>28677</v>
      </c>
      <c r="B17757" t="s">
        <v>33</v>
      </c>
      <c r="C17757">
        <v>28677</v>
      </c>
      <c r="D17757" t="str">
        <f>"28677"</f>
        <v>28677</v>
      </c>
      <c r="E17757">
        <v>63.83</v>
      </c>
    </row>
    <row r="17758" spans="1:5" x14ac:dyDescent="0.2">
      <c r="A17758">
        <v>28678</v>
      </c>
      <c r="B17758" t="s">
        <v>33</v>
      </c>
      <c r="C17758">
        <v>28678</v>
      </c>
      <c r="D17758" t="str">
        <f>"28678"</f>
        <v>28678</v>
      </c>
      <c r="E17758">
        <v>68.08</v>
      </c>
    </row>
    <row r="17759" spans="1:5" x14ac:dyDescent="0.2">
      <c r="A17759">
        <v>28679</v>
      </c>
      <c r="B17759" t="s">
        <v>33</v>
      </c>
      <c r="C17759">
        <v>28679</v>
      </c>
      <c r="D17759" t="str">
        <f>"28679"</f>
        <v>28679</v>
      </c>
      <c r="E17759">
        <v>68.67</v>
      </c>
    </row>
    <row r="17760" spans="1:5" x14ac:dyDescent="0.2">
      <c r="A17760">
        <v>28681</v>
      </c>
      <c r="B17760" t="s">
        <v>33</v>
      </c>
      <c r="C17760">
        <v>28681</v>
      </c>
      <c r="D17760" t="str">
        <f>"28681"</f>
        <v>28681</v>
      </c>
      <c r="E17760">
        <v>69.42</v>
      </c>
    </row>
    <row r="17761" spans="1:5" x14ac:dyDescent="0.2">
      <c r="A17761">
        <v>28682</v>
      </c>
      <c r="B17761" t="s">
        <v>33</v>
      </c>
      <c r="C17761">
        <v>28682</v>
      </c>
      <c r="D17761" t="str">
        <f>"28682"</f>
        <v>28682</v>
      </c>
      <c r="E17761">
        <v>80.650000000000006</v>
      </c>
    </row>
    <row r="17762" spans="1:5" x14ac:dyDescent="0.2">
      <c r="A17762">
        <v>28683</v>
      </c>
      <c r="B17762" t="s">
        <v>33</v>
      </c>
      <c r="C17762">
        <v>28683</v>
      </c>
      <c r="D17762" t="str">
        <f>"28683"</f>
        <v>28683</v>
      </c>
      <c r="E17762">
        <v>65.709999999999994</v>
      </c>
    </row>
    <row r="17763" spans="1:5" x14ac:dyDescent="0.2">
      <c r="A17763">
        <v>28684</v>
      </c>
      <c r="B17763" t="s">
        <v>33</v>
      </c>
      <c r="C17763">
        <v>28684</v>
      </c>
      <c r="D17763" t="str">
        <f>"28684"</f>
        <v>28684</v>
      </c>
      <c r="E17763">
        <v>69.88</v>
      </c>
    </row>
    <row r="17764" spans="1:5" x14ac:dyDescent="0.2">
      <c r="A17764">
        <v>28685</v>
      </c>
      <c r="B17764" t="s">
        <v>33</v>
      </c>
      <c r="C17764">
        <v>28685</v>
      </c>
      <c r="D17764" t="str">
        <f>"28685"</f>
        <v>28685</v>
      </c>
      <c r="E17764">
        <v>66.67</v>
      </c>
    </row>
    <row r="17765" spans="1:5" x14ac:dyDescent="0.2">
      <c r="A17765">
        <v>28689</v>
      </c>
      <c r="B17765" t="s">
        <v>33</v>
      </c>
      <c r="C17765">
        <v>28689</v>
      </c>
      <c r="D17765" t="str">
        <f>"28689"</f>
        <v>28689</v>
      </c>
      <c r="E17765">
        <v>70.239999999999995</v>
      </c>
    </row>
    <row r="17766" spans="1:5" x14ac:dyDescent="0.2">
      <c r="A17766">
        <v>28690</v>
      </c>
      <c r="B17766" t="s">
        <v>33</v>
      </c>
      <c r="C17766">
        <v>28690</v>
      </c>
      <c r="D17766" t="str">
        <f>"28690"</f>
        <v>28690</v>
      </c>
      <c r="E17766">
        <v>66.75</v>
      </c>
    </row>
    <row r="17767" spans="1:5" x14ac:dyDescent="0.2">
      <c r="A17767">
        <v>28692</v>
      </c>
      <c r="B17767" t="s">
        <v>33</v>
      </c>
      <c r="C17767">
        <v>28692</v>
      </c>
      <c r="D17767" t="str">
        <f>"28692"</f>
        <v>28692</v>
      </c>
      <c r="E17767">
        <v>72.069999999999993</v>
      </c>
    </row>
    <row r="17768" spans="1:5" x14ac:dyDescent="0.2">
      <c r="A17768">
        <v>28693</v>
      </c>
      <c r="B17768" t="s">
        <v>33</v>
      </c>
      <c r="C17768">
        <v>28693</v>
      </c>
      <c r="D17768" t="str">
        <f>"28693"</f>
        <v>28693</v>
      </c>
      <c r="E17768">
        <v>60</v>
      </c>
    </row>
    <row r="17769" spans="1:5" x14ac:dyDescent="0.2">
      <c r="A17769">
        <v>28694</v>
      </c>
      <c r="B17769" t="s">
        <v>33</v>
      </c>
      <c r="C17769">
        <v>28694</v>
      </c>
      <c r="D17769" t="str">
        <f>"28694"</f>
        <v>28694</v>
      </c>
      <c r="E17769">
        <v>66.760000000000005</v>
      </c>
    </row>
    <row r="17770" spans="1:5" x14ac:dyDescent="0.2">
      <c r="A17770">
        <v>28697</v>
      </c>
      <c r="B17770" t="s">
        <v>33</v>
      </c>
      <c r="C17770">
        <v>28697</v>
      </c>
      <c r="D17770" t="str">
        <f>"28697"</f>
        <v>28697</v>
      </c>
      <c r="E17770">
        <v>68.86</v>
      </c>
    </row>
    <row r="17771" spans="1:5" x14ac:dyDescent="0.2">
      <c r="A17771">
        <v>28698</v>
      </c>
      <c r="B17771" t="s">
        <v>33</v>
      </c>
      <c r="C17771">
        <v>28698</v>
      </c>
      <c r="D17771" t="str">
        <f>"28698"</f>
        <v>28698</v>
      </c>
      <c r="E17771">
        <v>70.45</v>
      </c>
    </row>
    <row r="17772" spans="1:5" x14ac:dyDescent="0.2">
      <c r="A17772">
        <v>28701</v>
      </c>
      <c r="B17772" t="s">
        <v>33</v>
      </c>
      <c r="C17772">
        <v>28701</v>
      </c>
      <c r="D17772" t="str">
        <f>"28701"</f>
        <v>28701</v>
      </c>
      <c r="E17772">
        <v>72.25</v>
      </c>
    </row>
    <row r="17773" spans="1:5" x14ac:dyDescent="0.2">
      <c r="A17773">
        <v>28702</v>
      </c>
      <c r="B17773" t="s">
        <v>33</v>
      </c>
      <c r="C17773">
        <v>28702</v>
      </c>
      <c r="D17773" t="str">
        <f>"28702"</f>
        <v>28702</v>
      </c>
      <c r="E17773">
        <v>66.67</v>
      </c>
    </row>
    <row r="17774" spans="1:5" x14ac:dyDescent="0.2">
      <c r="A17774">
        <v>28704</v>
      </c>
      <c r="B17774" t="s">
        <v>33</v>
      </c>
      <c r="C17774">
        <v>28704</v>
      </c>
      <c r="D17774" t="str">
        <f>"28704"</f>
        <v>28704</v>
      </c>
      <c r="E17774">
        <v>74.150000000000006</v>
      </c>
    </row>
    <row r="17775" spans="1:5" x14ac:dyDescent="0.2">
      <c r="A17775">
        <v>28705</v>
      </c>
      <c r="B17775" t="s">
        <v>33</v>
      </c>
      <c r="C17775">
        <v>28705</v>
      </c>
      <c r="D17775" t="str">
        <f>"28705"</f>
        <v>28705</v>
      </c>
      <c r="E17775">
        <v>67.08</v>
      </c>
    </row>
    <row r="17776" spans="1:5" x14ac:dyDescent="0.2">
      <c r="A17776">
        <v>28707</v>
      </c>
      <c r="B17776" t="s">
        <v>33</v>
      </c>
      <c r="C17776">
        <v>28707</v>
      </c>
      <c r="D17776" t="str">
        <f>"28707"</f>
        <v>28707</v>
      </c>
      <c r="E17776" t="s">
        <v>6</v>
      </c>
    </row>
    <row r="17777" spans="1:5" x14ac:dyDescent="0.2">
      <c r="A17777">
        <v>28708</v>
      </c>
      <c r="B17777" t="s">
        <v>33</v>
      </c>
      <c r="C17777">
        <v>28708</v>
      </c>
      <c r="D17777" t="str">
        <f>"28708"</f>
        <v>28708</v>
      </c>
      <c r="E17777">
        <v>56.52</v>
      </c>
    </row>
    <row r="17778" spans="1:5" x14ac:dyDescent="0.2">
      <c r="A17778">
        <v>28709</v>
      </c>
      <c r="B17778" t="s">
        <v>33</v>
      </c>
      <c r="C17778">
        <v>28709</v>
      </c>
      <c r="D17778" t="str">
        <f>"28709"</f>
        <v>28709</v>
      </c>
      <c r="E17778">
        <v>65.260000000000005</v>
      </c>
    </row>
    <row r="17779" spans="1:5" x14ac:dyDescent="0.2">
      <c r="A17779">
        <v>28711</v>
      </c>
      <c r="B17779" t="s">
        <v>33</v>
      </c>
      <c r="C17779">
        <v>28711</v>
      </c>
      <c r="D17779" t="str">
        <f>"28711"</f>
        <v>28711</v>
      </c>
      <c r="E17779">
        <v>71.92</v>
      </c>
    </row>
    <row r="17780" spans="1:5" x14ac:dyDescent="0.2">
      <c r="A17780">
        <v>28712</v>
      </c>
      <c r="B17780" t="s">
        <v>33</v>
      </c>
      <c r="C17780">
        <v>28712</v>
      </c>
      <c r="D17780" t="str">
        <f>"28712"</f>
        <v>28712</v>
      </c>
      <c r="E17780">
        <v>70.67</v>
      </c>
    </row>
    <row r="17781" spans="1:5" x14ac:dyDescent="0.2">
      <c r="A17781">
        <v>28713</v>
      </c>
      <c r="B17781" t="s">
        <v>33</v>
      </c>
      <c r="C17781">
        <v>28713</v>
      </c>
      <c r="D17781" t="str">
        <f>"28713"</f>
        <v>28713</v>
      </c>
      <c r="E17781">
        <v>67.099999999999994</v>
      </c>
    </row>
    <row r="17782" spans="1:5" x14ac:dyDescent="0.2">
      <c r="A17782">
        <v>28714</v>
      </c>
      <c r="B17782" t="s">
        <v>33</v>
      </c>
      <c r="C17782">
        <v>28714</v>
      </c>
      <c r="D17782" t="str">
        <f>"28714"</f>
        <v>28714</v>
      </c>
      <c r="E17782">
        <v>66.67</v>
      </c>
    </row>
    <row r="17783" spans="1:5" x14ac:dyDescent="0.2">
      <c r="A17783">
        <v>28715</v>
      </c>
      <c r="B17783" t="s">
        <v>33</v>
      </c>
      <c r="C17783">
        <v>28715</v>
      </c>
      <c r="D17783" t="str">
        <f>"28715"</f>
        <v>28715</v>
      </c>
      <c r="E17783">
        <v>70.7</v>
      </c>
    </row>
    <row r="17784" spans="1:5" x14ac:dyDescent="0.2">
      <c r="A17784">
        <v>28716</v>
      </c>
      <c r="B17784" t="s">
        <v>33</v>
      </c>
      <c r="C17784">
        <v>28716</v>
      </c>
      <c r="D17784" t="str">
        <f>"28716"</f>
        <v>28716</v>
      </c>
      <c r="E17784">
        <v>69.739999999999995</v>
      </c>
    </row>
    <row r="17785" spans="1:5" x14ac:dyDescent="0.2">
      <c r="A17785">
        <v>28717</v>
      </c>
      <c r="B17785" t="s">
        <v>33</v>
      </c>
      <c r="C17785">
        <v>28717</v>
      </c>
      <c r="D17785" t="str">
        <f>"28717"</f>
        <v>28717</v>
      </c>
      <c r="E17785">
        <v>70</v>
      </c>
    </row>
    <row r="17786" spans="1:5" x14ac:dyDescent="0.2">
      <c r="A17786">
        <v>28718</v>
      </c>
      <c r="B17786" t="s">
        <v>33</v>
      </c>
      <c r="C17786">
        <v>28718</v>
      </c>
      <c r="D17786" t="str">
        <f>"28718"</f>
        <v>28718</v>
      </c>
      <c r="E17786">
        <v>65.52</v>
      </c>
    </row>
    <row r="17787" spans="1:5" x14ac:dyDescent="0.2">
      <c r="A17787">
        <v>28719</v>
      </c>
      <c r="B17787" t="s">
        <v>33</v>
      </c>
      <c r="C17787">
        <v>28719</v>
      </c>
      <c r="D17787" t="str">
        <f>"28719"</f>
        <v>28719</v>
      </c>
      <c r="E17787">
        <v>75.739999999999995</v>
      </c>
    </row>
    <row r="17788" spans="1:5" x14ac:dyDescent="0.2">
      <c r="A17788">
        <v>28720</v>
      </c>
      <c r="B17788" t="s">
        <v>33</v>
      </c>
      <c r="C17788">
        <v>28720</v>
      </c>
      <c r="D17788" t="str">
        <f>"28720"</f>
        <v>28720</v>
      </c>
      <c r="E17788" t="s">
        <v>6</v>
      </c>
    </row>
    <row r="17789" spans="1:5" x14ac:dyDescent="0.2">
      <c r="A17789">
        <v>28721</v>
      </c>
      <c r="B17789" t="s">
        <v>33</v>
      </c>
      <c r="C17789">
        <v>28721</v>
      </c>
      <c r="D17789" t="str">
        <f>"28721"</f>
        <v>28721</v>
      </c>
      <c r="E17789">
        <v>69.59</v>
      </c>
    </row>
    <row r="17790" spans="1:5" x14ac:dyDescent="0.2">
      <c r="A17790">
        <v>28722</v>
      </c>
      <c r="B17790" t="s">
        <v>33</v>
      </c>
      <c r="C17790">
        <v>28722</v>
      </c>
      <c r="D17790" t="str">
        <f>"28722"</f>
        <v>28722</v>
      </c>
      <c r="E17790">
        <v>68.14</v>
      </c>
    </row>
    <row r="17791" spans="1:5" x14ac:dyDescent="0.2">
      <c r="A17791">
        <v>28723</v>
      </c>
      <c r="B17791" t="s">
        <v>33</v>
      </c>
      <c r="C17791">
        <v>28723</v>
      </c>
      <c r="D17791" t="str">
        <f>"28723"</f>
        <v>28723</v>
      </c>
      <c r="E17791">
        <v>67.59</v>
      </c>
    </row>
    <row r="17792" spans="1:5" x14ac:dyDescent="0.2">
      <c r="A17792">
        <v>28725</v>
      </c>
      <c r="B17792" t="s">
        <v>33</v>
      </c>
      <c r="C17792">
        <v>28725</v>
      </c>
      <c r="D17792" t="str">
        <f>"28725"</f>
        <v>28725</v>
      </c>
      <c r="E17792" t="s">
        <v>6</v>
      </c>
    </row>
    <row r="17793" spans="1:5" x14ac:dyDescent="0.2">
      <c r="A17793">
        <v>28726</v>
      </c>
      <c r="B17793" t="s">
        <v>33</v>
      </c>
      <c r="C17793">
        <v>28726</v>
      </c>
      <c r="D17793" t="str">
        <f>"28726"</f>
        <v>28726</v>
      </c>
      <c r="E17793">
        <v>60.67</v>
      </c>
    </row>
    <row r="17794" spans="1:5" x14ac:dyDescent="0.2">
      <c r="A17794">
        <v>28729</v>
      </c>
      <c r="B17794" t="s">
        <v>33</v>
      </c>
      <c r="C17794">
        <v>28729</v>
      </c>
      <c r="D17794" t="str">
        <f>"28729"</f>
        <v>28729</v>
      </c>
      <c r="E17794">
        <v>73.63</v>
      </c>
    </row>
    <row r="17795" spans="1:5" x14ac:dyDescent="0.2">
      <c r="A17795">
        <v>28730</v>
      </c>
      <c r="B17795" t="s">
        <v>33</v>
      </c>
      <c r="C17795">
        <v>28730</v>
      </c>
      <c r="D17795" t="str">
        <f>"28730"</f>
        <v>28730</v>
      </c>
      <c r="E17795">
        <v>73.739999999999995</v>
      </c>
    </row>
    <row r="17796" spans="1:5" x14ac:dyDescent="0.2">
      <c r="A17796">
        <v>28731</v>
      </c>
      <c r="B17796" t="s">
        <v>33</v>
      </c>
      <c r="C17796">
        <v>28731</v>
      </c>
      <c r="D17796" t="str">
        <f>"28731"</f>
        <v>28731</v>
      </c>
      <c r="E17796">
        <v>72.489999999999995</v>
      </c>
    </row>
    <row r="17797" spans="1:5" x14ac:dyDescent="0.2">
      <c r="A17797">
        <v>28732</v>
      </c>
      <c r="B17797" t="s">
        <v>33</v>
      </c>
      <c r="C17797">
        <v>28732</v>
      </c>
      <c r="D17797" t="str">
        <f>"28732"</f>
        <v>28732</v>
      </c>
      <c r="E17797">
        <v>76.42</v>
      </c>
    </row>
    <row r="17798" spans="1:5" x14ac:dyDescent="0.2">
      <c r="A17798">
        <v>28733</v>
      </c>
      <c r="B17798" t="s">
        <v>33</v>
      </c>
      <c r="C17798">
        <v>28733</v>
      </c>
      <c r="D17798" t="str">
        <f>"28733"</f>
        <v>28733</v>
      </c>
      <c r="E17798" t="s">
        <v>6</v>
      </c>
    </row>
    <row r="17799" spans="1:5" x14ac:dyDescent="0.2">
      <c r="A17799">
        <v>28734</v>
      </c>
      <c r="B17799" t="s">
        <v>33</v>
      </c>
      <c r="C17799">
        <v>28734</v>
      </c>
      <c r="D17799" t="str">
        <f>"28734"</f>
        <v>28734</v>
      </c>
      <c r="E17799">
        <v>64.069999999999993</v>
      </c>
    </row>
    <row r="17800" spans="1:5" x14ac:dyDescent="0.2">
      <c r="A17800">
        <v>28735</v>
      </c>
      <c r="B17800" t="s">
        <v>33</v>
      </c>
      <c r="C17800">
        <v>28735</v>
      </c>
      <c r="D17800" t="str">
        <f>"28735"</f>
        <v>28735</v>
      </c>
      <c r="E17800">
        <v>78.569999999999993</v>
      </c>
    </row>
    <row r="17801" spans="1:5" x14ac:dyDescent="0.2">
      <c r="A17801">
        <v>28736</v>
      </c>
      <c r="B17801" t="s">
        <v>33</v>
      </c>
      <c r="C17801">
        <v>28736</v>
      </c>
      <c r="D17801" t="str">
        <f>"28736"</f>
        <v>28736</v>
      </c>
      <c r="E17801">
        <v>65.52</v>
      </c>
    </row>
    <row r="17802" spans="1:5" x14ac:dyDescent="0.2">
      <c r="A17802">
        <v>28739</v>
      </c>
      <c r="B17802" t="s">
        <v>33</v>
      </c>
      <c r="C17802">
        <v>28739</v>
      </c>
      <c r="D17802" t="str">
        <f>"28739"</f>
        <v>28739</v>
      </c>
      <c r="E17802">
        <v>74.42</v>
      </c>
    </row>
    <row r="17803" spans="1:5" x14ac:dyDescent="0.2">
      <c r="A17803">
        <v>28740</v>
      </c>
      <c r="B17803" t="s">
        <v>33</v>
      </c>
      <c r="C17803">
        <v>28740</v>
      </c>
      <c r="D17803" t="str">
        <f>"28740"</f>
        <v>28740</v>
      </c>
      <c r="E17803">
        <v>72.41</v>
      </c>
    </row>
    <row r="17804" spans="1:5" x14ac:dyDescent="0.2">
      <c r="A17804">
        <v>28741</v>
      </c>
      <c r="B17804" t="s">
        <v>33</v>
      </c>
      <c r="C17804">
        <v>28741</v>
      </c>
      <c r="D17804" t="str">
        <f>"28741"</f>
        <v>28741</v>
      </c>
      <c r="E17804">
        <v>72.22</v>
      </c>
    </row>
    <row r="17805" spans="1:5" x14ac:dyDescent="0.2">
      <c r="A17805">
        <v>28742</v>
      </c>
      <c r="B17805" t="s">
        <v>33</v>
      </c>
      <c r="C17805">
        <v>28742</v>
      </c>
      <c r="D17805" t="str">
        <f>"28742"</f>
        <v>28742</v>
      </c>
      <c r="E17805">
        <v>73.47</v>
      </c>
    </row>
    <row r="17806" spans="1:5" x14ac:dyDescent="0.2">
      <c r="A17806">
        <v>28743</v>
      </c>
      <c r="B17806" t="s">
        <v>33</v>
      </c>
      <c r="C17806">
        <v>28743</v>
      </c>
      <c r="D17806" t="str">
        <f>"28743"</f>
        <v>28743</v>
      </c>
      <c r="E17806">
        <v>60.71</v>
      </c>
    </row>
    <row r="17807" spans="1:5" x14ac:dyDescent="0.2">
      <c r="A17807">
        <v>28745</v>
      </c>
      <c r="B17807" t="s">
        <v>33</v>
      </c>
      <c r="C17807">
        <v>28745</v>
      </c>
      <c r="D17807" t="str">
        <f>"28745"</f>
        <v>28745</v>
      </c>
      <c r="E17807">
        <v>79.099999999999994</v>
      </c>
    </row>
    <row r="17808" spans="1:5" x14ac:dyDescent="0.2">
      <c r="A17808">
        <v>28746</v>
      </c>
      <c r="B17808" t="s">
        <v>33</v>
      </c>
      <c r="C17808">
        <v>28746</v>
      </c>
      <c r="D17808" t="str">
        <f>"28746"</f>
        <v>28746</v>
      </c>
      <c r="E17808">
        <v>73.11</v>
      </c>
    </row>
    <row r="17809" spans="1:5" x14ac:dyDescent="0.2">
      <c r="A17809">
        <v>28747</v>
      </c>
      <c r="B17809" t="s">
        <v>33</v>
      </c>
      <c r="C17809">
        <v>28747</v>
      </c>
      <c r="D17809" t="str">
        <f>"28747"</f>
        <v>28747</v>
      </c>
      <c r="E17809">
        <v>61.36</v>
      </c>
    </row>
    <row r="17810" spans="1:5" x14ac:dyDescent="0.2">
      <c r="A17810">
        <v>28748</v>
      </c>
      <c r="B17810" t="s">
        <v>33</v>
      </c>
      <c r="C17810">
        <v>28748</v>
      </c>
      <c r="D17810" t="str">
        <f>"28748"</f>
        <v>28748</v>
      </c>
      <c r="E17810">
        <v>67.959999999999994</v>
      </c>
    </row>
    <row r="17811" spans="1:5" x14ac:dyDescent="0.2">
      <c r="A17811">
        <v>28749</v>
      </c>
      <c r="B17811" t="s">
        <v>33</v>
      </c>
      <c r="C17811">
        <v>28749</v>
      </c>
      <c r="D17811" t="str">
        <f>"28749"</f>
        <v>28749</v>
      </c>
      <c r="E17811" t="s">
        <v>6</v>
      </c>
    </row>
    <row r="17812" spans="1:5" x14ac:dyDescent="0.2">
      <c r="A17812">
        <v>28751</v>
      </c>
      <c r="B17812" t="s">
        <v>33</v>
      </c>
      <c r="C17812">
        <v>28751</v>
      </c>
      <c r="D17812" t="str">
        <f>"28751"</f>
        <v>28751</v>
      </c>
      <c r="E17812">
        <v>68.28</v>
      </c>
    </row>
    <row r="17813" spans="1:5" x14ac:dyDescent="0.2">
      <c r="A17813">
        <v>28752</v>
      </c>
      <c r="B17813" t="s">
        <v>33</v>
      </c>
      <c r="C17813">
        <v>28752</v>
      </c>
      <c r="D17813" t="str">
        <f>"28752"</f>
        <v>28752</v>
      </c>
      <c r="E17813">
        <v>66.099999999999994</v>
      </c>
    </row>
    <row r="17814" spans="1:5" x14ac:dyDescent="0.2">
      <c r="A17814">
        <v>28753</v>
      </c>
      <c r="B17814" t="s">
        <v>33</v>
      </c>
      <c r="C17814">
        <v>28753</v>
      </c>
      <c r="D17814" t="str">
        <f>"28753"</f>
        <v>28753</v>
      </c>
      <c r="E17814">
        <v>66.17</v>
      </c>
    </row>
    <row r="17815" spans="1:5" x14ac:dyDescent="0.2">
      <c r="A17815">
        <v>28754</v>
      </c>
      <c r="B17815" t="s">
        <v>33</v>
      </c>
      <c r="C17815">
        <v>28754</v>
      </c>
      <c r="D17815" t="str">
        <f>"28754"</f>
        <v>28754</v>
      </c>
      <c r="E17815">
        <v>69.03</v>
      </c>
    </row>
    <row r="17816" spans="1:5" x14ac:dyDescent="0.2">
      <c r="A17816">
        <v>28756</v>
      </c>
      <c r="B17816" t="s">
        <v>33</v>
      </c>
      <c r="C17816">
        <v>28756</v>
      </c>
      <c r="D17816" t="str">
        <f>"28756"</f>
        <v>28756</v>
      </c>
      <c r="E17816">
        <v>63.84</v>
      </c>
    </row>
    <row r="17817" spans="1:5" x14ac:dyDescent="0.2">
      <c r="A17817">
        <v>28757</v>
      </c>
      <c r="B17817" t="s">
        <v>33</v>
      </c>
      <c r="C17817">
        <v>28757</v>
      </c>
      <c r="D17817" t="str">
        <f>"28757"</f>
        <v>28757</v>
      </c>
      <c r="E17817" t="s">
        <v>6</v>
      </c>
    </row>
    <row r="17818" spans="1:5" x14ac:dyDescent="0.2">
      <c r="A17818">
        <v>28759</v>
      </c>
      <c r="B17818" t="s">
        <v>33</v>
      </c>
      <c r="C17818">
        <v>28759</v>
      </c>
      <c r="D17818" t="str">
        <f>"28759"</f>
        <v>28759</v>
      </c>
      <c r="E17818">
        <v>74.930000000000007</v>
      </c>
    </row>
    <row r="17819" spans="1:5" x14ac:dyDescent="0.2">
      <c r="A17819">
        <v>28760</v>
      </c>
      <c r="B17819" t="s">
        <v>33</v>
      </c>
      <c r="C17819">
        <v>28760</v>
      </c>
      <c r="D17819" t="str">
        <f>"28760"</f>
        <v>28760</v>
      </c>
      <c r="E17819" t="s">
        <v>6</v>
      </c>
    </row>
    <row r="17820" spans="1:5" x14ac:dyDescent="0.2">
      <c r="A17820">
        <v>28761</v>
      </c>
      <c r="B17820" t="s">
        <v>33</v>
      </c>
      <c r="C17820">
        <v>28761</v>
      </c>
      <c r="D17820" t="str">
        <f>"28761"</f>
        <v>28761</v>
      </c>
      <c r="E17820">
        <v>68.06</v>
      </c>
    </row>
    <row r="17821" spans="1:5" x14ac:dyDescent="0.2">
      <c r="A17821">
        <v>28762</v>
      </c>
      <c r="B17821" t="s">
        <v>33</v>
      </c>
      <c r="C17821">
        <v>28762</v>
      </c>
      <c r="D17821" t="str">
        <f>"28762"</f>
        <v>28762</v>
      </c>
      <c r="E17821">
        <v>67.959999999999994</v>
      </c>
    </row>
    <row r="17822" spans="1:5" x14ac:dyDescent="0.2">
      <c r="A17822">
        <v>28763</v>
      </c>
      <c r="B17822" t="s">
        <v>33</v>
      </c>
      <c r="C17822">
        <v>28763</v>
      </c>
      <c r="D17822" t="str">
        <f>"28763"</f>
        <v>28763</v>
      </c>
      <c r="E17822">
        <v>64.66</v>
      </c>
    </row>
    <row r="17823" spans="1:5" x14ac:dyDescent="0.2">
      <c r="A17823">
        <v>28765</v>
      </c>
      <c r="B17823" t="s">
        <v>33</v>
      </c>
      <c r="C17823">
        <v>28765</v>
      </c>
      <c r="D17823" t="str">
        <f>"28765"</f>
        <v>28765</v>
      </c>
      <c r="E17823" t="s">
        <v>6</v>
      </c>
    </row>
    <row r="17824" spans="1:5" x14ac:dyDescent="0.2">
      <c r="A17824">
        <v>28766</v>
      </c>
      <c r="B17824" t="s">
        <v>33</v>
      </c>
      <c r="C17824">
        <v>28766</v>
      </c>
      <c r="D17824" t="str">
        <f>"28766"</f>
        <v>28766</v>
      </c>
      <c r="E17824">
        <v>72.599999999999994</v>
      </c>
    </row>
    <row r="17825" spans="1:5" x14ac:dyDescent="0.2">
      <c r="A17825">
        <v>28768</v>
      </c>
      <c r="B17825" t="s">
        <v>33</v>
      </c>
      <c r="C17825">
        <v>28768</v>
      </c>
      <c r="D17825" t="str">
        <f>"28768"</f>
        <v>28768</v>
      </c>
      <c r="E17825">
        <v>70.53</v>
      </c>
    </row>
    <row r="17826" spans="1:5" x14ac:dyDescent="0.2">
      <c r="A17826">
        <v>28771</v>
      </c>
      <c r="B17826" t="s">
        <v>33</v>
      </c>
      <c r="C17826">
        <v>28771</v>
      </c>
      <c r="D17826" t="str">
        <f>"28771"</f>
        <v>28771</v>
      </c>
      <c r="E17826">
        <v>63.01</v>
      </c>
    </row>
    <row r="17827" spans="1:5" x14ac:dyDescent="0.2">
      <c r="A17827">
        <v>28772</v>
      </c>
      <c r="B17827" t="s">
        <v>33</v>
      </c>
      <c r="C17827">
        <v>28772</v>
      </c>
      <c r="D17827" t="str">
        <f>"28772"</f>
        <v>28772</v>
      </c>
      <c r="E17827">
        <v>59.52</v>
      </c>
    </row>
    <row r="17828" spans="1:5" x14ac:dyDescent="0.2">
      <c r="A17828">
        <v>28773</v>
      </c>
      <c r="B17828" t="s">
        <v>33</v>
      </c>
      <c r="C17828">
        <v>28773</v>
      </c>
      <c r="D17828" t="str">
        <f>"28773"</f>
        <v>28773</v>
      </c>
      <c r="E17828">
        <v>70.47</v>
      </c>
    </row>
    <row r="17829" spans="1:5" x14ac:dyDescent="0.2">
      <c r="A17829">
        <v>28774</v>
      </c>
      <c r="B17829" t="s">
        <v>33</v>
      </c>
      <c r="C17829">
        <v>28774</v>
      </c>
      <c r="D17829" t="str">
        <f>"28774"</f>
        <v>28774</v>
      </c>
      <c r="E17829">
        <v>72.55</v>
      </c>
    </row>
    <row r="17830" spans="1:5" x14ac:dyDescent="0.2">
      <c r="A17830">
        <v>28775</v>
      </c>
      <c r="B17830" t="s">
        <v>33</v>
      </c>
      <c r="C17830">
        <v>28775</v>
      </c>
      <c r="D17830" t="str">
        <f>"28775"</f>
        <v>28775</v>
      </c>
      <c r="E17830">
        <v>68</v>
      </c>
    </row>
    <row r="17831" spans="1:5" x14ac:dyDescent="0.2">
      <c r="A17831">
        <v>28777</v>
      </c>
      <c r="B17831" t="s">
        <v>33</v>
      </c>
      <c r="C17831">
        <v>28777</v>
      </c>
      <c r="D17831" t="str">
        <f>"28777"</f>
        <v>28777</v>
      </c>
      <c r="E17831">
        <v>67.209999999999994</v>
      </c>
    </row>
    <row r="17832" spans="1:5" x14ac:dyDescent="0.2">
      <c r="A17832">
        <v>28778</v>
      </c>
      <c r="B17832" t="s">
        <v>33</v>
      </c>
      <c r="C17832">
        <v>28778</v>
      </c>
      <c r="D17832" t="str">
        <f>"28778"</f>
        <v>28778</v>
      </c>
      <c r="E17832">
        <v>71.34</v>
      </c>
    </row>
    <row r="17833" spans="1:5" x14ac:dyDescent="0.2">
      <c r="A17833">
        <v>28779</v>
      </c>
      <c r="B17833" t="s">
        <v>33</v>
      </c>
      <c r="C17833">
        <v>28779</v>
      </c>
      <c r="D17833" t="str">
        <f>"28779"</f>
        <v>28779</v>
      </c>
      <c r="E17833">
        <v>69.28</v>
      </c>
    </row>
    <row r="17834" spans="1:5" x14ac:dyDescent="0.2">
      <c r="A17834">
        <v>28781</v>
      </c>
      <c r="B17834" t="s">
        <v>33</v>
      </c>
      <c r="C17834">
        <v>28781</v>
      </c>
      <c r="D17834" t="str">
        <f>"28781"</f>
        <v>28781</v>
      </c>
      <c r="E17834">
        <v>69.7</v>
      </c>
    </row>
    <row r="17835" spans="1:5" x14ac:dyDescent="0.2">
      <c r="A17835">
        <v>28782</v>
      </c>
      <c r="B17835" t="s">
        <v>33</v>
      </c>
      <c r="C17835">
        <v>28782</v>
      </c>
      <c r="D17835" t="str">
        <f>"28782"</f>
        <v>28782</v>
      </c>
      <c r="E17835">
        <v>71.48</v>
      </c>
    </row>
    <row r="17836" spans="1:5" x14ac:dyDescent="0.2">
      <c r="A17836">
        <v>28783</v>
      </c>
      <c r="B17836" t="s">
        <v>33</v>
      </c>
      <c r="C17836">
        <v>28783</v>
      </c>
      <c r="D17836" t="str">
        <f>"28783"</f>
        <v>28783</v>
      </c>
      <c r="E17836">
        <v>64.81</v>
      </c>
    </row>
    <row r="17837" spans="1:5" x14ac:dyDescent="0.2">
      <c r="A17837">
        <v>28785</v>
      </c>
      <c r="B17837" t="s">
        <v>33</v>
      </c>
      <c r="C17837">
        <v>28785</v>
      </c>
      <c r="D17837" t="str">
        <f>"28785"</f>
        <v>28785</v>
      </c>
      <c r="E17837">
        <v>70.92</v>
      </c>
    </row>
    <row r="17838" spans="1:5" x14ac:dyDescent="0.2">
      <c r="A17838">
        <v>28786</v>
      </c>
      <c r="B17838" t="s">
        <v>33</v>
      </c>
      <c r="C17838">
        <v>28786</v>
      </c>
      <c r="D17838" t="str">
        <f>"28786"</f>
        <v>28786</v>
      </c>
      <c r="E17838">
        <v>68.78</v>
      </c>
    </row>
    <row r="17839" spans="1:5" x14ac:dyDescent="0.2">
      <c r="A17839">
        <v>28787</v>
      </c>
      <c r="B17839" t="s">
        <v>33</v>
      </c>
      <c r="C17839">
        <v>28787</v>
      </c>
      <c r="D17839" t="str">
        <f>"28787"</f>
        <v>28787</v>
      </c>
      <c r="E17839">
        <v>72.739999999999995</v>
      </c>
    </row>
    <row r="17840" spans="1:5" x14ac:dyDescent="0.2">
      <c r="A17840">
        <v>28789</v>
      </c>
      <c r="B17840" t="s">
        <v>33</v>
      </c>
      <c r="C17840">
        <v>28789</v>
      </c>
      <c r="D17840" t="str">
        <f>"28789"</f>
        <v>28789</v>
      </c>
      <c r="E17840">
        <v>70.569999999999993</v>
      </c>
    </row>
    <row r="17841" spans="1:5" x14ac:dyDescent="0.2">
      <c r="A17841">
        <v>28790</v>
      </c>
      <c r="B17841" t="s">
        <v>33</v>
      </c>
      <c r="C17841">
        <v>28790</v>
      </c>
      <c r="D17841" t="str">
        <f>"28790"</f>
        <v>28790</v>
      </c>
      <c r="E17841">
        <v>71.319999999999993</v>
      </c>
    </row>
    <row r="17842" spans="1:5" x14ac:dyDescent="0.2">
      <c r="A17842">
        <v>28791</v>
      </c>
      <c r="B17842" t="s">
        <v>33</v>
      </c>
      <c r="C17842">
        <v>28791</v>
      </c>
      <c r="D17842" t="str">
        <f>"28791"</f>
        <v>28791</v>
      </c>
      <c r="E17842">
        <v>74.52</v>
      </c>
    </row>
    <row r="17843" spans="1:5" x14ac:dyDescent="0.2">
      <c r="A17843">
        <v>28792</v>
      </c>
      <c r="B17843" t="s">
        <v>33</v>
      </c>
      <c r="C17843">
        <v>28792</v>
      </c>
      <c r="D17843" t="str">
        <f>"28792"</f>
        <v>28792</v>
      </c>
      <c r="E17843">
        <v>66.48</v>
      </c>
    </row>
    <row r="17844" spans="1:5" x14ac:dyDescent="0.2">
      <c r="A17844">
        <v>28801</v>
      </c>
      <c r="B17844" t="s">
        <v>33</v>
      </c>
      <c r="C17844">
        <v>28801</v>
      </c>
      <c r="D17844" t="str">
        <f>"28801"</f>
        <v>28801</v>
      </c>
      <c r="E17844">
        <v>71.03</v>
      </c>
    </row>
    <row r="17845" spans="1:5" x14ac:dyDescent="0.2">
      <c r="A17845">
        <v>28803</v>
      </c>
      <c r="B17845" t="s">
        <v>33</v>
      </c>
      <c r="C17845">
        <v>28803</v>
      </c>
      <c r="D17845" t="str">
        <f>"28803"</f>
        <v>28803</v>
      </c>
      <c r="E17845">
        <v>75.69</v>
      </c>
    </row>
    <row r="17846" spans="1:5" x14ac:dyDescent="0.2">
      <c r="A17846">
        <v>28804</v>
      </c>
      <c r="B17846" t="s">
        <v>33</v>
      </c>
      <c r="C17846">
        <v>28804</v>
      </c>
      <c r="D17846" t="str">
        <f>"28804"</f>
        <v>28804</v>
      </c>
      <c r="E17846">
        <v>75.569999999999993</v>
      </c>
    </row>
    <row r="17847" spans="1:5" x14ac:dyDescent="0.2">
      <c r="A17847">
        <v>28805</v>
      </c>
      <c r="B17847" t="s">
        <v>33</v>
      </c>
      <c r="C17847">
        <v>28805</v>
      </c>
      <c r="D17847" t="str">
        <f>"28805"</f>
        <v>28805</v>
      </c>
      <c r="E17847">
        <v>74.11</v>
      </c>
    </row>
    <row r="17848" spans="1:5" x14ac:dyDescent="0.2">
      <c r="A17848">
        <v>28806</v>
      </c>
      <c r="B17848" t="s">
        <v>33</v>
      </c>
      <c r="C17848">
        <v>28806</v>
      </c>
      <c r="D17848" t="str">
        <f>"28806"</f>
        <v>28806</v>
      </c>
      <c r="E17848">
        <v>70.099999999999994</v>
      </c>
    </row>
    <row r="17849" spans="1:5" x14ac:dyDescent="0.2">
      <c r="A17849">
        <v>28901</v>
      </c>
      <c r="B17849" t="s">
        <v>33</v>
      </c>
      <c r="C17849">
        <v>28901</v>
      </c>
      <c r="D17849" t="str">
        <f>"28901"</f>
        <v>28901</v>
      </c>
      <c r="E17849">
        <v>61.62</v>
      </c>
    </row>
    <row r="17850" spans="1:5" x14ac:dyDescent="0.2">
      <c r="A17850">
        <v>28902</v>
      </c>
      <c r="B17850" t="s">
        <v>33</v>
      </c>
      <c r="C17850">
        <v>28902</v>
      </c>
      <c r="D17850" t="str">
        <f>"28902"</f>
        <v>28902</v>
      </c>
      <c r="E17850">
        <v>66.099999999999994</v>
      </c>
    </row>
    <row r="17851" spans="1:5" x14ac:dyDescent="0.2">
      <c r="A17851">
        <v>28904</v>
      </c>
      <c r="B17851" t="s">
        <v>33</v>
      </c>
      <c r="C17851">
        <v>28904</v>
      </c>
      <c r="D17851" t="str">
        <f>"28904"</f>
        <v>28904</v>
      </c>
      <c r="E17851">
        <v>64.03</v>
      </c>
    </row>
    <row r="17852" spans="1:5" x14ac:dyDescent="0.2">
      <c r="A17852">
        <v>28905</v>
      </c>
      <c r="B17852" t="s">
        <v>33</v>
      </c>
      <c r="C17852">
        <v>28905</v>
      </c>
      <c r="D17852" t="str">
        <f>"28905"</f>
        <v>28905</v>
      </c>
      <c r="E17852">
        <v>64.17</v>
      </c>
    </row>
    <row r="17853" spans="1:5" x14ac:dyDescent="0.2">
      <c r="A17853">
        <v>28906</v>
      </c>
      <c r="B17853" t="s">
        <v>33</v>
      </c>
      <c r="C17853">
        <v>28906</v>
      </c>
      <c r="D17853" t="str">
        <f>"28906"</f>
        <v>28906</v>
      </c>
      <c r="E17853">
        <v>64.7</v>
      </c>
    </row>
    <row r="17854" spans="1:5" x14ac:dyDescent="0.2">
      <c r="A17854">
        <v>28909</v>
      </c>
      <c r="B17854" t="s">
        <v>33</v>
      </c>
      <c r="C17854">
        <v>28909</v>
      </c>
      <c r="D17854" t="str">
        <f>"28909"</f>
        <v>28909</v>
      </c>
      <c r="E17854">
        <v>64.290000000000006</v>
      </c>
    </row>
    <row r="17855" spans="1:5" x14ac:dyDescent="0.2">
      <c r="A17855">
        <v>58001</v>
      </c>
      <c r="B17855" t="s">
        <v>34</v>
      </c>
      <c r="C17855">
        <v>58001</v>
      </c>
      <c r="D17855" t="str">
        <f>"58001"</f>
        <v>58001</v>
      </c>
      <c r="E17855" t="s">
        <v>6</v>
      </c>
    </row>
    <row r="17856" spans="1:5" x14ac:dyDescent="0.2">
      <c r="A17856">
        <v>58002</v>
      </c>
      <c r="B17856" t="s">
        <v>34</v>
      </c>
      <c r="C17856">
        <v>58002</v>
      </c>
      <c r="D17856" t="str">
        <f>"58002"</f>
        <v>58002</v>
      </c>
      <c r="E17856" t="s">
        <v>6</v>
      </c>
    </row>
    <row r="17857" spans="1:5" x14ac:dyDescent="0.2">
      <c r="A17857">
        <v>58004</v>
      </c>
      <c r="B17857" t="s">
        <v>34</v>
      </c>
      <c r="C17857">
        <v>58004</v>
      </c>
      <c r="D17857" t="str">
        <f>"58004"</f>
        <v>58004</v>
      </c>
      <c r="E17857">
        <v>72.73</v>
      </c>
    </row>
    <row r="17858" spans="1:5" x14ac:dyDescent="0.2">
      <c r="A17858">
        <v>58005</v>
      </c>
      <c r="B17858" t="s">
        <v>34</v>
      </c>
      <c r="C17858">
        <v>58005</v>
      </c>
      <c r="D17858" t="str">
        <f>"58005"</f>
        <v>58005</v>
      </c>
      <c r="E17858">
        <v>82.86</v>
      </c>
    </row>
    <row r="17859" spans="1:5" x14ac:dyDescent="0.2">
      <c r="A17859">
        <v>58006</v>
      </c>
      <c r="B17859" t="s">
        <v>34</v>
      </c>
      <c r="C17859">
        <v>58006</v>
      </c>
      <c r="D17859" t="str">
        <f>"58006"</f>
        <v>58006</v>
      </c>
      <c r="E17859">
        <v>85</v>
      </c>
    </row>
    <row r="17860" spans="1:5" x14ac:dyDescent="0.2">
      <c r="A17860">
        <v>58007</v>
      </c>
      <c r="B17860" t="s">
        <v>34</v>
      </c>
      <c r="C17860">
        <v>58007</v>
      </c>
      <c r="D17860" t="str">
        <f>"58007"</f>
        <v>58007</v>
      </c>
      <c r="E17860" t="s">
        <v>6</v>
      </c>
    </row>
    <row r="17861" spans="1:5" x14ac:dyDescent="0.2">
      <c r="A17861">
        <v>58008</v>
      </c>
      <c r="B17861" t="s">
        <v>34</v>
      </c>
      <c r="C17861">
        <v>58008</v>
      </c>
      <c r="D17861" t="str">
        <f>"58008"</f>
        <v>58008</v>
      </c>
      <c r="E17861">
        <v>75</v>
      </c>
    </row>
    <row r="17862" spans="1:5" x14ac:dyDescent="0.2">
      <c r="A17862">
        <v>58009</v>
      </c>
      <c r="B17862" t="s">
        <v>34</v>
      </c>
      <c r="C17862">
        <v>58009</v>
      </c>
      <c r="D17862" t="str">
        <f>"58009"</f>
        <v>58009</v>
      </c>
      <c r="E17862" t="s">
        <v>6</v>
      </c>
    </row>
    <row r="17863" spans="1:5" x14ac:dyDescent="0.2">
      <c r="A17863">
        <v>58011</v>
      </c>
      <c r="B17863" t="s">
        <v>34</v>
      </c>
      <c r="C17863">
        <v>58011</v>
      </c>
      <c r="D17863" t="str">
        <f>"58011"</f>
        <v>58011</v>
      </c>
      <c r="E17863">
        <v>85.71</v>
      </c>
    </row>
    <row r="17864" spans="1:5" x14ac:dyDescent="0.2">
      <c r="A17864">
        <v>58012</v>
      </c>
      <c r="B17864" t="s">
        <v>34</v>
      </c>
      <c r="C17864">
        <v>58012</v>
      </c>
      <c r="D17864" t="str">
        <f>"58012"</f>
        <v>58012</v>
      </c>
      <c r="E17864">
        <v>82.91</v>
      </c>
    </row>
    <row r="17865" spans="1:5" x14ac:dyDescent="0.2">
      <c r="A17865">
        <v>58013</v>
      </c>
      <c r="B17865" t="s">
        <v>34</v>
      </c>
      <c r="C17865">
        <v>58013</v>
      </c>
      <c r="D17865" t="str">
        <f>"58013"</f>
        <v>58013</v>
      </c>
      <c r="E17865" t="s">
        <v>6</v>
      </c>
    </row>
    <row r="17866" spans="1:5" x14ac:dyDescent="0.2">
      <c r="A17866">
        <v>58015</v>
      </c>
      <c r="B17866" t="s">
        <v>34</v>
      </c>
      <c r="C17866">
        <v>58015</v>
      </c>
      <c r="D17866" t="str">
        <f>"58015"</f>
        <v>58015</v>
      </c>
      <c r="E17866">
        <v>82.35</v>
      </c>
    </row>
    <row r="17867" spans="1:5" x14ac:dyDescent="0.2">
      <c r="A17867">
        <v>58016</v>
      </c>
      <c r="B17867" t="s">
        <v>34</v>
      </c>
      <c r="C17867">
        <v>58016</v>
      </c>
      <c r="D17867" t="str">
        <f>"58016"</f>
        <v>58016</v>
      </c>
      <c r="E17867" t="s">
        <v>6</v>
      </c>
    </row>
    <row r="17868" spans="1:5" x14ac:dyDescent="0.2">
      <c r="A17868">
        <v>58017</v>
      </c>
      <c r="B17868" t="s">
        <v>34</v>
      </c>
      <c r="C17868">
        <v>58017</v>
      </c>
      <c r="D17868" t="str">
        <f>"58017"</f>
        <v>58017</v>
      </c>
      <c r="E17868">
        <v>76.92</v>
      </c>
    </row>
    <row r="17869" spans="1:5" x14ac:dyDescent="0.2">
      <c r="A17869">
        <v>58018</v>
      </c>
      <c r="B17869" t="s">
        <v>34</v>
      </c>
      <c r="C17869">
        <v>58018</v>
      </c>
      <c r="D17869" t="str">
        <f>"58018"</f>
        <v>58018</v>
      </c>
      <c r="E17869">
        <v>78.95</v>
      </c>
    </row>
    <row r="17870" spans="1:5" x14ac:dyDescent="0.2">
      <c r="A17870">
        <v>58021</v>
      </c>
      <c r="B17870" t="s">
        <v>34</v>
      </c>
      <c r="C17870">
        <v>58021</v>
      </c>
      <c r="D17870" t="str">
        <f>"58021"</f>
        <v>58021</v>
      </c>
      <c r="E17870">
        <v>77.27</v>
      </c>
    </row>
    <row r="17871" spans="1:5" x14ac:dyDescent="0.2">
      <c r="A17871">
        <v>58027</v>
      </c>
      <c r="B17871" t="s">
        <v>34</v>
      </c>
      <c r="C17871">
        <v>58027</v>
      </c>
      <c r="D17871" t="str">
        <f>"58027"</f>
        <v>58027</v>
      </c>
      <c r="E17871">
        <v>76.19</v>
      </c>
    </row>
    <row r="17872" spans="1:5" x14ac:dyDescent="0.2">
      <c r="A17872">
        <v>58029</v>
      </c>
      <c r="B17872" t="s">
        <v>34</v>
      </c>
      <c r="C17872">
        <v>58029</v>
      </c>
      <c r="D17872" t="str">
        <f>"58029"</f>
        <v>58029</v>
      </c>
      <c r="E17872" t="s">
        <v>6</v>
      </c>
    </row>
    <row r="17873" spans="1:5" x14ac:dyDescent="0.2">
      <c r="A17873">
        <v>58030</v>
      </c>
      <c r="B17873" t="s">
        <v>34</v>
      </c>
      <c r="C17873">
        <v>58030</v>
      </c>
      <c r="D17873" t="str">
        <f>"58030"</f>
        <v>58030</v>
      </c>
      <c r="E17873">
        <v>79.31</v>
      </c>
    </row>
    <row r="17874" spans="1:5" x14ac:dyDescent="0.2">
      <c r="A17874">
        <v>58031</v>
      </c>
      <c r="B17874" t="s">
        <v>34</v>
      </c>
      <c r="C17874">
        <v>58031</v>
      </c>
      <c r="D17874" t="str">
        <f>"58031"</f>
        <v>58031</v>
      </c>
      <c r="E17874">
        <v>83.33</v>
      </c>
    </row>
    <row r="17875" spans="1:5" x14ac:dyDescent="0.2">
      <c r="A17875">
        <v>58032</v>
      </c>
      <c r="B17875" t="s">
        <v>34</v>
      </c>
      <c r="C17875">
        <v>58032</v>
      </c>
      <c r="D17875" t="str">
        <f>"58032"</f>
        <v>58032</v>
      </c>
      <c r="E17875">
        <v>80</v>
      </c>
    </row>
    <row r="17876" spans="1:5" x14ac:dyDescent="0.2">
      <c r="A17876">
        <v>58033</v>
      </c>
      <c r="B17876" t="s">
        <v>34</v>
      </c>
      <c r="C17876">
        <v>58033</v>
      </c>
      <c r="D17876" t="str">
        <f>"58033"</f>
        <v>58033</v>
      </c>
      <c r="E17876">
        <v>85</v>
      </c>
    </row>
    <row r="17877" spans="1:5" x14ac:dyDescent="0.2">
      <c r="A17877">
        <v>58035</v>
      </c>
      <c r="B17877" t="s">
        <v>34</v>
      </c>
      <c r="C17877">
        <v>58035</v>
      </c>
      <c r="D17877" t="str">
        <f>"58035"</f>
        <v>58035</v>
      </c>
      <c r="E17877">
        <v>73.33</v>
      </c>
    </row>
    <row r="17878" spans="1:5" x14ac:dyDescent="0.2">
      <c r="A17878">
        <v>58036</v>
      </c>
      <c r="B17878" t="s">
        <v>34</v>
      </c>
      <c r="C17878">
        <v>58036</v>
      </c>
      <c r="D17878" t="str">
        <f>"58036"</f>
        <v>58036</v>
      </c>
      <c r="E17878">
        <v>91.67</v>
      </c>
    </row>
    <row r="17879" spans="1:5" x14ac:dyDescent="0.2">
      <c r="A17879">
        <v>58038</v>
      </c>
      <c r="B17879" t="s">
        <v>34</v>
      </c>
      <c r="C17879">
        <v>58038</v>
      </c>
      <c r="D17879" t="str">
        <f>"58038"</f>
        <v>58038</v>
      </c>
      <c r="E17879">
        <v>82.35</v>
      </c>
    </row>
    <row r="17880" spans="1:5" x14ac:dyDescent="0.2">
      <c r="A17880">
        <v>58040</v>
      </c>
      <c r="B17880" t="s">
        <v>34</v>
      </c>
      <c r="C17880">
        <v>58040</v>
      </c>
      <c r="D17880" t="str">
        <f>"58040"</f>
        <v>58040</v>
      </c>
      <c r="E17880">
        <v>83.64</v>
      </c>
    </row>
    <row r="17881" spans="1:5" x14ac:dyDescent="0.2">
      <c r="A17881">
        <v>58041</v>
      </c>
      <c r="B17881" t="s">
        <v>34</v>
      </c>
      <c r="C17881">
        <v>58041</v>
      </c>
      <c r="D17881" t="str">
        <f>"58041"</f>
        <v>58041</v>
      </c>
      <c r="E17881">
        <v>75.34</v>
      </c>
    </row>
    <row r="17882" spans="1:5" x14ac:dyDescent="0.2">
      <c r="A17882">
        <v>58042</v>
      </c>
      <c r="B17882" t="s">
        <v>34</v>
      </c>
      <c r="C17882">
        <v>58042</v>
      </c>
      <c r="D17882" t="str">
        <f>"58042"</f>
        <v>58042</v>
      </c>
      <c r="E17882">
        <v>84.93</v>
      </c>
    </row>
    <row r="17883" spans="1:5" x14ac:dyDescent="0.2">
      <c r="A17883">
        <v>58043</v>
      </c>
      <c r="B17883" t="s">
        <v>34</v>
      </c>
      <c r="C17883">
        <v>58043</v>
      </c>
      <c r="D17883" t="str">
        <f>"58043"</f>
        <v>58043</v>
      </c>
      <c r="E17883" t="s">
        <v>6</v>
      </c>
    </row>
    <row r="17884" spans="1:5" x14ac:dyDescent="0.2">
      <c r="A17884">
        <v>58045</v>
      </c>
      <c r="B17884" t="s">
        <v>34</v>
      </c>
      <c r="C17884">
        <v>58045</v>
      </c>
      <c r="D17884" t="str">
        <f>"58045"</f>
        <v>58045</v>
      </c>
      <c r="E17884">
        <v>80</v>
      </c>
    </row>
    <row r="17885" spans="1:5" x14ac:dyDescent="0.2">
      <c r="A17885">
        <v>58046</v>
      </c>
      <c r="B17885" t="s">
        <v>34</v>
      </c>
      <c r="C17885">
        <v>58046</v>
      </c>
      <c r="D17885" t="str">
        <f>"58046"</f>
        <v>58046</v>
      </c>
      <c r="E17885">
        <v>75</v>
      </c>
    </row>
    <row r="17886" spans="1:5" x14ac:dyDescent="0.2">
      <c r="A17886">
        <v>58047</v>
      </c>
      <c r="B17886" t="s">
        <v>34</v>
      </c>
      <c r="C17886">
        <v>58047</v>
      </c>
      <c r="D17886" t="str">
        <f>"58047"</f>
        <v>58047</v>
      </c>
      <c r="E17886">
        <v>82.45</v>
      </c>
    </row>
    <row r="17887" spans="1:5" x14ac:dyDescent="0.2">
      <c r="A17887">
        <v>58048</v>
      </c>
      <c r="B17887" t="s">
        <v>34</v>
      </c>
      <c r="C17887">
        <v>58048</v>
      </c>
      <c r="D17887" t="str">
        <f>"58048"</f>
        <v>58048</v>
      </c>
      <c r="E17887">
        <v>82.61</v>
      </c>
    </row>
    <row r="17888" spans="1:5" x14ac:dyDescent="0.2">
      <c r="A17888">
        <v>58049</v>
      </c>
      <c r="B17888" t="s">
        <v>34</v>
      </c>
      <c r="C17888">
        <v>58049</v>
      </c>
      <c r="D17888" t="str">
        <f>"58049"</f>
        <v>58049</v>
      </c>
      <c r="E17888">
        <v>71.430000000000007</v>
      </c>
    </row>
    <row r="17889" spans="1:5" x14ac:dyDescent="0.2">
      <c r="A17889">
        <v>58051</v>
      </c>
      <c r="B17889" t="s">
        <v>34</v>
      </c>
      <c r="C17889">
        <v>58051</v>
      </c>
      <c r="D17889" t="str">
        <f>"58051"</f>
        <v>58051</v>
      </c>
      <c r="E17889">
        <v>81.819999999999993</v>
      </c>
    </row>
    <row r="17890" spans="1:5" x14ac:dyDescent="0.2">
      <c r="A17890">
        <v>58052</v>
      </c>
      <c r="B17890" t="s">
        <v>34</v>
      </c>
      <c r="C17890">
        <v>58052</v>
      </c>
      <c r="D17890" t="str">
        <f>"58052"</f>
        <v>58052</v>
      </c>
      <c r="E17890">
        <v>78.569999999999993</v>
      </c>
    </row>
    <row r="17891" spans="1:5" x14ac:dyDescent="0.2">
      <c r="A17891">
        <v>58053</v>
      </c>
      <c r="B17891" t="s">
        <v>34</v>
      </c>
      <c r="C17891">
        <v>58053</v>
      </c>
      <c r="D17891" t="str">
        <f>"58053"</f>
        <v>58053</v>
      </c>
      <c r="E17891">
        <v>74.55</v>
      </c>
    </row>
    <row r="17892" spans="1:5" x14ac:dyDescent="0.2">
      <c r="A17892">
        <v>58054</v>
      </c>
      <c r="B17892" t="s">
        <v>34</v>
      </c>
      <c r="C17892">
        <v>58054</v>
      </c>
      <c r="D17892" t="str">
        <f>"58054"</f>
        <v>58054</v>
      </c>
      <c r="E17892">
        <v>76.58</v>
      </c>
    </row>
    <row r="17893" spans="1:5" x14ac:dyDescent="0.2">
      <c r="A17893">
        <v>58056</v>
      </c>
      <c r="B17893" t="s">
        <v>34</v>
      </c>
      <c r="C17893">
        <v>58056</v>
      </c>
      <c r="D17893" t="str">
        <f>"58056"</f>
        <v>58056</v>
      </c>
      <c r="E17893" t="s">
        <v>6</v>
      </c>
    </row>
    <row r="17894" spans="1:5" x14ac:dyDescent="0.2">
      <c r="A17894">
        <v>58057</v>
      </c>
      <c r="B17894" t="s">
        <v>34</v>
      </c>
      <c r="C17894">
        <v>58057</v>
      </c>
      <c r="D17894" t="str">
        <f>"58057"</f>
        <v>58057</v>
      </c>
      <c r="E17894" t="s">
        <v>6</v>
      </c>
    </row>
    <row r="17895" spans="1:5" x14ac:dyDescent="0.2">
      <c r="A17895">
        <v>58058</v>
      </c>
      <c r="B17895" t="s">
        <v>34</v>
      </c>
      <c r="C17895">
        <v>58058</v>
      </c>
      <c r="D17895" t="str">
        <f>"58058"</f>
        <v>58058</v>
      </c>
      <c r="E17895" t="s">
        <v>6</v>
      </c>
    </row>
    <row r="17896" spans="1:5" x14ac:dyDescent="0.2">
      <c r="A17896">
        <v>58059</v>
      </c>
      <c r="B17896" t="s">
        <v>34</v>
      </c>
      <c r="C17896">
        <v>58059</v>
      </c>
      <c r="D17896" t="str">
        <f>"58059"</f>
        <v>58059</v>
      </c>
      <c r="E17896">
        <v>81.33</v>
      </c>
    </row>
    <row r="17897" spans="1:5" x14ac:dyDescent="0.2">
      <c r="A17897">
        <v>58060</v>
      </c>
      <c r="B17897" t="s">
        <v>34</v>
      </c>
      <c r="C17897">
        <v>58060</v>
      </c>
      <c r="D17897" t="str">
        <f>"58060"</f>
        <v>58060</v>
      </c>
      <c r="E17897">
        <v>82.81</v>
      </c>
    </row>
    <row r="17898" spans="1:5" x14ac:dyDescent="0.2">
      <c r="A17898">
        <v>58061</v>
      </c>
      <c r="B17898" t="s">
        <v>34</v>
      </c>
      <c r="C17898">
        <v>58061</v>
      </c>
      <c r="D17898" t="str">
        <f>"58061"</f>
        <v>58061</v>
      </c>
      <c r="E17898">
        <v>80</v>
      </c>
    </row>
    <row r="17899" spans="1:5" x14ac:dyDescent="0.2">
      <c r="A17899">
        <v>58062</v>
      </c>
      <c r="B17899" t="s">
        <v>34</v>
      </c>
      <c r="C17899">
        <v>58062</v>
      </c>
      <c r="D17899" t="str">
        <f>"58062"</f>
        <v>58062</v>
      </c>
      <c r="E17899" t="s">
        <v>6</v>
      </c>
    </row>
    <row r="17900" spans="1:5" x14ac:dyDescent="0.2">
      <c r="A17900">
        <v>58063</v>
      </c>
      <c r="B17900" t="s">
        <v>34</v>
      </c>
      <c r="C17900">
        <v>58063</v>
      </c>
      <c r="D17900" t="str">
        <f>"58063"</f>
        <v>58063</v>
      </c>
      <c r="E17900">
        <v>75</v>
      </c>
    </row>
    <row r="17901" spans="1:5" x14ac:dyDescent="0.2">
      <c r="A17901">
        <v>58064</v>
      </c>
      <c r="B17901" t="s">
        <v>34</v>
      </c>
      <c r="C17901">
        <v>58064</v>
      </c>
      <c r="D17901" t="str">
        <f>"58064"</f>
        <v>58064</v>
      </c>
      <c r="E17901">
        <v>80.95</v>
      </c>
    </row>
    <row r="17902" spans="1:5" x14ac:dyDescent="0.2">
      <c r="A17902">
        <v>58065</v>
      </c>
      <c r="B17902" t="s">
        <v>34</v>
      </c>
      <c r="C17902">
        <v>58065</v>
      </c>
      <c r="D17902" t="str">
        <f>"58065"</f>
        <v>58065</v>
      </c>
      <c r="E17902" t="s">
        <v>6</v>
      </c>
    </row>
    <row r="17903" spans="1:5" x14ac:dyDescent="0.2">
      <c r="A17903">
        <v>58067</v>
      </c>
      <c r="B17903" t="s">
        <v>34</v>
      </c>
      <c r="C17903">
        <v>58067</v>
      </c>
      <c r="D17903" t="str">
        <f>"58067"</f>
        <v>58067</v>
      </c>
      <c r="E17903">
        <v>81.819999999999993</v>
      </c>
    </row>
    <row r="17904" spans="1:5" x14ac:dyDescent="0.2">
      <c r="A17904">
        <v>58068</v>
      </c>
      <c r="B17904" t="s">
        <v>34</v>
      </c>
      <c r="C17904">
        <v>58068</v>
      </c>
      <c r="D17904" t="str">
        <f>"58068"</f>
        <v>58068</v>
      </c>
      <c r="E17904">
        <v>78.569999999999993</v>
      </c>
    </row>
    <row r="17905" spans="1:5" x14ac:dyDescent="0.2">
      <c r="A17905">
        <v>58069</v>
      </c>
      <c r="B17905" t="s">
        <v>34</v>
      </c>
      <c r="C17905">
        <v>58069</v>
      </c>
      <c r="D17905" t="str">
        <f>"58069"</f>
        <v>58069</v>
      </c>
      <c r="E17905" t="s">
        <v>6</v>
      </c>
    </row>
    <row r="17906" spans="1:5" x14ac:dyDescent="0.2">
      <c r="A17906">
        <v>58071</v>
      </c>
      <c r="B17906" t="s">
        <v>34</v>
      </c>
      <c r="C17906">
        <v>58071</v>
      </c>
      <c r="D17906" t="str">
        <f>"58071"</f>
        <v>58071</v>
      </c>
      <c r="E17906">
        <v>76.19</v>
      </c>
    </row>
    <row r="17907" spans="1:5" x14ac:dyDescent="0.2">
      <c r="A17907">
        <v>58072</v>
      </c>
      <c r="B17907" t="s">
        <v>34</v>
      </c>
      <c r="C17907">
        <v>58072</v>
      </c>
      <c r="D17907" t="str">
        <f>"58072"</f>
        <v>58072</v>
      </c>
      <c r="E17907">
        <v>76.180000000000007</v>
      </c>
    </row>
    <row r="17908" spans="1:5" x14ac:dyDescent="0.2">
      <c r="A17908">
        <v>58075</v>
      </c>
      <c r="B17908" t="s">
        <v>34</v>
      </c>
      <c r="C17908">
        <v>58075</v>
      </c>
      <c r="D17908" t="str">
        <f>"58075"</f>
        <v>58075</v>
      </c>
      <c r="E17908">
        <v>77.59</v>
      </c>
    </row>
    <row r="17909" spans="1:5" x14ac:dyDescent="0.2">
      <c r="A17909">
        <v>58077</v>
      </c>
      <c r="B17909" t="s">
        <v>34</v>
      </c>
      <c r="C17909">
        <v>58077</v>
      </c>
      <c r="D17909" t="str">
        <f>"58077"</f>
        <v>58077</v>
      </c>
      <c r="E17909">
        <v>79.489999999999995</v>
      </c>
    </row>
    <row r="17910" spans="1:5" x14ac:dyDescent="0.2">
      <c r="A17910">
        <v>58078</v>
      </c>
      <c r="B17910" t="s">
        <v>34</v>
      </c>
      <c r="C17910">
        <v>58078</v>
      </c>
      <c r="D17910" t="str">
        <f>"58078"</f>
        <v>58078</v>
      </c>
      <c r="E17910">
        <v>81.99</v>
      </c>
    </row>
    <row r="17911" spans="1:5" x14ac:dyDescent="0.2">
      <c r="A17911">
        <v>58079</v>
      </c>
      <c r="B17911" t="s">
        <v>34</v>
      </c>
      <c r="C17911">
        <v>58079</v>
      </c>
      <c r="D17911" t="str">
        <f>"58079"</f>
        <v>58079</v>
      </c>
      <c r="E17911">
        <v>80</v>
      </c>
    </row>
    <row r="17912" spans="1:5" x14ac:dyDescent="0.2">
      <c r="A17912">
        <v>58081</v>
      </c>
      <c r="B17912" t="s">
        <v>34</v>
      </c>
      <c r="C17912">
        <v>58081</v>
      </c>
      <c r="D17912" t="str">
        <f>"58081"</f>
        <v>58081</v>
      </c>
      <c r="E17912">
        <v>79.069999999999993</v>
      </c>
    </row>
    <row r="17913" spans="1:5" x14ac:dyDescent="0.2">
      <c r="A17913">
        <v>58102</v>
      </c>
      <c r="B17913" t="s">
        <v>34</v>
      </c>
      <c r="C17913">
        <v>58102</v>
      </c>
      <c r="D17913" t="str">
        <f>"58102"</f>
        <v>58102</v>
      </c>
      <c r="E17913">
        <v>77.739999999999995</v>
      </c>
    </row>
    <row r="17914" spans="1:5" x14ac:dyDescent="0.2">
      <c r="A17914">
        <v>58103</v>
      </c>
      <c r="B17914" t="s">
        <v>34</v>
      </c>
      <c r="C17914">
        <v>58103</v>
      </c>
      <c r="D17914" t="str">
        <f>"58103"</f>
        <v>58103</v>
      </c>
      <c r="E17914">
        <v>74.989999999999995</v>
      </c>
    </row>
    <row r="17915" spans="1:5" x14ac:dyDescent="0.2">
      <c r="A17915">
        <v>58104</v>
      </c>
      <c r="B17915" t="s">
        <v>34</v>
      </c>
      <c r="C17915">
        <v>58104</v>
      </c>
      <c r="D17915" t="str">
        <f>"58104"</f>
        <v>58104</v>
      </c>
      <c r="E17915">
        <v>80.790000000000006</v>
      </c>
    </row>
    <row r="17916" spans="1:5" x14ac:dyDescent="0.2">
      <c r="A17916">
        <v>58105</v>
      </c>
      <c r="B17916" t="s">
        <v>34</v>
      </c>
      <c r="C17916">
        <v>58105</v>
      </c>
      <c r="D17916" t="str">
        <f>"58105"</f>
        <v>58105</v>
      </c>
      <c r="E17916" t="s">
        <v>6</v>
      </c>
    </row>
    <row r="17917" spans="1:5" x14ac:dyDescent="0.2">
      <c r="A17917">
        <v>58121</v>
      </c>
      <c r="B17917" t="s">
        <v>34</v>
      </c>
      <c r="C17917">
        <v>58121</v>
      </c>
      <c r="D17917" t="str">
        <f>"58121"</f>
        <v>58121</v>
      </c>
      <c r="E17917" t="s">
        <v>6</v>
      </c>
    </row>
    <row r="17918" spans="1:5" x14ac:dyDescent="0.2">
      <c r="A17918">
        <v>58201</v>
      </c>
      <c r="B17918" t="s">
        <v>34</v>
      </c>
      <c r="C17918">
        <v>58201</v>
      </c>
      <c r="D17918" t="str">
        <f>"58201"</f>
        <v>58201</v>
      </c>
      <c r="E17918">
        <v>78.45</v>
      </c>
    </row>
    <row r="17919" spans="1:5" x14ac:dyDescent="0.2">
      <c r="A17919">
        <v>58202</v>
      </c>
      <c r="B17919" t="s">
        <v>34</v>
      </c>
      <c r="C17919">
        <v>58202</v>
      </c>
      <c r="D17919" t="str">
        <f>"58202"</f>
        <v>58202</v>
      </c>
      <c r="E17919" t="s">
        <v>6</v>
      </c>
    </row>
    <row r="17920" spans="1:5" x14ac:dyDescent="0.2">
      <c r="A17920">
        <v>58203</v>
      </c>
      <c r="B17920" t="s">
        <v>34</v>
      </c>
      <c r="C17920">
        <v>58203</v>
      </c>
      <c r="D17920" t="str">
        <f>"58203"</f>
        <v>58203</v>
      </c>
      <c r="E17920">
        <v>73.3</v>
      </c>
    </row>
    <row r="17921" spans="1:5" x14ac:dyDescent="0.2">
      <c r="A17921">
        <v>58204</v>
      </c>
      <c r="B17921" t="s">
        <v>34</v>
      </c>
      <c r="C17921">
        <v>58204</v>
      </c>
      <c r="D17921" t="str">
        <f>"58204"</f>
        <v>58204</v>
      </c>
      <c r="E17921">
        <v>64.709999999999994</v>
      </c>
    </row>
    <row r="17922" spans="1:5" x14ac:dyDescent="0.2">
      <c r="A17922">
        <v>58205</v>
      </c>
      <c r="B17922" t="s">
        <v>34</v>
      </c>
      <c r="C17922">
        <v>58205</v>
      </c>
      <c r="D17922" t="str">
        <f>"58205"</f>
        <v>58205</v>
      </c>
      <c r="E17922" t="s">
        <v>6</v>
      </c>
    </row>
    <row r="17923" spans="1:5" x14ac:dyDescent="0.2">
      <c r="A17923">
        <v>58208</v>
      </c>
      <c r="B17923" t="s">
        <v>34</v>
      </c>
      <c r="C17923">
        <v>58208</v>
      </c>
      <c r="D17923" t="str">
        <f>"58208"</f>
        <v>58208</v>
      </c>
      <c r="E17923" t="s">
        <v>6</v>
      </c>
    </row>
    <row r="17924" spans="1:5" x14ac:dyDescent="0.2">
      <c r="A17924">
        <v>58210</v>
      </c>
      <c r="B17924" t="s">
        <v>34</v>
      </c>
      <c r="C17924">
        <v>58210</v>
      </c>
      <c r="D17924" t="str">
        <f>"58210"</f>
        <v>58210</v>
      </c>
      <c r="E17924">
        <v>75</v>
      </c>
    </row>
    <row r="17925" spans="1:5" x14ac:dyDescent="0.2">
      <c r="A17925">
        <v>58212</v>
      </c>
      <c r="B17925" t="s">
        <v>34</v>
      </c>
      <c r="C17925">
        <v>58212</v>
      </c>
      <c r="D17925" t="str">
        <f>"58212"</f>
        <v>58212</v>
      </c>
      <c r="E17925">
        <v>71.430000000000007</v>
      </c>
    </row>
    <row r="17926" spans="1:5" x14ac:dyDescent="0.2">
      <c r="A17926">
        <v>58214</v>
      </c>
      <c r="B17926" t="s">
        <v>34</v>
      </c>
      <c r="C17926">
        <v>58214</v>
      </c>
      <c r="D17926" t="str">
        <f>"58214"</f>
        <v>58214</v>
      </c>
      <c r="E17926">
        <v>73.680000000000007</v>
      </c>
    </row>
    <row r="17927" spans="1:5" x14ac:dyDescent="0.2">
      <c r="A17927">
        <v>58216</v>
      </c>
      <c r="B17927" t="s">
        <v>34</v>
      </c>
      <c r="C17927">
        <v>58216</v>
      </c>
      <c r="D17927" t="str">
        <f>"58216"</f>
        <v>58216</v>
      </c>
      <c r="E17927" t="s">
        <v>6</v>
      </c>
    </row>
    <row r="17928" spans="1:5" x14ac:dyDescent="0.2">
      <c r="A17928">
        <v>58218</v>
      </c>
      <c r="B17928" t="s">
        <v>34</v>
      </c>
      <c r="C17928">
        <v>58218</v>
      </c>
      <c r="D17928" t="str">
        <f>"58218"</f>
        <v>58218</v>
      </c>
      <c r="E17928">
        <v>83.33</v>
      </c>
    </row>
    <row r="17929" spans="1:5" x14ac:dyDescent="0.2">
      <c r="A17929">
        <v>58219</v>
      </c>
      <c r="B17929" t="s">
        <v>34</v>
      </c>
      <c r="C17929">
        <v>58219</v>
      </c>
      <c r="D17929" t="str">
        <f>"58219"</f>
        <v>58219</v>
      </c>
      <c r="E17929" t="s">
        <v>6</v>
      </c>
    </row>
    <row r="17930" spans="1:5" x14ac:dyDescent="0.2">
      <c r="A17930">
        <v>58220</v>
      </c>
      <c r="B17930" t="s">
        <v>34</v>
      </c>
      <c r="C17930">
        <v>58220</v>
      </c>
      <c r="D17930" t="str">
        <f>"58220"</f>
        <v>58220</v>
      </c>
      <c r="E17930">
        <v>78.7</v>
      </c>
    </row>
    <row r="17931" spans="1:5" x14ac:dyDescent="0.2">
      <c r="A17931">
        <v>58222</v>
      </c>
      <c r="B17931" t="s">
        <v>34</v>
      </c>
      <c r="C17931">
        <v>58222</v>
      </c>
      <c r="D17931" t="str">
        <f>"58222"</f>
        <v>58222</v>
      </c>
      <c r="E17931">
        <v>69.23</v>
      </c>
    </row>
    <row r="17932" spans="1:5" x14ac:dyDescent="0.2">
      <c r="A17932">
        <v>58223</v>
      </c>
      <c r="B17932" t="s">
        <v>34</v>
      </c>
      <c r="C17932">
        <v>58223</v>
      </c>
      <c r="D17932" t="str">
        <f>"58223"</f>
        <v>58223</v>
      </c>
      <c r="E17932">
        <v>75</v>
      </c>
    </row>
    <row r="17933" spans="1:5" x14ac:dyDescent="0.2">
      <c r="A17933">
        <v>58224</v>
      </c>
      <c r="B17933" t="s">
        <v>34</v>
      </c>
      <c r="C17933">
        <v>58224</v>
      </c>
      <c r="D17933" t="str">
        <f>"58224"</f>
        <v>58224</v>
      </c>
      <c r="E17933" t="s">
        <v>6</v>
      </c>
    </row>
    <row r="17934" spans="1:5" x14ac:dyDescent="0.2">
      <c r="A17934">
        <v>58225</v>
      </c>
      <c r="B17934" t="s">
        <v>34</v>
      </c>
      <c r="C17934">
        <v>58225</v>
      </c>
      <c r="D17934" t="str">
        <f>"58225"</f>
        <v>58225</v>
      </c>
      <c r="E17934">
        <v>79.59</v>
      </c>
    </row>
    <row r="17935" spans="1:5" x14ac:dyDescent="0.2">
      <c r="A17935">
        <v>58227</v>
      </c>
      <c r="B17935" t="s">
        <v>34</v>
      </c>
      <c r="C17935">
        <v>58227</v>
      </c>
      <c r="D17935" t="str">
        <f>"58227"</f>
        <v>58227</v>
      </c>
      <c r="E17935">
        <v>75</v>
      </c>
    </row>
    <row r="17936" spans="1:5" x14ac:dyDescent="0.2">
      <c r="A17936">
        <v>58228</v>
      </c>
      <c r="B17936" t="s">
        <v>34</v>
      </c>
      <c r="C17936">
        <v>58228</v>
      </c>
      <c r="D17936" t="str">
        <f>"58228"</f>
        <v>58228</v>
      </c>
      <c r="E17936">
        <v>78.72</v>
      </c>
    </row>
    <row r="17937" spans="1:5" x14ac:dyDescent="0.2">
      <c r="A17937">
        <v>58229</v>
      </c>
      <c r="B17937" t="s">
        <v>34</v>
      </c>
      <c r="C17937">
        <v>58229</v>
      </c>
      <c r="D17937" t="str">
        <f>"58229"</f>
        <v>58229</v>
      </c>
      <c r="E17937" t="s">
        <v>6</v>
      </c>
    </row>
    <row r="17938" spans="1:5" x14ac:dyDescent="0.2">
      <c r="A17938">
        <v>58230</v>
      </c>
      <c r="B17938" t="s">
        <v>34</v>
      </c>
      <c r="C17938">
        <v>58230</v>
      </c>
      <c r="D17938" t="str">
        <f>"58230"</f>
        <v>58230</v>
      </c>
      <c r="E17938">
        <v>72.22</v>
      </c>
    </row>
    <row r="17939" spans="1:5" x14ac:dyDescent="0.2">
      <c r="A17939">
        <v>58231</v>
      </c>
      <c r="B17939" t="s">
        <v>34</v>
      </c>
      <c r="C17939">
        <v>58231</v>
      </c>
      <c r="D17939" t="str">
        <f>"58231"</f>
        <v>58231</v>
      </c>
      <c r="E17939">
        <v>48.28</v>
      </c>
    </row>
    <row r="17940" spans="1:5" x14ac:dyDescent="0.2">
      <c r="A17940">
        <v>58233</v>
      </c>
      <c r="B17940" t="s">
        <v>34</v>
      </c>
      <c r="C17940">
        <v>58233</v>
      </c>
      <c r="D17940" t="str">
        <f>"58233"</f>
        <v>58233</v>
      </c>
      <c r="E17940">
        <v>80</v>
      </c>
    </row>
    <row r="17941" spans="1:5" x14ac:dyDescent="0.2">
      <c r="A17941">
        <v>58235</v>
      </c>
      <c r="B17941" t="s">
        <v>34</v>
      </c>
      <c r="C17941">
        <v>58235</v>
      </c>
      <c r="D17941" t="str">
        <f>"58235"</f>
        <v>58235</v>
      </c>
      <c r="E17941">
        <v>83.33</v>
      </c>
    </row>
    <row r="17942" spans="1:5" x14ac:dyDescent="0.2">
      <c r="A17942">
        <v>58236</v>
      </c>
      <c r="B17942" t="s">
        <v>34</v>
      </c>
      <c r="C17942">
        <v>58236</v>
      </c>
      <c r="D17942" t="str">
        <f>"58236"</f>
        <v>58236</v>
      </c>
      <c r="E17942" t="s">
        <v>6</v>
      </c>
    </row>
    <row r="17943" spans="1:5" x14ac:dyDescent="0.2">
      <c r="A17943">
        <v>58237</v>
      </c>
      <c r="B17943" t="s">
        <v>34</v>
      </c>
      <c r="C17943">
        <v>58237</v>
      </c>
      <c r="D17943" t="str">
        <f>"58237"</f>
        <v>58237</v>
      </c>
      <c r="E17943">
        <v>74.099999999999994</v>
      </c>
    </row>
    <row r="17944" spans="1:5" x14ac:dyDescent="0.2">
      <c r="A17944">
        <v>58238</v>
      </c>
      <c r="B17944" t="s">
        <v>34</v>
      </c>
      <c r="C17944">
        <v>58238</v>
      </c>
      <c r="D17944" t="str">
        <f>"58238"</f>
        <v>58238</v>
      </c>
      <c r="E17944" t="s">
        <v>6</v>
      </c>
    </row>
    <row r="17945" spans="1:5" x14ac:dyDescent="0.2">
      <c r="A17945">
        <v>58239</v>
      </c>
      <c r="B17945" t="s">
        <v>34</v>
      </c>
      <c r="C17945">
        <v>58239</v>
      </c>
      <c r="D17945" t="str">
        <f>"58239"</f>
        <v>58239</v>
      </c>
      <c r="E17945" t="s">
        <v>6</v>
      </c>
    </row>
    <row r="17946" spans="1:5" x14ac:dyDescent="0.2">
      <c r="A17946">
        <v>58240</v>
      </c>
      <c r="B17946" t="s">
        <v>34</v>
      </c>
      <c r="C17946">
        <v>58240</v>
      </c>
      <c r="D17946" t="str">
        <f>"58240"</f>
        <v>58240</v>
      </c>
      <c r="E17946">
        <v>81.03</v>
      </c>
    </row>
    <row r="17947" spans="1:5" x14ac:dyDescent="0.2">
      <c r="A17947">
        <v>58241</v>
      </c>
      <c r="B17947" t="s">
        <v>34</v>
      </c>
      <c r="C17947">
        <v>58241</v>
      </c>
      <c r="D17947" t="str">
        <f>"58241"</f>
        <v>58241</v>
      </c>
      <c r="E17947" t="s">
        <v>6</v>
      </c>
    </row>
    <row r="17948" spans="1:5" x14ac:dyDescent="0.2">
      <c r="A17948">
        <v>58243</v>
      </c>
      <c r="B17948" t="s">
        <v>34</v>
      </c>
      <c r="C17948">
        <v>58243</v>
      </c>
      <c r="D17948" t="str">
        <f>"58243"</f>
        <v>58243</v>
      </c>
      <c r="E17948">
        <v>80</v>
      </c>
    </row>
    <row r="17949" spans="1:5" x14ac:dyDescent="0.2">
      <c r="A17949">
        <v>58244</v>
      </c>
      <c r="B17949" t="s">
        <v>34</v>
      </c>
      <c r="C17949">
        <v>58244</v>
      </c>
      <c r="D17949" t="str">
        <f>"58244"</f>
        <v>58244</v>
      </c>
      <c r="E17949" t="s">
        <v>6</v>
      </c>
    </row>
    <row r="17950" spans="1:5" x14ac:dyDescent="0.2">
      <c r="A17950">
        <v>58249</v>
      </c>
      <c r="B17950" t="s">
        <v>34</v>
      </c>
      <c r="C17950">
        <v>58249</v>
      </c>
      <c r="D17950" t="str">
        <f>"58249"</f>
        <v>58249</v>
      </c>
      <c r="E17950">
        <v>78.400000000000006</v>
      </c>
    </row>
    <row r="17951" spans="1:5" x14ac:dyDescent="0.2">
      <c r="A17951">
        <v>58250</v>
      </c>
      <c r="B17951" t="s">
        <v>34</v>
      </c>
      <c r="C17951">
        <v>58250</v>
      </c>
      <c r="D17951" t="str">
        <f>"58250"</f>
        <v>58250</v>
      </c>
      <c r="E17951">
        <v>80</v>
      </c>
    </row>
    <row r="17952" spans="1:5" x14ac:dyDescent="0.2">
      <c r="A17952">
        <v>58251</v>
      </c>
      <c r="B17952" t="s">
        <v>34</v>
      </c>
      <c r="C17952">
        <v>58251</v>
      </c>
      <c r="D17952" t="str">
        <f>"58251"</f>
        <v>58251</v>
      </c>
      <c r="E17952">
        <v>76.290000000000006</v>
      </c>
    </row>
    <row r="17953" spans="1:5" x14ac:dyDescent="0.2">
      <c r="A17953">
        <v>58254</v>
      </c>
      <c r="B17953" t="s">
        <v>34</v>
      </c>
      <c r="C17953">
        <v>58254</v>
      </c>
      <c r="D17953" t="str">
        <f>"58254"</f>
        <v>58254</v>
      </c>
      <c r="E17953">
        <v>73.91</v>
      </c>
    </row>
    <row r="17954" spans="1:5" x14ac:dyDescent="0.2">
      <c r="A17954">
        <v>58255</v>
      </c>
      <c r="B17954" t="s">
        <v>34</v>
      </c>
      <c r="C17954">
        <v>58255</v>
      </c>
      <c r="D17954" t="str">
        <f>"58255"</f>
        <v>58255</v>
      </c>
      <c r="E17954" t="s">
        <v>6</v>
      </c>
    </row>
    <row r="17955" spans="1:5" x14ac:dyDescent="0.2">
      <c r="A17955">
        <v>58256</v>
      </c>
      <c r="B17955" t="s">
        <v>34</v>
      </c>
      <c r="C17955">
        <v>58256</v>
      </c>
      <c r="D17955" t="str">
        <f>"58256"</f>
        <v>58256</v>
      </c>
      <c r="E17955">
        <v>78.260000000000005</v>
      </c>
    </row>
    <row r="17956" spans="1:5" x14ac:dyDescent="0.2">
      <c r="A17956">
        <v>58257</v>
      </c>
      <c r="B17956" t="s">
        <v>34</v>
      </c>
      <c r="C17956">
        <v>58257</v>
      </c>
      <c r="D17956" t="str">
        <f>"58257"</f>
        <v>58257</v>
      </c>
      <c r="E17956">
        <v>77.66</v>
      </c>
    </row>
    <row r="17957" spans="1:5" x14ac:dyDescent="0.2">
      <c r="A17957">
        <v>58258</v>
      </c>
      <c r="B17957" t="s">
        <v>34</v>
      </c>
      <c r="C17957">
        <v>58258</v>
      </c>
      <c r="D17957" t="str">
        <f>"58258"</f>
        <v>58258</v>
      </c>
      <c r="E17957">
        <v>80</v>
      </c>
    </row>
    <row r="17958" spans="1:5" x14ac:dyDescent="0.2">
      <c r="A17958">
        <v>58259</v>
      </c>
      <c r="B17958" t="s">
        <v>34</v>
      </c>
      <c r="C17958">
        <v>58259</v>
      </c>
      <c r="D17958" t="str">
        <f>"58259"</f>
        <v>58259</v>
      </c>
      <c r="E17958">
        <v>76.19</v>
      </c>
    </row>
    <row r="17959" spans="1:5" x14ac:dyDescent="0.2">
      <c r="A17959">
        <v>58260</v>
      </c>
      <c r="B17959" t="s">
        <v>34</v>
      </c>
      <c r="C17959">
        <v>58260</v>
      </c>
      <c r="D17959" t="str">
        <f>"58260"</f>
        <v>58260</v>
      </c>
      <c r="E17959" t="s">
        <v>6</v>
      </c>
    </row>
    <row r="17960" spans="1:5" x14ac:dyDescent="0.2">
      <c r="A17960">
        <v>58261</v>
      </c>
      <c r="B17960" t="s">
        <v>34</v>
      </c>
      <c r="C17960">
        <v>58261</v>
      </c>
      <c r="D17960" t="str">
        <f>"58261"</f>
        <v>58261</v>
      </c>
      <c r="E17960">
        <v>78.430000000000007</v>
      </c>
    </row>
    <row r="17961" spans="1:5" x14ac:dyDescent="0.2">
      <c r="A17961">
        <v>58262</v>
      </c>
      <c r="B17961" t="s">
        <v>34</v>
      </c>
      <c r="C17961">
        <v>58262</v>
      </c>
      <c r="D17961" t="str">
        <f>"58262"</f>
        <v>58262</v>
      </c>
      <c r="E17961" t="s">
        <v>6</v>
      </c>
    </row>
    <row r="17962" spans="1:5" x14ac:dyDescent="0.2">
      <c r="A17962">
        <v>58265</v>
      </c>
      <c r="B17962" t="s">
        <v>34</v>
      </c>
      <c r="C17962">
        <v>58265</v>
      </c>
      <c r="D17962" t="str">
        <f>"58265"</f>
        <v>58265</v>
      </c>
      <c r="E17962">
        <v>78.260000000000005</v>
      </c>
    </row>
    <row r="17963" spans="1:5" x14ac:dyDescent="0.2">
      <c r="A17963">
        <v>58266</v>
      </c>
      <c r="B17963" t="s">
        <v>34</v>
      </c>
      <c r="C17963">
        <v>58266</v>
      </c>
      <c r="D17963" t="str">
        <f>"58266"</f>
        <v>58266</v>
      </c>
      <c r="E17963">
        <v>80</v>
      </c>
    </row>
    <row r="17964" spans="1:5" x14ac:dyDescent="0.2">
      <c r="A17964">
        <v>58267</v>
      </c>
      <c r="B17964" t="s">
        <v>34</v>
      </c>
      <c r="C17964">
        <v>58267</v>
      </c>
      <c r="D17964" t="str">
        <f>"58267"</f>
        <v>58267</v>
      </c>
      <c r="E17964">
        <v>75.709999999999994</v>
      </c>
    </row>
    <row r="17965" spans="1:5" x14ac:dyDescent="0.2">
      <c r="A17965">
        <v>58269</v>
      </c>
      <c r="B17965" t="s">
        <v>34</v>
      </c>
      <c r="C17965">
        <v>58269</v>
      </c>
      <c r="D17965" t="str">
        <f>"58269"</f>
        <v>58269</v>
      </c>
      <c r="E17965" t="s">
        <v>6</v>
      </c>
    </row>
    <row r="17966" spans="1:5" x14ac:dyDescent="0.2">
      <c r="A17966">
        <v>58270</v>
      </c>
      <c r="B17966" t="s">
        <v>34</v>
      </c>
      <c r="C17966">
        <v>58270</v>
      </c>
      <c r="D17966" t="str">
        <f>"58270"</f>
        <v>58270</v>
      </c>
      <c r="E17966">
        <v>77.319999999999993</v>
      </c>
    </row>
    <row r="17967" spans="1:5" x14ac:dyDescent="0.2">
      <c r="A17967">
        <v>58271</v>
      </c>
      <c r="B17967" t="s">
        <v>34</v>
      </c>
      <c r="C17967">
        <v>58271</v>
      </c>
      <c r="D17967" t="str">
        <f>"58271"</f>
        <v>58271</v>
      </c>
      <c r="E17967">
        <v>82.86</v>
      </c>
    </row>
    <row r="17968" spans="1:5" x14ac:dyDescent="0.2">
      <c r="A17968">
        <v>58272</v>
      </c>
      <c r="B17968" t="s">
        <v>34</v>
      </c>
      <c r="C17968">
        <v>58272</v>
      </c>
      <c r="D17968" t="str">
        <f>"58272"</f>
        <v>58272</v>
      </c>
      <c r="E17968">
        <v>75</v>
      </c>
    </row>
    <row r="17969" spans="1:5" x14ac:dyDescent="0.2">
      <c r="A17969">
        <v>58273</v>
      </c>
      <c r="B17969" t="s">
        <v>34</v>
      </c>
      <c r="C17969">
        <v>58273</v>
      </c>
      <c r="D17969" t="str">
        <f>"58273"</f>
        <v>58273</v>
      </c>
      <c r="E17969">
        <v>75</v>
      </c>
    </row>
    <row r="17970" spans="1:5" x14ac:dyDescent="0.2">
      <c r="A17970">
        <v>58274</v>
      </c>
      <c r="B17970" t="s">
        <v>34</v>
      </c>
      <c r="C17970">
        <v>58274</v>
      </c>
      <c r="D17970" t="str">
        <f>"58274"</f>
        <v>58274</v>
      </c>
      <c r="E17970">
        <v>82.22</v>
      </c>
    </row>
    <row r="17971" spans="1:5" x14ac:dyDescent="0.2">
      <c r="A17971">
        <v>58275</v>
      </c>
      <c r="B17971" t="s">
        <v>34</v>
      </c>
      <c r="C17971">
        <v>58275</v>
      </c>
      <c r="D17971" t="str">
        <f>"58275"</f>
        <v>58275</v>
      </c>
      <c r="E17971">
        <v>86.49</v>
      </c>
    </row>
    <row r="17972" spans="1:5" x14ac:dyDescent="0.2">
      <c r="A17972">
        <v>58276</v>
      </c>
      <c r="B17972" t="s">
        <v>34</v>
      </c>
      <c r="C17972">
        <v>58276</v>
      </c>
      <c r="D17972" t="str">
        <f>"58276"</f>
        <v>58276</v>
      </c>
      <c r="E17972">
        <v>84</v>
      </c>
    </row>
    <row r="17973" spans="1:5" x14ac:dyDescent="0.2">
      <c r="A17973">
        <v>58277</v>
      </c>
      <c r="B17973" t="s">
        <v>34</v>
      </c>
      <c r="C17973">
        <v>58277</v>
      </c>
      <c r="D17973" t="str">
        <f>"58277"</f>
        <v>58277</v>
      </c>
      <c r="E17973" t="s">
        <v>6</v>
      </c>
    </row>
    <row r="17974" spans="1:5" x14ac:dyDescent="0.2">
      <c r="A17974">
        <v>58278</v>
      </c>
      <c r="B17974" t="s">
        <v>34</v>
      </c>
      <c r="C17974">
        <v>58278</v>
      </c>
      <c r="D17974" t="str">
        <f>"58278"</f>
        <v>58278</v>
      </c>
      <c r="E17974">
        <v>82.47</v>
      </c>
    </row>
    <row r="17975" spans="1:5" x14ac:dyDescent="0.2">
      <c r="A17975">
        <v>58281</v>
      </c>
      <c r="B17975" t="s">
        <v>34</v>
      </c>
      <c r="C17975">
        <v>58281</v>
      </c>
      <c r="D17975" t="str">
        <f>"58281"</f>
        <v>58281</v>
      </c>
      <c r="E17975" t="s">
        <v>6</v>
      </c>
    </row>
    <row r="17976" spans="1:5" x14ac:dyDescent="0.2">
      <c r="A17976">
        <v>58282</v>
      </c>
      <c r="B17976" t="s">
        <v>34</v>
      </c>
      <c r="C17976">
        <v>58282</v>
      </c>
      <c r="D17976" t="str">
        <f>"58282"</f>
        <v>58282</v>
      </c>
      <c r="E17976">
        <v>71.209999999999994</v>
      </c>
    </row>
    <row r="17977" spans="1:5" x14ac:dyDescent="0.2">
      <c r="A17977">
        <v>58301</v>
      </c>
      <c r="B17977" t="s">
        <v>34</v>
      </c>
      <c r="C17977">
        <v>58301</v>
      </c>
      <c r="D17977" t="str">
        <f>"58301"</f>
        <v>58301</v>
      </c>
      <c r="E17977">
        <v>75.260000000000005</v>
      </c>
    </row>
    <row r="17978" spans="1:5" x14ac:dyDescent="0.2">
      <c r="A17978">
        <v>58310</v>
      </c>
      <c r="B17978" t="s">
        <v>34</v>
      </c>
      <c r="C17978">
        <v>58310</v>
      </c>
      <c r="D17978" t="str">
        <f>"58310"</f>
        <v>58310</v>
      </c>
      <c r="E17978" t="s">
        <v>6</v>
      </c>
    </row>
    <row r="17979" spans="1:5" x14ac:dyDescent="0.2">
      <c r="A17979">
        <v>58311</v>
      </c>
      <c r="B17979" t="s">
        <v>34</v>
      </c>
      <c r="C17979">
        <v>58311</v>
      </c>
      <c r="D17979" t="str">
        <f>"58311"</f>
        <v>58311</v>
      </c>
      <c r="E17979" t="s">
        <v>6</v>
      </c>
    </row>
    <row r="17980" spans="1:5" x14ac:dyDescent="0.2">
      <c r="A17980">
        <v>58313</v>
      </c>
      <c r="B17980" t="s">
        <v>34</v>
      </c>
      <c r="C17980">
        <v>58313</v>
      </c>
      <c r="D17980" t="str">
        <f>"58313"</f>
        <v>58313</v>
      </c>
      <c r="E17980" t="s">
        <v>6</v>
      </c>
    </row>
    <row r="17981" spans="1:5" x14ac:dyDescent="0.2">
      <c r="A17981">
        <v>58316</v>
      </c>
      <c r="B17981" t="s">
        <v>34</v>
      </c>
      <c r="C17981">
        <v>58316</v>
      </c>
      <c r="D17981" t="str">
        <f>"58316"</f>
        <v>58316</v>
      </c>
      <c r="E17981">
        <v>58.41</v>
      </c>
    </row>
    <row r="17982" spans="1:5" x14ac:dyDescent="0.2">
      <c r="A17982">
        <v>58317</v>
      </c>
      <c r="B17982" t="s">
        <v>34</v>
      </c>
      <c r="C17982">
        <v>58317</v>
      </c>
      <c r="D17982" t="str">
        <f>"58317"</f>
        <v>58317</v>
      </c>
      <c r="E17982">
        <v>80</v>
      </c>
    </row>
    <row r="17983" spans="1:5" x14ac:dyDescent="0.2">
      <c r="A17983">
        <v>58318</v>
      </c>
      <c r="B17983" t="s">
        <v>34</v>
      </c>
      <c r="C17983">
        <v>58318</v>
      </c>
      <c r="D17983" t="str">
        <f>"58318"</f>
        <v>58318</v>
      </c>
      <c r="E17983">
        <v>76.7</v>
      </c>
    </row>
    <row r="17984" spans="1:5" x14ac:dyDescent="0.2">
      <c r="A17984">
        <v>58321</v>
      </c>
      <c r="B17984" t="s">
        <v>34</v>
      </c>
      <c r="C17984">
        <v>58321</v>
      </c>
      <c r="D17984" t="str">
        <f>"58321"</f>
        <v>58321</v>
      </c>
      <c r="E17984" t="s">
        <v>6</v>
      </c>
    </row>
    <row r="17985" spans="1:5" x14ac:dyDescent="0.2">
      <c r="A17985">
        <v>58323</v>
      </c>
      <c r="B17985" t="s">
        <v>34</v>
      </c>
      <c r="C17985">
        <v>58323</v>
      </c>
      <c r="D17985" t="str">
        <f>"58323"</f>
        <v>58323</v>
      </c>
      <c r="E17985" t="s">
        <v>6</v>
      </c>
    </row>
    <row r="17986" spans="1:5" x14ac:dyDescent="0.2">
      <c r="A17986">
        <v>58324</v>
      </c>
      <c r="B17986" t="s">
        <v>34</v>
      </c>
      <c r="C17986">
        <v>58324</v>
      </c>
      <c r="D17986" t="str">
        <f>"58324"</f>
        <v>58324</v>
      </c>
      <c r="E17986">
        <v>75.36</v>
      </c>
    </row>
    <row r="17987" spans="1:5" x14ac:dyDescent="0.2">
      <c r="A17987">
        <v>58325</v>
      </c>
      <c r="B17987" t="s">
        <v>34</v>
      </c>
      <c r="C17987">
        <v>58325</v>
      </c>
      <c r="D17987" t="str">
        <f>"58325"</f>
        <v>58325</v>
      </c>
      <c r="E17987" t="s">
        <v>6</v>
      </c>
    </row>
    <row r="17988" spans="1:5" x14ac:dyDescent="0.2">
      <c r="A17988">
        <v>58327</v>
      </c>
      <c r="B17988" t="s">
        <v>34</v>
      </c>
      <c r="C17988">
        <v>58327</v>
      </c>
      <c r="D17988" t="str">
        <f>"58327"</f>
        <v>58327</v>
      </c>
      <c r="E17988">
        <v>75</v>
      </c>
    </row>
    <row r="17989" spans="1:5" x14ac:dyDescent="0.2">
      <c r="A17989">
        <v>58329</v>
      </c>
      <c r="B17989" t="s">
        <v>34</v>
      </c>
      <c r="C17989">
        <v>58329</v>
      </c>
      <c r="D17989" t="str">
        <f>"58329"</f>
        <v>58329</v>
      </c>
      <c r="E17989">
        <v>54.9</v>
      </c>
    </row>
    <row r="17990" spans="1:5" x14ac:dyDescent="0.2">
      <c r="A17990">
        <v>58330</v>
      </c>
      <c r="B17990" t="s">
        <v>34</v>
      </c>
      <c r="C17990">
        <v>58330</v>
      </c>
      <c r="D17990" t="str">
        <f>"58330"</f>
        <v>58330</v>
      </c>
      <c r="E17990">
        <v>73.33</v>
      </c>
    </row>
    <row r="17991" spans="1:5" x14ac:dyDescent="0.2">
      <c r="A17991">
        <v>58331</v>
      </c>
      <c r="B17991" t="s">
        <v>34</v>
      </c>
      <c r="C17991">
        <v>58331</v>
      </c>
      <c r="D17991" t="str">
        <f>"58331"</f>
        <v>58331</v>
      </c>
      <c r="E17991" t="s">
        <v>6</v>
      </c>
    </row>
    <row r="17992" spans="1:5" x14ac:dyDescent="0.2">
      <c r="A17992">
        <v>58332</v>
      </c>
      <c r="B17992" t="s">
        <v>34</v>
      </c>
      <c r="C17992">
        <v>58332</v>
      </c>
      <c r="D17992" t="str">
        <f>"58332"</f>
        <v>58332</v>
      </c>
      <c r="E17992">
        <v>71.430000000000007</v>
      </c>
    </row>
    <row r="17993" spans="1:5" x14ac:dyDescent="0.2">
      <c r="A17993">
        <v>58335</v>
      </c>
      <c r="B17993" t="s">
        <v>34</v>
      </c>
      <c r="C17993">
        <v>58335</v>
      </c>
      <c r="D17993" t="str">
        <f>"58335"</f>
        <v>58335</v>
      </c>
      <c r="E17993" t="s">
        <v>6</v>
      </c>
    </row>
    <row r="17994" spans="1:5" x14ac:dyDescent="0.2">
      <c r="A17994">
        <v>58338</v>
      </c>
      <c r="B17994" t="s">
        <v>34</v>
      </c>
      <c r="C17994">
        <v>58338</v>
      </c>
      <c r="D17994" t="str">
        <f>"58338"</f>
        <v>58338</v>
      </c>
      <c r="E17994" t="s">
        <v>6</v>
      </c>
    </row>
    <row r="17995" spans="1:5" x14ac:dyDescent="0.2">
      <c r="A17995">
        <v>58339</v>
      </c>
      <c r="B17995" t="s">
        <v>34</v>
      </c>
      <c r="C17995">
        <v>58339</v>
      </c>
      <c r="D17995" t="str">
        <f>"58339"</f>
        <v>58339</v>
      </c>
      <c r="E17995" t="s">
        <v>6</v>
      </c>
    </row>
    <row r="17996" spans="1:5" x14ac:dyDescent="0.2">
      <c r="A17996">
        <v>58341</v>
      </c>
      <c r="B17996" t="s">
        <v>34</v>
      </c>
      <c r="C17996">
        <v>58341</v>
      </c>
      <c r="D17996" t="str">
        <f>"58341"</f>
        <v>58341</v>
      </c>
      <c r="E17996">
        <v>73.91</v>
      </c>
    </row>
    <row r="17997" spans="1:5" x14ac:dyDescent="0.2">
      <c r="A17997">
        <v>58343</v>
      </c>
      <c r="B17997" t="s">
        <v>34</v>
      </c>
      <c r="C17997">
        <v>58343</v>
      </c>
      <c r="D17997" t="str">
        <f>"58343"</f>
        <v>58343</v>
      </c>
      <c r="E17997" t="s">
        <v>6</v>
      </c>
    </row>
    <row r="17998" spans="1:5" x14ac:dyDescent="0.2">
      <c r="A17998">
        <v>58344</v>
      </c>
      <c r="B17998" t="s">
        <v>34</v>
      </c>
      <c r="C17998">
        <v>58344</v>
      </c>
      <c r="D17998" t="str">
        <f>"58344"</f>
        <v>58344</v>
      </c>
      <c r="E17998">
        <v>78.260000000000005</v>
      </c>
    </row>
    <row r="17999" spans="1:5" x14ac:dyDescent="0.2">
      <c r="A17999">
        <v>58345</v>
      </c>
      <c r="B17999" t="s">
        <v>34</v>
      </c>
      <c r="C17999">
        <v>58345</v>
      </c>
      <c r="D17999" t="str">
        <f>"58345"</f>
        <v>58345</v>
      </c>
      <c r="E17999" t="s">
        <v>6</v>
      </c>
    </row>
    <row r="18000" spans="1:5" x14ac:dyDescent="0.2">
      <c r="A18000">
        <v>58346</v>
      </c>
      <c r="B18000" t="s">
        <v>34</v>
      </c>
      <c r="C18000">
        <v>58346</v>
      </c>
      <c r="D18000" t="str">
        <f>"58346"</f>
        <v>58346</v>
      </c>
      <c r="E18000">
        <v>80</v>
      </c>
    </row>
    <row r="18001" spans="1:5" x14ac:dyDescent="0.2">
      <c r="A18001">
        <v>58348</v>
      </c>
      <c r="B18001" t="s">
        <v>34</v>
      </c>
      <c r="C18001">
        <v>58348</v>
      </c>
      <c r="D18001" t="str">
        <f>"58348"</f>
        <v>58348</v>
      </c>
      <c r="E18001">
        <v>72.97</v>
      </c>
    </row>
    <row r="18002" spans="1:5" x14ac:dyDescent="0.2">
      <c r="A18002">
        <v>58351</v>
      </c>
      <c r="B18002" t="s">
        <v>34</v>
      </c>
      <c r="C18002">
        <v>58351</v>
      </c>
      <c r="D18002" t="str">
        <f>"58351"</f>
        <v>58351</v>
      </c>
      <c r="E18002">
        <v>72.22</v>
      </c>
    </row>
    <row r="18003" spans="1:5" x14ac:dyDescent="0.2">
      <c r="A18003">
        <v>58352</v>
      </c>
      <c r="B18003" t="s">
        <v>34</v>
      </c>
      <c r="C18003">
        <v>58352</v>
      </c>
      <c r="D18003" t="str">
        <f>"58352"</f>
        <v>58352</v>
      </c>
      <c r="E18003">
        <v>84.21</v>
      </c>
    </row>
    <row r="18004" spans="1:5" x14ac:dyDescent="0.2">
      <c r="A18004">
        <v>58353</v>
      </c>
      <c r="B18004" t="s">
        <v>34</v>
      </c>
      <c r="C18004">
        <v>58353</v>
      </c>
      <c r="D18004" t="str">
        <f>"58353"</f>
        <v>58353</v>
      </c>
      <c r="E18004" t="s">
        <v>6</v>
      </c>
    </row>
    <row r="18005" spans="1:5" x14ac:dyDescent="0.2">
      <c r="A18005">
        <v>58355</v>
      </c>
      <c r="B18005" t="s">
        <v>34</v>
      </c>
      <c r="C18005">
        <v>58355</v>
      </c>
      <c r="D18005" t="str">
        <f>"58355"</f>
        <v>58355</v>
      </c>
      <c r="E18005" t="s">
        <v>6</v>
      </c>
    </row>
    <row r="18006" spans="1:5" x14ac:dyDescent="0.2">
      <c r="A18006">
        <v>58356</v>
      </c>
      <c r="B18006" t="s">
        <v>34</v>
      </c>
      <c r="C18006">
        <v>58356</v>
      </c>
      <c r="D18006" t="str">
        <f>"58356"</f>
        <v>58356</v>
      </c>
      <c r="E18006">
        <v>74.069999999999993</v>
      </c>
    </row>
    <row r="18007" spans="1:5" x14ac:dyDescent="0.2">
      <c r="A18007">
        <v>58357</v>
      </c>
      <c r="B18007" t="s">
        <v>34</v>
      </c>
      <c r="C18007">
        <v>58357</v>
      </c>
      <c r="D18007" t="str">
        <f>"58357"</f>
        <v>58357</v>
      </c>
      <c r="E18007">
        <v>50</v>
      </c>
    </row>
    <row r="18008" spans="1:5" x14ac:dyDescent="0.2">
      <c r="A18008">
        <v>58361</v>
      </c>
      <c r="B18008" t="s">
        <v>34</v>
      </c>
      <c r="C18008">
        <v>58361</v>
      </c>
      <c r="D18008" t="str">
        <f>"58361"</f>
        <v>58361</v>
      </c>
      <c r="E18008" t="s">
        <v>6</v>
      </c>
    </row>
    <row r="18009" spans="1:5" x14ac:dyDescent="0.2">
      <c r="A18009">
        <v>58362</v>
      </c>
      <c r="B18009" t="s">
        <v>34</v>
      </c>
      <c r="C18009">
        <v>58362</v>
      </c>
      <c r="D18009" t="str">
        <f>"58362"</f>
        <v>58362</v>
      </c>
      <c r="E18009" t="s">
        <v>6</v>
      </c>
    </row>
    <row r="18010" spans="1:5" x14ac:dyDescent="0.2">
      <c r="A18010">
        <v>58363</v>
      </c>
      <c r="B18010" t="s">
        <v>34</v>
      </c>
      <c r="C18010">
        <v>58363</v>
      </c>
      <c r="D18010" t="str">
        <f>"58363"</f>
        <v>58363</v>
      </c>
      <c r="E18010" t="s">
        <v>6</v>
      </c>
    </row>
    <row r="18011" spans="1:5" x14ac:dyDescent="0.2">
      <c r="A18011">
        <v>58365</v>
      </c>
      <c r="B18011" t="s">
        <v>34</v>
      </c>
      <c r="C18011">
        <v>58365</v>
      </c>
      <c r="D18011" t="str">
        <f>"58365"</f>
        <v>58365</v>
      </c>
      <c r="E18011">
        <v>78.569999999999993</v>
      </c>
    </row>
    <row r="18012" spans="1:5" x14ac:dyDescent="0.2">
      <c r="A18012">
        <v>58366</v>
      </c>
      <c r="B18012" t="s">
        <v>34</v>
      </c>
      <c r="C18012">
        <v>58366</v>
      </c>
      <c r="D18012" t="str">
        <f>"58366"</f>
        <v>58366</v>
      </c>
      <c r="E18012">
        <v>70.73</v>
      </c>
    </row>
    <row r="18013" spans="1:5" x14ac:dyDescent="0.2">
      <c r="A18013">
        <v>58367</v>
      </c>
      <c r="B18013" t="s">
        <v>34</v>
      </c>
      <c r="C18013">
        <v>58367</v>
      </c>
      <c r="D18013" t="str">
        <f>"58367"</f>
        <v>58367</v>
      </c>
      <c r="E18013">
        <v>69.41</v>
      </c>
    </row>
    <row r="18014" spans="1:5" x14ac:dyDescent="0.2">
      <c r="A18014">
        <v>58368</v>
      </c>
      <c r="B18014" t="s">
        <v>34</v>
      </c>
      <c r="C18014">
        <v>58368</v>
      </c>
      <c r="D18014" t="str">
        <f>"58368"</f>
        <v>58368</v>
      </c>
      <c r="E18014">
        <v>72.89</v>
      </c>
    </row>
    <row r="18015" spans="1:5" x14ac:dyDescent="0.2">
      <c r="A18015">
        <v>58369</v>
      </c>
      <c r="B18015" t="s">
        <v>34</v>
      </c>
      <c r="C18015">
        <v>58369</v>
      </c>
      <c r="D18015" t="str">
        <f>"58369"</f>
        <v>58369</v>
      </c>
      <c r="E18015">
        <v>67.5</v>
      </c>
    </row>
    <row r="18016" spans="1:5" x14ac:dyDescent="0.2">
      <c r="A18016">
        <v>58370</v>
      </c>
      <c r="B18016" t="s">
        <v>34</v>
      </c>
      <c r="C18016">
        <v>58370</v>
      </c>
      <c r="D18016" t="str">
        <f>"58370"</f>
        <v>58370</v>
      </c>
      <c r="E18016">
        <v>44.44</v>
      </c>
    </row>
    <row r="18017" spans="1:5" x14ac:dyDescent="0.2">
      <c r="A18017">
        <v>58372</v>
      </c>
      <c r="B18017" t="s">
        <v>34</v>
      </c>
      <c r="C18017">
        <v>58372</v>
      </c>
      <c r="D18017" t="str">
        <f>"58372"</f>
        <v>58372</v>
      </c>
      <c r="E18017" t="s">
        <v>6</v>
      </c>
    </row>
    <row r="18018" spans="1:5" x14ac:dyDescent="0.2">
      <c r="A18018">
        <v>58374</v>
      </c>
      <c r="B18018" t="s">
        <v>34</v>
      </c>
      <c r="C18018">
        <v>58374</v>
      </c>
      <c r="D18018" t="str">
        <f>"58374"</f>
        <v>58374</v>
      </c>
      <c r="E18018">
        <v>70.83</v>
      </c>
    </row>
    <row r="18019" spans="1:5" x14ac:dyDescent="0.2">
      <c r="A18019">
        <v>58377</v>
      </c>
      <c r="B18019" t="s">
        <v>34</v>
      </c>
      <c r="C18019">
        <v>58377</v>
      </c>
      <c r="D18019" t="str">
        <f>"58377"</f>
        <v>58377</v>
      </c>
      <c r="E18019">
        <v>90.91</v>
      </c>
    </row>
    <row r="18020" spans="1:5" x14ac:dyDescent="0.2">
      <c r="A18020">
        <v>58379</v>
      </c>
      <c r="B18020" t="s">
        <v>34</v>
      </c>
      <c r="C18020">
        <v>58379</v>
      </c>
      <c r="D18020" t="str">
        <f>"58379"</f>
        <v>58379</v>
      </c>
      <c r="E18020" t="s">
        <v>6</v>
      </c>
    </row>
    <row r="18021" spans="1:5" x14ac:dyDescent="0.2">
      <c r="A18021">
        <v>58380</v>
      </c>
      <c r="B18021" t="s">
        <v>34</v>
      </c>
      <c r="C18021">
        <v>58380</v>
      </c>
      <c r="D18021" t="str">
        <f>"58380"</f>
        <v>58380</v>
      </c>
      <c r="E18021">
        <v>71.430000000000007</v>
      </c>
    </row>
    <row r="18022" spans="1:5" x14ac:dyDescent="0.2">
      <c r="A18022">
        <v>58381</v>
      </c>
      <c r="B18022" t="s">
        <v>34</v>
      </c>
      <c r="C18022">
        <v>58381</v>
      </c>
      <c r="D18022" t="str">
        <f>"58381"</f>
        <v>58381</v>
      </c>
      <c r="E18022">
        <v>73.33</v>
      </c>
    </row>
    <row r="18023" spans="1:5" x14ac:dyDescent="0.2">
      <c r="A18023">
        <v>58382</v>
      </c>
      <c r="B18023" t="s">
        <v>34</v>
      </c>
      <c r="C18023">
        <v>58382</v>
      </c>
      <c r="D18023" t="str">
        <f>"58382"</f>
        <v>58382</v>
      </c>
      <c r="E18023" t="s">
        <v>6</v>
      </c>
    </row>
    <row r="18024" spans="1:5" x14ac:dyDescent="0.2">
      <c r="A18024">
        <v>58384</v>
      </c>
      <c r="B18024" t="s">
        <v>34</v>
      </c>
      <c r="C18024">
        <v>58384</v>
      </c>
      <c r="D18024" t="str">
        <f>"58384"</f>
        <v>58384</v>
      </c>
      <c r="E18024">
        <v>74.069999999999993</v>
      </c>
    </row>
    <row r="18025" spans="1:5" x14ac:dyDescent="0.2">
      <c r="A18025">
        <v>58385</v>
      </c>
      <c r="B18025" t="s">
        <v>34</v>
      </c>
      <c r="C18025">
        <v>58385</v>
      </c>
      <c r="D18025" t="str">
        <f>"58385"</f>
        <v>58385</v>
      </c>
      <c r="E18025" t="s">
        <v>6</v>
      </c>
    </row>
    <row r="18026" spans="1:5" x14ac:dyDescent="0.2">
      <c r="A18026">
        <v>58386</v>
      </c>
      <c r="B18026" t="s">
        <v>34</v>
      </c>
      <c r="C18026">
        <v>58386</v>
      </c>
      <c r="D18026" t="str">
        <f>"58386"</f>
        <v>58386</v>
      </c>
      <c r="E18026" t="s">
        <v>6</v>
      </c>
    </row>
    <row r="18027" spans="1:5" x14ac:dyDescent="0.2">
      <c r="A18027">
        <v>58401</v>
      </c>
      <c r="B18027" t="s">
        <v>34</v>
      </c>
      <c r="C18027">
        <v>58401</v>
      </c>
      <c r="D18027" t="str">
        <f>"58401"</f>
        <v>58401</v>
      </c>
      <c r="E18027">
        <v>79.16</v>
      </c>
    </row>
    <row r="18028" spans="1:5" x14ac:dyDescent="0.2">
      <c r="A18028">
        <v>58405</v>
      </c>
      <c r="B18028" t="s">
        <v>34</v>
      </c>
      <c r="C18028">
        <v>58405</v>
      </c>
      <c r="D18028" t="str">
        <f>"58405"</f>
        <v>58405</v>
      </c>
      <c r="E18028" t="s">
        <v>6</v>
      </c>
    </row>
    <row r="18029" spans="1:5" x14ac:dyDescent="0.2">
      <c r="A18029">
        <v>58413</v>
      </c>
      <c r="B18029" t="s">
        <v>34</v>
      </c>
      <c r="C18029">
        <v>58413</v>
      </c>
      <c r="D18029" t="str">
        <f>"58413"</f>
        <v>58413</v>
      </c>
      <c r="E18029">
        <v>70.59</v>
      </c>
    </row>
    <row r="18030" spans="1:5" x14ac:dyDescent="0.2">
      <c r="A18030">
        <v>58415</v>
      </c>
      <c r="B18030" t="s">
        <v>34</v>
      </c>
      <c r="C18030">
        <v>58415</v>
      </c>
      <c r="D18030" t="str">
        <f>"58415"</f>
        <v>58415</v>
      </c>
      <c r="E18030" t="s">
        <v>6</v>
      </c>
    </row>
    <row r="18031" spans="1:5" x14ac:dyDescent="0.2">
      <c r="A18031">
        <v>58416</v>
      </c>
      <c r="B18031" t="s">
        <v>34</v>
      </c>
      <c r="C18031">
        <v>58416</v>
      </c>
      <c r="D18031" t="str">
        <f>"58416"</f>
        <v>58416</v>
      </c>
      <c r="E18031">
        <v>70</v>
      </c>
    </row>
    <row r="18032" spans="1:5" x14ac:dyDescent="0.2">
      <c r="A18032">
        <v>58418</v>
      </c>
      <c r="B18032" t="s">
        <v>34</v>
      </c>
      <c r="C18032">
        <v>58418</v>
      </c>
      <c r="D18032" t="str">
        <f>"58418"</f>
        <v>58418</v>
      </c>
      <c r="E18032">
        <v>72.22</v>
      </c>
    </row>
    <row r="18033" spans="1:5" x14ac:dyDescent="0.2">
      <c r="A18033">
        <v>58420</v>
      </c>
      <c r="B18033" t="s">
        <v>34</v>
      </c>
      <c r="C18033">
        <v>58420</v>
      </c>
      <c r="D18033" t="str">
        <f>"58420"</f>
        <v>58420</v>
      </c>
      <c r="E18033">
        <v>71.430000000000007</v>
      </c>
    </row>
    <row r="18034" spans="1:5" x14ac:dyDescent="0.2">
      <c r="A18034">
        <v>58421</v>
      </c>
      <c r="B18034" t="s">
        <v>34</v>
      </c>
      <c r="C18034">
        <v>58421</v>
      </c>
      <c r="D18034" t="str">
        <f>"58421"</f>
        <v>58421</v>
      </c>
      <c r="E18034">
        <v>77.86</v>
      </c>
    </row>
    <row r="18035" spans="1:5" x14ac:dyDescent="0.2">
      <c r="A18035">
        <v>58422</v>
      </c>
      <c r="B18035" t="s">
        <v>34</v>
      </c>
      <c r="C18035">
        <v>58422</v>
      </c>
      <c r="D18035" t="str">
        <f>"58422"</f>
        <v>58422</v>
      </c>
      <c r="E18035" t="s">
        <v>6</v>
      </c>
    </row>
    <row r="18036" spans="1:5" x14ac:dyDescent="0.2">
      <c r="A18036">
        <v>58423</v>
      </c>
      <c r="B18036" t="s">
        <v>34</v>
      </c>
      <c r="C18036">
        <v>58423</v>
      </c>
      <c r="D18036" t="str">
        <f>"58423"</f>
        <v>58423</v>
      </c>
      <c r="E18036" t="s">
        <v>6</v>
      </c>
    </row>
    <row r="18037" spans="1:5" x14ac:dyDescent="0.2">
      <c r="A18037">
        <v>58424</v>
      </c>
      <c r="B18037" t="s">
        <v>34</v>
      </c>
      <c r="C18037">
        <v>58424</v>
      </c>
      <c r="D18037" t="str">
        <f>"58424"</f>
        <v>58424</v>
      </c>
      <c r="E18037">
        <v>76.92</v>
      </c>
    </row>
    <row r="18038" spans="1:5" x14ac:dyDescent="0.2">
      <c r="A18038">
        <v>58425</v>
      </c>
      <c r="B18038" t="s">
        <v>34</v>
      </c>
      <c r="C18038">
        <v>58425</v>
      </c>
      <c r="D18038" t="str">
        <f>"58425"</f>
        <v>58425</v>
      </c>
      <c r="E18038">
        <v>74.63</v>
      </c>
    </row>
    <row r="18039" spans="1:5" x14ac:dyDescent="0.2">
      <c r="A18039">
        <v>58426</v>
      </c>
      <c r="B18039" t="s">
        <v>34</v>
      </c>
      <c r="C18039">
        <v>58426</v>
      </c>
      <c r="D18039" t="str">
        <f>"58426"</f>
        <v>58426</v>
      </c>
      <c r="E18039" t="s">
        <v>6</v>
      </c>
    </row>
    <row r="18040" spans="1:5" x14ac:dyDescent="0.2">
      <c r="A18040">
        <v>58428</v>
      </c>
      <c r="B18040" t="s">
        <v>34</v>
      </c>
      <c r="C18040">
        <v>58428</v>
      </c>
      <c r="D18040" t="str">
        <f>"58428"</f>
        <v>58428</v>
      </c>
      <c r="E18040">
        <v>72.73</v>
      </c>
    </row>
    <row r="18041" spans="1:5" x14ac:dyDescent="0.2">
      <c r="A18041">
        <v>58429</v>
      </c>
      <c r="B18041" t="s">
        <v>34</v>
      </c>
      <c r="C18041">
        <v>58429</v>
      </c>
      <c r="D18041" t="str">
        <f>"58429"</f>
        <v>58429</v>
      </c>
      <c r="E18041">
        <v>76.92</v>
      </c>
    </row>
    <row r="18042" spans="1:5" x14ac:dyDescent="0.2">
      <c r="A18042">
        <v>58430</v>
      </c>
      <c r="B18042" t="s">
        <v>34</v>
      </c>
      <c r="C18042">
        <v>58430</v>
      </c>
      <c r="D18042" t="str">
        <f>"58430"</f>
        <v>58430</v>
      </c>
      <c r="E18042" t="s">
        <v>6</v>
      </c>
    </row>
    <row r="18043" spans="1:5" x14ac:dyDescent="0.2">
      <c r="A18043">
        <v>58431</v>
      </c>
      <c r="B18043" t="s">
        <v>34</v>
      </c>
      <c r="C18043">
        <v>58431</v>
      </c>
      <c r="D18043" t="str">
        <f>"58431"</f>
        <v>58431</v>
      </c>
      <c r="E18043" t="s">
        <v>6</v>
      </c>
    </row>
    <row r="18044" spans="1:5" x14ac:dyDescent="0.2">
      <c r="A18044">
        <v>58433</v>
      </c>
      <c r="B18044" t="s">
        <v>34</v>
      </c>
      <c r="C18044">
        <v>58433</v>
      </c>
      <c r="D18044" t="str">
        <f>"58433"</f>
        <v>58433</v>
      </c>
      <c r="E18044">
        <v>70.37</v>
      </c>
    </row>
    <row r="18045" spans="1:5" x14ac:dyDescent="0.2">
      <c r="A18045">
        <v>58436</v>
      </c>
      <c r="B18045" t="s">
        <v>34</v>
      </c>
      <c r="C18045">
        <v>58436</v>
      </c>
      <c r="D18045" t="str">
        <f>"58436"</f>
        <v>58436</v>
      </c>
      <c r="E18045">
        <v>71.25</v>
      </c>
    </row>
    <row r="18046" spans="1:5" x14ac:dyDescent="0.2">
      <c r="A18046">
        <v>58438</v>
      </c>
      <c r="B18046" t="s">
        <v>34</v>
      </c>
      <c r="C18046">
        <v>58438</v>
      </c>
      <c r="D18046" t="str">
        <f>"58438"</f>
        <v>58438</v>
      </c>
      <c r="E18046">
        <v>82.86</v>
      </c>
    </row>
    <row r="18047" spans="1:5" x14ac:dyDescent="0.2">
      <c r="A18047">
        <v>58439</v>
      </c>
      <c r="B18047" t="s">
        <v>34</v>
      </c>
      <c r="C18047">
        <v>58439</v>
      </c>
      <c r="D18047" t="str">
        <f>"58439"</f>
        <v>58439</v>
      </c>
      <c r="E18047" t="s">
        <v>6</v>
      </c>
    </row>
    <row r="18048" spans="1:5" x14ac:dyDescent="0.2">
      <c r="A18048">
        <v>58440</v>
      </c>
      <c r="B18048" t="s">
        <v>34</v>
      </c>
      <c r="C18048">
        <v>58440</v>
      </c>
      <c r="D18048" t="str">
        <f>"58440"</f>
        <v>58440</v>
      </c>
      <c r="E18048" t="s">
        <v>6</v>
      </c>
    </row>
    <row r="18049" spans="1:5" x14ac:dyDescent="0.2">
      <c r="A18049">
        <v>58441</v>
      </c>
      <c r="B18049" t="s">
        <v>34</v>
      </c>
      <c r="C18049">
        <v>58441</v>
      </c>
      <c r="D18049" t="str">
        <f>"58441"</f>
        <v>58441</v>
      </c>
      <c r="E18049">
        <v>66.67</v>
      </c>
    </row>
    <row r="18050" spans="1:5" x14ac:dyDescent="0.2">
      <c r="A18050">
        <v>58442</v>
      </c>
      <c r="B18050" t="s">
        <v>34</v>
      </c>
      <c r="C18050">
        <v>58442</v>
      </c>
      <c r="D18050" t="str">
        <f>"58442"</f>
        <v>58442</v>
      </c>
      <c r="E18050">
        <v>70.59</v>
      </c>
    </row>
    <row r="18051" spans="1:5" x14ac:dyDescent="0.2">
      <c r="A18051">
        <v>58443</v>
      </c>
      <c r="B18051" t="s">
        <v>34</v>
      </c>
      <c r="C18051">
        <v>58443</v>
      </c>
      <c r="D18051" t="str">
        <f>"58443"</f>
        <v>58443</v>
      </c>
      <c r="E18051" t="s">
        <v>6</v>
      </c>
    </row>
    <row r="18052" spans="1:5" x14ac:dyDescent="0.2">
      <c r="A18052">
        <v>58444</v>
      </c>
      <c r="B18052" t="s">
        <v>34</v>
      </c>
      <c r="C18052">
        <v>58444</v>
      </c>
      <c r="D18052" t="str">
        <f>"58444"</f>
        <v>58444</v>
      </c>
      <c r="E18052" t="s">
        <v>6</v>
      </c>
    </row>
    <row r="18053" spans="1:5" x14ac:dyDescent="0.2">
      <c r="A18053">
        <v>58445</v>
      </c>
      <c r="B18053" t="s">
        <v>34</v>
      </c>
      <c r="C18053">
        <v>58445</v>
      </c>
      <c r="D18053" t="str">
        <f>"58445"</f>
        <v>58445</v>
      </c>
      <c r="E18053" t="s">
        <v>6</v>
      </c>
    </row>
    <row r="18054" spans="1:5" x14ac:dyDescent="0.2">
      <c r="A18054">
        <v>58448</v>
      </c>
      <c r="B18054" t="s">
        <v>34</v>
      </c>
      <c r="C18054">
        <v>58448</v>
      </c>
      <c r="D18054" t="str">
        <f>"58448"</f>
        <v>58448</v>
      </c>
      <c r="E18054">
        <v>66.67</v>
      </c>
    </row>
    <row r="18055" spans="1:5" x14ac:dyDescent="0.2">
      <c r="A18055">
        <v>58451</v>
      </c>
      <c r="B18055" t="s">
        <v>34</v>
      </c>
      <c r="C18055">
        <v>58451</v>
      </c>
      <c r="D18055" t="str">
        <f>"58451"</f>
        <v>58451</v>
      </c>
      <c r="E18055" t="s">
        <v>6</v>
      </c>
    </row>
    <row r="18056" spans="1:5" x14ac:dyDescent="0.2">
      <c r="A18056">
        <v>58452</v>
      </c>
      <c r="B18056" t="s">
        <v>34</v>
      </c>
      <c r="C18056">
        <v>58452</v>
      </c>
      <c r="D18056" t="str">
        <f>"58452"</f>
        <v>58452</v>
      </c>
      <c r="E18056" t="s">
        <v>6</v>
      </c>
    </row>
    <row r="18057" spans="1:5" x14ac:dyDescent="0.2">
      <c r="A18057">
        <v>58454</v>
      </c>
      <c r="B18057" t="s">
        <v>34</v>
      </c>
      <c r="C18057">
        <v>58454</v>
      </c>
      <c r="D18057" t="str">
        <f>"58454"</f>
        <v>58454</v>
      </c>
      <c r="E18057">
        <v>78.569999999999993</v>
      </c>
    </row>
    <row r="18058" spans="1:5" x14ac:dyDescent="0.2">
      <c r="A18058">
        <v>58455</v>
      </c>
      <c r="B18058" t="s">
        <v>34</v>
      </c>
      <c r="C18058">
        <v>58455</v>
      </c>
      <c r="D18058" t="str">
        <f>"58455"</f>
        <v>58455</v>
      </c>
      <c r="E18058">
        <v>76.92</v>
      </c>
    </row>
    <row r="18059" spans="1:5" x14ac:dyDescent="0.2">
      <c r="A18059">
        <v>58456</v>
      </c>
      <c r="B18059" t="s">
        <v>34</v>
      </c>
      <c r="C18059">
        <v>58456</v>
      </c>
      <c r="D18059" t="str">
        <f>"58456"</f>
        <v>58456</v>
      </c>
      <c r="E18059">
        <v>72</v>
      </c>
    </row>
    <row r="18060" spans="1:5" x14ac:dyDescent="0.2">
      <c r="A18060">
        <v>58458</v>
      </c>
      <c r="B18060" t="s">
        <v>34</v>
      </c>
      <c r="C18060">
        <v>58458</v>
      </c>
      <c r="D18060" t="str">
        <f>"58458"</f>
        <v>58458</v>
      </c>
      <c r="E18060">
        <v>81.13</v>
      </c>
    </row>
    <row r="18061" spans="1:5" x14ac:dyDescent="0.2">
      <c r="A18061">
        <v>58460</v>
      </c>
      <c r="B18061" t="s">
        <v>34</v>
      </c>
      <c r="C18061">
        <v>58460</v>
      </c>
      <c r="D18061" t="str">
        <f>"58460"</f>
        <v>58460</v>
      </c>
      <c r="E18061">
        <v>66.67</v>
      </c>
    </row>
    <row r="18062" spans="1:5" x14ac:dyDescent="0.2">
      <c r="A18062">
        <v>58461</v>
      </c>
      <c r="B18062" t="s">
        <v>34</v>
      </c>
      <c r="C18062">
        <v>58461</v>
      </c>
      <c r="D18062" t="str">
        <f>"58461"</f>
        <v>58461</v>
      </c>
      <c r="E18062">
        <v>80</v>
      </c>
    </row>
    <row r="18063" spans="1:5" x14ac:dyDescent="0.2">
      <c r="A18063">
        <v>58463</v>
      </c>
      <c r="B18063" t="s">
        <v>34</v>
      </c>
      <c r="C18063">
        <v>58463</v>
      </c>
      <c r="D18063" t="str">
        <f>"58463"</f>
        <v>58463</v>
      </c>
      <c r="E18063">
        <v>64.290000000000006</v>
      </c>
    </row>
    <row r="18064" spans="1:5" x14ac:dyDescent="0.2">
      <c r="A18064">
        <v>58464</v>
      </c>
      <c r="B18064" t="s">
        <v>34</v>
      </c>
      <c r="C18064">
        <v>58464</v>
      </c>
      <c r="D18064" t="str">
        <f>"58464"</f>
        <v>58464</v>
      </c>
      <c r="E18064">
        <v>54.55</v>
      </c>
    </row>
    <row r="18065" spans="1:5" x14ac:dyDescent="0.2">
      <c r="A18065">
        <v>58466</v>
      </c>
      <c r="B18065" t="s">
        <v>34</v>
      </c>
      <c r="C18065">
        <v>58466</v>
      </c>
      <c r="D18065" t="str">
        <f>"58466"</f>
        <v>58466</v>
      </c>
      <c r="E18065">
        <v>87.5</v>
      </c>
    </row>
    <row r="18066" spans="1:5" x14ac:dyDescent="0.2">
      <c r="A18066">
        <v>58467</v>
      </c>
      <c r="B18066" t="s">
        <v>34</v>
      </c>
      <c r="C18066">
        <v>58467</v>
      </c>
      <c r="D18066" t="str">
        <f>"58467"</f>
        <v>58467</v>
      </c>
      <c r="E18066">
        <v>70.37</v>
      </c>
    </row>
    <row r="18067" spans="1:5" x14ac:dyDescent="0.2">
      <c r="A18067">
        <v>58472</v>
      </c>
      <c r="B18067" t="s">
        <v>34</v>
      </c>
      <c r="C18067">
        <v>58472</v>
      </c>
      <c r="D18067" t="str">
        <f>"58472"</f>
        <v>58472</v>
      </c>
      <c r="E18067">
        <v>81.819999999999993</v>
      </c>
    </row>
    <row r="18068" spans="1:5" x14ac:dyDescent="0.2">
      <c r="A18068">
        <v>58474</v>
      </c>
      <c r="B18068" t="s">
        <v>34</v>
      </c>
      <c r="C18068">
        <v>58474</v>
      </c>
      <c r="D18068" t="str">
        <f>"58474"</f>
        <v>58474</v>
      </c>
      <c r="E18068">
        <v>78.33</v>
      </c>
    </row>
    <row r="18069" spans="1:5" x14ac:dyDescent="0.2">
      <c r="A18069">
        <v>58475</v>
      </c>
      <c r="B18069" t="s">
        <v>34</v>
      </c>
      <c r="C18069">
        <v>58475</v>
      </c>
      <c r="D18069" t="str">
        <f>"58475"</f>
        <v>58475</v>
      </c>
      <c r="E18069" t="s">
        <v>6</v>
      </c>
    </row>
    <row r="18070" spans="1:5" x14ac:dyDescent="0.2">
      <c r="A18070">
        <v>58476</v>
      </c>
      <c r="B18070" t="s">
        <v>34</v>
      </c>
      <c r="C18070">
        <v>58476</v>
      </c>
      <c r="D18070" t="str">
        <f>"58476"</f>
        <v>58476</v>
      </c>
      <c r="E18070">
        <v>84.62</v>
      </c>
    </row>
    <row r="18071" spans="1:5" x14ac:dyDescent="0.2">
      <c r="A18071">
        <v>58477</v>
      </c>
      <c r="B18071" t="s">
        <v>34</v>
      </c>
      <c r="C18071">
        <v>58477</v>
      </c>
      <c r="D18071" t="str">
        <f>"58477"</f>
        <v>58477</v>
      </c>
      <c r="E18071" t="s">
        <v>6</v>
      </c>
    </row>
    <row r="18072" spans="1:5" x14ac:dyDescent="0.2">
      <c r="A18072">
        <v>58478</v>
      </c>
      <c r="B18072" t="s">
        <v>34</v>
      </c>
      <c r="C18072">
        <v>58478</v>
      </c>
      <c r="D18072" t="str">
        <f>"58478"</f>
        <v>58478</v>
      </c>
      <c r="E18072" t="s">
        <v>6</v>
      </c>
    </row>
    <row r="18073" spans="1:5" x14ac:dyDescent="0.2">
      <c r="A18073">
        <v>58479</v>
      </c>
      <c r="B18073" t="s">
        <v>34</v>
      </c>
      <c r="C18073">
        <v>58479</v>
      </c>
      <c r="D18073" t="str">
        <f>"58479"</f>
        <v>58479</v>
      </c>
      <c r="E18073">
        <v>80</v>
      </c>
    </row>
    <row r="18074" spans="1:5" x14ac:dyDescent="0.2">
      <c r="A18074">
        <v>58480</v>
      </c>
      <c r="B18074" t="s">
        <v>34</v>
      </c>
      <c r="C18074">
        <v>58480</v>
      </c>
      <c r="D18074" t="str">
        <f>"58480"</f>
        <v>58480</v>
      </c>
      <c r="E18074">
        <v>78.95</v>
      </c>
    </row>
    <row r="18075" spans="1:5" x14ac:dyDescent="0.2">
      <c r="A18075">
        <v>58481</v>
      </c>
      <c r="B18075" t="s">
        <v>34</v>
      </c>
      <c r="C18075">
        <v>58481</v>
      </c>
      <c r="D18075" t="str">
        <f>"58481"</f>
        <v>58481</v>
      </c>
      <c r="E18075">
        <v>91.67</v>
      </c>
    </row>
    <row r="18076" spans="1:5" x14ac:dyDescent="0.2">
      <c r="A18076">
        <v>58482</v>
      </c>
      <c r="B18076" t="s">
        <v>34</v>
      </c>
      <c r="C18076">
        <v>58482</v>
      </c>
      <c r="D18076" t="str">
        <f>"58482"</f>
        <v>58482</v>
      </c>
      <c r="E18076">
        <v>70.209999999999994</v>
      </c>
    </row>
    <row r="18077" spans="1:5" x14ac:dyDescent="0.2">
      <c r="A18077">
        <v>58483</v>
      </c>
      <c r="B18077" t="s">
        <v>34</v>
      </c>
      <c r="C18077">
        <v>58483</v>
      </c>
      <c r="D18077" t="str">
        <f>"58483"</f>
        <v>58483</v>
      </c>
      <c r="E18077">
        <v>66.67</v>
      </c>
    </row>
    <row r="18078" spans="1:5" x14ac:dyDescent="0.2">
      <c r="A18078">
        <v>58484</v>
      </c>
      <c r="B18078" t="s">
        <v>34</v>
      </c>
      <c r="C18078">
        <v>58484</v>
      </c>
      <c r="D18078" t="str">
        <f>"58484"</f>
        <v>58484</v>
      </c>
      <c r="E18078" t="s">
        <v>6</v>
      </c>
    </row>
    <row r="18079" spans="1:5" x14ac:dyDescent="0.2">
      <c r="A18079">
        <v>58486</v>
      </c>
      <c r="B18079" t="s">
        <v>34</v>
      </c>
      <c r="C18079">
        <v>58486</v>
      </c>
      <c r="D18079" t="str">
        <f>"58486"</f>
        <v>58486</v>
      </c>
      <c r="E18079">
        <v>75</v>
      </c>
    </row>
    <row r="18080" spans="1:5" x14ac:dyDescent="0.2">
      <c r="A18080">
        <v>58487</v>
      </c>
      <c r="B18080" t="s">
        <v>34</v>
      </c>
      <c r="C18080">
        <v>58487</v>
      </c>
      <c r="D18080" t="str">
        <f>"58487"</f>
        <v>58487</v>
      </c>
      <c r="E18080">
        <v>65</v>
      </c>
    </row>
    <row r="18081" spans="1:5" x14ac:dyDescent="0.2">
      <c r="A18081">
        <v>58488</v>
      </c>
      <c r="B18081" t="s">
        <v>34</v>
      </c>
      <c r="C18081">
        <v>58488</v>
      </c>
      <c r="D18081" t="str">
        <f>"58488"</f>
        <v>58488</v>
      </c>
      <c r="E18081">
        <v>66.67</v>
      </c>
    </row>
    <row r="18082" spans="1:5" x14ac:dyDescent="0.2">
      <c r="A18082">
        <v>58490</v>
      </c>
      <c r="B18082" t="s">
        <v>34</v>
      </c>
      <c r="C18082">
        <v>58490</v>
      </c>
      <c r="D18082" t="str">
        <f>"58490"</f>
        <v>58490</v>
      </c>
      <c r="E18082">
        <v>91.67</v>
      </c>
    </row>
    <row r="18083" spans="1:5" x14ac:dyDescent="0.2">
      <c r="A18083">
        <v>58492</v>
      </c>
      <c r="B18083" t="s">
        <v>34</v>
      </c>
      <c r="C18083">
        <v>58492</v>
      </c>
      <c r="D18083" t="str">
        <f>"58492"</f>
        <v>58492</v>
      </c>
      <c r="E18083">
        <v>73.91</v>
      </c>
    </row>
    <row r="18084" spans="1:5" x14ac:dyDescent="0.2">
      <c r="A18084">
        <v>58494</v>
      </c>
      <c r="B18084" t="s">
        <v>34</v>
      </c>
      <c r="C18084">
        <v>58494</v>
      </c>
      <c r="D18084" t="str">
        <f>"58494"</f>
        <v>58494</v>
      </c>
      <c r="E18084">
        <v>71.430000000000007</v>
      </c>
    </row>
    <row r="18085" spans="1:5" x14ac:dyDescent="0.2">
      <c r="A18085">
        <v>58495</v>
      </c>
      <c r="B18085" t="s">
        <v>34</v>
      </c>
      <c r="C18085">
        <v>58495</v>
      </c>
      <c r="D18085" t="str">
        <f>"58495"</f>
        <v>58495</v>
      </c>
      <c r="E18085">
        <v>71.67</v>
      </c>
    </row>
    <row r="18086" spans="1:5" x14ac:dyDescent="0.2">
      <c r="A18086">
        <v>58496</v>
      </c>
      <c r="B18086" t="s">
        <v>34</v>
      </c>
      <c r="C18086">
        <v>58496</v>
      </c>
      <c r="D18086" t="str">
        <f>"58496"</f>
        <v>58496</v>
      </c>
      <c r="E18086">
        <v>66.67</v>
      </c>
    </row>
    <row r="18087" spans="1:5" x14ac:dyDescent="0.2">
      <c r="A18087">
        <v>58497</v>
      </c>
      <c r="B18087" t="s">
        <v>34</v>
      </c>
      <c r="C18087">
        <v>58497</v>
      </c>
      <c r="D18087" t="str">
        <f>"58497"</f>
        <v>58497</v>
      </c>
      <c r="E18087">
        <v>81.25</v>
      </c>
    </row>
    <row r="18088" spans="1:5" x14ac:dyDescent="0.2">
      <c r="A18088">
        <v>58501</v>
      </c>
      <c r="B18088" t="s">
        <v>34</v>
      </c>
      <c r="C18088">
        <v>58501</v>
      </c>
      <c r="D18088" t="str">
        <f>"58501"</f>
        <v>58501</v>
      </c>
      <c r="E18088">
        <v>79.930000000000007</v>
      </c>
    </row>
    <row r="18089" spans="1:5" x14ac:dyDescent="0.2">
      <c r="A18089">
        <v>58503</v>
      </c>
      <c r="B18089" t="s">
        <v>34</v>
      </c>
      <c r="C18089">
        <v>58503</v>
      </c>
      <c r="D18089" t="str">
        <f>"58503"</f>
        <v>58503</v>
      </c>
      <c r="E18089">
        <v>83.08</v>
      </c>
    </row>
    <row r="18090" spans="1:5" x14ac:dyDescent="0.2">
      <c r="A18090">
        <v>58504</v>
      </c>
      <c r="B18090" t="s">
        <v>34</v>
      </c>
      <c r="C18090">
        <v>58504</v>
      </c>
      <c r="D18090" t="str">
        <f>"58504"</f>
        <v>58504</v>
      </c>
      <c r="E18090">
        <v>80.430000000000007</v>
      </c>
    </row>
    <row r="18091" spans="1:5" x14ac:dyDescent="0.2">
      <c r="A18091">
        <v>58505</v>
      </c>
      <c r="B18091" t="s">
        <v>34</v>
      </c>
      <c r="C18091">
        <v>58505</v>
      </c>
      <c r="D18091" t="str">
        <f>"58505"</f>
        <v>58505</v>
      </c>
      <c r="E18091" t="s">
        <v>6</v>
      </c>
    </row>
    <row r="18092" spans="1:5" x14ac:dyDescent="0.2">
      <c r="A18092">
        <v>58520</v>
      </c>
      <c r="B18092" t="s">
        <v>34</v>
      </c>
      <c r="C18092">
        <v>58520</v>
      </c>
      <c r="D18092" t="str">
        <f>"58520"</f>
        <v>58520</v>
      </c>
      <c r="E18092">
        <v>72.73</v>
      </c>
    </row>
    <row r="18093" spans="1:5" x14ac:dyDescent="0.2">
      <c r="A18093">
        <v>58521</v>
      </c>
      <c r="B18093" t="s">
        <v>34</v>
      </c>
      <c r="C18093">
        <v>58521</v>
      </c>
      <c r="D18093" t="str">
        <f>"58521"</f>
        <v>58521</v>
      </c>
      <c r="E18093">
        <v>78.790000000000006</v>
      </c>
    </row>
    <row r="18094" spans="1:5" x14ac:dyDescent="0.2">
      <c r="A18094">
        <v>58523</v>
      </c>
      <c r="B18094" t="s">
        <v>34</v>
      </c>
      <c r="C18094">
        <v>58523</v>
      </c>
      <c r="D18094" t="str">
        <f>"58523"</f>
        <v>58523</v>
      </c>
      <c r="E18094">
        <v>79.760000000000005</v>
      </c>
    </row>
    <row r="18095" spans="1:5" x14ac:dyDescent="0.2">
      <c r="A18095">
        <v>58524</v>
      </c>
      <c r="B18095" t="s">
        <v>34</v>
      </c>
      <c r="C18095">
        <v>58524</v>
      </c>
      <c r="D18095" t="str">
        <f>"58524"</f>
        <v>58524</v>
      </c>
      <c r="E18095" t="s">
        <v>6</v>
      </c>
    </row>
    <row r="18096" spans="1:5" x14ac:dyDescent="0.2">
      <c r="A18096">
        <v>58528</v>
      </c>
      <c r="B18096" t="s">
        <v>34</v>
      </c>
      <c r="C18096">
        <v>58528</v>
      </c>
      <c r="D18096" t="str">
        <f>"58528"</f>
        <v>58528</v>
      </c>
      <c r="E18096">
        <v>29.41</v>
      </c>
    </row>
    <row r="18097" spans="1:5" x14ac:dyDescent="0.2">
      <c r="A18097">
        <v>58529</v>
      </c>
      <c r="B18097" t="s">
        <v>34</v>
      </c>
      <c r="C18097">
        <v>58529</v>
      </c>
      <c r="D18097" t="str">
        <f>"58529"</f>
        <v>58529</v>
      </c>
      <c r="E18097">
        <v>70.37</v>
      </c>
    </row>
    <row r="18098" spans="1:5" x14ac:dyDescent="0.2">
      <c r="A18098">
        <v>58530</v>
      </c>
      <c r="B18098" t="s">
        <v>34</v>
      </c>
      <c r="C18098">
        <v>58530</v>
      </c>
      <c r="D18098" t="str">
        <f>"58530"</f>
        <v>58530</v>
      </c>
      <c r="E18098">
        <v>77.59</v>
      </c>
    </row>
    <row r="18099" spans="1:5" x14ac:dyDescent="0.2">
      <c r="A18099">
        <v>58531</v>
      </c>
      <c r="B18099" t="s">
        <v>34</v>
      </c>
      <c r="C18099">
        <v>58531</v>
      </c>
      <c r="D18099" t="str">
        <f>"58531"</f>
        <v>58531</v>
      </c>
      <c r="E18099">
        <v>85</v>
      </c>
    </row>
    <row r="18100" spans="1:5" x14ac:dyDescent="0.2">
      <c r="A18100">
        <v>58532</v>
      </c>
      <c r="B18100" t="s">
        <v>34</v>
      </c>
      <c r="C18100">
        <v>58532</v>
      </c>
      <c r="D18100" t="str">
        <f>"58532"</f>
        <v>58532</v>
      </c>
      <c r="E18100">
        <v>69.23</v>
      </c>
    </row>
    <row r="18101" spans="1:5" x14ac:dyDescent="0.2">
      <c r="A18101">
        <v>58533</v>
      </c>
      <c r="B18101" t="s">
        <v>34</v>
      </c>
      <c r="C18101">
        <v>58533</v>
      </c>
      <c r="D18101" t="str">
        <f>"58533"</f>
        <v>58533</v>
      </c>
      <c r="E18101">
        <v>64.290000000000006</v>
      </c>
    </row>
    <row r="18102" spans="1:5" x14ac:dyDescent="0.2">
      <c r="A18102">
        <v>58535</v>
      </c>
      <c r="B18102" t="s">
        <v>34</v>
      </c>
      <c r="C18102">
        <v>58535</v>
      </c>
      <c r="D18102" t="str">
        <f>"58535"</f>
        <v>58535</v>
      </c>
      <c r="E18102">
        <v>75</v>
      </c>
    </row>
    <row r="18103" spans="1:5" x14ac:dyDescent="0.2">
      <c r="A18103">
        <v>58538</v>
      </c>
      <c r="B18103" t="s">
        <v>34</v>
      </c>
      <c r="C18103">
        <v>58538</v>
      </c>
      <c r="D18103" t="str">
        <f>"58538"</f>
        <v>58538</v>
      </c>
      <c r="E18103">
        <v>56.1</v>
      </c>
    </row>
    <row r="18104" spans="1:5" x14ac:dyDescent="0.2">
      <c r="A18104">
        <v>58540</v>
      </c>
      <c r="B18104" t="s">
        <v>34</v>
      </c>
      <c r="C18104">
        <v>58540</v>
      </c>
      <c r="D18104" t="str">
        <f>"58540"</f>
        <v>58540</v>
      </c>
      <c r="E18104">
        <v>75.41</v>
      </c>
    </row>
    <row r="18105" spans="1:5" x14ac:dyDescent="0.2">
      <c r="A18105">
        <v>58541</v>
      </c>
      <c r="B18105" t="s">
        <v>34</v>
      </c>
      <c r="C18105">
        <v>58541</v>
      </c>
      <c r="D18105" t="str">
        <f>"58541"</f>
        <v>58541</v>
      </c>
      <c r="E18105">
        <v>82.35</v>
      </c>
    </row>
    <row r="18106" spans="1:5" x14ac:dyDescent="0.2">
      <c r="A18106">
        <v>58542</v>
      </c>
      <c r="B18106" t="s">
        <v>34</v>
      </c>
      <c r="C18106">
        <v>58542</v>
      </c>
      <c r="D18106" t="str">
        <f>"58542"</f>
        <v>58542</v>
      </c>
      <c r="E18106">
        <v>80</v>
      </c>
    </row>
    <row r="18107" spans="1:5" x14ac:dyDescent="0.2">
      <c r="A18107">
        <v>58544</v>
      </c>
      <c r="B18107" t="s">
        <v>34</v>
      </c>
      <c r="C18107">
        <v>58544</v>
      </c>
      <c r="D18107" t="str">
        <f>"58544"</f>
        <v>58544</v>
      </c>
      <c r="E18107">
        <v>81.819999999999993</v>
      </c>
    </row>
    <row r="18108" spans="1:5" x14ac:dyDescent="0.2">
      <c r="A18108">
        <v>58545</v>
      </c>
      <c r="B18108" t="s">
        <v>34</v>
      </c>
      <c r="C18108">
        <v>58545</v>
      </c>
      <c r="D18108" t="str">
        <f>"58545"</f>
        <v>58545</v>
      </c>
      <c r="E18108">
        <v>79.41</v>
      </c>
    </row>
    <row r="18109" spans="1:5" x14ac:dyDescent="0.2">
      <c r="A18109">
        <v>58549</v>
      </c>
      <c r="B18109" t="s">
        <v>34</v>
      </c>
      <c r="C18109">
        <v>58549</v>
      </c>
      <c r="D18109" t="str">
        <f>"58549"</f>
        <v>58549</v>
      </c>
      <c r="E18109" t="s">
        <v>6</v>
      </c>
    </row>
    <row r="18110" spans="1:5" x14ac:dyDescent="0.2">
      <c r="A18110">
        <v>58552</v>
      </c>
      <c r="B18110" t="s">
        <v>34</v>
      </c>
      <c r="C18110">
        <v>58552</v>
      </c>
      <c r="D18110" t="str">
        <f>"58552"</f>
        <v>58552</v>
      </c>
      <c r="E18110">
        <v>75.319999999999993</v>
      </c>
    </row>
    <row r="18111" spans="1:5" x14ac:dyDescent="0.2">
      <c r="A18111">
        <v>58554</v>
      </c>
      <c r="B18111" t="s">
        <v>34</v>
      </c>
      <c r="C18111">
        <v>58554</v>
      </c>
      <c r="D18111" t="str">
        <f>"58554"</f>
        <v>58554</v>
      </c>
      <c r="E18111">
        <v>79.430000000000007</v>
      </c>
    </row>
    <row r="18112" spans="1:5" x14ac:dyDescent="0.2">
      <c r="A18112">
        <v>58558</v>
      </c>
      <c r="B18112" t="s">
        <v>34</v>
      </c>
      <c r="C18112">
        <v>58558</v>
      </c>
      <c r="D18112" t="str">
        <f>"58558"</f>
        <v>58558</v>
      </c>
      <c r="E18112">
        <v>82.22</v>
      </c>
    </row>
    <row r="18113" spans="1:5" x14ac:dyDescent="0.2">
      <c r="A18113">
        <v>58559</v>
      </c>
      <c r="B18113" t="s">
        <v>34</v>
      </c>
      <c r="C18113">
        <v>58559</v>
      </c>
      <c r="D18113" t="str">
        <f>"58559"</f>
        <v>58559</v>
      </c>
      <c r="E18113">
        <v>75</v>
      </c>
    </row>
    <row r="18114" spans="1:5" x14ac:dyDescent="0.2">
      <c r="A18114">
        <v>58560</v>
      </c>
      <c r="B18114" t="s">
        <v>34</v>
      </c>
      <c r="C18114">
        <v>58560</v>
      </c>
      <c r="D18114" t="str">
        <f>"58560"</f>
        <v>58560</v>
      </c>
      <c r="E18114" t="s">
        <v>6</v>
      </c>
    </row>
    <row r="18115" spans="1:5" x14ac:dyDescent="0.2">
      <c r="A18115">
        <v>58561</v>
      </c>
      <c r="B18115" t="s">
        <v>34</v>
      </c>
      <c r="C18115">
        <v>58561</v>
      </c>
      <c r="D18115" t="str">
        <f>"58561"</f>
        <v>58561</v>
      </c>
      <c r="E18115">
        <v>74.47</v>
      </c>
    </row>
    <row r="18116" spans="1:5" x14ac:dyDescent="0.2">
      <c r="A18116">
        <v>58562</v>
      </c>
      <c r="B18116" t="s">
        <v>34</v>
      </c>
      <c r="C18116">
        <v>58562</v>
      </c>
      <c r="D18116" t="str">
        <f>"58562"</f>
        <v>58562</v>
      </c>
      <c r="E18116">
        <v>70.59</v>
      </c>
    </row>
    <row r="18117" spans="1:5" x14ac:dyDescent="0.2">
      <c r="A18117">
        <v>58563</v>
      </c>
      <c r="B18117" t="s">
        <v>34</v>
      </c>
      <c r="C18117">
        <v>58563</v>
      </c>
      <c r="D18117" t="str">
        <f>"58563"</f>
        <v>58563</v>
      </c>
      <c r="E18117">
        <v>75.819999999999993</v>
      </c>
    </row>
    <row r="18118" spans="1:5" x14ac:dyDescent="0.2">
      <c r="A18118">
        <v>58564</v>
      </c>
      <c r="B18118" t="s">
        <v>34</v>
      </c>
      <c r="C18118">
        <v>58564</v>
      </c>
      <c r="D18118" t="str">
        <f>"58564"</f>
        <v>58564</v>
      </c>
      <c r="E18118" t="s">
        <v>6</v>
      </c>
    </row>
    <row r="18119" spans="1:5" x14ac:dyDescent="0.2">
      <c r="A18119">
        <v>58565</v>
      </c>
      <c r="B18119" t="s">
        <v>34</v>
      </c>
      <c r="C18119">
        <v>58565</v>
      </c>
      <c r="D18119" t="str">
        <f>"58565"</f>
        <v>58565</v>
      </c>
      <c r="E18119">
        <v>86.67</v>
      </c>
    </row>
    <row r="18120" spans="1:5" x14ac:dyDescent="0.2">
      <c r="A18120">
        <v>58566</v>
      </c>
      <c r="B18120" t="s">
        <v>34</v>
      </c>
      <c r="C18120">
        <v>58566</v>
      </c>
      <c r="D18120" t="str">
        <f>"58566"</f>
        <v>58566</v>
      </c>
      <c r="E18120" t="s">
        <v>6</v>
      </c>
    </row>
    <row r="18121" spans="1:5" x14ac:dyDescent="0.2">
      <c r="A18121">
        <v>58568</v>
      </c>
      <c r="B18121" t="s">
        <v>34</v>
      </c>
      <c r="C18121">
        <v>58568</v>
      </c>
      <c r="D18121" t="str">
        <f>"58568"</f>
        <v>58568</v>
      </c>
      <c r="E18121">
        <v>53.33</v>
      </c>
    </row>
    <row r="18122" spans="1:5" x14ac:dyDescent="0.2">
      <c r="A18122">
        <v>58569</v>
      </c>
      <c r="B18122" t="s">
        <v>34</v>
      </c>
      <c r="C18122">
        <v>58569</v>
      </c>
      <c r="D18122" t="str">
        <f>"58569"</f>
        <v>58569</v>
      </c>
      <c r="E18122" t="s">
        <v>6</v>
      </c>
    </row>
    <row r="18123" spans="1:5" x14ac:dyDescent="0.2">
      <c r="A18123">
        <v>58570</v>
      </c>
      <c r="B18123" t="s">
        <v>34</v>
      </c>
      <c r="C18123">
        <v>58570</v>
      </c>
      <c r="D18123" t="str">
        <f>"58570"</f>
        <v>58570</v>
      </c>
      <c r="E18123">
        <v>73.33</v>
      </c>
    </row>
    <row r="18124" spans="1:5" x14ac:dyDescent="0.2">
      <c r="A18124">
        <v>58571</v>
      </c>
      <c r="B18124" t="s">
        <v>34</v>
      </c>
      <c r="C18124">
        <v>58571</v>
      </c>
      <c r="D18124" t="str">
        <f>"58571"</f>
        <v>58571</v>
      </c>
      <c r="E18124">
        <v>78.569999999999993</v>
      </c>
    </row>
    <row r="18125" spans="1:5" x14ac:dyDescent="0.2">
      <c r="A18125">
        <v>58572</v>
      </c>
      <c r="B18125" t="s">
        <v>34</v>
      </c>
      <c r="C18125">
        <v>58572</v>
      </c>
      <c r="D18125" t="str">
        <f>"58572"</f>
        <v>58572</v>
      </c>
      <c r="E18125">
        <v>76.47</v>
      </c>
    </row>
    <row r="18126" spans="1:5" x14ac:dyDescent="0.2">
      <c r="A18126">
        <v>58573</v>
      </c>
      <c r="B18126" t="s">
        <v>34</v>
      </c>
      <c r="C18126">
        <v>58573</v>
      </c>
      <c r="D18126" t="str">
        <f>"58573"</f>
        <v>58573</v>
      </c>
      <c r="E18126">
        <v>65.38</v>
      </c>
    </row>
    <row r="18127" spans="1:5" x14ac:dyDescent="0.2">
      <c r="A18127">
        <v>58575</v>
      </c>
      <c r="B18127" t="s">
        <v>34</v>
      </c>
      <c r="C18127">
        <v>58575</v>
      </c>
      <c r="D18127" t="str">
        <f>"58575"</f>
        <v>58575</v>
      </c>
      <c r="E18127">
        <v>75</v>
      </c>
    </row>
    <row r="18128" spans="1:5" x14ac:dyDescent="0.2">
      <c r="A18128">
        <v>58576</v>
      </c>
      <c r="B18128" t="s">
        <v>34</v>
      </c>
      <c r="C18128">
        <v>58576</v>
      </c>
      <c r="D18128" t="str">
        <f>"58576"</f>
        <v>58576</v>
      </c>
      <c r="E18128">
        <v>84.09</v>
      </c>
    </row>
    <row r="18129" spans="1:5" x14ac:dyDescent="0.2">
      <c r="A18129">
        <v>58577</v>
      </c>
      <c r="B18129" t="s">
        <v>34</v>
      </c>
      <c r="C18129">
        <v>58577</v>
      </c>
      <c r="D18129" t="str">
        <f>"58577"</f>
        <v>58577</v>
      </c>
      <c r="E18129">
        <v>82.76</v>
      </c>
    </row>
    <row r="18130" spans="1:5" x14ac:dyDescent="0.2">
      <c r="A18130">
        <v>58579</v>
      </c>
      <c r="B18130" t="s">
        <v>34</v>
      </c>
      <c r="C18130">
        <v>58579</v>
      </c>
      <c r="D18130" t="str">
        <f>"58579"</f>
        <v>58579</v>
      </c>
      <c r="E18130">
        <v>79.37</v>
      </c>
    </row>
    <row r="18131" spans="1:5" x14ac:dyDescent="0.2">
      <c r="A18131">
        <v>58580</v>
      </c>
      <c r="B18131" t="s">
        <v>34</v>
      </c>
      <c r="C18131">
        <v>58580</v>
      </c>
      <c r="D18131" t="str">
        <f>"58580"</f>
        <v>58580</v>
      </c>
      <c r="E18131">
        <v>85.71</v>
      </c>
    </row>
    <row r="18132" spans="1:5" x14ac:dyDescent="0.2">
      <c r="A18132">
        <v>58581</v>
      </c>
      <c r="B18132" t="s">
        <v>34</v>
      </c>
      <c r="C18132">
        <v>58581</v>
      </c>
      <c r="D18132" t="str">
        <f>"58581"</f>
        <v>58581</v>
      </c>
      <c r="E18132">
        <v>63.64</v>
      </c>
    </row>
    <row r="18133" spans="1:5" x14ac:dyDescent="0.2">
      <c r="A18133">
        <v>58601</v>
      </c>
      <c r="B18133" t="s">
        <v>34</v>
      </c>
      <c r="C18133">
        <v>58601</v>
      </c>
      <c r="D18133" t="str">
        <f>"58601"</f>
        <v>58601</v>
      </c>
      <c r="E18133">
        <v>81.39</v>
      </c>
    </row>
    <row r="18134" spans="1:5" x14ac:dyDescent="0.2">
      <c r="A18134">
        <v>58620</v>
      </c>
      <c r="B18134" t="s">
        <v>34</v>
      </c>
      <c r="C18134">
        <v>58620</v>
      </c>
      <c r="D18134" t="str">
        <f>"58620"</f>
        <v>58620</v>
      </c>
      <c r="E18134" t="s">
        <v>6</v>
      </c>
    </row>
    <row r="18135" spans="1:5" x14ac:dyDescent="0.2">
      <c r="A18135">
        <v>58621</v>
      </c>
      <c r="B18135" t="s">
        <v>34</v>
      </c>
      <c r="C18135">
        <v>58621</v>
      </c>
      <c r="D18135" t="str">
        <f>"58621"</f>
        <v>58621</v>
      </c>
      <c r="E18135">
        <v>79.31</v>
      </c>
    </row>
    <row r="18136" spans="1:5" x14ac:dyDescent="0.2">
      <c r="A18136">
        <v>58622</v>
      </c>
      <c r="B18136" t="s">
        <v>34</v>
      </c>
      <c r="C18136">
        <v>58622</v>
      </c>
      <c r="D18136" t="str">
        <f>"58622"</f>
        <v>58622</v>
      </c>
      <c r="E18136">
        <v>79.069999999999993</v>
      </c>
    </row>
    <row r="18137" spans="1:5" x14ac:dyDescent="0.2">
      <c r="A18137">
        <v>58623</v>
      </c>
      <c r="B18137" t="s">
        <v>34</v>
      </c>
      <c r="C18137">
        <v>58623</v>
      </c>
      <c r="D18137" t="str">
        <f>"58623"</f>
        <v>58623</v>
      </c>
      <c r="E18137">
        <v>75</v>
      </c>
    </row>
    <row r="18138" spans="1:5" x14ac:dyDescent="0.2">
      <c r="A18138">
        <v>58625</v>
      </c>
      <c r="B18138" t="s">
        <v>34</v>
      </c>
      <c r="C18138">
        <v>58625</v>
      </c>
      <c r="D18138" t="str">
        <f>"58625"</f>
        <v>58625</v>
      </c>
      <c r="E18138" t="s">
        <v>6</v>
      </c>
    </row>
    <row r="18139" spans="1:5" x14ac:dyDescent="0.2">
      <c r="A18139">
        <v>58626</v>
      </c>
      <c r="B18139" t="s">
        <v>34</v>
      </c>
      <c r="C18139">
        <v>58626</v>
      </c>
      <c r="D18139" t="str">
        <f>"58626"</f>
        <v>58626</v>
      </c>
      <c r="E18139">
        <v>73.680000000000007</v>
      </c>
    </row>
    <row r="18140" spans="1:5" x14ac:dyDescent="0.2">
      <c r="A18140">
        <v>58627</v>
      </c>
      <c r="B18140" t="s">
        <v>34</v>
      </c>
      <c r="C18140">
        <v>58627</v>
      </c>
      <c r="D18140" t="str">
        <f>"58627"</f>
        <v>58627</v>
      </c>
      <c r="E18140" t="s">
        <v>6</v>
      </c>
    </row>
    <row r="18141" spans="1:5" x14ac:dyDescent="0.2">
      <c r="A18141">
        <v>58630</v>
      </c>
      <c r="B18141" t="s">
        <v>34</v>
      </c>
      <c r="C18141">
        <v>58630</v>
      </c>
      <c r="D18141" t="str">
        <f>"58630"</f>
        <v>58630</v>
      </c>
      <c r="E18141">
        <v>75.86</v>
      </c>
    </row>
    <row r="18142" spans="1:5" x14ac:dyDescent="0.2">
      <c r="A18142">
        <v>58631</v>
      </c>
      <c r="B18142" t="s">
        <v>34</v>
      </c>
      <c r="C18142">
        <v>58631</v>
      </c>
      <c r="D18142" t="str">
        <f>"58631"</f>
        <v>58631</v>
      </c>
      <c r="E18142">
        <v>80.77</v>
      </c>
    </row>
    <row r="18143" spans="1:5" x14ac:dyDescent="0.2">
      <c r="A18143">
        <v>58632</v>
      </c>
      <c r="B18143" t="s">
        <v>34</v>
      </c>
      <c r="C18143">
        <v>58632</v>
      </c>
      <c r="D18143" t="str">
        <f>"58632"</f>
        <v>58632</v>
      </c>
      <c r="E18143" t="s">
        <v>6</v>
      </c>
    </row>
    <row r="18144" spans="1:5" x14ac:dyDescent="0.2">
      <c r="A18144">
        <v>58634</v>
      </c>
      <c r="B18144" t="s">
        <v>34</v>
      </c>
      <c r="C18144">
        <v>58634</v>
      </c>
      <c r="D18144" t="str">
        <f>"58634"</f>
        <v>58634</v>
      </c>
      <c r="E18144">
        <v>78.569999999999993</v>
      </c>
    </row>
    <row r="18145" spans="1:5" x14ac:dyDescent="0.2">
      <c r="A18145">
        <v>58636</v>
      </c>
      <c r="B18145" t="s">
        <v>34</v>
      </c>
      <c r="C18145">
        <v>58636</v>
      </c>
      <c r="D18145" t="str">
        <f>"58636"</f>
        <v>58636</v>
      </c>
      <c r="E18145">
        <v>80</v>
      </c>
    </row>
    <row r="18146" spans="1:5" x14ac:dyDescent="0.2">
      <c r="A18146">
        <v>58638</v>
      </c>
      <c r="B18146" t="s">
        <v>34</v>
      </c>
      <c r="C18146">
        <v>58638</v>
      </c>
      <c r="D18146" t="str">
        <f>"58638"</f>
        <v>58638</v>
      </c>
      <c r="E18146">
        <v>76.599999999999994</v>
      </c>
    </row>
    <row r="18147" spans="1:5" x14ac:dyDescent="0.2">
      <c r="A18147">
        <v>58639</v>
      </c>
      <c r="B18147" t="s">
        <v>34</v>
      </c>
      <c r="C18147">
        <v>58639</v>
      </c>
      <c r="D18147" t="str">
        <f>"58639"</f>
        <v>58639</v>
      </c>
      <c r="E18147">
        <v>77.27</v>
      </c>
    </row>
    <row r="18148" spans="1:5" x14ac:dyDescent="0.2">
      <c r="A18148">
        <v>58640</v>
      </c>
      <c r="B18148" t="s">
        <v>34</v>
      </c>
      <c r="C18148">
        <v>58640</v>
      </c>
      <c r="D18148" t="str">
        <f>"58640"</f>
        <v>58640</v>
      </c>
      <c r="E18148">
        <v>82.56</v>
      </c>
    </row>
    <row r="18149" spans="1:5" x14ac:dyDescent="0.2">
      <c r="A18149">
        <v>58641</v>
      </c>
      <c r="B18149" t="s">
        <v>34</v>
      </c>
      <c r="C18149">
        <v>58641</v>
      </c>
      <c r="D18149" t="str">
        <f>"58641"</f>
        <v>58641</v>
      </c>
      <c r="E18149" t="s">
        <v>6</v>
      </c>
    </row>
    <row r="18150" spans="1:5" x14ac:dyDescent="0.2">
      <c r="A18150">
        <v>58642</v>
      </c>
      <c r="B18150" t="s">
        <v>34</v>
      </c>
      <c r="C18150">
        <v>58642</v>
      </c>
      <c r="D18150" t="str">
        <f>"58642"</f>
        <v>58642</v>
      </c>
      <c r="E18150">
        <v>78.569999999999993</v>
      </c>
    </row>
    <row r="18151" spans="1:5" x14ac:dyDescent="0.2">
      <c r="A18151">
        <v>58643</v>
      </c>
      <c r="B18151" t="s">
        <v>34</v>
      </c>
      <c r="C18151">
        <v>58643</v>
      </c>
      <c r="D18151" t="str">
        <f>"58643"</f>
        <v>58643</v>
      </c>
      <c r="E18151" t="s">
        <v>6</v>
      </c>
    </row>
    <row r="18152" spans="1:5" x14ac:dyDescent="0.2">
      <c r="A18152">
        <v>58644</v>
      </c>
      <c r="B18152" t="s">
        <v>34</v>
      </c>
      <c r="C18152">
        <v>58644</v>
      </c>
      <c r="D18152" t="str">
        <f>"58644"</f>
        <v>58644</v>
      </c>
      <c r="E18152" t="s">
        <v>6</v>
      </c>
    </row>
    <row r="18153" spans="1:5" x14ac:dyDescent="0.2">
      <c r="A18153">
        <v>58645</v>
      </c>
      <c r="B18153" t="s">
        <v>34</v>
      </c>
      <c r="C18153">
        <v>58645</v>
      </c>
      <c r="D18153" t="str">
        <f>"58645"</f>
        <v>58645</v>
      </c>
      <c r="E18153">
        <v>78.95</v>
      </c>
    </row>
    <row r="18154" spans="1:5" x14ac:dyDescent="0.2">
      <c r="A18154">
        <v>58646</v>
      </c>
      <c r="B18154" t="s">
        <v>34</v>
      </c>
      <c r="C18154">
        <v>58646</v>
      </c>
      <c r="D18154" t="str">
        <f>"58646"</f>
        <v>58646</v>
      </c>
      <c r="E18154">
        <v>73.47</v>
      </c>
    </row>
    <row r="18155" spans="1:5" x14ac:dyDescent="0.2">
      <c r="A18155">
        <v>58647</v>
      </c>
      <c r="B18155" t="s">
        <v>34</v>
      </c>
      <c r="C18155">
        <v>58647</v>
      </c>
      <c r="D18155" t="str">
        <f>"58647"</f>
        <v>58647</v>
      </c>
      <c r="E18155">
        <v>76.47</v>
      </c>
    </row>
    <row r="18156" spans="1:5" x14ac:dyDescent="0.2">
      <c r="A18156">
        <v>58649</v>
      </c>
      <c r="B18156" t="s">
        <v>34</v>
      </c>
      <c r="C18156">
        <v>58649</v>
      </c>
      <c r="D18156" t="str">
        <f>"58649"</f>
        <v>58649</v>
      </c>
      <c r="E18156">
        <v>69.23</v>
      </c>
    </row>
    <row r="18157" spans="1:5" x14ac:dyDescent="0.2">
      <c r="A18157">
        <v>58650</v>
      </c>
      <c r="B18157" t="s">
        <v>34</v>
      </c>
      <c r="C18157">
        <v>58650</v>
      </c>
      <c r="D18157" t="str">
        <f>"58650"</f>
        <v>58650</v>
      </c>
      <c r="E18157">
        <v>76.47</v>
      </c>
    </row>
    <row r="18158" spans="1:5" x14ac:dyDescent="0.2">
      <c r="A18158">
        <v>58651</v>
      </c>
      <c r="B18158" t="s">
        <v>34</v>
      </c>
      <c r="C18158">
        <v>58651</v>
      </c>
      <c r="D18158" t="str">
        <f>"58651"</f>
        <v>58651</v>
      </c>
      <c r="E18158">
        <v>78.95</v>
      </c>
    </row>
    <row r="18159" spans="1:5" x14ac:dyDescent="0.2">
      <c r="A18159">
        <v>58652</v>
      </c>
      <c r="B18159" t="s">
        <v>34</v>
      </c>
      <c r="C18159">
        <v>58652</v>
      </c>
      <c r="D18159" t="str">
        <f>"58652"</f>
        <v>58652</v>
      </c>
      <c r="E18159">
        <v>77.55</v>
      </c>
    </row>
    <row r="18160" spans="1:5" x14ac:dyDescent="0.2">
      <c r="A18160">
        <v>58653</v>
      </c>
      <c r="B18160" t="s">
        <v>34</v>
      </c>
      <c r="C18160">
        <v>58653</v>
      </c>
      <c r="D18160" t="str">
        <f>"58653"</f>
        <v>58653</v>
      </c>
      <c r="E18160">
        <v>78.260000000000005</v>
      </c>
    </row>
    <row r="18161" spans="1:5" x14ac:dyDescent="0.2">
      <c r="A18161">
        <v>58654</v>
      </c>
      <c r="B18161" t="s">
        <v>34</v>
      </c>
      <c r="C18161">
        <v>58654</v>
      </c>
      <c r="D18161" t="str">
        <f>"58654"</f>
        <v>58654</v>
      </c>
      <c r="E18161">
        <v>72.73</v>
      </c>
    </row>
    <row r="18162" spans="1:5" x14ac:dyDescent="0.2">
      <c r="A18162">
        <v>58655</v>
      </c>
      <c r="B18162" t="s">
        <v>34</v>
      </c>
      <c r="C18162">
        <v>58655</v>
      </c>
      <c r="D18162" t="str">
        <f>"58655"</f>
        <v>58655</v>
      </c>
      <c r="E18162">
        <v>79.31</v>
      </c>
    </row>
    <row r="18163" spans="1:5" x14ac:dyDescent="0.2">
      <c r="A18163">
        <v>58656</v>
      </c>
      <c r="B18163" t="s">
        <v>34</v>
      </c>
      <c r="C18163">
        <v>58656</v>
      </c>
      <c r="D18163" t="str">
        <f>"58656"</f>
        <v>58656</v>
      </c>
      <c r="E18163">
        <v>78.260000000000005</v>
      </c>
    </row>
    <row r="18164" spans="1:5" x14ac:dyDescent="0.2">
      <c r="A18164">
        <v>58701</v>
      </c>
      <c r="B18164" t="s">
        <v>34</v>
      </c>
      <c r="C18164">
        <v>58701</v>
      </c>
      <c r="D18164" t="str">
        <f>"58701"</f>
        <v>58701</v>
      </c>
      <c r="E18164">
        <v>78.87</v>
      </c>
    </row>
    <row r="18165" spans="1:5" x14ac:dyDescent="0.2">
      <c r="A18165">
        <v>58703</v>
      </c>
      <c r="B18165" t="s">
        <v>34</v>
      </c>
      <c r="C18165">
        <v>58703</v>
      </c>
      <c r="D18165" t="str">
        <f>"58703"</f>
        <v>58703</v>
      </c>
      <c r="E18165">
        <v>80.08</v>
      </c>
    </row>
    <row r="18166" spans="1:5" x14ac:dyDescent="0.2">
      <c r="A18166">
        <v>58704</v>
      </c>
      <c r="B18166" t="s">
        <v>34</v>
      </c>
      <c r="C18166">
        <v>58704</v>
      </c>
      <c r="D18166" t="str">
        <f>"58704"</f>
        <v>58704</v>
      </c>
      <c r="E18166">
        <v>71.430000000000007</v>
      </c>
    </row>
    <row r="18167" spans="1:5" x14ac:dyDescent="0.2">
      <c r="A18167">
        <v>58705</v>
      </c>
      <c r="B18167" t="s">
        <v>34</v>
      </c>
      <c r="C18167">
        <v>58705</v>
      </c>
      <c r="D18167" t="str">
        <f>"58705"</f>
        <v>58705</v>
      </c>
      <c r="E18167">
        <v>87.5</v>
      </c>
    </row>
    <row r="18168" spans="1:5" x14ac:dyDescent="0.2">
      <c r="A18168">
        <v>58707</v>
      </c>
      <c r="B18168" t="s">
        <v>34</v>
      </c>
      <c r="C18168">
        <v>58707</v>
      </c>
      <c r="D18168" t="str">
        <f>"58707"</f>
        <v>58707</v>
      </c>
      <c r="E18168" t="s">
        <v>6</v>
      </c>
    </row>
    <row r="18169" spans="1:5" x14ac:dyDescent="0.2">
      <c r="A18169">
        <v>58710</v>
      </c>
      <c r="B18169" t="s">
        <v>34</v>
      </c>
      <c r="C18169">
        <v>58710</v>
      </c>
      <c r="D18169" t="str">
        <f>"58710"</f>
        <v>58710</v>
      </c>
      <c r="E18169">
        <v>75</v>
      </c>
    </row>
    <row r="18170" spans="1:5" x14ac:dyDescent="0.2">
      <c r="A18170">
        <v>58711</v>
      </c>
      <c r="B18170" t="s">
        <v>34</v>
      </c>
      <c r="C18170">
        <v>58711</v>
      </c>
      <c r="D18170" t="str">
        <f>"58711"</f>
        <v>58711</v>
      </c>
      <c r="E18170" t="s">
        <v>6</v>
      </c>
    </row>
    <row r="18171" spans="1:5" x14ac:dyDescent="0.2">
      <c r="A18171">
        <v>58712</v>
      </c>
      <c r="B18171" t="s">
        <v>34</v>
      </c>
      <c r="C18171">
        <v>58712</v>
      </c>
      <c r="D18171" t="str">
        <f>"58712"</f>
        <v>58712</v>
      </c>
      <c r="E18171" t="s">
        <v>6</v>
      </c>
    </row>
    <row r="18172" spans="1:5" x14ac:dyDescent="0.2">
      <c r="A18172">
        <v>58713</v>
      </c>
      <c r="B18172" t="s">
        <v>34</v>
      </c>
      <c r="C18172">
        <v>58713</v>
      </c>
      <c r="D18172" t="str">
        <f>"58713"</f>
        <v>58713</v>
      </c>
      <c r="E18172" t="s">
        <v>6</v>
      </c>
    </row>
    <row r="18173" spans="1:5" x14ac:dyDescent="0.2">
      <c r="A18173">
        <v>58716</v>
      </c>
      <c r="B18173" t="s">
        <v>34</v>
      </c>
      <c r="C18173">
        <v>58716</v>
      </c>
      <c r="D18173" t="str">
        <f>"58716"</f>
        <v>58716</v>
      </c>
      <c r="E18173" t="s">
        <v>6</v>
      </c>
    </row>
    <row r="18174" spans="1:5" x14ac:dyDescent="0.2">
      <c r="A18174">
        <v>58718</v>
      </c>
      <c r="B18174" t="s">
        <v>34</v>
      </c>
      <c r="C18174">
        <v>58718</v>
      </c>
      <c r="D18174" t="str">
        <f>"58718"</f>
        <v>58718</v>
      </c>
      <c r="E18174">
        <v>79.25</v>
      </c>
    </row>
    <row r="18175" spans="1:5" x14ac:dyDescent="0.2">
      <c r="A18175">
        <v>58721</v>
      </c>
      <c r="B18175" t="s">
        <v>34</v>
      </c>
      <c r="C18175">
        <v>58721</v>
      </c>
      <c r="D18175" t="str">
        <f>"58721"</f>
        <v>58721</v>
      </c>
      <c r="E18175">
        <v>76</v>
      </c>
    </row>
    <row r="18176" spans="1:5" x14ac:dyDescent="0.2">
      <c r="A18176">
        <v>58722</v>
      </c>
      <c r="B18176" t="s">
        <v>34</v>
      </c>
      <c r="C18176">
        <v>58722</v>
      </c>
      <c r="D18176" t="str">
        <f>"58722"</f>
        <v>58722</v>
      </c>
      <c r="E18176">
        <v>79.75</v>
      </c>
    </row>
    <row r="18177" spans="1:5" x14ac:dyDescent="0.2">
      <c r="A18177">
        <v>58723</v>
      </c>
      <c r="B18177" t="s">
        <v>34</v>
      </c>
      <c r="C18177">
        <v>58723</v>
      </c>
      <c r="D18177" t="str">
        <f>"58723"</f>
        <v>58723</v>
      </c>
      <c r="E18177">
        <v>63.64</v>
      </c>
    </row>
    <row r="18178" spans="1:5" x14ac:dyDescent="0.2">
      <c r="A18178">
        <v>58725</v>
      </c>
      <c r="B18178" t="s">
        <v>34</v>
      </c>
      <c r="C18178">
        <v>58725</v>
      </c>
      <c r="D18178" t="str">
        <f>"58725"</f>
        <v>58725</v>
      </c>
      <c r="E18178">
        <v>81.25</v>
      </c>
    </row>
    <row r="18179" spans="1:5" x14ac:dyDescent="0.2">
      <c r="A18179">
        <v>58727</v>
      </c>
      <c r="B18179" t="s">
        <v>34</v>
      </c>
      <c r="C18179">
        <v>58727</v>
      </c>
      <c r="D18179" t="str">
        <f>"58727"</f>
        <v>58727</v>
      </c>
      <c r="E18179">
        <v>71.430000000000007</v>
      </c>
    </row>
    <row r="18180" spans="1:5" x14ac:dyDescent="0.2">
      <c r="A18180">
        <v>58730</v>
      </c>
      <c r="B18180" t="s">
        <v>34</v>
      </c>
      <c r="C18180">
        <v>58730</v>
      </c>
      <c r="D18180" t="str">
        <f>"58730"</f>
        <v>58730</v>
      </c>
      <c r="E18180">
        <v>80.599999999999994</v>
      </c>
    </row>
    <row r="18181" spans="1:5" x14ac:dyDescent="0.2">
      <c r="A18181">
        <v>58731</v>
      </c>
      <c r="B18181" t="s">
        <v>34</v>
      </c>
      <c r="C18181">
        <v>58731</v>
      </c>
      <c r="D18181" t="str">
        <f>"58731"</f>
        <v>58731</v>
      </c>
      <c r="E18181">
        <v>75</v>
      </c>
    </row>
    <row r="18182" spans="1:5" x14ac:dyDescent="0.2">
      <c r="A18182">
        <v>58733</v>
      </c>
      <c r="B18182" t="s">
        <v>34</v>
      </c>
      <c r="C18182">
        <v>58733</v>
      </c>
      <c r="D18182" t="str">
        <f>"58733"</f>
        <v>58733</v>
      </c>
      <c r="E18182">
        <v>78.95</v>
      </c>
    </row>
    <row r="18183" spans="1:5" x14ac:dyDescent="0.2">
      <c r="A18183">
        <v>58734</v>
      </c>
      <c r="B18183" t="s">
        <v>34</v>
      </c>
      <c r="C18183">
        <v>58734</v>
      </c>
      <c r="D18183" t="str">
        <f>"58734"</f>
        <v>58734</v>
      </c>
      <c r="E18183">
        <v>84.62</v>
      </c>
    </row>
    <row r="18184" spans="1:5" x14ac:dyDescent="0.2">
      <c r="A18184">
        <v>58735</v>
      </c>
      <c r="B18184" t="s">
        <v>34</v>
      </c>
      <c r="C18184">
        <v>58735</v>
      </c>
      <c r="D18184" t="str">
        <f>"58735"</f>
        <v>58735</v>
      </c>
      <c r="E18184">
        <v>72.22</v>
      </c>
    </row>
    <row r="18185" spans="1:5" x14ac:dyDescent="0.2">
      <c r="A18185">
        <v>58736</v>
      </c>
      <c r="B18185" t="s">
        <v>34</v>
      </c>
      <c r="C18185">
        <v>58736</v>
      </c>
      <c r="D18185" t="str">
        <f>"58736"</f>
        <v>58736</v>
      </c>
      <c r="E18185">
        <v>75</v>
      </c>
    </row>
    <row r="18186" spans="1:5" x14ac:dyDescent="0.2">
      <c r="A18186">
        <v>58737</v>
      </c>
      <c r="B18186" t="s">
        <v>34</v>
      </c>
      <c r="C18186">
        <v>58737</v>
      </c>
      <c r="D18186" t="str">
        <f>"58737"</f>
        <v>58737</v>
      </c>
      <c r="E18186" t="s">
        <v>6</v>
      </c>
    </row>
    <row r="18187" spans="1:5" x14ac:dyDescent="0.2">
      <c r="A18187">
        <v>58740</v>
      </c>
      <c r="B18187" t="s">
        <v>34</v>
      </c>
      <c r="C18187">
        <v>58740</v>
      </c>
      <c r="D18187" t="str">
        <f>"58740"</f>
        <v>58740</v>
      </c>
      <c r="E18187">
        <v>76.319999999999993</v>
      </c>
    </row>
    <row r="18188" spans="1:5" x14ac:dyDescent="0.2">
      <c r="A18188">
        <v>58741</v>
      </c>
      <c r="B18188" t="s">
        <v>34</v>
      </c>
      <c r="C18188">
        <v>58741</v>
      </c>
      <c r="D18188" t="str">
        <f>"58741"</f>
        <v>58741</v>
      </c>
      <c r="E18188">
        <v>78.569999999999993</v>
      </c>
    </row>
    <row r="18189" spans="1:5" x14ac:dyDescent="0.2">
      <c r="A18189">
        <v>58744</v>
      </c>
      <c r="B18189" t="s">
        <v>34</v>
      </c>
      <c r="C18189">
        <v>58744</v>
      </c>
      <c r="D18189" t="str">
        <f>"58744"</f>
        <v>58744</v>
      </c>
      <c r="E18189" t="s">
        <v>6</v>
      </c>
    </row>
    <row r="18190" spans="1:5" x14ac:dyDescent="0.2">
      <c r="A18190">
        <v>58746</v>
      </c>
      <c r="B18190" t="s">
        <v>34</v>
      </c>
      <c r="C18190">
        <v>58746</v>
      </c>
      <c r="D18190" t="str">
        <f>"58746"</f>
        <v>58746</v>
      </c>
      <c r="E18190">
        <v>78.38</v>
      </c>
    </row>
    <row r="18191" spans="1:5" x14ac:dyDescent="0.2">
      <c r="A18191">
        <v>58748</v>
      </c>
      <c r="B18191" t="s">
        <v>34</v>
      </c>
      <c r="C18191">
        <v>58748</v>
      </c>
      <c r="D18191" t="str">
        <f>"58748"</f>
        <v>58748</v>
      </c>
      <c r="E18191" t="s">
        <v>6</v>
      </c>
    </row>
    <row r="18192" spans="1:5" x14ac:dyDescent="0.2">
      <c r="A18192">
        <v>58750</v>
      </c>
      <c r="B18192" t="s">
        <v>34</v>
      </c>
      <c r="C18192">
        <v>58750</v>
      </c>
      <c r="D18192" t="str">
        <f>"58750"</f>
        <v>58750</v>
      </c>
      <c r="E18192">
        <v>83.33</v>
      </c>
    </row>
    <row r="18193" spans="1:5" x14ac:dyDescent="0.2">
      <c r="A18193">
        <v>58752</v>
      </c>
      <c r="B18193" t="s">
        <v>34</v>
      </c>
      <c r="C18193">
        <v>58752</v>
      </c>
      <c r="D18193" t="str">
        <f>"58752"</f>
        <v>58752</v>
      </c>
      <c r="E18193">
        <v>84.62</v>
      </c>
    </row>
    <row r="18194" spans="1:5" x14ac:dyDescent="0.2">
      <c r="A18194">
        <v>58755</v>
      </c>
      <c r="B18194" t="s">
        <v>34</v>
      </c>
      <c r="C18194">
        <v>58755</v>
      </c>
      <c r="D18194" t="str">
        <f>"58755"</f>
        <v>58755</v>
      </c>
      <c r="E18194" t="s">
        <v>6</v>
      </c>
    </row>
    <row r="18195" spans="1:5" x14ac:dyDescent="0.2">
      <c r="A18195">
        <v>58756</v>
      </c>
      <c r="B18195" t="s">
        <v>34</v>
      </c>
      <c r="C18195">
        <v>58756</v>
      </c>
      <c r="D18195" t="str">
        <f>"58756"</f>
        <v>58756</v>
      </c>
      <c r="E18195">
        <v>83.33</v>
      </c>
    </row>
    <row r="18196" spans="1:5" x14ac:dyDescent="0.2">
      <c r="A18196">
        <v>58757</v>
      </c>
      <c r="B18196" t="s">
        <v>34</v>
      </c>
      <c r="C18196">
        <v>58757</v>
      </c>
      <c r="D18196" t="str">
        <f>"58757"</f>
        <v>58757</v>
      </c>
      <c r="E18196">
        <v>60</v>
      </c>
    </row>
    <row r="18197" spans="1:5" x14ac:dyDescent="0.2">
      <c r="A18197">
        <v>58758</v>
      </c>
      <c r="B18197" t="s">
        <v>34</v>
      </c>
      <c r="C18197">
        <v>58758</v>
      </c>
      <c r="D18197" t="str">
        <f>"58758"</f>
        <v>58758</v>
      </c>
      <c r="E18197">
        <v>70</v>
      </c>
    </row>
    <row r="18198" spans="1:5" x14ac:dyDescent="0.2">
      <c r="A18198">
        <v>58759</v>
      </c>
      <c r="B18198" t="s">
        <v>34</v>
      </c>
      <c r="C18198">
        <v>58759</v>
      </c>
      <c r="D18198" t="str">
        <f>"58759"</f>
        <v>58759</v>
      </c>
      <c r="E18198">
        <v>82.35</v>
      </c>
    </row>
    <row r="18199" spans="1:5" x14ac:dyDescent="0.2">
      <c r="A18199">
        <v>58760</v>
      </c>
      <c r="B18199" t="s">
        <v>34</v>
      </c>
      <c r="C18199">
        <v>58760</v>
      </c>
      <c r="D18199" t="str">
        <f>"58760"</f>
        <v>58760</v>
      </c>
      <c r="E18199">
        <v>75</v>
      </c>
    </row>
    <row r="18200" spans="1:5" x14ac:dyDescent="0.2">
      <c r="A18200">
        <v>58761</v>
      </c>
      <c r="B18200" t="s">
        <v>34</v>
      </c>
      <c r="C18200">
        <v>58761</v>
      </c>
      <c r="D18200" t="str">
        <f>"58761"</f>
        <v>58761</v>
      </c>
      <c r="E18200">
        <v>80.39</v>
      </c>
    </row>
    <row r="18201" spans="1:5" x14ac:dyDescent="0.2">
      <c r="A18201">
        <v>58762</v>
      </c>
      <c r="B18201" t="s">
        <v>34</v>
      </c>
      <c r="C18201">
        <v>58762</v>
      </c>
      <c r="D18201" t="str">
        <f>"58762"</f>
        <v>58762</v>
      </c>
      <c r="E18201">
        <v>81.819999999999993</v>
      </c>
    </row>
    <row r="18202" spans="1:5" x14ac:dyDescent="0.2">
      <c r="A18202">
        <v>58763</v>
      </c>
      <c r="B18202" t="s">
        <v>34</v>
      </c>
      <c r="C18202">
        <v>58763</v>
      </c>
      <c r="D18202" t="str">
        <f>"58763"</f>
        <v>58763</v>
      </c>
      <c r="E18202">
        <v>73.400000000000006</v>
      </c>
    </row>
    <row r="18203" spans="1:5" x14ac:dyDescent="0.2">
      <c r="A18203">
        <v>58765</v>
      </c>
      <c r="B18203" t="s">
        <v>34</v>
      </c>
      <c r="C18203">
        <v>58765</v>
      </c>
      <c r="D18203" t="str">
        <f>"58765"</f>
        <v>58765</v>
      </c>
      <c r="E18203">
        <v>75</v>
      </c>
    </row>
    <row r="18204" spans="1:5" x14ac:dyDescent="0.2">
      <c r="A18204">
        <v>58768</v>
      </c>
      <c r="B18204" t="s">
        <v>34</v>
      </c>
      <c r="C18204">
        <v>58768</v>
      </c>
      <c r="D18204" t="str">
        <f>"58768"</f>
        <v>58768</v>
      </c>
      <c r="E18204">
        <v>76.47</v>
      </c>
    </row>
    <row r="18205" spans="1:5" x14ac:dyDescent="0.2">
      <c r="A18205">
        <v>58769</v>
      </c>
      <c r="B18205" t="s">
        <v>34</v>
      </c>
      <c r="C18205">
        <v>58769</v>
      </c>
      <c r="D18205" t="str">
        <f>"58769"</f>
        <v>58769</v>
      </c>
      <c r="E18205">
        <v>69.23</v>
      </c>
    </row>
    <row r="18206" spans="1:5" x14ac:dyDescent="0.2">
      <c r="A18206">
        <v>58770</v>
      </c>
      <c r="B18206" t="s">
        <v>34</v>
      </c>
      <c r="C18206">
        <v>58770</v>
      </c>
      <c r="D18206" t="str">
        <f>"58770"</f>
        <v>58770</v>
      </c>
      <c r="E18206">
        <v>79.66</v>
      </c>
    </row>
    <row r="18207" spans="1:5" x14ac:dyDescent="0.2">
      <c r="A18207">
        <v>58771</v>
      </c>
      <c r="B18207" t="s">
        <v>34</v>
      </c>
      <c r="C18207">
        <v>58771</v>
      </c>
      <c r="D18207" t="str">
        <f>"58771"</f>
        <v>58771</v>
      </c>
      <c r="E18207">
        <v>83.33</v>
      </c>
    </row>
    <row r="18208" spans="1:5" x14ac:dyDescent="0.2">
      <c r="A18208">
        <v>58772</v>
      </c>
      <c r="B18208" t="s">
        <v>34</v>
      </c>
      <c r="C18208">
        <v>58772</v>
      </c>
      <c r="D18208" t="str">
        <f>"58772"</f>
        <v>58772</v>
      </c>
      <c r="E18208" t="s">
        <v>6</v>
      </c>
    </row>
    <row r="18209" spans="1:5" x14ac:dyDescent="0.2">
      <c r="A18209">
        <v>58773</v>
      </c>
      <c r="B18209" t="s">
        <v>34</v>
      </c>
      <c r="C18209">
        <v>58773</v>
      </c>
      <c r="D18209" t="str">
        <f>"58773"</f>
        <v>58773</v>
      </c>
      <c r="E18209">
        <v>85</v>
      </c>
    </row>
    <row r="18210" spans="1:5" x14ac:dyDescent="0.2">
      <c r="A18210">
        <v>58775</v>
      </c>
      <c r="B18210" t="s">
        <v>34</v>
      </c>
      <c r="C18210">
        <v>58775</v>
      </c>
      <c r="D18210" t="str">
        <f>"58775"</f>
        <v>58775</v>
      </c>
      <c r="E18210" t="s">
        <v>6</v>
      </c>
    </row>
    <row r="18211" spans="1:5" x14ac:dyDescent="0.2">
      <c r="A18211">
        <v>58776</v>
      </c>
      <c r="B18211" t="s">
        <v>34</v>
      </c>
      <c r="C18211">
        <v>58776</v>
      </c>
      <c r="D18211" t="str">
        <f>"58776"</f>
        <v>58776</v>
      </c>
      <c r="E18211">
        <v>84.62</v>
      </c>
    </row>
    <row r="18212" spans="1:5" x14ac:dyDescent="0.2">
      <c r="A18212">
        <v>58778</v>
      </c>
      <c r="B18212" t="s">
        <v>34</v>
      </c>
      <c r="C18212">
        <v>58778</v>
      </c>
      <c r="D18212" t="str">
        <f>"58778"</f>
        <v>58778</v>
      </c>
      <c r="E18212" t="s">
        <v>6</v>
      </c>
    </row>
    <row r="18213" spans="1:5" x14ac:dyDescent="0.2">
      <c r="A18213">
        <v>58779</v>
      </c>
      <c r="B18213" t="s">
        <v>34</v>
      </c>
      <c r="C18213">
        <v>58779</v>
      </c>
      <c r="D18213" t="str">
        <f>"58779"</f>
        <v>58779</v>
      </c>
      <c r="E18213">
        <v>72.22</v>
      </c>
    </row>
    <row r="18214" spans="1:5" x14ac:dyDescent="0.2">
      <c r="A18214">
        <v>58781</v>
      </c>
      <c r="B18214" t="s">
        <v>34</v>
      </c>
      <c r="C18214">
        <v>58781</v>
      </c>
      <c r="D18214" t="str">
        <f>"58781"</f>
        <v>58781</v>
      </c>
      <c r="E18214">
        <v>73.53</v>
      </c>
    </row>
    <row r="18215" spans="1:5" x14ac:dyDescent="0.2">
      <c r="A18215">
        <v>58782</v>
      </c>
      <c r="B18215" t="s">
        <v>34</v>
      </c>
      <c r="C18215">
        <v>58782</v>
      </c>
      <c r="D18215" t="str">
        <f>"58782"</f>
        <v>58782</v>
      </c>
      <c r="E18215">
        <v>73.680000000000007</v>
      </c>
    </row>
    <row r="18216" spans="1:5" x14ac:dyDescent="0.2">
      <c r="A18216">
        <v>58783</v>
      </c>
      <c r="B18216" t="s">
        <v>34</v>
      </c>
      <c r="C18216">
        <v>58783</v>
      </c>
      <c r="D18216" t="str">
        <f>"58783"</f>
        <v>58783</v>
      </c>
      <c r="E18216">
        <v>75</v>
      </c>
    </row>
    <row r="18217" spans="1:5" x14ac:dyDescent="0.2">
      <c r="A18217">
        <v>58784</v>
      </c>
      <c r="B18217" t="s">
        <v>34</v>
      </c>
      <c r="C18217">
        <v>58784</v>
      </c>
      <c r="D18217" t="str">
        <f>"58784"</f>
        <v>58784</v>
      </c>
      <c r="E18217">
        <v>83.09</v>
      </c>
    </row>
    <row r="18218" spans="1:5" x14ac:dyDescent="0.2">
      <c r="A18218">
        <v>58785</v>
      </c>
      <c r="B18218" t="s">
        <v>34</v>
      </c>
      <c r="C18218">
        <v>58785</v>
      </c>
      <c r="D18218" t="str">
        <f>"58785"</f>
        <v>58785</v>
      </c>
      <c r="E18218">
        <v>83.33</v>
      </c>
    </row>
    <row r="18219" spans="1:5" x14ac:dyDescent="0.2">
      <c r="A18219">
        <v>58787</v>
      </c>
      <c r="B18219" t="s">
        <v>34</v>
      </c>
      <c r="C18219">
        <v>58787</v>
      </c>
      <c r="D18219" t="str">
        <f>"58787"</f>
        <v>58787</v>
      </c>
      <c r="E18219" t="s">
        <v>6</v>
      </c>
    </row>
    <row r="18220" spans="1:5" x14ac:dyDescent="0.2">
      <c r="A18220">
        <v>58788</v>
      </c>
      <c r="B18220" t="s">
        <v>34</v>
      </c>
      <c r="C18220">
        <v>58788</v>
      </c>
      <c r="D18220" t="str">
        <f>"58788"</f>
        <v>58788</v>
      </c>
      <c r="E18220">
        <v>69.81</v>
      </c>
    </row>
    <row r="18221" spans="1:5" x14ac:dyDescent="0.2">
      <c r="A18221">
        <v>58789</v>
      </c>
      <c r="B18221" t="s">
        <v>34</v>
      </c>
      <c r="C18221">
        <v>58789</v>
      </c>
      <c r="D18221" t="str">
        <f>"58789"</f>
        <v>58789</v>
      </c>
      <c r="E18221">
        <v>73.33</v>
      </c>
    </row>
    <row r="18222" spans="1:5" x14ac:dyDescent="0.2">
      <c r="A18222">
        <v>58790</v>
      </c>
      <c r="B18222" t="s">
        <v>34</v>
      </c>
      <c r="C18222">
        <v>58790</v>
      </c>
      <c r="D18222" t="str">
        <f>"58790"</f>
        <v>58790</v>
      </c>
      <c r="E18222">
        <v>77.5</v>
      </c>
    </row>
    <row r="18223" spans="1:5" x14ac:dyDescent="0.2">
      <c r="A18223">
        <v>58792</v>
      </c>
      <c r="B18223" t="s">
        <v>34</v>
      </c>
      <c r="C18223">
        <v>58792</v>
      </c>
      <c r="D18223" t="str">
        <f>"58792"</f>
        <v>58792</v>
      </c>
      <c r="E18223">
        <v>81.819999999999993</v>
      </c>
    </row>
    <row r="18224" spans="1:5" x14ac:dyDescent="0.2">
      <c r="A18224">
        <v>58793</v>
      </c>
      <c r="B18224" t="s">
        <v>34</v>
      </c>
      <c r="C18224">
        <v>58793</v>
      </c>
      <c r="D18224" t="str">
        <f>"58793"</f>
        <v>58793</v>
      </c>
      <c r="E18224">
        <v>79.31</v>
      </c>
    </row>
    <row r="18225" spans="1:5" x14ac:dyDescent="0.2">
      <c r="A18225">
        <v>58794</v>
      </c>
      <c r="B18225" t="s">
        <v>34</v>
      </c>
      <c r="C18225">
        <v>58794</v>
      </c>
      <c r="D18225" t="str">
        <f>"58794"</f>
        <v>58794</v>
      </c>
      <c r="E18225" t="s">
        <v>6</v>
      </c>
    </row>
    <row r="18226" spans="1:5" x14ac:dyDescent="0.2">
      <c r="A18226">
        <v>58795</v>
      </c>
      <c r="B18226" t="s">
        <v>34</v>
      </c>
      <c r="C18226">
        <v>58795</v>
      </c>
      <c r="D18226" t="str">
        <f>"58795"</f>
        <v>58795</v>
      </c>
      <c r="E18226">
        <v>75</v>
      </c>
    </row>
    <row r="18227" spans="1:5" x14ac:dyDescent="0.2">
      <c r="A18227">
        <v>58801</v>
      </c>
      <c r="B18227" t="s">
        <v>34</v>
      </c>
      <c r="C18227">
        <v>58801</v>
      </c>
      <c r="D18227" t="str">
        <f>"58801"</f>
        <v>58801</v>
      </c>
      <c r="E18227">
        <v>81.61</v>
      </c>
    </row>
    <row r="18228" spans="1:5" x14ac:dyDescent="0.2">
      <c r="A18228">
        <v>58830</v>
      </c>
      <c r="B18228" t="s">
        <v>34</v>
      </c>
      <c r="C18228">
        <v>58830</v>
      </c>
      <c r="D18228" t="str">
        <f>"58830"</f>
        <v>58830</v>
      </c>
      <c r="E18228">
        <v>61.54</v>
      </c>
    </row>
    <row r="18229" spans="1:5" x14ac:dyDescent="0.2">
      <c r="A18229">
        <v>58831</v>
      </c>
      <c r="B18229" t="s">
        <v>34</v>
      </c>
      <c r="C18229">
        <v>58831</v>
      </c>
      <c r="D18229" t="str">
        <f>"58831"</f>
        <v>58831</v>
      </c>
      <c r="E18229">
        <v>84.62</v>
      </c>
    </row>
    <row r="18230" spans="1:5" x14ac:dyDescent="0.2">
      <c r="A18230">
        <v>58833</v>
      </c>
      <c r="B18230" t="s">
        <v>34</v>
      </c>
      <c r="C18230">
        <v>58833</v>
      </c>
      <c r="D18230" t="str">
        <f>"58833"</f>
        <v>58833</v>
      </c>
      <c r="E18230" t="s">
        <v>6</v>
      </c>
    </row>
    <row r="18231" spans="1:5" x14ac:dyDescent="0.2">
      <c r="A18231">
        <v>58835</v>
      </c>
      <c r="B18231" t="s">
        <v>34</v>
      </c>
      <c r="C18231">
        <v>58835</v>
      </c>
      <c r="D18231" t="str">
        <f>"58835"</f>
        <v>58835</v>
      </c>
      <c r="E18231">
        <v>85.71</v>
      </c>
    </row>
    <row r="18232" spans="1:5" x14ac:dyDescent="0.2">
      <c r="A18232">
        <v>58838</v>
      </c>
      <c r="B18232" t="s">
        <v>34</v>
      </c>
      <c r="C18232">
        <v>58838</v>
      </c>
      <c r="D18232" t="str">
        <f>"58838"</f>
        <v>58838</v>
      </c>
      <c r="E18232" t="s">
        <v>6</v>
      </c>
    </row>
    <row r="18233" spans="1:5" x14ac:dyDescent="0.2">
      <c r="A18233">
        <v>58843</v>
      </c>
      <c r="B18233" t="s">
        <v>34</v>
      </c>
      <c r="C18233">
        <v>58843</v>
      </c>
      <c r="D18233" t="str">
        <f>"58843"</f>
        <v>58843</v>
      </c>
      <c r="E18233">
        <v>88.89</v>
      </c>
    </row>
    <row r="18234" spans="1:5" x14ac:dyDescent="0.2">
      <c r="A18234">
        <v>58844</v>
      </c>
      <c r="B18234" t="s">
        <v>34</v>
      </c>
      <c r="C18234">
        <v>58844</v>
      </c>
      <c r="D18234" t="str">
        <f>"58844"</f>
        <v>58844</v>
      </c>
      <c r="E18234" t="s">
        <v>6</v>
      </c>
    </row>
    <row r="18235" spans="1:5" x14ac:dyDescent="0.2">
      <c r="A18235">
        <v>58845</v>
      </c>
      <c r="B18235" t="s">
        <v>34</v>
      </c>
      <c r="C18235">
        <v>58845</v>
      </c>
      <c r="D18235" t="str">
        <f>"58845"</f>
        <v>58845</v>
      </c>
      <c r="E18235">
        <v>76.47</v>
      </c>
    </row>
    <row r="18236" spans="1:5" x14ac:dyDescent="0.2">
      <c r="A18236">
        <v>58847</v>
      </c>
      <c r="B18236" t="s">
        <v>34</v>
      </c>
      <c r="C18236">
        <v>58847</v>
      </c>
      <c r="D18236" t="str">
        <f>"58847"</f>
        <v>58847</v>
      </c>
      <c r="E18236">
        <v>91.67</v>
      </c>
    </row>
    <row r="18237" spans="1:5" x14ac:dyDescent="0.2">
      <c r="A18237">
        <v>58849</v>
      </c>
      <c r="B18237" t="s">
        <v>34</v>
      </c>
      <c r="C18237">
        <v>58849</v>
      </c>
      <c r="D18237" t="str">
        <f>"58849"</f>
        <v>58849</v>
      </c>
      <c r="E18237">
        <v>84.62</v>
      </c>
    </row>
    <row r="18238" spans="1:5" x14ac:dyDescent="0.2">
      <c r="A18238">
        <v>58852</v>
      </c>
      <c r="B18238" t="s">
        <v>34</v>
      </c>
      <c r="C18238">
        <v>58852</v>
      </c>
      <c r="D18238" t="str">
        <f>"58852"</f>
        <v>58852</v>
      </c>
      <c r="E18238">
        <v>85.83</v>
      </c>
    </row>
    <row r="18239" spans="1:5" x14ac:dyDescent="0.2">
      <c r="A18239">
        <v>58853</v>
      </c>
      <c r="B18239" t="s">
        <v>34</v>
      </c>
      <c r="C18239">
        <v>58853</v>
      </c>
      <c r="D18239" t="str">
        <f>"58853"</f>
        <v>58853</v>
      </c>
      <c r="E18239" t="s">
        <v>6</v>
      </c>
    </row>
    <row r="18240" spans="1:5" x14ac:dyDescent="0.2">
      <c r="A18240">
        <v>58854</v>
      </c>
      <c r="B18240" t="s">
        <v>34</v>
      </c>
      <c r="C18240">
        <v>58854</v>
      </c>
      <c r="D18240" t="str">
        <f>"58854"</f>
        <v>58854</v>
      </c>
      <c r="E18240">
        <v>84.25</v>
      </c>
    </row>
    <row r="18241" spans="1:5" x14ac:dyDescent="0.2">
      <c r="A18241">
        <v>58856</v>
      </c>
      <c r="B18241" t="s">
        <v>34</v>
      </c>
      <c r="C18241">
        <v>58856</v>
      </c>
      <c r="D18241" t="str">
        <f>"58856"</f>
        <v>58856</v>
      </c>
      <c r="E18241" t="s">
        <v>6</v>
      </c>
    </row>
    <row r="18242" spans="1:5" x14ac:dyDescent="0.2">
      <c r="A18242">
        <v>68001</v>
      </c>
      <c r="B18242" t="s">
        <v>35</v>
      </c>
      <c r="C18242">
        <v>68001</v>
      </c>
      <c r="D18242" t="str">
        <f>"68001"</f>
        <v>68001</v>
      </c>
      <c r="E18242" t="s">
        <v>6</v>
      </c>
    </row>
    <row r="18243" spans="1:5" x14ac:dyDescent="0.2">
      <c r="A18243">
        <v>68002</v>
      </c>
      <c r="B18243" t="s">
        <v>35</v>
      </c>
      <c r="C18243">
        <v>68002</v>
      </c>
      <c r="D18243" t="str">
        <f>"68002"</f>
        <v>68002</v>
      </c>
      <c r="E18243">
        <v>77.36</v>
      </c>
    </row>
    <row r="18244" spans="1:5" x14ac:dyDescent="0.2">
      <c r="A18244">
        <v>68003</v>
      </c>
      <c r="B18244" t="s">
        <v>35</v>
      </c>
      <c r="C18244">
        <v>68003</v>
      </c>
      <c r="D18244" t="str">
        <f>"68003"</f>
        <v>68003</v>
      </c>
      <c r="E18244">
        <v>76.92</v>
      </c>
    </row>
    <row r="18245" spans="1:5" x14ac:dyDescent="0.2">
      <c r="A18245">
        <v>68004</v>
      </c>
      <c r="B18245" t="s">
        <v>35</v>
      </c>
      <c r="C18245">
        <v>68004</v>
      </c>
      <c r="D18245" t="str">
        <f>"68004"</f>
        <v>68004</v>
      </c>
      <c r="E18245">
        <v>74.36</v>
      </c>
    </row>
    <row r="18246" spans="1:5" x14ac:dyDescent="0.2">
      <c r="A18246">
        <v>68005</v>
      </c>
      <c r="B18246" t="s">
        <v>35</v>
      </c>
      <c r="C18246">
        <v>68005</v>
      </c>
      <c r="D18246" t="str">
        <f>"68005"</f>
        <v>68005</v>
      </c>
      <c r="E18246">
        <v>73.75</v>
      </c>
    </row>
    <row r="18247" spans="1:5" x14ac:dyDescent="0.2">
      <c r="A18247">
        <v>68007</v>
      </c>
      <c r="B18247" t="s">
        <v>35</v>
      </c>
      <c r="C18247">
        <v>68007</v>
      </c>
      <c r="D18247" t="str">
        <f>"68007"</f>
        <v>68007</v>
      </c>
      <c r="E18247">
        <v>83.95</v>
      </c>
    </row>
    <row r="18248" spans="1:5" x14ac:dyDescent="0.2">
      <c r="A18248">
        <v>68008</v>
      </c>
      <c r="B18248" t="s">
        <v>35</v>
      </c>
      <c r="C18248">
        <v>68008</v>
      </c>
      <c r="D18248" t="str">
        <f>"68008"</f>
        <v>68008</v>
      </c>
      <c r="E18248">
        <v>77.19</v>
      </c>
    </row>
    <row r="18249" spans="1:5" x14ac:dyDescent="0.2">
      <c r="A18249">
        <v>68010</v>
      </c>
      <c r="B18249" t="s">
        <v>35</v>
      </c>
      <c r="C18249">
        <v>68010</v>
      </c>
      <c r="D18249" t="str">
        <f>"68010"</f>
        <v>68010</v>
      </c>
      <c r="E18249" t="s">
        <v>6</v>
      </c>
    </row>
    <row r="18250" spans="1:5" x14ac:dyDescent="0.2">
      <c r="A18250">
        <v>68014</v>
      </c>
      <c r="B18250" t="s">
        <v>35</v>
      </c>
      <c r="C18250">
        <v>68014</v>
      </c>
      <c r="D18250" t="str">
        <f>"68014"</f>
        <v>68014</v>
      </c>
      <c r="E18250">
        <v>69.23</v>
      </c>
    </row>
    <row r="18251" spans="1:5" x14ac:dyDescent="0.2">
      <c r="A18251">
        <v>68015</v>
      </c>
      <c r="B18251" t="s">
        <v>35</v>
      </c>
      <c r="C18251">
        <v>68015</v>
      </c>
      <c r="D18251" t="str">
        <f>"68015"</f>
        <v>68015</v>
      </c>
      <c r="E18251">
        <v>74</v>
      </c>
    </row>
    <row r="18252" spans="1:5" x14ac:dyDescent="0.2">
      <c r="A18252">
        <v>68016</v>
      </c>
      <c r="B18252" t="s">
        <v>35</v>
      </c>
      <c r="C18252">
        <v>68016</v>
      </c>
      <c r="D18252" t="str">
        <f>"68016"</f>
        <v>68016</v>
      </c>
      <c r="E18252" t="s">
        <v>6</v>
      </c>
    </row>
    <row r="18253" spans="1:5" x14ac:dyDescent="0.2">
      <c r="A18253">
        <v>68017</v>
      </c>
      <c r="B18253" t="s">
        <v>35</v>
      </c>
      <c r="C18253">
        <v>68017</v>
      </c>
      <c r="D18253" t="str">
        <f>"68017"</f>
        <v>68017</v>
      </c>
      <c r="E18253">
        <v>81.25</v>
      </c>
    </row>
    <row r="18254" spans="1:5" x14ac:dyDescent="0.2">
      <c r="A18254">
        <v>68018</v>
      </c>
      <c r="B18254" t="s">
        <v>35</v>
      </c>
      <c r="C18254">
        <v>68018</v>
      </c>
      <c r="D18254" t="str">
        <f>"68018"</f>
        <v>68018</v>
      </c>
      <c r="E18254">
        <v>81.819999999999993</v>
      </c>
    </row>
    <row r="18255" spans="1:5" x14ac:dyDescent="0.2">
      <c r="A18255">
        <v>68019</v>
      </c>
      <c r="B18255" t="s">
        <v>35</v>
      </c>
      <c r="C18255">
        <v>68019</v>
      </c>
      <c r="D18255" t="str">
        <f>"68019"</f>
        <v>68019</v>
      </c>
      <c r="E18255">
        <v>68.180000000000007</v>
      </c>
    </row>
    <row r="18256" spans="1:5" x14ac:dyDescent="0.2">
      <c r="A18256">
        <v>68020</v>
      </c>
      <c r="B18256" t="s">
        <v>35</v>
      </c>
      <c r="C18256">
        <v>68020</v>
      </c>
      <c r="D18256" t="str">
        <f>"68020"</f>
        <v>68020</v>
      </c>
      <c r="E18256">
        <v>70.97</v>
      </c>
    </row>
    <row r="18257" spans="1:5" x14ac:dyDescent="0.2">
      <c r="A18257">
        <v>68022</v>
      </c>
      <c r="B18257" t="s">
        <v>35</v>
      </c>
      <c r="C18257">
        <v>68022</v>
      </c>
      <c r="D18257" t="str">
        <f>"68022"</f>
        <v>68022</v>
      </c>
      <c r="E18257">
        <v>83.1</v>
      </c>
    </row>
    <row r="18258" spans="1:5" x14ac:dyDescent="0.2">
      <c r="A18258">
        <v>68023</v>
      </c>
      <c r="B18258" t="s">
        <v>35</v>
      </c>
      <c r="C18258">
        <v>68023</v>
      </c>
      <c r="D18258" t="str">
        <f>"68023"</f>
        <v>68023</v>
      </c>
      <c r="E18258">
        <v>81.75</v>
      </c>
    </row>
    <row r="18259" spans="1:5" x14ac:dyDescent="0.2">
      <c r="A18259">
        <v>68025</v>
      </c>
      <c r="B18259" t="s">
        <v>35</v>
      </c>
      <c r="C18259">
        <v>68025</v>
      </c>
      <c r="D18259" t="str">
        <f>"68025"</f>
        <v>68025</v>
      </c>
      <c r="E18259">
        <v>72.25</v>
      </c>
    </row>
    <row r="18260" spans="1:5" x14ac:dyDescent="0.2">
      <c r="A18260">
        <v>68028</v>
      </c>
      <c r="B18260" t="s">
        <v>35</v>
      </c>
      <c r="C18260">
        <v>68028</v>
      </c>
      <c r="D18260" t="str">
        <f>"68028"</f>
        <v>68028</v>
      </c>
      <c r="E18260">
        <v>81.599999999999994</v>
      </c>
    </row>
    <row r="18261" spans="1:5" x14ac:dyDescent="0.2">
      <c r="A18261">
        <v>68029</v>
      </c>
      <c r="B18261" t="s">
        <v>35</v>
      </c>
      <c r="C18261">
        <v>68029</v>
      </c>
      <c r="D18261" t="str">
        <f>"68029"</f>
        <v>68029</v>
      </c>
      <c r="E18261">
        <v>82.5</v>
      </c>
    </row>
    <row r="18262" spans="1:5" x14ac:dyDescent="0.2">
      <c r="A18262">
        <v>68030</v>
      </c>
      <c r="B18262" t="s">
        <v>35</v>
      </c>
      <c r="C18262">
        <v>68030</v>
      </c>
      <c r="D18262" t="str">
        <f>"68030"</f>
        <v>68030</v>
      </c>
      <c r="E18262">
        <v>78.38</v>
      </c>
    </row>
    <row r="18263" spans="1:5" x14ac:dyDescent="0.2">
      <c r="A18263">
        <v>68031</v>
      </c>
      <c r="B18263" t="s">
        <v>35</v>
      </c>
      <c r="C18263">
        <v>68031</v>
      </c>
      <c r="D18263" t="str">
        <f>"68031"</f>
        <v>68031</v>
      </c>
      <c r="E18263">
        <v>75</v>
      </c>
    </row>
    <row r="18264" spans="1:5" x14ac:dyDescent="0.2">
      <c r="A18264">
        <v>68033</v>
      </c>
      <c r="B18264" t="s">
        <v>35</v>
      </c>
      <c r="C18264">
        <v>68033</v>
      </c>
      <c r="D18264" t="str">
        <f>"68033"</f>
        <v>68033</v>
      </c>
      <c r="E18264">
        <v>72.22</v>
      </c>
    </row>
    <row r="18265" spans="1:5" x14ac:dyDescent="0.2">
      <c r="A18265">
        <v>68034</v>
      </c>
      <c r="B18265" t="s">
        <v>35</v>
      </c>
      <c r="C18265">
        <v>68034</v>
      </c>
      <c r="D18265" t="str">
        <f>"68034"</f>
        <v>68034</v>
      </c>
      <c r="E18265">
        <v>78.05</v>
      </c>
    </row>
    <row r="18266" spans="1:5" x14ac:dyDescent="0.2">
      <c r="A18266">
        <v>68036</v>
      </c>
      <c r="B18266" t="s">
        <v>35</v>
      </c>
      <c r="C18266">
        <v>68036</v>
      </c>
      <c r="D18266" t="str">
        <f>"68036"</f>
        <v>68036</v>
      </c>
      <c r="E18266">
        <v>75</v>
      </c>
    </row>
    <row r="18267" spans="1:5" x14ac:dyDescent="0.2">
      <c r="A18267">
        <v>68037</v>
      </c>
      <c r="B18267" t="s">
        <v>35</v>
      </c>
      <c r="C18267">
        <v>68037</v>
      </c>
      <c r="D18267" t="str">
        <f>"68037"</f>
        <v>68037</v>
      </c>
      <c r="E18267">
        <v>80.33</v>
      </c>
    </row>
    <row r="18268" spans="1:5" x14ac:dyDescent="0.2">
      <c r="A18268">
        <v>68038</v>
      </c>
      <c r="B18268" t="s">
        <v>35</v>
      </c>
      <c r="C18268">
        <v>68038</v>
      </c>
      <c r="D18268" t="str">
        <f>"68038"</f>
        <v>68038</v>
      </c>
      <c r="E18268">
        <v>71.88</v>
      </c>
    </row>
    <row r="18269" spans="1:5" x14ac:dyDescent="0.2">
      <c r="A18269">
        <v>68039</v>
      </c>
      <c r="B18269" t="s">
        <v>35</v>
      </c>
      <c r="C18269">
        <v>68039</v>
      </c>
      <c r="D18269" t="str">
        <f>"68039"</f>
        <v>68039</v>
      </c>
      <c r="E18269">
        <v>29.27</v>
      </c>
    </row>
    <row r="18270" spans="1:5" x14ac:dyDescent="0.2">
      <c r="A18270">
        <v>68040</v>
      </c>
      <c r="B18270" t="s">
        <v>35</v>
      </c>
      <c r="C18270">
        <v>68040</v>
      </c>
      <c r="D18270" t="str">
        <f>"68040"</f>
        <v>68040</v>
      </c>
      <c r="E18270">
        <v>77.78</v>
      </c>
    </row>
    <row r="18271" spans="1:5" x14ac:dyDescent="0.2">
      <c r="A18271">
        <v>68041</v>
      </c>
      <c r="B18271" t="s">
        <v>35</v>
      </c>
      <c r="C18271">
        <v>68041</v>
      </c>
      <c r="D18271" t="str">
        <f>"68041"</f>
        <v>68041</v>
      </c>
      <c r="E18271">
        <v>75</v>
      </c>
    </row>
    <row r="18272" spans="1:5" x14ac:dyDescent="0.2">
      <c r="A18272">
        <v>68042</v>
      </c>
      <c r="B18272" t="s">
        <v>35</v>
      </c>
      <c r="C18272">
        <v>68042</v>
      </c>
      <c r="D18272" t="str">
        <f>"68042"</f>
        <v>68042</v>
      </c>
      <c r="E18272" t="s">
        <v>6</v>
      </c>
    </row>
    <row r="18273" spans="1:5" x14ac:dyDescent="0.2">
      <c r="A18273">
        <v>68044</v>
      </c>
      <c r="B18273" t="s">
        <v>35</v>
      </c>
      <c r="C18273">
        <v>68044</v>
      </c>
      <c r="D18273" t="str">
        <f>"68044"</f>
        <v>68044</v>
      </c>
      <c r="E18273">
        <v>69.7</v>
      </c>
    </row>
    <row r="18274" spans="1:5" x14ac:dyDescent="0.2">
      <c r="A18274">
        <v>68045</v>
      </c>
      <c r="B18274" t="s">
        <v>35</v>
      </c>
      <c r="C18274">
        <v>68045</v>
      </c>
      <c r="D18274" t="str">
        <f>"68045"</f>
        <v>68045</v>
      </c>
      <c r="E18274">
        <v>71.25</v>
      </c>
    </row>
    <row r="18275" spans="1:5" x14ac:dyDescent="0.2">
      <c r="A18275">
        <v>68046</v>
      </c>
      <c r="B18275" t="s">
        <v>35</v>
      </c>
      <c r="C18275">
        <v>68046</v>
      </c>
      <c r="D18275" t="str">
        <f>"68046"</f>
        <v>68046</v>
      </c>
      <c r="E18275">
        <v>80.67</v>
      </c>
    </row>
    <row r="18276" spans="1:5" x14ac:dyDescent="0.2">
      <c r="A18276">
        <v>68047</v>
      </c>
      <c r="B18276" t="s">
        <v>35</v>
      </c>
      <c r="C18276">
        <v>68047</v>
      </c>
      <c r="D18276" t="str">
        <f>"68047"</f>
        <v>68047</v>
      </c>
      <c r="E18276">
        <v>75.64</v>
      </c>
    </row>
    <row r="18277" spans="1:5" x14ac:dyDescent="0.2">
      <c r="A18277">
        <v>68048</v>
      </c>
      <c r="B18277" t="s">
        <v>35</v>
      </c>
      <c r="C18277">
        <v>68048</v>
      </c>
      <c r="D18277" t="str">
        <f>"68048"</f>
        <v>68048</v>
      </c>
      <c r="E18277">
        <v>77.180000000000007</v>
      </c>
    </row>
    <row r="18278" spans="1:5" x14ac:dyDescent="0.2">
      <c r="A18278">
        <v>68050</v>
      </c>
      <c r="B18278" t="s">
        <v>35</v>
      </c>
      <c r="C18278">
        <v>68050</v>
      </c>
      <c r="D18278" t="str">
        <f>"68050"</f>
        <v>68050</v>
      </c>
      <c r="E18278">
        <v>72.41</v>
      </c>
    </row>
    <row r="18279" spans="1:5" x14ac:dyDescent="0.2">
      <c r="A18279">
        <v>68055</v>
      </c>
      <c r="B18279" t="s">
        <v>35</v>
      </c>
      <c r="C18279">
        <v>68055</v>
      </c>
      <c r="D18279" t="str">
        <f>"68055"</f>
        <v>68055</v>
      </c>
      <c r="E18279">
        <v>61.54</v>
      </c>
    </row>
    <row r="18280" spans="1:5" x14ac:dyDescent="0.2">
      <c r="A18280">
        <v>68057</v>
      </c>
      <c r="B18280" t="s">
        <v>35</v>
      </c>
      <c r="C18280">
        <v>68057</v>
      </c>
      <c r="D18280" t="str">
        <f>"68057"</f>
        <v>68057</v>
      </c>
      <c r="E18280">
        <v>72.459999999999994</v>
      </c>
    </row>
    <row r="18281" spans="1:5" x14ac:dyDescent="0.2">
      <c r="A18281">
        <v>68058</v>
      </c>
      <c r="B18281" t="s">
        <v>35</v>
      </c>
      <c r="C18281">
        <v>68058</v>
      </c>
      <c r="D18281" t="str">
        <f>"68058"</f>
        <v>68058</v>
      </c>
      <c r="E18281">
        <v>85.71</v>
      </c>
    </row>
    <row r="18282" spans="1:5" x14ac:dyDescent="0.2">
      <c r="A18282">
        <v>68059</v>
      </c>
      <c r="B18282" t="s">
        <v>35</v>
      </c>
      <c r="C18282">
        <v>68059</v>
      </c>
      <c r="D18282" t="str">
        <f>"68059"</f>
        <v>68059</v>
      </c>
      <c r="E18282">
        <v>80.12</v>
      </c>
    </row>
    <row r="18283" spans="1:5" x14ac:dyDescent="0.2">
      <c r="A18283">
        <v>68061</v>
      </c>
      <c r="B18283" t="s">
        <v>35</v>
      </c>
      <c r="C18283">
        <v>68061</v>
      </c>
      <c r="D18283" t="str">
        <f>"68061"</f>
        <v>68061</v>
      </c>
      <c r="E18283">
        <v>71.819999999999993</v>
      </c>
    </row>
    <row r="18284" spans="1:5" x14ac:dyDescent="0.2">
      <c r="A18284">
        <v>68062</v>
      </c>
      <c r="B18284" t="s">
        <v>35</v>
      </c>
      <c r="C18284">
        <v>68062</v>
      </c>
      <c r="D18284" t="str">
        <f>"68062"</f>
        <v>68062</v>
      </c>
      <c r="E18284">
        <v>63.64</v>
      </c>
    </row>
    <row r="18285" spans="1:5" x14ac:dyDescent="0.2">
      <c r="A18285">
        <v>68063</v>
      </c>
      <c r="B18285" t="s">
        <v>35</v>
      </c>
      <c r="C18285">
        <v>68063</v>
      </c>
      <c r="D18285" t="str">
        <f>"68063"</f>
        <v>68063</v>
      </c>
      <c r="E18285" t="s">
        <v>6</v>
      </c>
    </row>
    <row r="18286" spans="1:5" x14ac:dyDescent="0.2">
      <c r="A18286">
        <v>68064</v>
      </c>
      <c r="B18286" t="s">
        <v>35</v>
      </c>
      <c r="C18286">
        <v>68064</v>
      </c>
      <c r="D18286" t="str">
        <f>"68064"</f>
        <v>68064</v>
      </c>
      <c r="E18286">
        <v>76.599999999999994</v>
      </c>
    </row>
    <row r="18287" spans="1:5" x14ac:dyDescent="0.2">
      <c r="A18287">
        <v>68065</v>
      </c>
      <c r="B18287" t="s">
        <v>35</v>
      </c>
      <c r="C18287">
        <v>68065</v>
      </c>
      <c r="D18287" t="str">
        <f>"68065"</f>
        <v>68065</v>
      </c>
      <c r="E18287">
        <v>77.61</v>
      </c>
    </row>
    <row r="18288" spans="1:5" x14ac:dyDescent="0.2">
      <c r="A18288">
        <v>68066</v>
      </c>
      <c r="B18288" t="s">
        <v>35</v>
      </c>
      <c r="C18288">
        <v>68066</v>
      </c>
      <c r="D18288" t="str">
        <f>"68066"</f>
        <v>68066</v>
      </c>
      <c r="E18288">
        <v>76.17</v>
      </c>
    </row>
    <row r="18289" spans="1:5" x14ac:dyDescent="0.2">
      <c r="A18289">
        <v>68067</v>
      </c>
      <c r="B18289" t="s">
        <v>35</v>
      </c>
      <c r="C18289">
        <v>68067</v>
      </c>
      <c r="D18289" t="str">
        <f>"68067"</f>
        <v>68067</v>
      </c>
      <c r="E18289">
        <v>51.06</v>
      </c>
    </row>
    <row r="18290" spans="1:5" x14ac:dyDescent="0.2">
      <c r="A18290">
        <v>68068</v>
      </c>
      <c r="B18290" t="s">
        <v>35</v>
      </c>
      <c r="C18290">
        <v>68068</v>
      </c>
      <c r="D18290" t="str">
        <f>"68068"</f>
        <v>68068</v>
      </c>
      <c r="E18290" t="s">
        <v>6</v>
      </c>
    </row>
    <row r="18291" spans="1:5" x14ac:dyDescent="0.2">
      <c r="A18291">
        <v>68069</v>
      </c>
      <c r="B18291" t="s">
        <v>35</v>
      </c>
      <c r="C18291">
        <v>68069</v>
      </c>
      <c r="D18291" t="str">
        <f>"68069"</f>
        <v>68069</v>
      </c>
      <c r="E18291">
        <v>78.91</v>
      </c>
    </row>
    <row r="18292" spans="1:5" x14ac:dyDescent="0.2">
      <c r="A18292">
        <v>68070</v>
      </c>
      <c r="B18292" t="s">
        <v>35</v>
      </c>
      <c r="C18292">
        <v>68070</v>
      </c>
      <c r="D18292" t="str">
        <f>"68070"</f>
        <v>68070</v>
      </c>
      <c r="E18292">
        <v>77.14</v>
      </c>
    </row>
    <row r="18293" spans="1:5" x14ac:dyDescent="0.2">
      <c r="A18293">
        <v>68071</v>
      </c>
      <c r="B18293" t="s">
        <v>35</v>
      </c>
      <c r="C18293">
        <v>68071</v>
      </c>
      <c r="D18293" t="str">
        <f>"68071"</f>
        <v>68071</v>
      </c>
      <c r="E18293">
        <v>49.35</v>
      </c>
    </row>
    <row r="18294" spans="1:5" x14ac:dyDescent="0.2">
      <c r="A18294">
        <v>68072</v>
      </c>
      <c r="B18294" t="s">
        <v>35</v>
      </c>
      <c r="C18294">
        <v>68072</v>
      </c>
      <c r="D18294" t="str">
        <f>"68072"</f>
        <v>68072</v>
      </c>
      <c r="E18294" t="s">
        <v>6</v>
      </c>
    </row>
    <row r="18295" spans="1:5" x14ac:dyDescent="0.2">
      <c r="A18295">
        <v>68073</v>
      </c>
      <c r="B18295" t="s">
        <v>35</v>
      </c>
      <c r="C18295">
        <v>68073</v>
      </c>
      <c r="D18295" t="str">
        <f>"68073"</f>
        <v>68073</v>
      </c>
      <c r="E18295">
        <v>78.22</v>
      </c>
    </row>
    <row r="18296" spans="1:5" x14ac:dyDescent="0.2">
      <c r="A18296">
        <v>68102</v>
      </c>
      <c r="B18296" t="s">
        <v>35</v>
      </c>
      <c r="C18296">
        <v>68102</v>
      </c>
      <c r="D18296" t="str">
        <f>"68102"</f>
        <v>68102</v>
      </c>
      <c r="E18296">
        <v>82.17</v>
      </c>
    </row>
    <row r="18297" spans="1:5" x14ac:dyDescent="0.2">
      <c r="A18297">
        <v>68104</v>
      </c>
      <c r="B18297" t="s">
        <v>35</v>
      </c>
      <c r="C18297">
        <v>68104</v>
      </c>
      <c r="D18297" t="str">
        <f>"68104"</f>
        <v>68104</v>
      </c>
      <c r="E18297">
        <v>66.91</v>
      </c>
    </row>
    <row r="18298" spans="1:5" x14ac:dyDescent="0.2">
      <c r="A18298">
        <v>68105</v>
      </c>
      <c r="B18298" t="s">
        <v>35</v>
      </c>
      <c r="C18298">
        <v>68105</v>
      </c>
      <c r="D18298" t="str">
        <f>"68105"</f>
        <v>68105</v>
      </c>
      <c r="E18298">
        <v>69.97</v>
      </c>
    </row>
    <row r="18299" spans="1:5" x14ac:dyDescent="0.2">
      <c r="A18299">
        <v>68106</v>
      </c>
      <c r="B18299" t="s">
        <v>35</v>
      </c>
      <c r="C18299">
        <v>68106</v>
      </c>
      <c r="D18299" t="str">
        <f>"68106"</f>
        <v>68106</v>
      </c>
      <c r="E18299">
        <v>79.290000000000006</v>
      </c>
    </row>
    <row r="18300" spans="1:5" x14ac:dyDescent="0.2">
      <c r="A18300">
        <v>68107</v>
      </c>
      <c r="B18300" t="s">
        <v>35</v>
      </c>
      <c r="C18300">
        <v>68107</v>
      </c>
      <c r="D18300" t="str">
        <f>"68107"</f>
        <v>68107</v>
      </c>
      <c r="E18300">
        <v>57.53</v>
      </c>
    </row>
    <row r="18301" spans="1:5" x14ac:dyDescent="0.2">
      <c r="A18301">
        <v>68108</v>
      </c>
      <c r="B18301" t="s">
        <v>35</v>
      </c>
      <c r="C18301">
        <v>68108</v>
      </c>
      <c r="D18301" t="str">
        <f>"68108"</f>
        <v>68108</v>
      </c>
      <c r="E18301">
        <v>60.34</v>
      </c>
    </row>
    <row r="18302" spans="1:5" x14ac:dyDescent="0.2">
      <c r="A18302">
        <v>68110</v>
      </c>
      <c r="B18302" t="s">
        <v>35</v>
      </c>
      <c r="C18302">
        <v>68110</v>
      </c>
      <c r="D18302" t="str">
        <f>"68110"</f>
        <v>68110</v>
      </c>
      <c r="E18302">
        <v>49.06</v>
      </c>
    </row>
    <row r="18303" spans="1:5" x14ac:dyDescent="0.2">
      <c r="A18303">
        <v>68111</v>
      </c>
      <c r="B18303" t="s">
        <v>35</v>
      </c>
      <c r="C18303">
        <v>68111</v>
      </c>
      <c r="D18303" t="str">
        <f>"68111"</f>
        <v>68111</v>
      </c>
      <c r="E18303">
        <v>47.92</v>
      </c>
    </row>
    <row r="18304" spans="1:5" x14ac:dyDescent="0.2">
      <c r="A18304">
        <v>68112</v>
      </c>
      <c r="B18304" t="s">
        <v>35</v>
      </c>
      <c r="C18304">
        <v>68112</v>
      </c>
      <c r="D18304" t="str">
        <f>"68112"</f>
        <v>68112</v>
      </c>
      <c r="E18304">
        <v>64.97</v>
      </c>
    </row>
    <row r="18305" spans="1:5" x14ac:dyDescent="0.2">
      <c r="A18305">
        <v>68113</v>
      </c>
      <c r="B18305" t="s">
        <v>35</v>
      </c>
      <c r="C18305">
        <v>68113</v>
      </c>
      <c r="D18305" t="str">
        <f>"68113"</f>
        <v>68113</v>
      </c>
      <c r="E18305">
        <v>83.61</v>
      </c>
    </row>
    <row r="18306" spans="1:5" x14ac:dyDescent="0.2">
      <c r="A18306">
        <v>68114</v>
      </c>
      <c r="B18306" t="s">
        <v>35</v>
      </c>
      <c r="C18306">
        <v>68114</v>
      </c>
      <c r="D18306" t="str">
        <f>"68114"</f>
        <v>68114</v>
      </c>
      <c r="E18306">
        <v>78.05</v>
      </c>
    </row>
    <row r="18307" spans="1:5" x14ac:dyDescent="0.2">
      <c r="A18307">
        <v>68116</v>
      </c>
      <c r="B18307" t="s">
        <v>35</v>
      </c>
      <c r="C18307">
        <v>68116</v>
      </c>
      <c r="D18307" t="str">
        <f>"68116"</f>
        <v>68116</v>
      </c>
      <c r="E18307">
        <v>83.9</v>
      </c>
    </row>
    <row r="18308" spans="1:5" x14ac:dyDescent="0.2">
      <c r="A18308">
        <v>68117</v>
      </c>
      <c r="B18308" t="s">
        <v>35</v>
      </c>
      <c r="C18308">
        <v>68117</v>
      </c>
      <c r="D18308" t="str">
        <f>"68117"</f>
        <v>68117</v>
      </c>
      <c r="E18308">
        <v>71.5</v>
      </c>
    </row>
    <row r="18309" spans="1:5" x14ac:dyDescent="0.2">
      <c r="A18309">
        <v>68118</v>
      </c>
      <c r="B18309" t="s">
        <v>35</v>
      </c>
      <c r="C18309">
        <v>68118</v>
      </c>
      <c r="D18309" t="str">
        <f>"68118"</f>
        <v>68118</v>
      </c>
      <c r="E18309">
        <v>82.9</v>
      </c>
    </row>
    <row r="18310" spans="1:5" x14ac:dyDescent="0.2">
      <c r="A18310">
        <v>68119</v>
      </c>
      <c r="B18310" t="s">
        <v>35</v>
      </c>
      <c r="C18310">
        <v>68119</v>
      </c>
      <c r="D18310" t="str">
        <f>"68119"</f>
        <v>68119</v>
      </c>
      <c r="E18310" t="s">
        <v>6</v>
      </c>
    </row>
    <row r="18311" spans="1:5" x14ac:dyDescent="0.2">
      <c r="A18311">
        <v>68122</v>
      </c>
      <c r="B18311" t="s">
        <v>35</v>
      </c>
      <c r="C18311">
        <v>68122</v>
      </c>
      <c r="D18311" t="str">
        <f>"68122"</f>
        <v>68122</v>
      </c>
      <c r="E18311">
        <v>75.27</v>
      </c>
    </row>
    <row r="18312" spans="1:5" x14ac:dyDescent="0.2">
      <c r="A18312">
        <v>68123</v>
      </c>
      <c r="B18312" t="s">
        <v>35</v>
      </c>
      <c r="C18312">
        <v>68123</v>
      </c>
      <c r="D18312" t="str">
        <f>"68123"</f>
        <v>68123</v>
      </c>
      <c r="E18312">
        <v>78.2</v>
      </c>
    </row>
    <row r="18313" spans="1:5" x14ac:dyDescent="0.2">
      <c r="A18313">
        <v>68124</v>
      </c>
      <c r="B18313" t="s">
        <v>35</v>
      </c>
      <c r="C18313">
        <v>68124</v>
      </c>
      <c r="D18313" t="str">
        <f>"68124"</f>
        <v>68124</v>
      </c>
      <c r="E18313">
        <v>78.69</v>
      </c>
    </row>
    <row r="18314" spans="1:5" x14ac:dyDescent="0.2">
      <c r="A18314">
        <v>68127</v>
      </c>
      <c r="B18314" t="s">
        <v>35</v>
      </c>
      <c r="C18314">
        <v>68127</v>
      </c>
      <c r="D18314" t="str">
        <f>"68127"</f>
        <v>68127</v>
      </c>
      <c r="E18314">
        <v>77.95</v>
      </c>
    </row>
    <row r="18315" spans="1:5" x14ac:dyDescent="0.2">
      <c r="A18315">
        <v>68128</v>
      </c>
      <c r="B18315" t="s">
        <v>35</v>
      </c>
      <c r="C18315">
        <v>68128</v>
      </c>
      <c r="D18315" t="str">
        <f>"68128"</f>
        <v>68128</v>
      </c>
      <c r="E18315">
        <v>79.34</v>
      </c>
    </row>
    <row r="18316" spans="1:5" x14ac:dyDescent="0.2">
      <c r="A18316">
        <v>68130</v>
      </c>
      <c r="B18316" t="s">
        <v>35</v>
      </c>
      <c r="C18316">
        <v>68130</v>
      </c>
      <c r="D18316" t="str">
        <f>"68130"</f>
        <v>68130</v>
      </c>
      <c r="E18316">
        <v>82.51</v>
      </c>
    </row>
    <row r="18317" spans="1:5" x14ac:dyDescent="0.2">
      <c r="A18317">
        <v>68131</v>
      </c>
      <c r="B18317" t="s">
        <v>35</v>
      </c>
      <c r="C18317">
        <v>68131</v>
      </c>
      <c r="D18317" t="str">
        <f>"68131"</f>
        <v>68131</v>
      </c>
      <c r="E18317">
        <v>68.86</v>
      </c>
    </row>
    <row r="18318" spans="1:5" x14ac:dyDescent="0.2">
      <c r="A18318">
        <v>68132</v>
      </c>
      <c r="B18318" t="s">
        <v>35</v>
      </c>
      <c r="C18318">
        <v>68132</v>
      </c>
      <c r="D18318" t="str">
        <f>"68132"</f>
        <v>68132</v>
      </c>
      <c r="E18318">
        <v>76.37</v>
      </c>
    </row>
    <row r="18319" spans="1:5" x14ac:dyDescent="0.2">
      <c r="A18319">
        <v>68133</v>
      </c>
      <c r="B18319" t="s">
        <v>35</v>
      </c>
      <c r="C18319">
        <v>68133</v>
      </c>
      <c r="D18319" t="str">
        <f>"68133"</f>
        <v>68133</v>
      </c>
      <c r="E18319">
        <v>83.9</v>
      </c>
    </row>
    <row r="18320" spans="1:5" x14ac:dyDescent="0.2">
      <c r="A18320">
        <v>68134</v>
      </c>
      <c r="B18320" t="s">
        <v>35</v>
      </c>
      <c r="C18320">
        <v>68134</v>
      </c>
      <c r="D18320" t="str">
        <f>"68134"</f>
        <v>68134</v>
      </c>
      <c r="E18320">
        <v>72.17</v>
      </c>
    </row>
    <row r="18321" spans="1:5" x14ac:dyDescent="0.2">
      <c r="A18321">
        <v>68135</v>
      </c>
      <c r="B18321" t="s">
        <v>35</v>
      </c>
      <c r="C18321">
        <v>68135</v>
      </c>
      <c r="D18321" t="str">
        <f>"68135"</f>
        <v>68135</v>
      </c>
      <c r="E18321">
        <v>82.13</v>
      </c>
    </row>
    <row r="18322" spans="1:5" x14ac:dyDescent="0.2">
      <c r="A18322">
        <v>68136</v>
      </c>
      <c r="B18322" t="s">
        <v>35</v>
      </c>
      <c r="C18322">
        <v>68136</v>
      </c>
      <c r="D18322" t="str">
        <f>"68136"</f>
        <v>68136</v>
      </c>
      <c r="E18322">
        <v>83.95</v>
      </c>
    </row>
    <row r="18323" spans="1:5" x14ac:dyDescent="0.2">
      <c r="A18323">
        <v>68137</v>
      </c>
      <c r="B18323" t="s">
        <v>35</v>
      </c>
      <c r="C18323">
        <v>68137</v>
      </c>
      <c r="D18323" t="str">
        <f>"68137"</f>
        <v>68137</v>
      </c>
      <c r="E18323">
        <v>79.319999999999993</v>
      </c>
    </row>
    <row r="18324" spans="1:5" x14ac:dyDescent="0.2">
      <c r="A18324">
        <v>68138</v>
      </c>
      <c r="B18324" t="s">
        <v>35</v>
      </c>
      <c r="C18324">
        <v>68138</v>
      </c>
      <c r="D18324" t="str">
        <f>"68138"</f>
        <v>68138</v>
      </c>
      <c r="E18324">
        <v>81.98</v>
      </c>
    </row>
    <row r="18325" spans="1:5" x14ac:dyDescent="0.2">
      <c r="A18325">
        <v>68142</v>
      </c>
      <c r="B18325" t="s">
        <v>35</v>
      </c>
      <c r="C18325">
        <v>68142</v>
      </c>
      <c r="D18325" t="str">
        <f>"68142"</f>
        <v>68142</v>
      </c>
      <c r="E18325">
        <v>82.35</v>
      </c>
    </row>
    <row r="18326" spans="1:5" x14ac:dyDescent="0.2">
      <c r="A18326">
        <v>68144</v>
      </c>
      <c r="B18326" t="s">
        <v>35</v>
      </c>
      <c r="C18326">
        <v>68144</v>
      </c>
      <c r="D18326" t="str">
        <f>"68144"</f>
        <v>68144</v>
      </c>
      <c r="E18326">
        <v>78.760000000000005</v>
      </c>
    </row>
    <row r="18327" spans="1:5" x14ac:dyDescent="0.2">
      <c r="A18327">
        <v>68147</v>
      </c>
      <c r="B18327" t="s">
        <v>35</v>
      </c>
      <c r="C18327">
        <v>68147</v>
      </c>
      <c r="D18327" t="str">
        <f>"68147"</f>
        <v>68147</v>
      </c>
      <c r="E18327">
        <v>73.099999999999994</v>
      </c>
    </row>
    <row r="18328" spans="1:5" x14ac:dyDescent="0.2">
      <c r="A18328">
        <v>68152</v>
      </c>
      <c r="B18328" t="s">
        <v>35</v>
      </c>
      <c r="C18328">
        <v>68152</v>
      </c>
      <c r="D18328" t="str">
        <f>"68152"</f>
        <v>68152</v>
      </c>
      <c r="E18328">
        <v>76.55</v>
      </c>
    </row>
    <row r="18329" spans="1:5" x14ac:dyDescent="0.2">
      <c r="A18329">
        <v>68154</v>
      </c>
      <c r="B18329" t="s">
        <v>35</v>
      </c>
      <c r="C18329">
        <v>68154</v>
      </c>
      <c r="D18329" t="str">
        <f>"68154"</f>
        <v>68154</v>
      </c>
      <c r="E18329">
        <v>81.75</v>
      </c>
    </row>
    <row r="18330" spans="1:5" x14ac:dyDescent="0.2">
      <c r="A18330">
        <v>68157</v>
      </c>
      <c r="B18330" t="s">
        <v>35</v>
      </c>
      <c r="C18330">
        <v>68157</v>
      </c>
      <c r="D18330" t="str">
        <f>"68157"</f>
        <v>68157</v>
      </c>
      <c r="E18330">
        <v>78.23</v>
      </c>
    </row>
    <row r="18331" spans="1:5" x14ac:dyDescent="0.2">
      <c r="A18331">
        <v>68164</v>
      </c>
      <c r="B18331" t="s">
        <v>35</v>
      </c>
      <c r="C18331">
        <v>68164</v>
      </c>
      <c r="D18331" t="str">
        <f>"68164"</f>
        <v>68164</v>
      </c>
      <c r="E18331">
        <v>79.61</v>
      </c>
    </row>
    <row r="18332" spans="1:5" x14ac:dyDescent="0.2">
      <c r="A18332">
        <v>68175</v>
      </c>
      <c r="B18332" t="s">
        <v>35</v>
      </c>
      <c r="C18332">
        <v>68175</v>
      </c>
      <c r="D18332" t="str">
        <f>"68175"</f>
        <v>68175</v>
      </c>
      <c r="E18332" t="s">
        <v>6</v>
      </c>
    </row>
    <row r="18333" spans="1:5" x14ac:dyDescent="0.2">
      <c r="A18333">
        <v>68178</v>
      </c>
      <c r="B18333" t="s">
        <v>35</v>
      </c>
      <c r="C18333">
        <v>68178</v>
      </c>
      <c r="D18333" t="str">
        <f>"68178"</f>
        <v>68178</v>
      </c>
      <c r="E18333" t="s">
        <v>6</v>
      </c>
    </row>
    <row r="18334" spans="1:5" x14ac:dyDescent="0.2">
      <c r="A18334">
        <v>68179</v>
      </c>
      <c r="B18334" t="s">
        <v>35</v>
      </c>
      <c r="C18334">
        <v>68179</v>
      </c>
      <c r="D18334" t="str">
        <f>"68179"</f>
        <v>68179</v>
      </c>
      <c r="E18334" t="s">
        <v>6</v>
      </c>
    </row>
    <row r="18335" spans="1:5" x14ac:dyDescent="0.2">
      <c r="A18335">
        <v>68182</v>
      </c>
      <c r="B18335" t="s">
        <v>35</v>
      </c>
      <c r="C18335">
        <v>68182</v>
      </c>
      <c r="D18335" t="str">
        <f>"68182"</f>
        <v>68182</v>
      </c>
      <c r="E18335" t="s">
        <v>6</v>
      </c>
    </row>
    <row r="18336" spans="1:5" x14ac:dyDescent="0.2">
      <c r="A18336">
        <v>68183</v>
      </c>
      <c r="B18336" t="s">
        <v>35</v>
      </c>
      <c r="C18336">
        <v>68183</v>
      </c>
      <c r="D18336" t="str">
        <f>"68183"</f>
        <v>68183</v>
      </c>
      <c r="E18336" t="s">
        <v>6</v>
      </c>
    </row>
    <row r="18337" spans="1:5" x14ac:dyDescent="0.2">
      <c r="A18337">
        <v>68197</v>
      </c>
      <c r="B18337" t="s">
        <v>35</v>
      </c>
      <c r="C18337">
        <v>68197</v>
      </c>
      <c r="D18337" t="str">
        <f>"68197"</f>
        <v>68197</v>
      </c>
      <c r="E18337" t="s">
        <v>6</v>
      </c>
    </row>
    <row r="18338" spans="1:5" x14ac:dyDescent="0.2">
      <c r="A18338">
        <v>68198</v>
      </c>
      <c r="B18338" t="s">
        <v>35</v>
      </c>
      <c r="C18338">
        <v>68198</v>
      </c>
      <c r="D18338" t="str">
        <f>"68198"</f>
        <v>68198</v>
      </c>
      <c r="E18338" t="s">
        <v>6</v>
      </c>
    </row>
    <row r="18339" spans="1:5" x14ac:dyDescent="0.2">
      <c r="A18339">
        <v>68301</v>
      </c>
      <c r="B18339" t="s">
        <v>35</v>
      </c>
      <c r="C18339">
        <v>68301</v>
      </c>
      <c r="D18339" t="str">
        <f>"68301"</f>
        <v>68301</v>
      </c>
      <c r="E18339">
        <v>78.569999999999993</v>
      </c>
    </row>
    <row r="18340" spans="1:5" x14ac:dyDescent="0.2">
      <c r="A18340">
        <v>68303</v>
      </c>
      <c r="B18340" t="s">
        <v>35</v>
      </c>
      <c r="C18340">
        <v>68303</v>
      </c>
      <c r="D18340" t="str">
        <f>"68303"</f>
        <v>68303</v>
      </c>
      <c r="E18340">
        <v>72.73</v>
      </c>
    </row>
    <row r="18341" spans="1:5" x14ac:dyDescent="0.2">
      <c r="A18341">
        <v>68304</v>
      </c>
      <c r="B18341" t="s">
        <v>35</v>
      </c>
      <c r="C18341">
        <v>68304</v>
      </c>
      <c r="D18341" t="str">
        <f>"68304"</f>
        <v>68304</v>
      </c>
      <c r="E18341">
        <v>78.569999999999993</v>
      </c>
    </row>
    <row r="18342" spans="1:5" x14ac:dyDescent="0.2">
      <c r="A18342">
        <v>68305</v>
      </c>
      <c r="B18342" t="s">
        <v>35</v>
      </c>
      <c r="C18342">
        <v>68305</v>
      </c>
      <c r="D18342" t="str">
        <f>"68305"</f>
        <v>68305</v>
      </c>
      <c r="E18342">
        <v>74.05</v>
      </c>
    </row>
    <row r="18343" spans="1:5" x14ac:dyDescent="0.2">
      <c r="A18343">
        <v>68307</v>
      </c>
      <c r="B18343" t="s">
        <v>35</v>
      </c>
      <c r="C18343">
        <v>68307</v>
      </c>
      <c r="D18343" t="str">
        <f>"68307"</f>
        <v>68307</v>
      </c>
      <c r="E18343">
        <v>82.61</v>
      </c>
    </row>
    <row r="18344" spans="1:5" x14ac:dyDescent="0.2">
      <c r="A18344">
        <v>68309</v>
      </c>
      <c r="B18344" t="s">
        <v>35</v>
      </c>
      <c r="C18344">
        <v>68309</v>
      </c>
      <c r="D18344" t="str">
        <f>"68309"</f>
        <v>68309</v>
      </c>
      <c r="E18344" t="s">
        <v>6</v>
      </c>
    </row>
    <row r="18345" spans="1:5" x14ac:dyDescent="0.2">
      <c r="A18345">
        <v>68310</v>
      </c>
      <c r="B18345" t="s">
        <v>35</v>
      </c>
      <c r="C18345">
        <v>68310</v>
      </c>
      <c r="D18345" t="str">
        <f>"68310"</f>
        <v>68310</v>
      </c>
      <c r="E18345">
        <v>72.09</v>
      </c>
    </row>
    <row r="18346" spans="1:5" x14ac:dyDescent="0.2">
      <c r="A18346">
        <v>68313</v>
      </c>
      <c r="B18346" t="s">
        <v>35</v>
      </c>
      <c r="C18346">
        <v>68313</v>
      </c>
      <c r="D18346" t="str">
        <f>"68313"</f>
        <v>68313</v>
      </c>
      <c r="E18346">
        <v>76.319999999999993</v>
      </c>
    </row>
    <row r="18347" spans="1:5" x14ac:dyDescent="0.2">
      <c r="A18347">
        <v>68314</v>
      </c>
      <c r="B18347" t="s">
        <v>35</v>
      </c>
      <c r="C18347">
        <v>68314</v>
      </c>
      <c r="D18347" t="str">
        <f>"68314"</f>
        <v>68314</v>
      </c>
      <c r="E18347">
        <v>66.67</v>
      </c>
    </row>
    <row r="18348" spans="1:5" x14ac:dyDescent="0.2">
      <c r="A18348">
        <v>68315</v>
      </c>
      <c r="B18348" t="s">
        <v>35</v>
      </c>
      <c r="C18348">
        <v>68315</v>
      </c>
      <c r="D18348" t="str">
        <f>"68315"</f>
        <v>68315</v>
      </c>
      <c r="E18348" t="s">
        <v>6</v>
      </c>
    </row>
    <row r="18349" spans="1:5" x14ac:dyDescent="0.2">
      <c r="A18349">
        <v>68316</v>
      </c>
      <c r="B18349" t="s">
        <v>35</v>
      </c>
      <c r="C18349">
        <v>68316</v>
      </c>
      <c r="D18349" t="str">
        <f>"68316"</f>
        <v>68316</v>
      </c>
      <c r="E18349">
        <v>83.33</v>
      </c>
    </row>
    <row r="18350" spans="1:5" x14ac:dyDescent="0.2">
      <c r="A18350">
        <v>68317</v>
      </c>
      <c r="B18350" t="s">
        <v>35</v>
      </c>
      <c r="C18350">
        <v>68317</v>
      </c>
      <c r="D18350" t="str">
        <f>"68317"</f>
        <v>68317</v>
      </c>
      <c r="E18350">
        <v>80.680000000000007</v>
      </c>
    </row>
    <row r="18351" spans="1:5" x14ac:dyDescent="0.2">
      <c r="A18351">
        <v>68318</v>
      </c>
      <c r="B18351" t="s">
        <v>35</v>
      </c>
      <c r="C18351">
        <v>68318</v>
      </c>
      <c r="D18351" t="str">
        <f>"68318"</f>
        <v>68318</v>
      </c>
      <c r="E18351">
        <v>60.87</v>
      </c>
    </row>
    <row r="18352" spans="1:5" x14ac:dyDescent="0.2">
      <c r="A18352">
        <v>68319</v>
      </c>
      <c r="B18352" t="s">
        <v>35</v>
      </c>
      <c r="C18352">
        <v>68319</v>
      </c>
      <c r="D18352" t="str">
        <f>"68319"</f>
        <v>68319</v>
      </c>
      <c r="E18352">
        <v>74.069999999999993</v>
      </c>
    </row>
    <row r="18353" spans="1:5" x14ac:dyDescent="0.2">
      <c r="A18353">
        <v>68320</v>
      </c>
      <c r="B18353" t="s">
        <v>35</v>
      </c>
      <c r="C18353">
        <v>68320</v>
      </c>
      <c r="D18353" t="str">
        <f>"68320"</f>
        <v>68320</v>
      </c>
      <c r="E18353">
        <v>73.33</v>
      </c>
    </row>
    <row r="18354" spans="1:5" x14ac:dyDescent="0.2">
      <c r="A18354">
        <v>68321</v>
      </c>
      <c r="B18354" t="s">
        <v>35</v>
      </c>
      <c r="C18354">
        <v>68321</v>
      </c>
      <c r="D18354" t="str">
        <f>"68321"</f>
        <v>68321</v>
      </c>
      <c r="E18354">
        <v>66.67</v>
      </c>
    </row>
    <row r="18355" spans="1:5" x14ac:dyDescent="0.2">
      <c r="A18355">
        <v>68322</v>
      </c>
      <c r="B18355" t="s">
        <v>35</v>
      </c>
      <c r="C18355">
        <v>68322</v>
      </c>
      <c r="D18355" t="str">
        <f>"68322"</f>
        <v>68322</v>
      </c>
      <c r="E18355">
        <v>77.27</v>
      </c>
    </row>
    <row r="18356" spans="1:5" x14ac:dyDescent="0.2">
      <c r="A18356">
        <v>68323</v>
      </c>
      <c r="B18356" t="s">
        <v>35</v>
      </c>
      <c r="C18356">
        <v>68323</v>
      </c>
      <c r="D18356" t="str">
        <f>"68323"</f>
        <v>68323</v>
      </c>
      <c r="E18356">
        <v>61.54</v>
      </c>
    </row>
    <row r="18357" spans="1:5" x14ac:dyDescent="0.2">
      <c r="A18357">
        <v>68324</v>
      </c>
      <c r="B18357" t="s">
        <v>35</v>
      </c>
      <c r="C18357">
        <v>68324</v>
      </c>
      <c r="D18357" t="str">
        <f>"68324"</f>
        <v>68324</v>
      </c>
      <c r="E18357" t="s">
        <v>6</v>
      </c>
    </row>
    <row r="18358" spans="1:5" x14ac:dyDescent="0.2">
      <c r="A18358">
        <v>68325</v>
      </c>
      <c r="B18358" t="s">
        <v>35</v>
      </c>
      <c r="C18358">
        <v>68325</v>
      </c>
      <c r="D18358" t="str">
        <f>"68325"</f>
        <v>68325</v>
      </c>
      <c r="E18358" t="s">
        <v>6</v>
      </c>
    </row>
    <row r="18359" spans="1:5" x14ac:dyDescent="0.2">
      <c r="A18359">
        <v>68326</v>
      </c>
      <c r="B18359" t="s">
        <v>35</v>
      </c>
      <c r="C18359">
        <v>68326</v>
      </c>
      <c r="D18359" t="str">
        <f>"68326"</f>
        <v>68326</v>
      </c>
      <c r="E18359">
        <v>77.78</v>
      </c>
    </row>
    <row r="18360" spans="1:5" x14ac:dyDescent="0.2">
      <c r="A18360">
        <v>68327</v>
      </c>
      <c r="B18360" t="s">
        <v>35</v>
      </c>
      <c r="C18360">
        <v>68327</v>
      </c>
      <c r="D18360" t="str">
        <f>"68327"</f>
        <v>68327</v>
      </c>
      <c r="E18360">
        <v>71.430000000000007</v>
      </c>
    </row>
    <row r="18361" spans="1:5" x14ac:dyDescent="0.2">
      <c r="A18361">
        <v>68328</v>
      </c>
      <c r="B18361" t="s">
        <v>35</v>
      </c>
      <c r="C18361">
        <v>68328</v>
      </c>
      <c r="D18361" t="str">
        <f>"68328"</f>
        <v>68328</v>
      </c>
      <c r="E18361">
        <v>76.19</v>
      </c>
    </row>
    <row r="18362" spans="1:5" x14ac:dyDescent="0.2">
      <c r="A18362">
        <v>68329</v>
      </c>
      <c r="B18362" t="s">
        <v>35</v>
      </c>
      <c r="C18362">
        <v>68329</v>
      </c>
      <c r="D18362" t="str">
        <f>"68329"</f>
        <v>68329</v>
      </c>
      <c r="E18362">
        <v>79.31</v>
      </c>
    </row>
    <row r="18363" spans="1:5" x14ac:dyDescent="0.2">
      <c r="A18363">
        <v>68330</v>
      </c>
      <c r="B18363" t="s">
        <v>35</v>
      </c>
      <c r="C18363">
        <v>68330</v>
      </c>
      <c r="D18363" t="str">
        <f>"68330"</f>
        <v>68330</v>
      </c>
      <c r="E18363" t="s">
        <v>6</v>
      </c>
    </row>
    <row r="18364" spans="1:5" x14ac:dyDescent="0.2">
      <c r="A18364">
        <v>68331</v>
      </c>
      <c r="B18364" t="s">
        <v>35</v>
      </c>
      <c r="C18364">
        <v>68331</v>
      </c>
      <c r="D18364" t="str">
        <f>"68331"</f>
        <v>68331</v>
      </c>
      <c r="E18364">
        <v>75</v>
      </c>
    </row>
    <row r="18365" spans="1:5" x14ac:dyDescent="0.2">
      <c r="A18365">
        <v>68332</v>
      </c>
      <c r="B18365" t="s">
        <v>35</v>
      </c>
      <c r="C18365">
        <v>68332</v>
      </c>
      <c r="D18365" t="str">
        <f>"68332"</f>
        <v>68332</v>
      </c>
      <c r="E18365" t="s">
        <v>6</v>
      </c>
    </row>
    <row r="18366" spans="1:5" x14ac:dyDescent="0.2">
      <c r="A18366">
        <v>68333</v>
      </c>
      <c r="B18366" t="s">
        <v>35</v>
      </c>
      <c r="C18366">
        <v>68333</v>
      </c>
      <c r="D18366" t="str">
        <f>"68333"</f>
        <v>68333</v>
      </c>
      <c r="E18366">
        <v>69.27</v>
      </c>
    </row>
    <row r="18367" spans="1:5" x14ac:dyDescent="0.2">
      <c r="A18367">
        <v>68335</v>
      </c>
      <c r="B18367" t="s">
        <v>35</v>
      </c>
      <c r="C18367">
        <v>68335</v>
      </c>
      <c r="D18367" t="str">
        <f>"68335"</f>
        <v>68335</v>
      </c>
      <c r="E18367">
        <v>69.23</v>
      </c>
    </row>
    <row r="18368" spans="1:5" x14ac:dyDescent="0.2">
      <c r="A18368">
        <v>68336</v>
      </c>
      <c r="B18368" t="s">
        <v>35</v>
      </c>
      <c r="C18368">
        <v>68336</v>
      </c>
      <c r="D18368" t="str">
        <f>"68336"</f>
        <v>68336</v>
      </c>
      <c r="E18368">
        <v>82.14</v>
      </c>
    </row>
    <row r="18369" spans="1:5" x14ac:dyDescent="0.2">
      <c r="A18369">
        <v>68337</v>
      </c>
      <c r="B18369" t="s">
        <v>35</v>
      </c>
      <c r="C18369">
        <v>68337</v>
      </c>
      <c r="D18369" t="str">
        <f>"68337"</f>
        <v>68337</v>
      </c>
      <c r="E18369">
        <v>80</v>
      </c>
    </row>
    <row r="18370" spans="1:5" x14ac:dyDescent="0.2">
      <c r="A18370">
        <v>68338</v>
      </c>
      <c r="B18370" t="s">
        <v>35</v>
      </c>
      <c r="C18370">
        <v>68338</v>
      </c>
      <c r="D18370" t="str">
        <f>"68338"</f>
        <v>68338</v>
      </c>
      <c r="E18370">
        <v>75</v>
      </c>
    </row>
    <row r="18371" spans="1:5" x14ac:dyDescent="0.2">
      <c r="A18371">
        <v>68339</v>
      </c>
      <c r="B18371" t="s">
        <v>35</v>
      </c>
      <c r="C18371">
        <v>68339</v>
      </c>
      <c r="D18371" t="str">
        <f>"68339"</f>
        <v>68339</v>
      </c>
      <c r="E18371">
        <v>82.19</v>
      </c>
    </row>
    <row r="18372" spans="1:5" x14ac:dyDescent="0.2">
      <c r="A18372">
        <v>68340</v>
      </c>
      <c r="B18372" t="s">
        <v>35</v>
      </c>
      <c r="C18372">
        <v>68340</v>
      </c>
      <c r="D18372" t="str">
        <f>"68340"</f>
        <v>68340</v>
      </c>
      <c r="E18372">
        <v>65.12</v>
      </c>
    </row>
    <row r="18373" spans="1:5" x14ac:dyDescent="0.2">
      <c r="A18373">
        <v>68341</v>
      </c>
      <c r="B18373" t="s">
        <v>35</v>
      </c>
      <c r="C18373">
        <v>68341</v>
      </c>
      <c r="D18373" t="str">
        <f>"68341"</f>
        <v>68341</v>
      </c>
      <c r="E18373">
        <v>73.47</v>
      </c>
    </row>
    <row r="18374" spans="1:5" x14ac:dyDescent="0.2">
      <c r="A18374">
        <v>68342</v>
      </c>
      <c r="B18374" t="s">
        <v>35</v>
      </c>
      <c r="C18374">
        <v>68342</v>
      </c>
      <c r="D18374" t="str">
        <f>"68342"</f>
        <v>68342</v>
      </c>
      <c r="E18374">
        <v>73.08</v>
      </c>
    </row>
    <row r="18375" spans="1:5" x14ac:dyDescent="0.2">
      <c r="A18375">
        <v>68343</v>
      </c>
      <c r="B18375" t="s">
        <v>35</v>
      </c>
      <c r="C18375">
        <v>68343</v>
      </c>
      <c r="D18375" t="str">
        <f>"68343"</f>
        <v>68343</v>
      </c>
      <c r="E18375">
        <v>77.08</v>
      </c>
    </row>
    <row r="18376" spans="1:5" x14ac:dyDescent="0.2">
      <c r="A18376">
        <v>68344</v>
      </c>
      <c r="B18376" t="s">
        <v>35</v>
      </c>
      <c r="C18376">
        <v>68344</v>
      </c>
      <c r="D18376" t="str">
        <f>"68344"</f>
        <v>68344</v>
      </c>
      <c r="E18376">
        <v>80.95</v>
      </c>
    </row>
    <row r="18377" spans="1:5" x14ac:dyDescent="0.2">
      <c r="A18377">
        <v>68345</v>
      </c>
      <c r="B18377" t="s">
        <v>35</v>
      </c>
      <c r="C18377">
        <v>68345</v>
      </c>
      <c r="D18377" t="str">
        <f>"68345"</f>
        <v>68345</v>
      </c>
      <c r="E18377">
        <v>66.67</v>
      </c>
    </row>
    <row r="18378" spans="1:5" x14ac:dyDescent="0.2">
      <c r="A18378">
        <v>68346</v>
      </c>
      <c r="B18378" t="s">
        <v>35</v>
      </c>
      <c r="C18378">
        <v>68346</v>
      </c>
      <c r="D18378" t="str">
        <f>"68346"</f>
        <v>68346</v>
      </c>
      <c r="E18378">
        <v>77.27</v>
      </c>
    </row>
    <row r="18379" spans="1:5" x14ac:dyDescent="0.2">
      <c r="A18379">
        <v>68347</v>
      </c>
      <c r="B18379" t="s">
        <v>35</v>
      </c>
      <c r="C18379">
        <v>68347</v>
      </c>
      <c r="D18379" t="str">
        <f>"68347"</f>
        <v>68347</v>
      </c>
      <c r="E18379">
        <v>81.510000000000005</v>
      </c>
    </row>
    <row r="18380" spans="1:5" x14ac:dyDescent="0.2">
      <c r="A18380">
        <v>68348</v>
      </c>
      <c r="B18380" t="s">
        <v>35</v>
      </c>
      <c r="C18380">
        <v>68348</v>
      </c>
      <c r="D18380" t="str">
        <f>"68348"</f>
        <v>68348</v>
      </c>
      <c r="E18380">
        <v>63.64</v>
      </c>
    </row>
    <row r="18381" spans="1:5" x14ac:dyDescent="0.2">
      <c r="A18381">
        <v>68349</v>
      </c>
      <c r="B18381" t="s">
        <v>35</v>
      </c>
      <c r="C18381">
        <v>68349</v>
      </c>
      <c r="D18381" t="str">
        <f>"68349"</f>
        <v>68349</v>
      </c>
      <c r="E18381">
        <v>78.180000000000007</v>
      </c>
    </row>
    <row r="18382" spans="1:5" x14ac:dyDescent="0.2">
      <c r="A18382">
        <v>68350</v>
      </c>
      <c r="B18382" t="s">
        <v>35</v>
      </c>
      <c r="C18382">
        <v>68350</v>
      </c>
      <c r="D18382" t="str">
        <f>"68350"</f>
        <v>68350</v>
      </c>
      <c r="E18382" t="s">
        <v>6</v>
      </c>
    </row>
    <row r="18383" spans="1:5" x14ac:dyDescent="0.2">
      <c r="A18383">
        <v>68351</v>
      </c>
      <c r="B18383" t="s">
        <v>35</v>
      </c>
      <c r="C18383">
        <v>68351</v>
      </c>
      <c r="D18383" t="str">
        <f>"68351"</f>
        <v>68351</v>
      </c>
      <c r="E18383">
        <v>80.489999999999995</v>
      </c>
    </row>
    <row r="18384" spans="1:5" x14ac:dyDescent="0.2">
      <c r="A18384">
        <v>68352</v>
      </c>
      <c r="B18384" t="s">
        <v>35</v>
      </c>
      <c r="C18384">
        <v>68352</v>
      </c>
      <c r="D18384" t="str">
        <f>"68352"</f>
        <v>68352</v>
      </c>
      <c r="E18384">
        <v>68.2</v>
      </c>
    </row>
    <row r="18385" spans="1:5" x14ac:dyDescent="0.2">
      <c r="A18385">
        <v>68354</v>
      </c>
      <c r="B18385" t="s">
        <v>35</v>
      </c>
      <c r="C18385">
        <v>68354</v>
      </c>
      <c r="D18385" t="str">
        <f>"68354"</f>
        <v>68354</v>
      </c>
      <c r="E18385">
        <v>74.42</v>
      </c>
    </row>
    <row r="18386" spans="1:5" x14ac:dyDescent="0.2">
      <c r="A18386">
        <v>68355</v>
      </c>
      <c r="B18386" t="s">
        <v>35</v>
      </c>
      <c r="C18386">
        <v>68355</v>
      </c>
      <c r="D18386" t="str">
        <f>"68355"</f>
        <v>68355</v>
      </c>
      <c r="E18386">
        <v>70.09</v>
      </c>
    </row>
    <row r="18387" spans="1:5" x14ac:dyDescent="0.2">
      <c r="A18387">
        <v>68357</v>
      </c>
      <c r="B18387" t="s">
        <v>35</v>
      </c>
      <c r="C18387">
        <v>68357</v>
      </c>
      <c r="D18387" t="str">
        <f>"68357"</f>
        <v>68357</v>
      </c>
      <c r="E18387">
        <v>82.35</v>
      </c>
    </row>
    <row r="18388" spans="1:5" x14ac:dyDescent="0.2">
      <c r="A18388">
        <v>68358</v>
      </c>
      <c r="B18388" t="s">
        <v>35</v>
      </c>
      <c r="C18388">
        <v>68358</v>
      </c>
      <c r="D18388" t="str">
        <f>"68358"</f>
        <v>68358</v>
      </c>
      <c r="E18388">
        <v>79.760000000000005</v>
      </c>
    </row>
    <row r="18389" spans="1:5" x14ac:dyDescent="0.2">
      <c r="A18389">
        <v>68359</v>
      </c>
      <c r="B18389" t="s">
        <v>35</v>
      </c>
      <c r="C18389">
        <v>68359</v>
      </c>
      <c r="D18389" t="str">
        <f>"68359"</f>
        <v>68359</v>
      </c>
      <c r="E18389">
        <v>75</v>
      </c>
    </row>
    <row r="18390" spans="1:5" x14ac:dyDescent="0.2">
      <c r="A18390">
        <v>68360</v>
      </c>
      <c r="B18390" t="s">
        <v>35</v>
      </c>
      <c r="C18390">
        <v>68360</v>
      </c>
      <c r="D18390" t="str">
        <f>"68360"</f>
        <v>68360</v>
      </c>
      <c r="E18390">
        <v>82.14</v>
      </c>
    </row>
    <row r="18391" spans="1:5" x14ac:dyDescent="0.2">
      <c r="A18391">
        <v>68361</v>
      </c>
      <c r="B18391" t="s">
        <v>35</v>
      </c>
      <c r="C18391">
        <v>68361</v>
      </c>
      <c r="D18391" t="str">
        <f>"68361"</f>
        <v>68361</v>
      </c>
      <c r="E18391">
        <v>75.86</v>
      </c>
    </row>
    <row r="18392" spans="1:5" x14ac:dyDescent="0.2">
      <c r="A18392">
        <v>68362</v>
      </c>
      <c r="B18392" t="s">
        <v>35</v>
      </c>
      <c r="C18392">
        <v>68362</v>
      </c>
      <c r="D18392" t="str">
        <f>"68362"</f>
        <v>68362</v>
      </c>
      <c r="E18392" t="s">
        <v>6</v>
      </c>
    </row>
    <row r="18393" spans="1:5" x14ac:dyDescent="0.2">
      <c r="A18393">
        <v>68364</v>
      </c>
      <c r="B18393" t="s">
        <v>35</v>
      </c>
      <c r="C18393">
        <v>68364</v>
      </c>
      <c r="D18393" t="str">
        <f>"68364"</f>
        <v>68364</v>
      </c>
      <c r="E18393" t="s">
        <v>6</v>
      </c>
    </row>
    <row r="18394" spans="1:5" x14ac:dyDescent="0.2">
      <c r="A18394">
        <v>68365</v>
      </c>
      <c r="B18394" t="s">
        <v>35</v>
      </c>
      <c r="C18394">
        <v>68365</v>
      </c>
      <c r="D18394" t="str">
        <f>"68365"</f>
        <v>68365</v>
      </c>
      <c r="E18394">
        <v>76.92</v>
      </c>
    </row>
    <row r="18395" spans="1:5" x14ac:dyDescent="0.2">
      <c r="A18395">
        <v>68366</v>
      </c>
      <c r="B18395" t="s">
        <v>35</v>
      </c>
      <c r="C18395">
        <v>68366</v>
      </c>
      <c r="D18395" t="str">
        <f>"68366"</f>
        <v>68366</v>
      </c>
      <c r="E18395">
        <v>77.59</v>
      </c>
    </row>
    <row r="18396" spans="1:5" x14ac:dyDescent="0.2">
      <c r="A18396">
        <v>68367</v>
      </c>
      <c r="B18396" t="s">
        <v>35</v>
      </c>
      <c r="C18396">
        <v>68367</v>
      </c>
      <c r="D18396" t="str">
        <f>"68367"</f>
        <v>68367</v>
      </c>
      <c r="E18396">
        <v>69.569999999999993</v>
      </c>
    </row>
    <row r="18397" spans="1:5" x14ac:dyDescent="0.2">
      <c r="A18397">
        <v>68368</v>
      </c>
      <c r="B18397" t="s">
        <v>35</v>
      </c>
      <c r="C18397">
        <v>68368</v>
      </c>
      <c r="D18397" t="str">
        <f>"68368"</f>
        <v>68368</v>
      </c>
      <c r="E18397">
        <v>80.77</v>
      </c>
    </row>
    <row r="18398" spans="1:5" x14ac:dyDescent="0.2">
      <c r="A18398">
        <v>68370</v>
      </c>
      <c r="B18398" t="s">
        <v>35</v>
      </c>
      <c r="C18398">
        <v>68370</v>
      </c>
      <c r="D18398" t="str">
        <f>"68370"</f>
        <v>68370</v>
      </c>
      <c r="E18398">
        <v>72.53</v>
      </c>
    </row>
    <row r="18399" spans="1:5" x14ac:dyDescent="0.2">
      <c r="A18399">
        <v>68371</v>
      </c>
      <c r="B18399" t="s">
        <v>35</v>
      </c>
      <c r="C18399">
        <v>68371</v>
      </c>
      <c r="D18399" t="str">
        <f>"68371"</f>
        <v>68371</v>
      </c>
      <c r="E18399">
        <v>76.47</v>
      </c>
    </row>
    <row r="18400" spans="1:5" x14ac:dyDescent="0.2">
      <c r="A18400">
        <v>68372</v>
      </c>
      <c r="B18400" t="s">
        <v>35</v>
      </c>
      <c r="C18400">
        <v>68372</v>
      </c>
      <c r="D18400" t="str">
        <f>"68372"</f>
        <v>68372</v>
      </c>
      <c r="E18400">
        <v>79.22</v>
      </c>
    </row>
    <row r="18401" spans="1:5" x14ac:dyDescent="0.2">
      <c r="A18401">
        <v>68375</v>
      </c>
      <c r="B18401" t="s">
        <v>35</v>
      </c>
      <c r="C18401">
        <v>68375</v>
      </c>
      <c r="D18401" t="str">
        <f>"68375"</f>
        <v>68375</v>
      </c>
      <c r="E18401" t="s">
        <v>6</v>
      </c>
    </row>
    <row r="18402" spans="1:5" x14ac:dyDescent="0.2">
      <c r="A18402">
        <v>68376</v>
      </c>
      <c r="B18402" t="s">
        <v>35</v>
      </c>
      <c r="C18402">
        <v>68376</v>
      </c>
      <c r="D18402" t="str">
        <f>"68376"</f>
        <v>68376</v>
      </c>
      <c r="E18402">
        <v>66.099999999999994</v>
      </c>
    </row>
    <row r="18403" spans="1:5" x14ac:dyDescent="0.2">
      <c r="A18403">
        <v>68377</v>
      </c>
      <c r="B18403" t="s">
        <v>35</v>
      </c>
      <c r="C18403">
        <v>68377</v>
      </c>
      <c r="D18403" t="str">
        <f>"68377"</f>
        <v>68377</v>
      </c>
      <c r="E18403">
        <v>72.22</v>
      </c>
    </row>
    <row r="18404" spans="1:5" x14ac:dyDescent="0.2">
      <c r="A18404">
        <v>68378</v>
      </c>
      <c r="B18404" t="s">
        <v>35</v>
      </c>
      <c r="C18404">
        <v>68378</v>
      </c>
      <c r="D18404" t="str">
        <f>"68378"</f>
        <v>68378</v>
      </c>
      <c r="E18404">
        <v>80</v>
      </c>
    </row>
    <row r="18405" spans="1:5" x14ac:dyDescent="0.2">
      <c r="A18405">
        <v>68379</v>
      </c>
      <c r="B18405" t="s">
        <v>35</v>
      </c>
      <c r="C18405">
        <v>68379</v>
      </c>
      <c r="D18405" t="str">
        <f>"68379"</f>
        <v>68379</v>
      </c>
      <c r="E18405" t="s">
        <v>6</v>
      </c>
    </row>
    <row r="18406" spans="1:5" x14ac:dyDescent="0.2">
      <c r="A18406">
        <v>68380</v>
      </c>
      <c r="B18406" t="s">
        <v>35</v>
      </c>
      <c r="C18406">
        <v>68380</v>
      </c>
      <c r="D18406" t="str">
        <f>"68380"</f>
        <v>68380</v>
      </c>
      <c r="E18406" t="s">
        <v>6</v>
      </c>
    </row>
    <row r="18407" spans="1:5" x14ac:dyDescent="0.2">
      <c r="A18407">
        <v>68381</v>
      </c>
      <c r="B18407" t="s">
        <v>35</v>
      </c>
      <c r="C18407">
        <v>68381</v>
      </c>
      <c r="D18407" t="str">
        <f>"68381"</f>
        <v>68381</v>
      </c>
      <c r="E18407" t="s">
        <v>6</v>
      </c>
    </row>
    <row r="18408" spans="1:5" x14ac:dyDescent="0.2">
      <c r="A18408">
        <v>68382</v>
      </c>
      <c r="B18408" t="s">
        <v>35</v>
      </c>
      <c r="C18408">
        <v>68382</v>
      </c>
      <c r="D18408" t="str">
        <f>"68382"</f>
        <v>68382</v>
      </c>
      <c r="E18408" t="s">
        <v>6</v>
      </c>
    </row>
    <row r="18409" spans="1:5" x14ac:dyDescent="0.2">
      <c r="A18409">
        <v>68401</v>
      </c>
      <c r="B18409" t="s">
        <v>35</v>
      </c>
      <c r="C18409">
        <v>68401</v>
      </c>
      <c r="D18409" t="str">
        <f>"68401"</f>
        <v>68401</v>
      </c>
      <c r="E18409">
        <v>66.67</v>
      </c>
    </row>
    <row r="18410" spans="1:5" x14ac:dyDescent="0.2">
      <c r="A18410">
        <v>68402</v>
      </c>
      <c r="B18410" t="s">
        <v>35</v>
      </c>
      <c r="C18410">
        <v>68402</v>
      </c>
      <c r="D18410" t="str">
        <f>"68402"</f>
        <v>68402</v>
      </c>
      <c r="E18410">
        <v>78.69</v>
      </c>
    </row>
    <row r="18411" spans="1:5" x14ac:dyDescent="0.2">
      <c r="A18411">
        <v>68403</v>
      </c>
      <c r="B18411" t="s">
        <v>35</v>
      </c>
      <c r="C18411">
        <v>68403</v>
      </c>
      <c r="D18411" t="str">
        <f>"68403"</f>
        <v>68403</v>
      </c>
      <c r="E18411" t="s">
        <v>6</v>
      </c>
    </row>
    <row r="18412" spans="1:5" x14ac:dyDescent="0.2">
      <c r="A18412">
        <v>68404</v>
      </c>
      <c r="B18412" t="s">
        <v>35</v>
      </c>
      <c r="C18412">
        <v>68404</v>
      </c>
      <c r="D18412" t="str">
        <f>"68404"</f>
        <v>68404</v>
      </c>
      <c r="E18412">
        <v>78</v>
      </c>
    </row>
    <row r="18413" spans="1:5" x14ac:dyDescent="0.2">
      <c r="A18413">
        <v>68405</v>
      </c>
      <c r="B18413" t="s">
        <v>35</v>
      </c>
      <c r="C18413">
        <v>68405</v>
      </c>
      <c r="D18413" t="str">
        <f>"68405"</f>
        <v>68405</v>
      </c>
      <c r="E18413">
        <v>75.709999999999994</v>
      </c>
    </row>
    <row r="18414" spans="1:5" x14ac:dyDescent="0.2">
      <c r="A18414">
        <v>68406</v>
      </c>
      <c r="B18414" t="s">
        <v>35</v>
      </c>
      <c r="C18414">
        <v>68406</v>
      </c>
      <c r="D18414" t="str">
        <f>"68406"</f>
        <v>68406</v>
      </c>
      <c r="E18414">
        <v>63.64</v>
      </c>
    </row>
    <row r="18415" spans="1:5" x14ac:dyDescent="0.2">
      <c r="A18415">
        <v>68407</v>
      </c>
      <c r="B18415" t="s">
        <v>35</v>
      </c>
      <c r="C18415">
        <v>68407</v>
      </c>
      <c r="D18415" t="str">
        <f>"68407"</f>
        <v>68407</v>
      </c>
      <c r="E18415">
        <v>82.93</v>
      </c>
    </row>
    <row r="18416" spans="1:5" x14ac:dyDescent="0.2">
      <c r="A18416">
        <v>68409</v>
      </c>
      <c r="B18416" t="s">
        <v>35</v>
      </c>
      <c r="C18416">
        <v>68409</v>
      </c>
      <c r="D18416" t="str">
        <f>"68409"</f>
        <v>68409</v>
      </c>
      <c r="E18416">
        <v>75.56</v>
      </c>
    </row>
    <row r="18417" spans="1:5" x14ac:dyDescent="0.2">
      <c r="A18417">
        <v>68410</v>
      </c>
      <c r="B18417" t="s">
        <v>35</v>
      </c>
      <c r="C18417">
        <v>68410</v>
      </c>
      <c r="D18417" t="str">
        <f>"68410"</f>
        <v>68410</v>
      </c>
      <c r="E18417">
        <v>72.260000000000005</v>
      </c>
    </row>
    <row r="18418" spans="1:5" x14ac:dyDescent="0.2">
      <c r="A18418">
        <v>68413</v>
      </c>
      <c r="B18418" t="s">
        <v>35</v>
      </c>
      <c r="C18418">
        <v>68413</v>
      </c>
      <c r="D18418" t="str">
        <f>"68413"</f>
        <v>68413</v>
      </c>
      <c r="E18418">
        <v>76</v>
      </c>
    </row>
    <row r="18419" spans="1:5" x14ac:dyDescent="0.2">
      <c r="A18419">
        <v>68414</v>
      </c>
      <c r="B18419" t="s">
        <v>35</v>
      </c>
      <c r="C18419">
        <v>68414</v>
      </c>
      <c r="D18419" t="str">
        <f>"68414"</f>
        <v>68414</v>
      </c>
      <c r="E18419">
        <v>81.819999999999993</v>
      </c>
    </row>
    <row r="18420" spans="1:5" x14ac:dyDescent="0.2">
      <c r="A18420">
        <v>68415</v>
      </c>
      <c r="B18420" t="s">
        <v>35</v>
      </c>
      <c r="C18420">
        <v>68415</v>
      </c>
      <c r="D18420" t="str">
        <f>"68415"</f>
        <v>68415</v>
      </c>
      <c r="E18420">
        <v>75.86</v>
      </c>
    </row>
    <row r="18421" spans="1:5" x14ac:dyDescent="0.2">
      <c r="A18421">
        <v>68416</v>
      </c>
      <c r="B18421" t="s">
        <v>35</v>
      </c>
      <c r="C18421">
        <v>68416</v>
      </c>
      <c r="D18421" t="str">
        <f>"68416"</f>
        <v>68416</v>
      </c>
      <c r="E18421">
        <v>72.73</v>
      </c>
    </row>
    <row r="18422" spans="1:5" x14ac:dyDescent="0.2">
      <c r="A18422">
        <v>68417</v>
      </c>
      <c r="B18422" t="s">
        <v>35</v>
      </c>
      <c r="C18422">
        <v>68417</v>
      </c>
      <c r="D18422" t="str">
        <f>"68417"</f>
        <v>68417</v>
      </c>
      <c r="E18422">
        <v>68.75</v>
      </c>
    </row>
    <row r="18423" spans="1:5" x14ac:dyDescent="0.2">
      <c r="A18423">
        <v>68418</v>
      </c>
      <c r="B18423" t="s">
        <v>35</v>
      </c>
      <c r="C18423">
        <v>68418</v>
      </c>
      <c r="D18423" t="str">
        <f>"68418"</f>
        <v>68418</v>
      </c>
      <c r="E18423">
        <v>80.36</v>
      </c>
    </row>
    <row r="18424" spans="1:5" x14ac:dyDescent="0.2">
      <c r="A18424">
        <v>68419</v>
      </c>
      <c r="B18424" t="s">
        <v>35</v>
      </c>
      <c r="C18424">
        <v>68419</v>
      </c>
      <c r="D18424" t="str">
        <f>"68419"</f>
        <v>68419</v>
      </c>
      <c r="E18424" t="s">
        <v>6</v>
      </c>
    </row>
    <row r="18425" spans="1:5" x14ac:dyDescent="0.2">
      <c r="A18425">
        <v>68420</v>
      </c>
      <c r="B18425" t="s">
        <v>35</v>
      </c>
      <c r="C18425">
        <v>68420</v>
      </c>
      <c r="D18425" t="str">
        <f>"68420"</f>
        <v>68420</v>
      </c>
      <c r="E18425">
        <v>66.67</v>
      </c>
    </row>
    <row r="18426" spans="1:5" x14ac:dyDescent="0.2">
      <c r="A18426">
        <v>68421</v>
      </c>
      <c r="B18426" t="s">
        <v>35</v>
      </c>
      <c r="C18426">
        <v>68421</v>
      </c>
      <c r="D18426" t="str">
        <f>"68421"</f>
        <v>68421</v>
      </c>
      <c r="E18426">
        <v>71.430000000000007</v>
      </c>
    </row>
    <row r="18427" spans="1:5" x14ac:dyDescent="0.2">
      <c r="A18427">
        <v>68422</v>
      </c>
      <c r="B18427" t="s">
        <v>35</v>
      </c>
      <c r="C18427">
        <v>68422</v>
      </c>
      <c r="D18427" t="str">
        <f>"68422"</f>
        <v>68422</v>
      </c>
      <c r="E18427">
        <v>80</v>
      </c>
    </row>
    <row r="18428" spans="1:5" x14ac:dyDescent="0.2">
      <c r="A18428">
        <v>68423</v>
      </c>
      <c r="B18428" t="s">
        <v>35</v>
      </c>
      <c r="C18428">
        <v>68423</v>
      </c>
      <c r="D18428" t="str">
        <f>"68423"</f>
        <v>68423</v>
      </c>
      <c r="E18428">
        <v>78.430000000000007</v>
      </c>
    </row>
    <row r="18429" spans="1:5" x14ac:dyDescent="0.2">
      <c r="A18429">
        <v>68424</v>
      </c>
      <c r="B18429" t="s">
        <v>35</v>
      </c>
      <c r="C18429">
        <v>68424</v>
      </c>
      <c r="D18429" t="str">
        <f>"68424"</f>
        <v>68424</v>
      </c>
      <c r="E18429">
        <v>74.19</v>
      </c>
    </row>
    <row r="18430" spans="1:5" x14ac:dyDescent="0.2">
      <c r="A18430">
        <v>68428</v>
      </c>
      <c r="B18430" t="s">
        <v>35</v>
      </c>
      <c r="C18430">
        <v>68428</v>
      </c>
      <c r="D18430" t="str">
        <f>"68428"</f>
        <v>68428</v>
      </c>
      <c r="E18430">
        <v>80.52</v>
      </c>
    </row>
    <row r="18431" spans="1:5" x14ac:dyDescent="0.2">
      <c r="A18431">
        <v>68429</v>
      </c>
      <c r="B18431" t="s">
        <v>35</v>
      </c>
      <c r="C18431">
        <v>68429</v>
      </c>
      <c r="D18431" t="str">
        <f>"68429"</f>
        <v>68429</v>
      </c>
      <c r="E18431" t="s">
        <v>6</v>
      </c>
    </row>
    <row r="18432" spans="1:5" x14ac:dyDescent="0.2">
      <c r="A18432">
        <v>68430</v>
      </c>
      <c r="B18432" t="s">
        <v>35</v>
      </c>
      <c r="C18432">
        <v>68430</v>
      </c>
      <c r="D18432" t="str">
        <f>"68430"</f>
        <v>68430</v>
      </c>
      <c r="E18432">
        <v>79.78</v>
      </c>
    </row>
    <row r="18433" spans="1:5" x14ac:dyDescent="0.2">
      <c r="A18433">
        <v>68431</v>
      </c>
      <c r="B18433" t="s">
        <v>35</v>
      </c>
      <c r="C18433">
        <v>68431</v>
      </c>
      <c r="D18433" t="str">
        <f>"68431"</f>
        <v>68431</v>
      </c>
      <c r="E18433">
        <v>75</v>
      </c>
    </row>
    <row r="18434" spans="1:5" x14ac:dyDescent="0.2">
      <c r="A18434">
        <v>68433</v>
      </c>
      <c r="B18434" t="s">
        <v>35</v>
      </c>
      <c r="C18434">
        <v>68433</v>
      </c>
      <c r="D18434" t="str">
        <f>"68433"</f>
        <v>68433</v>
      </c>
      <c r="E18434">
        <v>80</v>
      </c>
    </row>
    <row r="18435" spans="1:5" x14ac:dyDescent="0.2">
      <c r="A18435">
        <v>68434</v>
      </c>
      <c r="B18435" t="s">
        <v>35</v>
      </c>
      <c r="C18435">
        <v>68434</v>
      </c>
      <c r="D18435" t="str">
        <f>"68434"</f>
        <v>68434</v>
      </c>
      <c r="E18435">
        <v>77.459999999999994</v>
      </c>
    </row>
    <row r="18436" spans="1:5" x14ac:dyDescent="0.2">
      <c r="A18436">
        <v>68436</v>
      </c>
      <c r="B18436" t="s">
        <v>35</v>
      </c>
      <c r="C18436">
        <v>68436</v>
      </c>
      <c r="D18436" t="str">
        <f>"68436"</f>
        <v>68436</v>
      </c>
      <c r="E18436">
        <v>80</v>
      </c>
    </row>
    <row r="18437" spans="1:5" x14ac:dyDescent="0.2">
      <c r="A18437">
        <v>68437</v>
      </c>
      <c r="B18437" t="s">
        <v>35</v>
      </c>
      <c r="C18437">
        <v>68437</v>
      </c>
      <c r="D18437" t="str">
        <f>"68437"</f>
        <v>68437</v>
      </c>
      <c r="E18437">
        <v>71.430000000000007</v>
      </c>
    </row>
    <row r="18438" spans="1:5" x14ac:dyDescent="0.2">
      <c r="A18438">
        <v>68438</v>
      </c>
      <c r="B18438" t="s">
        <v>35</v>
      </c>
      <c r="C18438">
        <v>68438</v>
      </c>
      <c r="D18438" t="str">
        <f>"68438"</f>
        <v>68438</v>
      </c>
      <c r="E18438" t="s">
        <v>6</v>
      </c>
    </row>
    <row r="18439" spans="1:5" x14ac:dyDescent="0.2">
      <c r="A18439">
        <v>68439</v>
      </c>
      <c r="B18439" t="s">
        <v>35</v>
      </c>
      <c r="C18439">
        <v>68439</v>
      </c>
      <c r="D18439" t="str">
        <f>"68439"</f>
        <v>68439</v>
      </c>
      <c r="E18439">
        <v>73.91</v>
      </c>
    </row>
    <row r="18440" spans="1:5" x14ac:dyDescent="0.2">
      <c r="A18440">
        <v>68440</v>
      </c>
      <c r="B18440" t="s">
        <v>35</v>
      </c>
      <c r="C18440">
        <v>68440</v>
      </c>
      <c r="D18440" t="str">
        <f>"68440"</f>
        <v>68440</v>
      </c>
      <c r="E18440" t="s">
        <v>6</v>
      </c>
    </row>
    <row r="18441" spans="1:5" x14ac:dyDescent="0.2">
      <c r="A18441">
        <v>68441</v>
      </c>
      <c r="B18441" t="s">
        <v>35</v>
      </c>
      <c r="C18441">
        <v>68441</v>
      </c>
      <c r="D18441" t="str">
        <f>"68441"</f>
        <v>68441</v>
      </c>
      <c r="E18441">
        <v>58.33</v>
      </c>
    </row>
    <row r="18442" spans="1:5" x14ac:dyDescent="0.2">
      <c r="A18442">
        <v>68442</v>
      </c>
      <c r="B18442" t="s">
        <v>35</v>
      </c>
      <c r="C18442">
        <v>68442</v>
      </c>
      <c r="D18442" t="str">
        <f>"68442"</f>
        <v>68442</v>
      </c>
      <c r="E18442">
        <v>69.23</v>
      </c>
    </row>
    <row r="18443" spans="1:5" x14ac:dyDescent="0.2">
      <c r="A18443">
        <v>68443</v>
      </c>
      <c r="B18443" t="s">
        <v>35</v>
      </c>
      <c r="C18443">
        <v>68443</v>
      </c>
      <c r="D18443" t="str">
        <f>"68443"</f>
        <v>68443</v>
      </c>
      <c r="E18443">
        <v>70.83</v>
      </c>
    </row>
    <row r="18444" spans="1:5" x14ac:dyDescent="0.2">
      <c r="A18444">
        <v>68444</v>
      </c>
      <c r="B18444" t="s">
        <v>35</v>
      </c>
      <c r="C18444">
        <v>68444</v>
      </c>
      <c r="D18444" t="str">
        <f>"68444"</f>
        <v>68444</v>
      </c>
      <c r="E18444" t="s">
        <v>6</v>
      </c>
    </row>
    <row r="18445" spans="1:5" x14ac:dyDescent="0.2">
      <c r="A18445">
        <v>68445</v>
      </c>
      <c r="B18445" t="s">
        <v>35</v>
      </c>
      <c r="C18445">
        <v>68445</v>
      </c>
      <c r="D18445" t="str">
        <f>"68445"</f>
        <v>68445</v>
      </c>
      <c r="E18445" t="s">
        <v>6</v>
      </c>
    </row>
    <row r="18446" spans="1:5" x14ac:dyDescent="0.2">
      <c r="A18446">
        <v>68446</v>
      </c>
      <c r="B18446" t="s">
        <v>35</v>
      </c>
      <c r="C18446">
        <v>68446</v>
      </c>
      <c r="D18446" t="str">
        <f>"68446"</f>
        <v>68446</v>
      </c>
      <c r="E18446">
        <v>75.760000000000005</v>
      </c>
    </row>
    <row r="18447" spans="1:5" x14ac:dyDescent="0.2">
      <c r="A18447">
        <v>68447</v>
      </c>
      <c r="B18447" t="s">
        <v>35</v>
      </c>
      <c r="C18447">
        <v>68447</v>
      </c>
      <c r="D18447" t="str">
        <f>"68447"</f>
        <v>68447</v>
      </c>
      <c r="E18447">
        <v>70</v>
      </c>
    </row>
    <row r="18448" spans="1:5" x14ac:dyDescent="0.2">
      <c r="A18448">
        <v>68448</v>
      </c>
      <c r="B18448" t="s">
        <v>35</v>
      </c>
      <c r="C18448">
        <v>68448</v>
      </c>
      <c r="D18448" t="str">
        <f>"68448"</f>
        <v>68448</v>
      </c>
      <c r="E18448">
        <v>70.59</v>
      </c>
    </row>
    <row r="18449" spans="1:5" x14ac:dyDescent="0.2">
      <c r="A18449">
        <v>68450</v>
      </c>
      <c r="B18449" t="s">
        <v>35</v>
      </c>
      <c r="C18449">
        <v>68450</v>
      </c>
      <c r="D18449" t="str">
        <f>"68450"</f>
        <v>68450</v>
      </c>
      <c r="E18449">
        <v>68.22</v>
      </c>
    </row>
    <row r="18450" spans="1:5" x14ac:dyDescent="0.2">
      <c r="A18450">
        <v>68452</v>
      </c>
      <c r="B18450" t="s">
        <v>35</v>
      </c>
      <c r="C18450">
        <v>68452</v>
      </c>
      <c r="D18450" t="str">
        <f>"68452"</f>
        <v>68452</v>
      </c>
      <c r="E18450" t="s">
        <v>6</v>
      </c>
    </row>
    <row r="18451" spans="1:5" x14ac:dyDescent="0.2">
      <c r="A18451">
        <v>68453</v>
      </c>
      <c r="B18451" t="s">
        <v>35</v>
      </c>
      <c r="C18451">
        <v>68453</v>
      </c>
      <c r="D18451" t="str">
        <f>"68453"</f>
        <v>68453</v>
      </c>
      <c r="E18451">
        <v>73.33</v>
      </c>
    </row>
    <row r="18452" spans="1:5" x14ac:dyDescent="0.2">
      <c r="A18452">
        <v>68454</v>
      </c>
      <c r="B18452" t="s">
        <v>35</v>
      </c>
      <c r="C18452">
        <v>68454</v>
      </c>
      <c r="D18452" t="str">
        <f>"68454"</f>
        <v>68454</v>
      </c>
      <c r="E18452">
        <v>80.650000000000006</v>
      </c>
    </row>
    <row r="18453" spans="1:5" x14ac:dyDescent="0.2">
      <c r="A18453">
        <v>68455</v>
      </c>
      <c r="B18453" t="s">
        <v>35</v>
      </c>
      <c r="C18453">
        <v>68455</v>
      </c>
      <c r="D18453" t="str">
        <f>"68455"</f>
        <v>68455</v>
      </c>
      <c r="E18453">
        <v>83.33</v>
      </c>
    </row>
    <row r="18454" spans="1:5" x14ac:dyDescent="0.2">
      <c r="A18454">
        <v>68456</v>
      </c>
      <c r="B18454" t="s">
        <v>35</v>
      </c>
      <c r="C18454">
        <v>68456</v>
      </c>
      <c r="D18454" t="str">
        <f>"68456"</f>
        <v>68456</v>
      </c>
      <c r="E18454">
        <v>78</v>
      </c>
    </row>
    <row r="18455" spans="1:5" x14ac:dyDescent="0.2">
      <c r="A18455">
        <v>68457</v>
      </c>
      <c r="B18455" t="s">
        <v>35</v>
      </c>
      <c r="C18455">
        <v>68457</v>
      </c>
      <c r="D18455" t="str">
        <f>"68457"</f>
        <v>68457</v>
      </c>
      <c r="E18455">
        <v>80</v>
      </c>
    </row>
    <row r="18456" spans="1:5" x14ac:dyDescent="0.2">
      <c r="A18456">
        <v>68458</v>
      </c>
      <c r="B18456" t="s">
        <v>35</v>
      </c>
      <c r="C18456">
        <v>68458</v>
      </c>
      <c r="D18456" t="str">
        <f>"68458"</f>
        <v>68458</v>
      </c>
      <c r="E18456" t="s">
        <v>6</v>
      </c>
    </row>
    <row r="18457" spans="1:5" x14ac:dyDescent="0.2">
      <c r="A18457">
        <v>68460</v>
      </c>
      <c r="B18457" t="s">
        <v>35</v>
      </c>
      <c r="C18457">
        <v>68460</v>
      </c>
      <c r="D18457" t="str">
        <f>"68460"</f>
        <v>68460</v>
      </c>
      <c r="E18457">
        <v>76.739999999999995</v>
      </c>
    </row>
    <row r="18458" spans="1:5" x14ac:dyDescent="0.2">
      <c r="A18458">
        <v>68461</v>
      </c>
      <c r="B18458" t="s">
        <v>35</v>
      </c>
      <c r="C18458">
        <v>68461</v>
      </c>
      <c r="D18458" t="str">
        <f>"68461"</f>
        <v>68461</v>
      </c>
      <c r="E18458">
        <v>78.05</v>
      </c>
    </row>
    <row r="18459" spans="1:5" x14ac:dyDescent="0.2">
      <c r="A18459">
        <v>68462</v>
      </c>
      <c r="B18459" t="s">
        <v>35</v>
      </c>
      <c r="C18459">
        <v>68462</v>
      </c>
      <c r="D18459" t="str">
        <f>"68462"</f>
        <v>68462</v>
      </c>
      <c r="E18459">
        <v>78.790000000000006</v>
      </c>
    </row>
    <row r="18460" spans="1:5" x14ac:dyDescent="0.2">
      <c r="A18460">
        <v>68463</v>
      </c>
      <c r="B18460" t="s">
        <v>35</v>
      </c>
      <c r="C18460">
        <v>68463</v>
      </c>
      <c r="D18460" t="str">
        <f>"68463"</f>
        <v>68463</v>
      </c>
      <c r="E18460">
        <v>77.63</v>
      </c>
    </row>
    <row r="18461" spans="1:5" x14ac:dyDescent="0.2">
      <c r="A18461">
        <v>68464</v>
      </c>
      <c r="B18461" t="s">
        <v>35</v>
      </c>
      <c r="C18461">
        <v>68464</v>
      </c>
      <c r="D18461" t="str">
        <f>"68464"</f>
        <v>68464</v>
      </c>
      <c r="E18461">
        <v>65.22</v>
      </c>
    </row>
    <row r="18462" spans="1:5" x14ac:dyDescent="0.2">
      <c r="A18462">
        <v>68465</v>
      </c>
      <c r="B18462" t="s">
        <v>35</v>
      </c>
      <c r="C18462">
        <v>68465</v>
      </c>
      <c r="D18462" t="str">
        <f>"68465"</f>
        <v>68465</v>
      </c>
      <c r="E18462">
        <v>77.06</v>
      </c>
    </row>
    <row r="18463" spans="1:5" x14ac:dyDescent="0.2">
      <c r="A18463">
        <v>68466</v>
      </c>
      <c r="B18463" t="s">
        <v>35</v>
      </c>
      <c r="C18463">
        <v>68466</v>
      </c>
      <c r="D18463" t="str">
        <f>"68466"</f>
        <v>68466</v>
      </c>
      <c r="E18463">
        <v>65.819999999999993</v>
      </c>
    </row>
    <row r="18464" spans="1:5" x14ac:dyDescent="0.2">
      <c r="A18464">
        <v>68467</v>
      </c>
      <c r="B18464" t="s">
        <v>35</v>
      </c>
      <c r="C18464">
        <v>68467</v>
      </c>
      <c r="D18464" t="str">
        <f>"68467"</f>
        <v>68467</v>
      </c>
      <c r="E18464">
        <v>73.52</v>
      </c>
    </row>
    <row r="18465" spans="1:5" x14ac:dyDescent="0.2">
      <c r="A18465">
        <v>68502</v>
      </c>
      <c r="B18465" t="s">
        <v>35</v>
      </c>
      <c r="C18465">
        <v>68502</v>
      </c>
      <c r="D18465" t="str">
        <f>"68502"</f>
        <v>68502</v>
      </c>
      <c r="E18465">
        <v>74.27</v>
      </c>
    </row>
    <row r="18466" spans="1:5" x14ac:dyDescent="0.2">
      <c r="A18466">
        <v>68503</v>
      </c>
      <c r="B18466" t="s">
        <v>35</v>
      </c>
      <c r="C18466">
        <v>68503</v>
      </c>
      <c r="D18466" t="str">
        <f>"68503"</f>
        <v>68503</v>
      </c>
      <c r="E18466">
        <v>62.52</v>
      </c>
    </row>
    <row r="18467" spans="1:5" x14ac:dyDescent="0.2">
      <c r="A18467">
        <v>68504</v>
      </c>
      <c r="B18467" t="s">
        <v>35</v>
      </c>
      <c r="C18467">
        <v>68504</v>
      </c>
      <c r="D18467" t="str">
        <f>"68504"</f>
        <v>68504</v>
      </c>
      <c r="E18467">
        <v>71.540000000000006</v>
      </c>
    </row>
    <row r="18468" spans="1:5" x14ac:dyDescent="0.2">
      <c r="A18468">
        <v>68505</v>
      </c>
      <c r="B18468" t="s">
        <v>35</v>
      </c>
      <c r="C18468">
        <v>68505</v>
      </c>
      <c r="D18468" t="str">
        <f>"68505"</f>
        <v>68505</v>
      </c>
      <c r="E18468">
        <v>78.349999999999994</v>
      </c>
    </row>
    <row r="18469" spans="1:5" x14ac:dyDescent="0.2">
      <c r="A18469">
        <v>68506</v>
      </c>
      <c r="B18469" t="s">
        <v>35</v>
      </c>
      <c r="C18469">
        <v>68506</v>
      </c>
      <c r="D18469" t="str">
        <f>"68506"</f>
        <v>68506</v>
      </c>
      <c r="E18469">
        <v>77.91</v>
      </c>
    </row>
    <row r="18470" spans="1:5" x14ac:dyDescent="0.2">
      <c r="A18470">
        <v>68507</v>
      </c>
      <c r="B18470" t="s">
        <v>35</v>
      </c>
      <c r="C18470">
        <v>68507</v>
      </c>
      <c r="D18470" t="str">
        <f>"68507"</f>
        <v>68507</v>
      </c>
      <c r="E18470">
        <v>77.319999999999993</v>
      </c>
    </row>
    <row r="18471" spans="1:5" x14ac:dyDescent="0.2">
      <c r="A18471">
        <v>68508</v>
      </c>
      <c r="B18471" t="s">
        <v>35</v>
      </c>
      <c r="C18471">
        <v>68508</v>
      </c>
      <c r="D18471" t="str">
        <f>"68508"</f>
        <v>68508</v>
      </c>
      <c r="E18471">
        <v>67.010000000000005</v>
      </c>
    </row>
    <row r="18472" spans="1:5" x14ac:dyDescent="0.2">
      <c r="A18472">
        <v>68510</v>
      </c>
      <c r="B18472" t="s">
        <v>35</v>
      </c>
      <c r="C18472">
        <v>68510</v>
      </c>
      <c r="D18472" t="str">
        <f>"68510"</f>
        <v>68510</v>
      </c>
      <c r="E18472">
        <v>74.53</v>
      </c>
    </row>
    <row r="18473" spans="1:5" x14ac:dyDescent="0.2">
      <c r="A18473">
        <v>68512</v>
      </c>
      <c r="B18473" t="s">
        <v>35</v>
      </c>
      <c r="C18473">
        <v>68512</v>
      </c>
      <c r="D18473" t="str">
        <f>"68512"</f>
        <v>68512</v>
      </c>
      <c r="E18473">
        <v>80.760000000000005</v>
      </c>
    </row>
    <row r="18474" spans="1:5" x14ac:dyDescent="0.2">
      <c r="A18474">
        <v>68514</v>
      </c>
      <c r="B18474" t="s">
        <v>35</v>
      </c>
      <c r="C18474">
        <v>68514</v>
      </c>
      <c r="D18474" t="str">
        <f>"68514"</f>
        <v>68514</v>
      </c>
      <c r="E18474">
        <v>69.23</v>
      </c>
    </row>
    <row r="18475" spans="1:5" x14ac:dyDescent="0.2">
      <c r="A18475">
        <v>68516</v>
      </c>
      <c r="B18475" t="s">
        <v>35</v>
      </c>
      <c r="C18475">
        <v>68516</v>
      </c>
      <c r="D18475" t="str">
        <f>"68516"</f>
        <v>68516</v>
      </c>
      <c r="E18475">
        <v>81.52</v>
      </c>
    </row>
    <row r="18476" spans="1:5" x14ac:dyDescent="0.2">
      <c r="A18476">
        <v>68517</v>
      </c>
      <c r="B18476" t="s">
        <v>35</v>
      </c>
      <c r="C18476">
        <v>68517</v>
      </c>
      <c r="D18476" t="str">
        <f>"68517"</f>
        <v>68517</v>
      </c>
      <c r="E18476">
        <v>80.77</v>
      </c>
    </row>
    <row r="18477" spans="1:5" x14ac:dyDescent="0.2">
      <c r="A18477">
        <v>68520</v>
      </c>
      <c r="B18477" t="s">
        <v>35</v>
      </c>
      <c r="C18477">
        <v>68520</v>
      </c>
      <c r="D18477" t="str">
        <f>"68520"</f>
        <v>68520</v>
      </c>
      <c r="E18477">
        <v>80.72</v>
      </c>
    </row>
    <row r="18478" spans="1:5" x14ac:dyDescent="0.2">
      <c r="A18478">
        <v>68521</v>
      </c>
      <c r="B18478" t="s">
        <v>35</v>
      </c>
      <c r="C18478">
        <v>68521</v>
      </c>
      <c r="D18478" t="str">
        <f>"68521"</f>
        <v>68521</v>
      </c>
      <c r="E18478">
        <v>72.959999999999994</v>
      </c>
    </row>
    <row r="18479" spans="1:5" x14ac:dyDescent="0.2">
      <c r="A18479">
        <v>68522</v>
      </c>
      <c r="B18479" t="s">
        <v>35</v>
      </c>
      <c r="C18479">
        <v>68522</v>
      </c>
      <c r="D18479" t="str">
        <f>"68522"</f>
        <v>68522</v>
      </c>
      <c r="E18479">
        <v>75.790000000000006</v>
      </c>
    </row>
    <row r="18480" spans="1:5" x14ac:dyDescent="0.2">
      <c r="A18480">
        <v>68523</v>
      </c>
      <c r="B18480" t="s">
        <v>35</v>
      </c>
      <c r="C18480">
        <v>68523</v>
      </c>
      <c r="D18480" t="str">
        <f>"68523"</f>
        <v>68523</v>
      </c>
      <c r="E18480">
        <v>80.260000000000005</v>
      </c>
    </row>
    <row r="18481" spans="1:5" x14ac:dyDescent="0.2">
      <c r="A18481">
        <v>68524</v>
      </c>
      <c r="B18481" t="s">
        <v>35</v>
      </c>
      <c r="C18481">
        <v>68524</v>
      </c>
      <c r="D18481" t="str">
        <f>"68524"</f>
        <v>68524</v>
      </c>
      <c r="E18481">
        <v>70.88</v>
      </c>
    </row>
    <row r="18482" spans="1:5" x14ac:dyDescent="0.2">
      <c r="A18482">
        <v>68526</v>
      </c>
      <c r="B18482" t="s">
        <v>35</v>
      </c>
      <c r="C18482">
        <v>68526</v>
      </c>
      <c r="D18482" t="str">
        <f>"68526"</f>
        <v>68526</v>
      </c>
      <c r="E18482">
        <v>82.2</v>
      </c>
    </row>
    <row r="18483" spans="1:5" x14ac:dyDescent="0.2">
      <c r="A18483">
        <v>68527</v>
      </c>
      <c r="B18483" t="s">
        <v>35</v>
      </c>
      <c r="C18483">
        <v>68527</v>
      </c>
      <c r="D18483" t="str">
        <f>"68527"</f>
        <v>68527</v>
      </c>
      <c r="E18483">
        <v>84.51</v>
      </c>
    </row>
    <row r="18484" spans="1:5" x14ac:dyDescent="0.2">
      <c r="A18484">
        <v>68528</v>
      </c>
      <c r="B18484" t="s">
        <v>35</v>
      </c>
      <c r="C18484">
        <v>68528</v>
      </c>
      <c r="D18484" t="str">
        <f>"68528"</f>
        <v>68528</v>
      </c>
      <c r="E18484">
        <v>74.760000000000005</v>
      </c>
    </row>
    <row r="18485" spans="1:5" x14ac:dyDescent="0.2">
      <c r="A18485">
        <v>68531</v>
      </c>
      <c r="B18485" t="s">
        <v>35</v>
      </c>
      <c r="C18485">
        <v>68531</v>
      </c>
      <c r="D18485" t="str">
        <f>"68531"</f>
        <v>68531</v>
      </c>
      <c r="E18485" t="s">
        <v>6</v>
      </c>
    </row>
    <row r="18486" spans="1:5" x14ac:dyDescent="0.2">
      <c r="A18486">
        <v>68532</v>
      </c>
      <c r="B18486" t="s">
        <v>35</v>
      </c>
      <c r="C18486">
        <v>68532</v>
      </c>
      <c r="D18486" t="str">
        <f>"68532"</f>
        <v>68532</v>
      </c>
      <c r="E18486">
        <v>81.819999999999993</v>
      </c>
    </row>
    <row r="18487" spans="1:5" x14ac:dyDescent="0.2">
      <c r="A18487">
        <v>68588</v>
      </c>
      <c r="B18487" t="s">
        <v>35</v>
      </c>
      <c r="C18487">
        <v>68588</v>
      </c>
      <c r="D18487" t="str">
        <f>"68588"</f>
        <v>68588</v>
      </c>
      <c r="E18487" t="s">
        <v>6</v>
      </c>
    </row>
    <row r="18488" spans="1:5" x14ac:dyDescent="0.2">
      <c r="A18488">
        <v>68601</v>
      </c>
      <c r="B18488" t="s">
        <v>35</v>
      </c>
      <c r="C18488">
        <v>68601</v>
      </c>
      <c r="D18488" t="str">
        <f>"68601"</f>
        <v>68601</v>
      </c>
      <c r="E18488">
        <v>74.56</v>
      </c>
    </row>
    <row r="18489" spans="1:5" x14ac:dyDescent="0.2">
      <c r="A18489">
        <v>68620</v>
      </c>
      <c r="B18489" t="s">
        <v>35</v>
      </c>
      <c r="C18489">
        <v>68620</v>
      </c>
      <c r="D18489" t="str">
        <f>"68620"</f>
        <v>68620</v>
      </c>
      <c r="E18489">
        <v>75.56</v>
      </c>
    </row>
    <row r="18490" spans="1:5" x14ac:dyDescent="0.2">
      <c r="A18490">
        <v>68621</v>
      </c>
      <c r="B18490" t="s">
        <v>35</v>
      </c>
      <c r="C18490">
        <v>68621</v>
      </c>
      <c r="D18490" t="str">
        <f>"68621"</f>
        <v>68621</v>
      </c>
      <c r="E18490">
        <v>72.73</v>
      </c>
    </row>
    <row r="18491" spans="1:5" x14ac:dyDescent="0.2">
      <c r="A18491">
        <v>68622</v>
      </c>
      <c r="B18491" t="s">
        <v>35</v>
      </c>
      <c r="C18491">
        <v>68622</v>
      </c>
      <c r="D18491" t="str">
        <f>"68622"</f>
        <v>68622</v>
      </c>
      <c r="E18491">
        <v>71.430000000000007</v>
      </c>
    </row>
    <row r="18492" spans="1:5" x14ac:dyDescent="0.2">
      <c r="A18492">
        <v>68623</v>
      </c>
      <c r="B18492" t="s">
        <v>35</v>
      </c>
      <c r="C18492">
        <v>68623</v>
      </c>
      <c r="D18492" t="str">
        <f>"68623"</f>
        <v>68623</v>
      </c>
      <c r="E18492">
        <v>66.67</v>
      </c>
    </row>
    <row r="18493" spans="1:5" x14ac:dyDescent="0.2">
      <c r="A18493">
        <v>68624</v>
      </c>
      <c r="B18493" t="s">
        <v>35</v>
      </c>
      <c r="C18493">
        <v>68624</v>
      </c>
      <c r="D18493" t="str">
        <f>"68624"</f>
        <v>68624</v>
      </c>
      <c r="E18493">
        <v>76.599999999999994</v>
      </c>
    </row>
    <row r="18494" spans="1:5" x14ac:dyDescent="0.2">
      <c r="A18494">
        <v>68626</v>
      </c>
      <c r="B18494" t="s">
        <v>35</v>
      </c>
      <c r="C18494">
        <v>68626</v>
      </c>
      <c r="D18494" t="str">
        <f>"68626"</f>
        <v>68626</v>
      </c>
      <c r="E18494">
        <v>71.88</v>
      </c>
    </row>
    <row r="18495" spans="1:5" x14ac:dyDescent="0.2">
      <c r="A18495">
        <v>68627</v>
      </c>
      <c r="B18495" t="s">
        <v>35</v>
      </c>
      <c r="C18495">
        <v>68627</v>
      </c>
      <c r="D18495" t="str">
        <f>"68627"</f>
        <v>68627</v>
      </c>
      <c r="E18495">
        <v>72.41</v>
      </c>
    </row>
    <row r="18496" spans="1:5" x14ac:dyDescent="0.2">
      <c r="A18496">
        <v>68628</v>
      </c>
      <c r="B18496" t="s">
        <v>35</v>
      </c>
      <c r="C18496">
        <v>68628</v>
      </c>
      <c r="D18496" t="str">
        <f>"68628"</f>
        <v>68628</v>
      </c>
      <c r="E18496">
        <v>70</v>
      </c>
    </row>
    <row r="18497" spans="1:5" x14ac:dyDescent="0.2">
      <c r="A18497">
        <v>68629</v>
      </c>
      <c r="B18497" t="s">
        <v>35</v>
      </c>
      <c r="C18497">
        <v>68629</v>
      </c>
      <c r="D18497" t="str">
        <f>"68629"</f>
        <v>68629</v>
      </c>
      <c r="E18497">
        <v>74.14</v>
      </c>
    </row>
    <row r="18498" spans="1:5" x14ac:dyDescent="0.2">
      <c r="A18498">
        <v>68631</v>
      </c>
      <c r="B18498" t="s">
        <v>35</v>
      </c>
      <c r="C18498">
        <v>68631</v>
      </c>
      <c r="D18498" t="str">
        <f>"68631"</f>
        <v>68631</v>
      </c>
      <c r="E18498">
        <v>68.42</v>
      </c>
    </row>
    <row r="18499" spans="1:5" x14ac:dyDescent="0.2">
      <c r="A18499">
        <v>68632</v>
      </c>
      <c r="B18499" t="s">
        <v>35</v>
      </c>
      <c r="C18499">
        <v>68632</v>
      </c>
      <c r="D18499" t="str">
        <f>"68632"</f>
        <v>68632</v>
      </c>
      <c r="E18499">
        <v>72.47</v>
      </c>
    </row>
    <row r="18500" spans="1:5" x14ac:dyDescent="0.2">
      <c r="A18500">
        <v>68633</v>
      </c>
      <c r="B18500" t="s">
        <v>35</v>
      </c>
      <c r="C18500">
        <v>68633</v>
      </c>
      <c r="D18500" t="str">
        <f>"68633"</f>
        <v>68633</v>
      </c>
      <c r="E18500">
        <v>73.58</v>
      </c>
    </row>
    <row r="18501" spans="1:5" x14ac:dyDescent="0.2">
      <c r="A18501">
        <v>68634</v>
      </c>
      <c r="B18501" t="s">
        <v>35</v>
      </c>
      <c r="C18501">
        <v>68634</v>
      </c>
      <c r="D18501" t="str">
        <f>"68634"</f>
        <v>68634</v>
      </c>
      <c r="E18501" t="s">
        <v>6</v>
      </c>
    </row>
    <row r="18502" spans="1:5" x14ac:dyDescent="0.2">
      <c r="A18502">
        <v>68635</v>
      </c>
      <c r="B18502" t="s">
        <v>35</v>
      </c>
      <c r="C18502">
        <v>68635</v>
      </c>
      <c r="D18502" t="str">
        <f>"68635"</f>
        <v>68635</v>
      </c>
      <c r="E18502">
        <v>70.83</v>
      </c>
    </row>
    <row r="18503" spans="1:5" x14ac:dyDescent="0.2">
      <c r="A18503">
        <v>68636</v>
      </c>
      <c r="B18503" t="s">
        <v>35</v>
      </c>
      <c r="C18503">
        <v>68636</v>
      </c>
      <c r="D18503" t="str">
        <f>"68636"</f>
        <v>68636</v>
      </c>
      <c r="E18503">
        <v>72.13</v>
      </c>
    </row>
    <row r="18504" spans="1:5" x14ac:dyDescent="0.2">
      <c r="A18504">
        <v>68637</v>
      </c>
      <c r="B18504" t="s">
        <v>35</v>
      </c>
      <c r="C18504">
        <v>68637</v>
      </c>
      <c r="D18504" t="str">
        <f>"68637"</f>
        <v>68637</v>
      </c>
      <c r="E18504">
        <v>61.54</v>
      </c>
    </row>
    <row r="18505" spans="1:5" x14ac:dyDescent="0.2">
      <c r="A18505">
        <v>68638</v>
      </c>
      <c r="B18505" t="s">
        <v>35</v>
      </c>
      <c r="C18505">
        <v>68638</v>
      </c>
      <c r="D18505" t="str">
        <f>"68638"</f>
        <v>68638</v>
      </c>
      <c r="E18505">
        <v>71.62</v>
      </c>
    </row>
    <row r="18506" spans="1:5" x14ac:dyDescent="0.2">
      <c r="A18506">
        <v>68640</v>
      </c>
      <c r="B18506" t="s">
        <v>35</v>
      </c>
      <c r="C18506">
        <v>68640</v>
      </c>
      <c r="D18506" t="str">
        <f>"68640"</f>
        <v>68640</v>
      </c>
      <c r="E18506">
        <v>75.709999999999994</v>
      </c>
    </row>
    <row r="18507" spans="1:5" x14ac:dyDescent="0.2">
      <c r="A18507">
        <v>68641</v>
      </c>
      <c r="B18507" t="s">
        <v>35</v>
      </c>
      <c r="C18507">
        <v>68641</v>
      </c>
      <c r="D18507" t="str">
        <f>"68641"</f>
        <v>68641</v>
      </c>
      <c r="E18507">
        <v>78.430000000000007</v>
      </c>
    </row>
    <row r="18508" spans="1:5" x14ac:dyDescent="0.2">
      <c r="A18508">
        <v>68642</v>
      </c>
      <c r="B18508" t="s">
        <v>35</v>
      </c>
      <c r="C18508">
        <v>68642</v>
      </c>
      <c r="D18508" t="str">
        <f>"68642"</f>
        <v>68642</v>
      </c>
      <c r="E18508">
        <v>78.31</v>
      </c>
    </row>
    <row r="18509" spans="1:5" x14ac:dyDescent="0.2">
      <c r="A18509">
        <v>68643</v>
      </c>
      <c r="B18509" t="s">
        <v>35</v>
      </c>
      <c r="C18509">
        <v>68643</v>
      </c>
      <c r="D18509" t="str">
        <f>"68643"</f>
        <v>68643</v>
      </c>
      <c r="E18509">
        <v>78.569999999999993</v>
      </c>
    </row>
    <row r="18510" spans="1:5" x14ac:dyDescent="0.2">
      <c r="A18510">
        <v>68644</v>
      </c>
      <c r="B18510" t="s">
        <v>35</v>
      </c>
      <c r="C18510">
        <v>68644</v>
      </c>
      <c r="D18510" t="str">
        <f>"68644"</f>
        <v>68644</v>
      </c>
      <c r="E18510">
        <v>75.680000000000007</v>
      </c>
    </row>
    <row r="18511" spans="1:5" x14ac:dyDescent="0.2">
      <c r="A18511">
        <v>68647</v>
      </c>
      <c r="B18511" t="s">
        <v>35</v>
      </c>
      <c r="C18511">
        <v>68647</v>
      </c>
      <c r="D18511" t="str">
        <f>"68647"</f>
        <v>68647</v>
      </c>
      <c r="E18511">
        <v>78.13</v>
      </c>
    </row>
    <row r="18512" spans="1:5" x14ac:dyDescent="0.2">
      <c r="A18512">
        <v>68648</v>
      </c>
      <c r="B18512" t="s">
        <v>35</v>
      </c>
      <c r="C18512">
        <v>68648</v>
      </c>
      <c r="D18512" t="str">
        <f>"68648"</f>
        <v>68648</v>
      </c>
      <c r="E18512">
        <v>76.19</v>
      </c>
    </row>
    <row r="18513" spans="1:5" x14ac:dyDescent="0.2">
      <c r="A18513">
        <v>68649</v>
      </c>
      <c r="B18513" t="s">
        <v>35</v>
      </c>
      <c r="C18513">
        <v>68649</v>
      </c>
      <c r="D18513" t="str">
        <f>"68649"</f>
        <v>68649</v>
      </c>
      <c r="E18513">
        <v>74.44</v>
      </c>
    </row>
    <row r="18514" spans="1:5" x14ac:dyDescent="0.2">
      <c r="A18514">
        <v>68651</v>
      </c>
      <c r="B18514" t="s">
        <v>35</v>
      </c>
      <c r="C18514">
        <v>68651</v>
      </c>
      <c r="D18514" t="str">
        <f>"68651"</f>
        <v>68651</v>
      </c>
      <c r="E18514">
        <v>73.02</v>
      </c>
    </row>
    <row r="18515" spans="1:5" x14ac:dyDescent="0.2">
      <c r="A18515">
        <v>68652</v>
      </c>
      <c r="B18515" t="s">
        <v>35</v>
      </c>
      <c r="C18515">
        <v>68652</v>
      </c>
      <c r="D18515" t="str">
        <f>"68652"</f>
        <v>68652</v>
      </c>
      <c r="E18515">
        <v>71.430000000000007</v>
      </c>
    </row>
    <row r="18516" spans="1:5" x14ac:dyDescent="0.2">
      <c r="A18516">
        <v>68653</v>
      </c>
      <c r="B18516" t="s">
        <v>35</v>
      </c>
      <c r="C18516">
        <v>68653</v>
      </c>
      <c r="D18516" t="str">
        <f>"68653"</f>
        <v>68653</v>
      </c>
      <c r="E18516">
        <v>75</v>
      </c>
    </row>
    <row r="18517" spans="1:5" x14ac:dyDescent="0.2">
      <c r="A18517">
        <v>68654</v>
      </c>
      <c r="B18517" t="s">
        <v>35</v>
      </c>
      <c r="C18517">
        <v>68654</v>
      </c>
      <c r="D18517" t="str">
        <f>"68654"</f>
        <v>68654</v>
      </c>
      <c r="E18517">
        <v>71.430000000000007</v>
      </c>
    </row>
    <row r="18518" spans="1:5" x14ac:dyDescent="0.2">
      <c r="A18518">
        <v>68655</v>
      </c>
      <c r="B18518" t="s">
        <v>35</v>
      </c>
      <c r="C18518">
        <v>68655</v>
      </c>
      <c r="D18518" t="str">
        <f>"68655"</f>
        <v>68655</v>
      </c>
      <c r="E18518" t="s">
        <v>6</v>
      </c>
    </row>
    <row r="18519" spans="1:5" x14ac:dyDescent="0.2">
      <c r="A18519">
        <v>68658</v>
      </c>
      <c r="B18519" t="s">
        <v>35</v>
      </c>
      <c r="C18519">
        <v>68658</v>
      </c>
      <c r="D18519" t="str">
        <f>"68658"</f>
        <v>68658</v>
      </c>
      <c r="E18519">
        <v>76.47</v>
      </c>
    </row>
    <row r="18520" spans="1:5" x14ac:dyDescent="0.2">
      <c r="A18520">
        <v>68659</v>
      </c>
      <c r="B18520" t="s">
        <v>35</v>
      </c>
      <c r="C18520">
        <v>68659</v>
      </c>
      <c r="D18520" t="str">
        <f>"68659"</f>
        <v>68659</v>
      </c>
      <c r="E18520" t="s">
        <v>6</v>
      </c>
    </row>
    <row r="18521" spans="1:5" x14ac:dyDescent="0.2">
      <c r="A18521">
        <v>68660</v>
      </c>
      <c r="B18521" t="s">
        <v>35</v>
      </c>
      <c r="C18521">
        <v>68660</v>
      </c>
      <c r="D18521" t="str">
        <f>"68660"</f>
        <v>68660</v>
      </c>
      <c r="E18521">
        <v>73.33</v>
      </c>
    </row>
    <row r="18522" spans="1:5" x14ac:dyDescent="0.2">
      <c r="A18522">
        <v>68661</v>
      </c>
      <c r="B18522" t="s">
        <v>35</v>
      </c>
      <c r="C18522">
        <v>68661</v>
      </c>
      <c r="D18522" t="str">
        <f>"68661"</f>
        <v>68661</v>
      </c>
      <c r="E18522">
        <v>69.86</v>
      </c>
    </row>
    <row r="18523" spans="1:5" x14ac:dyDescent="0.2">
      <c r="A18523">
        <v>68662</v>
      </c>
      <c r="B18523" t="s">
        <v>35</v>
      </c>
      <c r="C18523">
        <v>68662</v>
      </c>
      <c r="D18523" t="str">
        <f>"68662"</f>
        <v>68662</v>
      </c>
      <c r="E18523">
        <v>71.930000000000007</v>
      </c>
    </row>
    <row r="18524" spans="1:5" x14ac:dyDescent="0.2">
      <c r="A18524">
        <v>68663</v>
      </c>
      <c r="B18524" t="s">
        <v>35</v>
      </c>
      <c r="C18524">
        <v>68663</v>
      </c>
      <c r="D18524" t="str">
        <f>"68663"</f>
        <v>68663</v>
      </c>
      <c r="E18524">
        <v>69.7</v>
      </c>
    </row>
    <row r="18525" spans="1:5" x14ac:dyDescent="0.2">
      <c r="A18525">
        <v>68664</v>
      </c>
      <c r="B18525" t="s">
        <v>35</v>
      </c>
      <c r="C18525">
        <v>68664</v>
      </c>
      <c r="D18525" t="str">
        <f>"68664"</f>
        <v>68664</v>
      </c>
      <c r="E18525" t="s">
        <v>6</v>
      </c>
    </row>
    <row r="18526" spans="1:5" x14ac:dyDescent="0.2">
      <c r="A18526">
        <v>68665</v>
      </c>
      <c r="B18526" t="s">
        <v>35</v>
      </c>
      <c r="C18526">
        <v>68665</v>
      </c>
      <c r="D18526" t="str">
        <f>"68665"</f>
        <v>68665</v>
      </c>
      <c r="E18526">
        <v>70.27</v>
      </c>
    </row>
    <row r="18527" spans="1:5" x14ac:dyDescent="0.2">
      <c r="A18527">
        <v>68666</v>
      </c>
      <c r="B18527" t="s">
        <v>35</v>
      </c>
      <c r="C18527">
        <v>68666</v>
      </c>
      <c r="D18527" t="str">
        <f>"68666"</f>
        <v>68666</v>
      </c>
      <c r="E18527">
        <v>73.239999999999995</v>
      </c>
    </row>
    <row r="18528" spans="1:5" x14ac:dyDescent="0.2">
      <c r="A18528">
        <v>68667</v>
      </c>
      <c r="B18528" t="s">
        <v>35</v>
      </c>
      <c r="C18528">
        <v>68667</v>
      </c>
      <c r="D18528" t="str">
        <f>"68667"</f>
        <v>68667</v>
      </c>
      <c r="E18528" t="s">
        <v>6</v>
      </c>
    </row>
    <row r="18529" spans="1:5" x14ac:dyDescent="0.2">
      <c r="A18529">
        <v>68669</v>
      </c>
      <c r="B18529" t="s">
        <v>35</v>
      </c>
      <c r="C18529">
        <v>68669</v>
      </c>
      <c r="D18529" t="str">
        <f>"68669"</f>
        <v>68669</v>
      </c>
      <c r="E18529">
        <v>70</v>
      </c>
    </row>
    <row r="18530" spans="1:5" x14ac:dyDescent="0.2">
      <c r="A18530">
        <v>68701</v>
      </c>
      <c r="B18530" t="s">
        <v>35</v>
      </c>
      <c r="C18530">
        <v>68701</v>
      </c>
      <c r="D18530" t="str">
        <f>"68701"</f>
        <v>68701</v>
      </c>
      <c r="E18530">
        <v>73.69</v>
      </c>
    </row>
    <row r="18531" spans="1:5" x14ac:dyDescent="0.2">
      <c r="A18531">
        <v>68710</v>
      </c>
      <c r="B18531" t="s">
        <v>35</v>
      </c>
      <c r="C18531">
        <v>68710</v>
      </c>
      <c r="D18531" t="str">
        <f>"68710"</f>
        <v>68710</v>
      </c>
      <c r="E18531">
        <v>76.319999999999993</v>
      </c>
    </row>
    <row r="18532" spans="1:5" x14ac:dyDescent="0.2">
      <c r="A18532">
        <v>68711</v>
      </c>
      <c r="B18532" t="s">
        <v>35</v>
      </c>
      <c r="C18532">
        <v>68711</v>
      </c>
      <c r="D18532" t="str">
        <f>"68711"</f>
        <v>68711</v>
      </c>
      <c r="E18532" t="s">
        <v>6</v>
      </c>
    </row>
    <row r="18533" spans="1:5" x14ac:dyDescent="0.2">
      <c r="A18533">
        <v>68713</v>
      </c>
      <c r="B18533" t="s">
        <v>35</v>
      </c>
      <c r="C18533">
        <v>68713</v>
      </c>
      <c r="D18533" t="str">
        <f>"68713"</f>
        <v>68713</v>
      </c>
      <c r="E18533">
        <v>70.75</v>
      </c>
    </row>
    <row r="18534" spans="1:5" x14ac:dyDescent="0.2">
      <c r="A18534">
        <v>68714</v>
      </c>
      <c r="B18534" t="s">
        <v>35</v>
      </c>
      <c r="C18534">
        <v>68714</v>
      </c>
      <c r="D18534" t="str">
        <f>"68714"</f>
        <v>68714</v>
      </c>
      <c r="E18534">
        <v>74</v>
      </c>
    </row>
    <row r="18535" spans="1:5" x14ac:dyDescent="0.2">
      <c r="A18535">
        <v>68715</v>
      </c>
      <c r="B18535" t="s">
        <v>35</v>
      </c>
      <c r="C18535">
        <v>68715</v>
      </c>
      <c r="D18535" t="str">
        <f>"68715"</f>
        <v>68715</v>
      </c>
      <c r="E18535">
        <v>78.67</v>
      </c>
    </row>
    <row r="18536" spans="1:5" x14ac:dyDescent="0.2">
      <c r="A18536">
        <v>68716</v>
      </c>
      <c r="B18536" t="s">
        <v>35</v>
      </c>
      <c r="C18536">
        <v>68716</v>
      </c>
      <c r="D18536" t="str">
        <f>"68716"</f>
        <v>68716</v>
      </c>
      <c r="E18536">
        <v>71.430000000000007</v>
      </c>
    </row>
    <row r="18537" spans="1:5" x14ac:dyDescent="0.2">
      <c r="A18537">
        <v>68717</v>
      </c>
      <c r="B18537" t="s">
        <v>35</v>
      </c>
      <c r="C18537">
        <v>68717</v>
      </c>
      <c r="D18537" t="str">
        <f>"68717"</f>
        <v>68717</v>
      </c>
      <c r="E18537" t="s">
        <v>6</v>
      </c>
    </row>
    <row r="18538" spans="1:5" x14ac:dyDescent="0.2">
      <c r="A18538">
        <v>68718</v>
      </c>
      <c r="B18538" t="s">
        <v>35</v>
      </c>
      <c r="C18538">
        <v>68718</v>
      </c>
      <c r="D18538" t="str">
        <f>"68718"</f>
        <v>68718</v>
      </c>
      <c r="E18538">
        <v>70.27</v>
      </c>
    </row>
    <row r="18539" spans="1:5" x14ac:dyDescent="0.2">
      <c r="A18539">
        <v>68719</v>
      </c>
      <c r="B18539" t="s">
        <v>35</v>
      </c>
      <c r="C18539">
        <v>68719</v>
      </c>
      <c r="D18539" t="str">
        <f>"68719"</f>
        <v>68719</v>
      </c>
      <c r="E18539" t="s">
        <v>6</v>
      </c>
    </row>
    <row r="18540" spans="1:5" x14ac:dyDescent="0.2">
      <c r="A18540">
        <v>68720</v>
      </c>
      <c r="B18540" t="s">
        <v>35</v>
      </c>
      <c r="C18540">
        <v>68720</v>
      </c>
      <c r="D18540" t="str">
        <f>"68720"</f>
        <v>68720</v>
      </c>
      <c r="E18540">
        <v>60</v>
      </c>
    </row>
    <row r="18541" spans="1:5" x14ac:dyDescent="0.2">
      <c r="A18541">
        <v>68722</v>
      </c>
      <c r="B18541" t="s">
        <v>35</v>
      </c>
      <c r="C18541">
        <v>68722</v>
      </c>
      <c r="D18541" t="str">
        <f>"68722"</f>
        <v>68722</v>
      </c>
      <c r="E18541">
        <v>57.14</v>
      </c>
    </row>
    <row r="18542" spans="1:5" x14ac:dyDescent="0.2">
      <c r="A18542">
        <v>68723</v>
      </c>
      <c r="B18542" t="s">
        <v>35</v>
      </c>
      <c r="C18542">
        <v>68723</v>
      </c>
      <c r="D18542" t="str">
        <f>"68723"</f>
        <v>68723</v>
      </c>
      <c r="E18542">
        <v>76.92</v>
      </c>
    </row>
    <row r="18543" spans="1:5" x14ac:dyDescent="0.2">
      <c r="A18543">
        <v>68724</v>
      </c>
      <c r="B18543" t="s">
        <v>35</v>
      </c>
      <c r="C18543">
        <v>68724</v>
      </c>
      <c r="D18543" t="str">
        <f>"68724"</f>
        <v>68724</v>
      </c>
      <c r="E18543" t="s">
        <v>6</v>
      </c>
    </row>
    <row r="18544" spans="1:5" x14ac:dyDescent="0.2">
      <c r="A18544">
        <v>68725</v>
      </c>
      <c r="B18544" t="s">
        <v>35</v>
      </c>
      <c r="C18544">
        <v>68725</v>
      </c>
      <c r="D18544" t="str">
        <f>"68725"</f>
        <v>68725</v>
      </c>
      <c r="E18544">
        <v>65.22</v>
      </c>
    </row>
    <row r="18545" spans="1:5" x14ac:dyDescent="0.2">
      <c r="A18545">
        <v>68726</v>
      </c>
      <c r="B18545" t="s">
        <v>35</v>
      </c>
      <c r="C18545">
        <v>68726</v>
      </c>
      <c r="D18545" t="str">
        <f>"68726"</f>
        <v>68726</v>
      </c>
      <c r="E18545">
        <v>70</v>
      </c>
    </row>
    <row r="18546" spans="1:5" x14ac:dyDescent="0.2">
      <c r="A18546">
        <v>68727</v>
      </c>
      <c r="B18546" t="s">
        <v>35</v>
      </c>
      <c r="C18546">
        <v>68727</v>
      </c>
      <c r="D18546" t="str">
        <f>"68727"</f>
        <v>68727</v>
      </c>
      <c r="E18546">
        <v>67.650000000000006</v>
      </c>
    </row>
    <row r="18547" spans="1:5" x14ac:dyDescent="0.2">
      <c r="A18547">
        <v>68728</v>
      </c>
      <c r="B18547" t="s">
        <v>35</v>
      </c>
      <c r="C18547">
        <v>68728</v>
      </c>
      <c r="D18547" t="str">
        <f>"68728"</f>
        <v>68728</v>
      </c>
      <c r="E18547">
        <v>63.64</v>
      </c>
    </row>
    <row r="18548" spans="1:5" x14ac:dyDescent="0.2">
      <c r="A18548">
        <v>68729</v>
      </c>
      <c r="B18548" t="s">
        <v>35</v>
      </c>
      <c r="C18548">
        <v>68729</v>
      </c>
      <c r="D18548" t="str">
        <f>"68729"</f>
        <v>68729</v>
      </c>
      <c r="E18548">
        <v>69.23</v>
      </c>
    </row>
    <row r="18549" spans="1:5" x14ac:dyDescent="0.2">
      <c r="A18549">
        <v>68730</v>
      </c>
      <c r="B18549" t="s">
        <v>35</v>
      </c>
      <c r="C18549">
        <v>68730</v>
      </c>
      <c r="D18549" t="str">
        <f>"68730"</f>
        <v>68730</v>
      </c>
      <c r="E18549">
        <v>70.45</v>
      </c>
    </row>
    <row r="18550" spans="1:5" x14ac:dyDescent="0.2">
      <c r="A18550">
        <v>68731</v>
      </c>
      <c r="B18550" t="s">
        <v>35</v>
      </c>
      <c r="C18550">
        <v>68731</v>
      </c>
      <c r="D18550" t="str">
        <f>"68731"</f>
        <v>68731</v>
      </c>
      <c r="E18550">
        <v>77.239999999999995</v>
      </c>
    </row>
    <row r="18551" spans="1:5" x14ac:dyDescent="0.2">
      <c r="A18551">
        <v>68732</v>
      </c>
      <c r="B18551" t="s">
        <v>35</v>
      </c>
      <c r="C18551">
        <v>68732</v>
      </c>
      <c r="D18551" t="str">
        <f>"68732"</f>
        <v>68732</v>
      </c>
      <c r="E18551">
        <v>66.67</v>
      </c>
    </row>
    <row r="18552" spans="1:5" x14ac:dyDescent="0.2">
      <c r="A18552">
        <v>68733</v>
      </c>
      <c r="B18552" t="s">
        <v>35</v>
      </c>
      <c r="C18552">
        <v>68733</v>
      </c>
      <c r="D18552" t="str">
        <f>"68733"</f>
        <v>68733</v>
      </c>
      <c r="E18552">
        <v>73.209999999999994</v>
      </c>
    </row>
    <row r="18553" spans="1:5" x14ac:dyDescent="0.2">
      <c r="A18553">
        <v>68734</v>
      </c>
      <c r="B18553" t="s">
        <v>35</v>
      </c>
      <c r="C18553">
        <v>68734</v>
      </c>
      <c r="D18553" t="str">
        <f>"68734"</f>
        <v>68734</v>
      </c>
      <c r="E18553" t="s">
        <v>6</v>
      </c>
    </row>
    <row r="18554" spans="1:5" x14ac:dyDescent="0.2">
      <c r="A18554">
        <v>68735</v>
      </c>
      <c r="B18554" t="s">
        <v>35</v>
      </c>
      <c r="C18554">
        <v>68735</v>
      </c>
      <c r="D18554" t="str">
        <f>"68735"</f>
        <v>68735</v>
      </c>
      <c r="E18554">
        <v>62.79</v>
      </c>
    </row>
    <row r="18555" spans="1:5" x14ac:dyDescent="0.2">
      <c r="A18555">
        <v>68736</v>
      </c>
      <c r="B18555" t="s">
        <v>35</v>
      </c>
      <c r="C18555">
        <v>68736</v>
      </c>
      <c r="D18555" t="str">
        <f>"68736"</f>
        <v>68736</v>
      </c>
      <c r="E18555">
        <v>70.37</v>
      </c>
    </row>
    <row r="18556" spans="1:5" x14ac:dyDescent="0.2">
      <c r="A18556">
        <v>68739</v>
      </c>
      <c r="B18556" t="s">
        <v>35</v>
      </c>
      <c r="C18556">
        <v>68739</v>
      </c>
      <c r="D18556" t="str">
        <f>"68739"</f>
        <v>68739</v>
      </c>
      <c r="E18556">
        <v>74.22</v>
      </c>
    </row>
    <row r="18557" spans="1:5" x14ac:dyDescent="0.2">
      <c r="A18557">
        <v>68740</v>
      </c>
      <c r="B18557" t="s">
        <v>35</v>
      </c>
      <c r="C18557">
        <v>68740</v>
      </c>
      <c r="D18557" t="str">
        <f>"68740"</f>
        <v>68740</v>
      </c>
      <c r="E18557">
        <v>75.680000000000007</v>
      </c>
    </row>
    <row r="18558" spans="1:5" x14ac:dyDescent="0.2">
      <c r="A18558">
        <v>68741</v>
      </c>
      <c r="B18558" t="s">
        <v>35</v>
      </c>
      <c r="C18558">
        <v>68741</v>
      </c>
      <c r="D18558" t="str">
        <f>"68741"</f>
        <v>68741</v>
      </c>
      <c r="E18558">
        <v>80.650000000000006</v>
      </c>
    </row>
    <row r="18559" spans="1:5" x14ac:dyDescent="0.2">
      <c r="A18559">
        <v>68742</v>
      </c>
      <c r="B18559" t="s">
        <v>35</v>
      </c>
      <c r="C18559">
        <v>68742</v>
      </c>
      <c r="D18559" t="str">
        <f>"68742"</f>
        <v>68742</v>
      </c>
      <c r="E18559">
        <v>54.55</v>
      </c>
    </row>
    <row r="18560" spans="1:5" x14ac:dyDescent="0.2">
      <c r="A18560">
        <v>68743</v>
      </c>
      <c r="B18560" t="s">
        <v>35</v>
      </c>
      <c r="C18560">
        <v>68743</v>
      </c>
      <c r="D18560" t="str">
        <f>"68743"</f>
        <v>68743</v>
      </c>
      <c r="E18560">
        <v>77.42</v>
      </c>
    </row>
    <row r="18561" spans="1:5" x14ac:dyDescent="0.2">
      <c r="A18561">
        <v>68745</v>
      </c>
      <c r="B18561" t="s">
        <v>35</v>
      </c>
      <c r="C18561">
        <v>68745</v>
      </c>
      <c r="D18561" t="str">
        <f>"68745"</f>
        <v>68745</v>
      </c>
      <c r="E18561">
        <v>69.569999999999993</v>
      </c>
    </row>
    <row r="18562" spans="1:5" x14ac:dyDescent="0.2">
      <c r="A18562">
        <v>68746</v>
      </c>
      <c r="B18562" t="s">
        <v>35</v>
      </c>
      <c r="C18562">
        <v>68746</v>
      </c>
      <c r="D18562" t="str">
        <f>"68746"</f>
        <v>68746</v>
      </c>
      <c r="E18562">
        <v>58.82</v>
      </c>
    </row>
    <row r="18563" spans="1:5" x14ac:dyDescent="0.2">
      <c r="A18563">
        <v>68747</v>
      </c>
      <c r="B18563" t="s">
        <v>35</v>
      </c>
      <c r="C18563">
        <v>68747</v>
      </c>
      <c r="D18563" t="str">
        <f>"68747"</f>
        <v>68747</v>
      </c>
      <c r="E18563" t="s">
        <v>6</v>
      </c>
    </row>
    <row r="18564" spans="1:5" x14ac:dyDescent="0.2">
      <c r="A18564">
        <v>68748</v>
      </c>
      <c r="B18564" t="s">
        <v>35</v>
      </c>
      <c r="C18564">
        <v>68748</v>
      </c>
      <c r="D18564" t="str">
        <f>"68748"</f>
        <v>68748</v>
      </c>
      <c r="E18564">
        <v>71.33</v>
      </c>
    </row>
    <row r="18565" spans="1:5" x14ac:dyDescent="0.2">
      <c r="A18565">
        <v>68749</v>
      </c>
      <c r="B18565" t="s">
        <v>35</v>
      </c>
      <c r="C18565">
        <v>68749</v>
      </c>
      <c r="D18565" t="str">
        <f>"68749"</f>
        <v>68749</v>
      </c>
      <c r="E18565" t="s">
        <v>6</v>
      </c>
    </row>
    <row r="18566" spans="1:5" x14ac:dyDescent="0.2">
      <c r="A18566">
        <v>68751</v>
      </c>
      <c r="B18566" t="s">
        <v>35</v>
      </c>
      <c r="C18566">
        <v>68751</v>
      </c>
      <c r="D18566" t="str">
        <f>"68751"</f>
        <v>68751</v>
      </c>
      <c r="E18566" t="s">
        <v>6</v>
      </c>
    </row>
    <row r="18567" spans="1:5" x14ac:dyDescent="0.2">
      <c r="A18567">
        <v>68752</v>
      </c>
      <c r="B18567" t="s">
        <v>35</v>
      </c>
      <c r="C18567">
        <v>68752</v>
      </c>
      <c r="D18567" t="str">
        <f>"68752"</f>
        <v>68752</v>
      </c>
      <c r="E18567">
        <v>65.63</v>
      </c>
    </row>
    <row r="18568" spans="1:5" x14ac:dyDescent="0.2">
      <c r="A18568">
        <v>68753</v>
      </c>
      <c r="B18568" t="s">
        <v>35</v>
      </c>
      <c r="C18568">
        <v>68753</v>
      </c>
      <c r="D18568" t="str">
        <f>"68753"</f>
        <v>68753</v>
      </c>
      <c r="E18568" t="s">
        <v>6</v>
      </c>
    </row>
    <row r="18569" spans="1:5" x14ac:dyDescent="0.2">
      <c r="A18569">
        <v>68755</v>
      </c>
      <c r="B18569" t="s">
        <v>35</v>
      </c>
      <c r="C18569">
        <v>68755</v>
      </c>
      <c r="D18569" t="str">
        <f>"68755"</f>
        <v>68755</v>
      </c>
      <c r="E18569">
        <v>60</v>
      </c>
    </row>
    <row r="18570" spans="1:5" x14ac:dyDescent="0.2">
      <c r="A18570">
        <v>68756</v>
      </c>
      <c r="B18570" t="s">
        <v>35</v>
      </c>
      <c r="C18570">
        <v>68756</v>
      </c>
      <c r="D18570" t="str">
        <f>"68756"</f>
        <v>68756</v>
      </c>
      <c r="E18570">
        <v>68.180000000000007</v>
      </c>
    </row>
    <row r="18571" spans="1:5" x14ac:dyDescent="0.2">
      <c r="A18571">
        <v>68757</v>
      </c>
      <c r="B18571" t="s">
        <v>35</v>
      </c>
      <c r="C18571">
        <v>68757</v>
      </c>
      <c r="D18571" t="str">
        <f>"68757"</f>
        <v>68757</v>
      </c>
      <c r="E18571">
        <v>72.41</v>
      </c>
    </row>
    <row r="18572" spans="1:5" x14ac:dyDescent="0.2">
      <c r="A18572">
        <v>68758</v>
      </c>
      <c r="B18572" t="s">
        <v>35</v>
      </c>
      <c r="C18572">
        <v>68758</v>
      </c>
      <c r="D18572" t="str">
        <f>"68758"</f>
        <v>68758</v>
      </c>
      <c r="E18572">
        <v>73.47</v>
      </c>
    </row>
    <row r="18573" spans="1:5" x14ac:dyDescent="0.2">
      <c r="A18573">
        <v>68759</v>
      </c>
      <c r="B18573" t="s">
        <v>35</v>
      </c>
      <c r="C18573">
        <v>68759</v>
      </c>
      <c r="D18573" t="str">
        <f>"68759"</f>
        <v>68759</v>
      </c>
      <c r="E18573">
        <v>60</v>
      </c>
    </row>
    <row r="18574" spans="1:5" x14ac:dyDescent="0.2">
      <c r="A18574">
        <v>68760</v>
      </c>
      <c r="B18574" t="s">
        <v>35</v>
      </c>
      <c r="C18574">
        <v>68760</v>
      </c>
      <c r="D18574" t="str">
        <f>"68760"</f>
        <v>68760</v>
      </c>
      <c r="E18574">
        <v>54.72</v>
      </c>
    </row>
    <row r="18575" spans="1:5" x14ac:dyDescent="0.2">
      <c r="A18575">
        <v>68761</v>
      </c>
      <c r="B18575" t="s">
        <v>35</v>
      </c>
      <c r="C18575">
        <v>68761</v>
      </c>
      <c r="D18575" t="str">
        <f>"68761"</f>
        <v>68761</v>
      </c>
      <c r="E18575">
        <v>63.16</v>
      </c>
    </row>
    <row r="18576" spans="1:5" x14ac:dyDescent="0.2">
      <c r="A18576">
        <v>68763</v>
      </c>
      <c r="B18576" t="s">
        <v>35</v>
      </c>
      <c r="C18576">
        <v>68763</v>
      </c>
      <c r="D18576" t="str">
        <f>"68763"</f>
        <v>68763</v>
      </c>
      <c r="E18576">
        <v>68.47</v>
      </c>
    </row>
    <row r="18577" spans="1:5" x14ac:dyDescent="0.2">
      <c r="A18577">
        <v>68764</v>
      </c>
      <c r="B18577" t="s">
        <v>35</v>
      </c>
      <c r="C18577">
        <v>68764</v>
      </c>
      <c r="D18577" t="str">
        <f>"68764"</f>
        <v>68764</v>
      </c>
      <c r="E18577">
        <v>68.75</v>
      </c>
    </row>
    <row r="18578" spans="1:5" x14ac:dyDescent="0.2">
      <c r="A18578">
        <v>68765</v>
      </c>
      <c r="B18578" t="s">
        <v>35</v>
      </c>
      <c r="C18578">
        <v>68765</v>
      </c>
      <c r="D18578" t="str">
        <f>"68765"</f>
        <v>68765</v>
      </c>
      <c r="E18578">
        <v>75.41</v>
      </c>
    </row>
    <row r="18579" spans="1:5" x14ac:dyDescent="0.2">
      <c r="A18579">
        <v>68766</v>
      </c>
      <c r="B18579" t="s">
        <v>35</v>
      </c>
      <c r="C18579">
        <v>68766</v>
      </c>
      <c r="D18579" t="str">
        <f>"68766"</f>
        <v>68766</v>
      </c>
      <c r="E18579">
        <v>66.67</v>
      </c>
    </row>
    <row r="18580" spans="1:5" x14ac:dyDescent="0.2">
      <c r="A18580">
        <v>68767</v>
      </c>
      <c r="B18580" t="s">
        <v>35</v>
      </c>
      <c r="C18580">
        <v>68767</v>
      </c>
      <c r="D18580" t="str">
        <f>"68767"</f>
        <v>68767</v>
      </c>
      <c r="E18580">
        <v>76.709999999999994</v>
      </c>
    </row>
    <row r="18581" spans="1:5" x14ac:dyDescent="0.2">
      <c r="A18581">
        <v>68768</v>
      </c>
      <c r="B18581" t="s">
        <v>35</v>
      </c>
      <c r="C18581">
        <v>68768</v>
      </c>
      <c r="D18581" t="str">
        <f>"68768"</f>
        <v>68768</v>
      </c>
      <c r="E18581">
        <v>76</v>
      </c>
    </row>
    <row r="18582" spans="1:5" x14ac:dyDescent="0.2">
      <c r="A18582">
        <v>68769</v>
      </c>
      <c r="B18582" t="s">
        <v>35</v>
      </c>
      <c r="C18582">
        <v>68769</v>
      </c>
      <c r="D18582" t="str">
        <f>"68769"</f>
        <v>68769</v>
      </c>
      <c r="E18582">
        <v>72.84</v>
      </c>
    </row>
    <row r="18583" spans="1:5" x14ac:dyDescent="0.2">
      <c r="A18583">
        <v>68770</v>
      </c>
      <c r="B18583" t="s">
        <v>35</v>
      </c>
      <c r="C18583">
        <v>68770</v>
      </c>
      <c r="D18583" t="str">
        <f>"68770"</f>
        <v>68770</v>
      </c>
      <c r="E18583">
        <v>73.97</v>
      </c>
    </row>
    <row r="18584" spans="1:5" x14ac:dyDescent="0.2">
      <c r="A18584">
        <v>68771</v>
      </c>
      <c r="B18584" t="s">
        <v>35</v>
      </c>
      <c r="C18584">
        <v>68771</v>
      </c>
      <c r="D18584" t="str">
        <f>"68771"</f>
        <v>68771</v>
      </c>
      <c r="E18584">
        <v>71.64</v>
      </c>
    </row>
    <row r="18585" spans="1:5" x14ac:dyDescent="0.2">
      <c r="A18585">
        <v>68773</v>
      </c>
      <c r="B18585" t="s">
        <v>35</v>
      </c>
      <c r="C18585">
        <v>68773</v>
      </c>
      <c r="D18585" t="str">
        <f>"68773"</f>
        <v>68773</v>
      </c>
      <c r="E18585" t="s">
        <v>6</v>
      </c>
    </row>
    <row r="18586" spans="1:5" x14ac:dyDescent="0.2">
      <c r="A18586">
        <v>68774</v>
      </c>
      <c r="B18586" t="s">
        <v>35</v>
      </c>
      <c r="C18586">
        <v>68774</v>
      </c>
      <c r="D18586" t="str">
        <f>"68774"</f>
        <v>68774</v>
      </c>
      <c r="E18586">
        <v>76.47</v>
      </c>
    </row>
    <row r="18587" spans="1:5" x14ac:dyDescent="0.2">
      <c r="A18587">
        <v>68776</v>
      </c>
      <c r="B18587" t="s">
        <v>35</v>
      </c>
      <c r="C18587">
        <v>68776</v>
      </c>
      <c r="D18587" t="str">
        <f>"68776"</f>
        <v>68776</v>
      </c>
      <c r="E18587">
        <v>68.5</v>
      </c>
    </row>
    <row r="18588" spans="1:5" x14ac:dyDescent="0.2">
      <c r="A18588">
        <v>68777</v>
      </c>
      <c r="B18588" t="s">
        <v>35</v>
      </c>
      <c r="C18588">
        <v>68777</v>
      </c>
      <c r="D18588" t="str">
        <f>"68777"</f>
        <v>68777</v>
      </c>
      <c r="E18588">
        <v>67.739999999999995</v>
      </c>
    </row>
    <row r="18589" spans="1:5" x14ac:dyDescent="0.2">
      <c r="A18589">
        <v>68778</v>
      </c>
      <c r="B18589" t="s">
        <v>35</v>
      </c>
      <c r="C18589">
        <v>68778</v>
      </c>
      <c r="D18589" t="str">
        <f>"68778"</f>
        <v>68778</v>
      </c>
      <c r="E18589">
        <v>68</v>
      </c>
    </row>
    <row r="18590" spans="1:5" x14ac:dyDescent="0.2">
      <c r="A18590">
        <v>68779</v>
      </c>
      <c r="B18590" t="s">
        <v>35</v>
      </c>
      <c r="C18590">
        <v>68779</v>
      </c>
      <c r="D18590" t="str">
        <f>"68779"</f>
        <v>68779</v>
      </c>
      <c r="E18590">
        <v>75</v>
      </c>
    </row>
    <row r="18591" spans="1:5" x14ac:dyDescent="0.2">
      <c r="A18591">
        <v>68780</v>
      </c>
      <c r="B18591" t="s">
        <v>35</v>
      </c>
      <c r="C18591">
        <v>68780</v>
      </c>
      <c r="D18591" t="str">
        <f>"68780"</f>
        <v>68780</v>
      </c>
      <c r="E18591">
        <v>68.89</v>
      </c>
    </row>
    <row r="18592" spans="1:5" x14ac:dyDescent="0.2">
      <c r="A18592">
        <v>68781</v>
      </c>
      <c r="B18592" t="s">
        <v>35</v>
      </c>
      <c r="C18592">
        <v>68781</v>
      </c>
      <c r="D18592" t="str">
        <f>"68781"</f>
        <v>68781</v>
      </c>
      <c r="E18592">
        <v>73.02</v>
      </c>
    </row>
    <row r="18593" spans="1:5" x14ac:dyDescent="0.2">
      <c r="A18593">
        <v>68783</v>
      </c>
      <c r="B18593" t="s">
        <v>35</v>
      </c>
      <c r="C18593">
        <v>68783</v>
      </c>
      <c r="D18593" t="str">
        <f>"68783"</f>
        <v>68783</v>
      </c>
      <c r="E18593">
        <v>67.5</v>
      </c>
    </row>
    <row r="18594" spans="1:5" x14ac:dyDescent="0.2">
      <c r="A18594">
        <v>68784</v>
      </c>
      <c r="B18594" t="s">
        <v>35</v>
      </c>
      <c r="C18594">
        <v>68784</v>
      </c>
      <c r="D18594" t="str">
        <f>"68784"</f>
        <v>68784</v>
      </c>
      <c r="E18594">
        <v>67.709999999999994</v>
      </c>
    </row>
    <row r="18595" spans="1:5" x14ac:dyDescent="0.2">
      <c r="A18595">
        <v>68785</v>
      </c>
      <c r="B18595" t="s">
        <v>35</v>
      </c>
      <c r="C18595">
        <v>68785</v>
      </c>
      <c r="D18595" t="str">
        <f>"68785"</f>
        <v>68785</v>
      </c>
      <c r="E18595">
        <v>83.33</v>
      </c>
    </row>
    <row r="18596" spans="1:5" x14ac:dyDescent="0.2">
      <c r="A18596">
        <v>68786</v>
      </c>
      <c r="B18596" t="s">
        <v>35</v>
      </c>
      <c r="C18596">
        <v>68786</v>
      </c>
      <c r="D18596" t="str">
        <f>"68786"</f>
        <v>68786</v>
      </c>
      <c r="E18596">
        <v>75</v>
      </c>
    </row>
    <row r="18597" spans="1:5" x14ac:dyDescent="0.2">
      <c r="A18597">
        <v>68787</v>
      </c>
      <c r="B18597" t="s">
        <v>35</v>
      </c>
      <c r="C18597">
        <v>68787</v>
      </c>
      <c r="D18597" t="str">
        <f>"68787"</f>
        <v>68787</v>
      </c>
      <c r="E18597">
        <v>74.19</v>
      </c>
    </row>
    <row r="18598" spans="1:5" x14ac:dyDescent="0.2">
      <c r="A18598">
        <v>68788</v>
      </c>
      <c r="B18598" t="s">
        <v>35</v>
      </c>
      <c r="C18598">
        <v>68788</v>
      </c>
      <c r="D18598" t="str">
        <f>"68788"</f>
        <v>68788</v>
      </c>
      <c r="E18598">
        <v>73.819999999999993</v>
      </c>
    </row>
    <row r="18599" spans="1:5" x14ac:dyDescent="0.2">
      <c r="A18599">
        <v>68789</v>
      </c>
      <c r="B18599" t="s">
        <v>35</v>
      </c>
      <c r="C18599">
        <v>68789</v>
      </c>
      <c r="D18599" t="str">
        <f>"68789"</f>
        <v>68789</v>
      </c>
      <c r="E18599" t="s">
        <v>6</v>
      </c>
    </row>
    <row r="18600" spans="1:5" x14ac:dyDescent="0.2">
      <c r="A18600">
        <v>68790</v>
      </c>
      <c r="B18600" t="s">
        <v>35</v>
      </c>
      <c r="C18600">
        <v>68790</v>
      </c>
      <c r="D18600" t="str">
        <f>"68790"</f>
        <v>68790</v>
      </c>
      <c r="E18600">
        <v>76.47</v>
      </c>
    </row>
    <row r="18601" spans="1:5" x14ac:dyDescent="0.2">
      <c r="A18601">
        <v>68791</v>
      </c>
      <c r="B18601" t="s">
        <v>35</v>
      </c>
      <c r="C18601">
        <v>68791</v>
      </c>
      <c r="D18601" t="str">
        <f>"68791"</f>
        <v>68791</v>
      </c>
      <c r="E18601">
        <v>73.91</v>
      </c>
    </row>
    <row r="18602" spans="1:5" x14ac:dyDescent="0.2">
      <c r="A18602">
        <v>68792</v>
      </c>
      <c r="B18602" t="s">
        <v>35</v>
      </c>
      <c r="C18602">
        <v>68792</v>
      </c>
      <c r="D18602" t="str">
        <f>"68792"</f>
        <v>68792</v>
      </c>
      <c r="E18602">
        <v>66.67</v>
      </c>
    </row>
    <row r="18603" spans="1:5" x14ac:dyDescent="0.2">
      <c r="A18603">
        <v>68801</v>
      </c>
      <c r="B18603" t="s">
        <v>35</v>
      </c>
      <c r="C18603">
        <v>68801</v>
      </c>
      <c r="D18603" t="str">
        <f>"68801"</f>
        <v>68801</v>
      </c>
      <c r="E18603">
        <v>65.5</v>
      </c>
    </row>
    <row r="18604" spans="1:5" x14ac:dyDescent="0.2">
      <c r="A18604">
        <v>68802</v>
      </c>
      <c r="B18604" t="s">
        <v>35</v>
      </c>
      <c r="C18604">
        <v>68802</v>
      </c>
      <c r="D18604" t="str">
        <f>"68802"</f>
        <v>68802</v>
      </c>
      <c r="E18604" t="s">
        <v>6</v>
      </c>
    </row>
    <row r="18605" spans="1:5" x14ac:dyDescent="0.2">
      <c r="A18605">
        <v>68803</v>
      </c>
      <c r="B18605" t="s">
        <v>35</v>
      </c>
      <c r="C18605">
        <v>68803</v>
      </c>
      <c r="D18605" t="str">
        <f>"68803"</f>
        <v>68803</v>
      </c>
      <c r="E18605">
        <v>73.239999999999995</v>
      </c>
    </row>
    <row r="18606" spans="1:5" x14ac:dyDescent="0.2">
      <c r="A18606">
        <v>68810</v>
      </c>
      <c r="B18606" t="s">
        <v>35</v>
      </c>
      <c r="C18606">
        <v>68810</v>
      </c>
      <c r="D18606" t="str">
        <f>"68810"</f>
        <v>68810</v>
      </c>
      <c r="E18606">
        <v>66</v>
      </c>
    </row>
    <row r="18607" spans="1:5" x14ac:dyDescent="0.2">
      <c r="A18607">
        <v>68812</v>
      </c>
      <c r="B18607" t="s">
        <v>35</v>
      </c>
      <c r="C18607">
        <v>68812</v>
      </c>
      <c r="D18607" t="str">
        <f>"68812"</f>
        <v>68812</v>
      </c>
      <c r="E18607">
        <v>70.27</v>
      </c>
    </row>
    <row r="18608" spans="1:5" x14ac:dyDescent="0.2">
      <c r="A18608">
        <v>68813</v>
      </c>
      <c r="B18608" t="s">
        <v>35</v>
      </c>
      <c r="C18608">
        <v>68813</v>
      </c>
      <c r="D18608" t="str">
        <f>"68813"</f>
        <v>68813</v>
      </c>
      <c r="E18608">
        <v>60.87</v>
      </c>
    </row>
    <row r="18609" spans="1:5" x14ac:dyDescent="0.2">
      <c r="A18609">
        <v>68814</v>
      </c>
      <c r="B18609" t="s">
        <v>35</v>
      </c>
      <c r="C18609">
        <v>68814</v>
      </c>
      <c r="D18609" t="str">
        <f>"68814"</f>
        <v>68814</v>
      </c>
      <c r="E18609">
        <v>67.44</v>
      </c>
    </row>
    <row r="18610" spans="1:5" x14ac:dyDescent="0.2">
      <c r="A18610">
        <v>68815</v>
      </c>
      <c r="B18610" t="s">
        <v>35</v>
      </c>
      <c r="C18610">
        <v>68815</v>
      </c>
      <c r="D18610" t="str">
        <f>"68815"</f>
        <v>68815</v>
      </c>
      <c r="E18610">
        <v>62.96</v>
      </c>
    </row>
    <row r="18611" spans="1:5" x14ac:dyDescent="0.2">
      <c r="A18611">
        <v>68816</v>
      </c>
      <c r="B18611" t="s">
        <v>35</v>
      </c>
      <c r="C18611">
        <v>68816</v>
      </c>
      <c r="D18611" t="str">
        <f>"68816"</f>
        <v>68816</v>
      </c>
      <c r="E18611" t="s">
        <v>6</v>
      </c>
    </row>
    <row r="18612" spans="1:5" x14ac:dyDescent="0.2">
      <c r="A18612">
        <v>68817</v>
      </c>
      <c r="B18612" t="s">
        <v>35</v>
      </c>
      <c r="C18612">
        <v>68817</v>
      </c>
      <c r="D18612" t="str">
        <f>"68817"</f>
        <v>68817</v>
      </c>
      <c r="E18612">
        <v>73.33</v>
      </c>
    </row>
    <row r="18613" spans="1:5" x14ac:dyDescent="0.2">
      <c r="A18613">
        <v>68818</v>
      </c>
      <c r="B18613" t="s">
        <v>35</v>
      </c>
      <c r="C18613">
        <v>68818</v>
      </c>
      <c r="D18613" t="str">
        <f>"68818"</f>
        <v>68818</v>
      </c>
      <c r="E18613">
        <v>75.19</v>
      </c>
    </row>
    <row r="18614" spans="1:5" x14ac:dyDescent="0.2">
      <c r="A18614">
        <v>68820</v>
      </c>
      <c r="B18614" t="s">
        <v>35</v>
      </c>
      <c r="C18614">
        <v>68820</v>
      </c>
      <c r="D18614" t="str">
        <f>"68820"</f>
        <v>68820</v>
      </c>
      <c r="E18614">
        <v>73.680000000000007</v>
      </c>
    </row>
    <row r="18615" spans="1:5" x14ac:dyDescent="0.2">
      <c r="A18615">
        <v>68821</v>
      </c>
      <c r="B18615" t="s">
        <v>35</v>
      </c>
      <c r="C18615">
        <v>68821</v>
      </c>
      <c r="D18615" t="str">
        <f>"68821"</f>
        <v>68821</v>
      </c>
      <c r="E18615" t="s">
        <v>6</v>
      </c>
    </row>
    <row r="18616" spans="1:5" x14ac:dyDescent="0.2">
      <c r="A18616">
        <v>68822</v>
      </c>
      <c r="B18616" t="s">
        <v>35</v>
      </c>
      <c r="C18616">
        <v>68822</v>
      </c>
      <c r="D18616" t="str">
        <f>"68822"</f>
        <v>68822</v>
      </c>
      <c r="E18616">
        <v>70.8</v>
      </c>
    </row>
    <row r="18617" spans="1:5" x14ac:dyDescent="0.2">
      <c r="A18617">
        <v>68823</v>
      </c>
      <c r="B18617" t="s">
        <v>35</v>
      </c>
      <c r="C18617">
        <v>68823</v>
      </c>
      <c r="D18617" t="str">
        <f>"68823"</f>
        <v>68823</v>
      </c>
      <c r="E18617">
        <v>64.52</v>
      </c>
    </row>
    <row r="18618" spans="1:5" x14ac:dyDescent="0.2">
      <c r="A18618">
        <v>68824</v>
      </c>
      <c r="B18618" t="s">
        <v>35</v>
      </c>
      <c r="C18618">
        <v>68824</v>
      </c>
      <c r="D18618" t="str">
        <f>"68824"</f>
        <v>68824</v>
      </c>
      <c r="E18618">
        <v>75.38</v>
      </c>
    </row>
    <row r="18619" spans="1:5" x14ac:dyDescent="0.2">
      <c r="A18619">
        <v>68825</v>
      </c>
      <c r="B18619" t="s">
        <v>35</v>
      </c>
      <c r="C18619">
        <v>68825</v>
      </c>
      <c r="D18619" t="str">
        <f>"68825"</f>
        <v>68825</v>
      </c>
      <c r="E18619">
        <v>63.41</v>
      </c>
    </row>
    <row r="18620" spans="1:5" x14ac:dyDescent="0.2">
      <c r="A18620">
        <v>68826</v>
      </c>
      <c r="B18620" t="s">
        <v>35</v>
      </c>
      <c r="C18620">
        <v>68826</v>
      </c>
      <c r="D18620" t="str">
        <f>"68826"</f>
        <v>68826</v>
      </c>
      <c r="E18620">
        <v>69.66</v>
      </c>
    </row>
    <row r="18621" spans="1:5" x14ac:dyDescent="0.2">
      <c r="A18621">
        <v>68827</v>
      </c>
      <c r="B18621" t="s">
        <v>35</v>
      </c>
      <c r="C18621">
        <v>68827</v>
      </c>
      <c r="D18621" t="str">
        <f>"68827"</f>
        <v>68827</v>
      </c>
      <c r="E18621">
        <v>76.67</v>
      </c>
    </row>
    <row r="18622" spans="1:5" x14ac:dyDescent="0.2">
      <c r="A18622">
        <v>68828</v>
      </c>
      <c r="B18622" t="s">
        <v>35</v>
      </c>
      <c r="C18622">
        <v>68828</v>
      </c>
      <c r="D18622" t="str">
        <f>"68828"</f>
        <v>68828</v>
      </c>
      <c r="E18622">
        <v>63.64</v>
      </c>
    </row>
    <row r="18623" spans="1:5" x14ac:dyDescent="0.2">
      <c r="A18623">
        <v>68831</v>
      </c>
      <c r="B18623" t="s">
        <v>35</v>
      </c>
      <c r="C18623">
        <v>68831</v>
      </c>
      <c r="D18623" t="str">
        <f>"68831"</f>
        <v>68831</v>
      </c>
      <c r="E18623">
        <v>73.17</v>
      </c>
    </row>
    <row r="18624" spans="1:5" x14ac:dyDescent="0.2">
      <c r="A18624">
        <v>68832</v>
      </c>
      <c r="B18624" t="s">
        <v>35</v>
      </c>
      <c r="C18624">
        <v>68832</v>
      </c>
      <c r="D18624" t="str">
        <f>"68832"</f>
        <v>68832</v>
      </c>
      <c r="E18624">
        <v>79.38</v>
      </c>
    </row>
    <row r="18625" spans="1:5" x14ac:dyDescent="0.2">
      <c r="A18625">
        <v>68833</v>
      </c>
      <c r="B18625" t="s">
        <v>35</v>
      </c>
      <c r="C18625">
        <v>68833</v>
      </c>
      <c r="D18625" t="str">
        <f>"68833"</f>
        <v>68833</v>
      </c>
      <c r="E18625">
        <v>63.64</v>
      </c>
    </row>
    <row r="18626" spans="1:5" x14ac:dyDescent="0.2">
      <c r="A18626">
        <v>68834</v>
      </c>
      <c r="B18626" t="s">
        <v>35</v>
      </c>
      <c r="C18626">
        <v>68834</v>
      </c>
      <c r="D18626" t="str">
        <f>"68834"</f>
        <v>68834</v>
      </c>
      <c r="E18626" t="s">
        <v>6</v>
      </c>
    </row>
    <row r="18627" spans="1:5" x14ac:dyDescent="0.2">
      <c r="A18627">
        <v>68835</v>
      </c>
      <c r="B18627" t="s">
        <v>35</v>
      </c>
      <c r="C18627">
        <v>68835</v>
      </c>
      <c r="D18627" t="str">
        <f>"68835"</f>
        <v>68835</v>
      </c>
      <c r="E18627">
        <v>71.430000000000007</v>
      </c>
    </row>
    <row r="18628" spans="1:5" x14ac:dyDescent="0.2">
      <c r="A18628">
        <v>68836</v>
      </c>
      <c r="B18628" t="s">
        <v>35</v>
      </c>
      <c r="C18628">
        <v>68836</v>
      </c>
      <c r="D18628" t="str">
        <f>"68836"</f>
        <v>68836</v>
      </c>
      <c r="E18628">
        <v>69.05</v>
      </c>
    </row>
    <row r="18629" spans="1:5" x14ac:dyDescent="0.2">
      <c r="A18629">
        <v>68837</v>
      </c>
      <c r="B18629" t="s">
        <v>35</v>
      </c>
      <c r="C18629">
        <v>68837</v>
      </c>
      <c r="D18629" t="str">
        <f>"68837"</f>
        <v>68837</v>
      </c>
      <c r="E18629" t="s">
        <v>6</v>
      </c>
    </row>
    <row r="18630" spans="1:5" x14ac:dyDescent="0.2">
      <c r="A18630">
        <v>68838</v>
      </c>
      <c r="B18630" t="s">
        <v>35</v>
      </c>
      <c r="C18630">
        <v>68838</v>
      </c>
      <c r="D18630" t="str">
        <f>"68838"</f>
        <v>68838</v>
      </c>
      <c r="E18630">
        <v>58.33</v>
      </c>
    </row>
    <row r="18631" spans="1:5" x14ac:dyDescent="0.2">
      <c r="A18631">
        <v>68840</v>
      </c>
      <c r="B18631" t="s">
        <v>35</v>
      </c>
      <c r="C18631">
        <v>68840</v>
      </c>
      <c r="D18631" t="str">
        <f>"68840"</f>
        <v>68840</v>
      </c>
      <c r="E18631">
        <v>71.430000000000007</v>
      </c>
    </row>
    <row r="18632" spans="1:5" x14ac:dyDescent="0.2">
      <c r="A18632">
        <v>68841</v>
      </c>
      <c r="B18632" t="s">
        <v>35</v>
      </c>
      <c r="C18632">
        <v>68841</v>
      </c>
      <c r="D18632" t="str">
        <f>"68841"</f>
        <v>68841</v>
      </c>
      <c r="E18632">
        <v>71.88</v>
      </c>
    </row>
    <row r="18633" spans="1:5" x14ac:dyDescent="0.2">
      <c r="A18633">
        <v>68842</v>
      </c>
      <c r="B18633" t="s">
        <v>35</v>
      </c>
      <c r="C18633">
        <v>68842</v>
      </c>
      <c r="D18633" t="str">
        <f>"68842"</f>
        <v>68842</v>
      </c>
      <c r="E18633">
        <v>62.96</v>
      </c>
    </row>
    <row r="18634" spans="1:5" x14ac:dyDescent="0.2">
      <c r="A18634">
        <v>68843</v>
      </c>
      <c r="B18634" t="s">
        <v>35</v>
      </c>
      <c r="C18634">
        <v>68843</v>
      </c>
      <c r="D18634" t="str">
        <f>"68843"</f>
        <v>68843</v>
      </c>
      <c r="E18634">
        <v>79.069999999999993</v>
      </c>
    </row>
    <row r="18635" spans="1:5" x14ac:dyDescent="0.2">
      <c r="A18635">
        <v>68844</v>
      </c>
      <c r="B18635" t="s">
        <v>35</v>
      </c>
      <c r="C18635">
        <v>68844</v>
      </c>
      <c r="D18635" t="str">
        <f>"68844"</f>
        <v>68844</v>
      </c>
      <c r="E18635" t="s">
        <v>6</v>
      </c>
    </row>
    <row r="18636" spans="1:5" x14ac:dyDescent="0.2">
      <c r="A18636">
        <v>68845</v>
      </c>
      <c r="B18636" t="s">
        <v>35</v>
      </c>
      <c r="C18636">
        <v>68845</v>
      </c>
      <c r="D18636" t="str">
        <f>"68845"</f>
        <v>68845</v>
      </c>
      <c r="E18636">
        <v>76.05</v>
      </c>
    </row>
    <row r="18637" spans="1:5" x14ac:dyDescent="0.2">
      <c r="A18637">
        <v>68846</v>
      </c>
      <c r="B18637" t="s">
        <v>35</v>
      </c>
      <c r="C18637">
        <v>68846</v>
      </c>
      <c r="D18637" t="str">
        <f>"68846"</f>
        <v>68846</v>
      </c>
      <c r="E18637">
        <v>76.92</v>
      </c>
    </row>
    <row r="18638" spans="1:5" x14ac:dyDescent="0.2">
      <c r="A18638">
        <v>68847</v>
      </c>
      <c r="B18638" t="s">
        <v>35</v>
      </c>
      <c r="C18638">
        <v>68847</v>
      </c>
      <c r="D18638" t="str">
        <f>"68847"</f>
        <v>68847</v>
      </c>
      <c r="E18638">
        <v>74.599999999999994</v>
      </c>
    </row>
    <row r="18639" spans="1:5" x14ac:dyDescent="0.2">
      <c r="A18639">
        <v>68849</v>
      </c>
      <c r="B18639" t="s">
        <v>35</v>
      </c>
      <c r="C18639">
        <v>68849</v>
      </c>
      <c r="D18639" t="str">
        <f>"68849"</f>
        <v>68849</v>
      </c>
      <c r="E18639" t="s">
        <v>6</v>
      </c>
    </row>
    <row r="18640" spans="1:5" x14ac:dyDescent="0.2">
      <c r="A18640">
        <v>68850</v>
      </c>
      <c r="B18640" t="s">
        <v>35</v>
      </c>
      <c r="C18640">
        <v>68850</v>
      </c>
      <c r="D18640" t="str">
        <f>"68850"</f>
        <v>68850</v>
      </c>
      <c r="E18640">
        <v>67.27</v>
      </c>
    </row>
    <row r="18641" spans="1:5" x14ac:dyDescent="0.2">
      <c r="A18641">
        <v>68852</v>
      </c>
      <c r="B18641" t="s">
        <v>35</v>
      </c>
      <c r="C18641">
        <v>68852</v>
      </c>
      <c r="D18641" t="str">
        <f>"68852"</f>
        <v>68852</v>
      </c>
      <c r="E18641">
        <v>75</v>
      </c>
    </row>
    <row r="18642" spans="1:5" x14ac:dyDescent="0.2">
      <c r="A18642">
        <v>68853</v>
      </c>
      <c r="B18642" t="s">
        <v>35</v>
      </c>
      <c r="C18642">
        <v>68853</v>
      </c>
      <c r="D18642" t="str">
        <f>"68853"</f>
        <v>68853</v>
      </c>
      <c r="E18642">
        <v>68.180000000000007</v>
      </c>
    </row>
    <row r="18643" spans="1:5" x14ac:dyDescent="0.2">
      <c r="A18643">
        <v>68854</v>
      </c>
      <c r="B18643" t="s">
        <v>35</v>
      </c>
      <c r="C18643">
        <v>68854</v>
      </c>
      <c r="D18643" t="str">
        <f>"68854"</f>
        <v>68854</v>
      </c>
      <c r="E18643">
        <v>77.5</v>
      </c>
    </row>
    <row r="18644" spans="1:5" x14ac:dyDescent="0.2">
      <c r="A18644">
        <v>68855</v>
      </c>
      <c r="B18644" t="s">
        <v>35</v>
      </c>
      <c r="C18644">
        <v>68855</v>
      </c>
      <c r="D18644" t="str">
        <f>"68855"</f>
        <v>68855</v>
      </c>
      <c r="E18644">
        <v>62.5</v>
      </c>
    </row>
    <row r="18645" spans="1:5" x14ac:dyDescent="0.2">
      <c r="A18645">
        <v>68856</v>
      </c>
      <c r="B18645" t="s">
        <v>35</v>
      </c>
      <c r="C18645">
        <v>68856</v>
      </c>
      <c r="D18645" t="str">
        <f>"68856"</f>
        <v>68856</v>
      </c>
      <c r="E18645">
        <v>77.78</v>
      </c>
    </row>
    <row r="18646" spans="1:5" x14ac:dyDescent="0.2">
      <c r="A18646">
        <v>68858</v>
      </c>
      <c r="B18646" t="s">
        <v>35</v>
      </c>
      <c r="C18646">
        <v>68858</v>
      </c>
      <c r="D18646" t="str">
        <f>"68858"</f>
        <v>68858</v>
      </c>
      <c r="E18646">
        <v>70</v>
      </c>
    </row>
    <row r="18647" spans="1:5" x14ac:dyDescent="0.2">
      <c r="A18647">
        <v>68859</v>
      </c>
      <c r="B18647" t="s">
        <v>35</v>
      </c>
      <c r="C18647">
        <v>68859</v>
      </c>
      <c r="D18647" t="str">
        <f>"68859"</f>
        <v>68859</v>
      </c>
      <c r="E18647">
        <v>68.180000000000007</v>
      </c>
    </row>
    <row r="18648" spans="1:5" x14ac:dyDescent="0.2">
      <c r="A18648">
        <v>68860</v>
      </c>
      <c r="B18648" t="s">
        <v>35</v>
      </c>
      <c r="C18648">
        <v>68860</v>
      </c>
      <c r="D18648" t="str">
        <f>"68860"</f>
        <v>68860</v>
      </c>
      <c r="E18648">
        <v>66.67</v>
      </c>
    </row>
    <row r="18649" spans="1:5" x14ac:dyDescent="0.2">
      <c r="A18649">
        <v>68861</v>
      </c>
      <c r="B18649" t="s">
        <v>35</v>
      </c>
      <c r="C18649">
        <v>68861</v>
      </c>
      <c r="D18649" t="str">
        <f>"68861"</f>
        <v>68861</v>
      </c>
      <c r="E18649" t="s">
        <v>6</v>
      </c>
    </row>
    <row r="18650" spans="1:5" x14ac:dyDescent="0.2">
      <c r="A18650">
        <v>68862</v>
      </c>
      <c r="B18650" t="s">
        <v>35</v>
      </c>
      <c r="C18650">
        <v>68862</v>
      </c>
      <c r="D18650" t="str">
        <f>"68862"</f>
        <v>68862</v>
      </c>
      <c r="E18650">
        <v>69.17</v>
      </c>
    </row>
    <row r="18651" spans="1:5" x14ac:dyDescent="0.2">
      <c r="A18651">
        <v>68863</v>
      </c>
      <c r="B18651" t="s">
        <v>35</v>
      </c>
      <c r="C18651">
        <v>68863</v>
      </c>
      <c r="D18651" t="str">
        <f>"68863"</f>
        <v>68863</v>
      </c>
      <c r="E18651">
        <v>71.7</v>
      </c>
    </row>
    <row r="18652" spans="1:5" x14ac:dyDescent="0.2">
      <c r="A18652">
        <v>68864</v>
      </c>
      <c r="B18652" t="s">
        <v>35</v>
      </c>
      <c r="C18652">
        <v>68864</v>
      </c>
      <c r="D18652" t="str">
        <f>"68864"</f>
        <v>68864</v>
      </c>
      <c r="E18652">
        <v>68.89</v>
      </c>
    </row>
    <row r="18653" spans="1:5" x14ac:dyDescent="0.2">
      <c r="A18653">
        <v>68865</v>
      </c>
      <c r="B18653" t="s">
        <v>35</v>
      </c>
      <c r="C18653">
        <v>68865</v>
      </c>
      <c r="D18653" t="str">
        <f>"68865"</f>
        <v>68865</v>
      </c>
      <c r="E18653">
        <v>77.55</v>
      </c>
    </row>
    <row r="18654" spans="1:5" x14ac:dyDescent="0.2">
      <c r="A18654">
        <v>68866</v>
      </c>
      <c r="B18654" t="s">
        <v>35</v>
      </c>
      <c r="C18654">
        <v>68866</v>
      </c>
      <c r="D18654" t="str">
        <f>"68866"</f>
        <v>68866</v>
      </c>
      <c r="E18654">
        <v>77.27</v>
      </c>
    </row>
    <row r="18655" spans="1:5" x14ac:dyDescent="0.2">
      <c r="A18655">
        <v>68869</v>
      </c>
      <c r="B18655" t="s">
        <v>35</v>
      </c>
      <c r="C18655">
        <v>68869</v>
      </c>
      <c r="D18655" t="str">
        <f>"68869"</f>
        <v>68869</v>
      </c>
      <c r="E18655">
        <v>70.83</v>
      </c>
    </row>
    <row r="18656" spans="1:5" x14ac:dyDescent="0.2">
      <c r="A18656">
        <v>68870</v>
      </c>
      <c r="B18656" t="s">
        <v>35</v>
      </c>
      <c r="C18656">
        <v>68870</v>
      </c>
      <c r="D18656" t="str">
        <f>"68870"</f>
        <v>68870</v>
      </c>
      <c r="E18656">
        <v>65.22</v>
      </c>
    </row>
    <row r="18657" spans="1:5" x14ac:dyDescent="0.2">
      <c r="A18657">
        <v>68871</v>
      </c>
      <c r="B18657" t="s">
        <v>35</v>
      </c>
      <c r="C18657">
        <v>68871</v>
      </c>
      <c r="D18657" t="str">
        <f>"68871"</f>
        <v>68871</v>
      </c>
      <c r="E18657">
        <v>60</v>
      </c>
    </row>
    <row r="18658" spans="1:5" x14ac:dyDescent="0.2">
      <c r="A18658">
        <v>68872</v>
      </c>
      <c r="B18658" t="s">
        <v>35</v>
      </c>
      <c r="C18658">
        <v>68872</v>
      </c>
      <c r="D18658" t="str">
        <f>"68872"</f>
        <v>68872</v>
      </c>
      <c r="E18658">
        <v>77.27</v>
      </c>
    </row>
    <row r="18659" spans="1:5" x14ac:dyDescent="0.2">
      <c r="A18659">
        <v>68873</v>
      </c>
      <c r="B18659" t="s">
        <v>35</v>
      </c>
      <c r="C18659">
        <v>68873</v>
      </c>
      <c r="D18659" t="str">
        <f>"68873"</f>
        <v>68873</v>
      </c>
      <c r="E18659">
        <v>73.650000000000006</v>
      </c>
    </row>
    <row r="18660" spans="1:5" x14ac:dyDescent="0.2">
      <c r="A18660">
        <v>68874</v>
      </c>
      <c r="B18660" t="s">
        <v>35</v>
      </c>
      <c r="C18660">
        <v>68874</v>
      </c>
      <c r="D18660" t="str">
        <f>"68874"</f>
        <v>68874</v>
      </c>
      <c r="E18660">
        <v>67.5</v>
      </c>
    </row>
    <row r="18661" spans="1:5" x14ac:dyDescent="0.2">
      <c r="A18661">
        <v>68875</v>
      </c>
      <c r="B18661" t="s">
        <v>35</v>
      </c>
      <c r="C18661">
        <v>68875</v>
      </c>
      <c r="D18661" t="str">
        <f>"68875"</f>
        <v>68875</v>
      </c>
      <c r="E18661">
        <v>66.67</v>
      </c>
    </row>
    <row r="18662" spans="1:5" x14ac:dyDescent="0.2">
      <c r="A18662">
        <v>68876</v>
      </c>
      <c r="B18662" t="s">
        <v>35</v>
      </c>
      <c r="C18662">
        <v>68876</v>
      </c>
      <c r="D18662" t="str">
        <f>"68876"</f>
        <v>68876</v>
      </c>
      <c r="E18662">
        <v>73.33</v>
      </c>
    </row>
    <row r="18663" spans="1:5" x14ac:dyDescent="0.2">
      <c r="A18663">
        <v>68878</v>
      </c>
      <c r="B18663" t="s">
        <v>35</v>
      </c>
      <c r="C18663">
        <v>68878</v>
      </c>
      <c r="D18663" t="str">
        <f>"68878"</f>
        <v>68878</v>
      </c>
      <c r="E18663">
        <v>73.680000000000007</v>
      </c>
    </row>
    <row r="18664" spans="1:5" x14ac:dyDescent="0.2">
      <c r="A18664">
        <v>68879</v>
      </c>
      <c r="B18664" t="s">
        <v>35</v>
      </c>
      <c r="C18664">
        <v>68879</v>
      </c>
      <c r="D18664" t="str">
        <f>"68879"</f>
        <v>68879</v>
      </c>
      <c r="E18664">
        <v>56.25</v>
      </c>
    </row>
    <row r="18665" spans="1:5" x14ac:dyDescent="0.2">
      <c r="A18665">
        <v>68881</v>
      </c>
      <c r="B18665" t="s">
        <v>35</v>
      </c>
      <c r="C18665">
        <v>68881</v>
      </c>
      <c r="D18665" t="str">
        <f>"68881"</f>
        <v>68881</v>
      </c>
      <c r="E18665" t="s">
        <v>6</v>
      </c>
    </row>
    <row r="18666" spans="1:5" x14ac:dyDescent="0.2">
      <c r="A18666">
        <v>68882</v>
      </c>
      <c r="B18666" t="s">
        <v>35</v>
      </c>
      <c r="C18666">
        <v>68882</v>
      </c>
      <c r="D18666" t="str">
        <f>"68882"</f>
        <v>68882</v>
      </c>
      <c r="E18666">
        <v>60</v>
      </c>
    </row>
    <row r="18667" spans="1:5" x14ac:dyDescent="0.2">
      <c r="A18667">
        <v>68883</v>
      </c>
      <c r="B18667" t="s">
        <v>35</v>
      </c>
      <c r="C18667">
        <v>68883</v>
      </c>
      <c r="D18667" t="str">
        <f>"68883"</f>
        <v>68883</v>
      </c>
      <c r="E18667">
        <v>73.08</v>
      </c>
    </row>
    <row r="18668" spans="1:5" x14ac:dyDescent="0.2">
      <c r="A18668">
        <v>68901</v>
      </c>
      <c r="B18668" t="s">
        <v>35</v>
      </c>
      <c r="C18668">
        <v>68901</v>
      </c>
      <c r="D18668" t="str">
        <f>"68901"</f>
        <v>68901</v>
      </c>
      <c r="E18668">
        <v>70.94</v>
      </c>
    </row>
    <row r="18669" spans="1:5" x14ac:dyDescent="0.2">
      <c r="A18669">
        <v>68920</v>
      </c>
      <c r="B18669" t="s">
        <v>35</v>
      </c>
      <c r="C18669">
        <v>68920</v>
      </c>
      <c r="D18669" t="str">
        <f>"68920"</f>
        <v>68920</v>
      </c>
      <c r="E18669">
        <v>75</v>
      </c>
    </row>
    <row r="18670" spans="1:5" x14ac:dyDescent="0.2">
      <c r="A18670">
        <v>68922</v>
      </c>
      <c r="B18670" t="s">
        <v>35</v>
      </c>
      <c r="C18670">
        <v>68922</v>
      </c>
      <c r="D18670" t="str">
        <f>"68922"</f>
        <v>68922</v>
      </c>
      <c r="E18670">
        <v>67.86</v>
      </c>
    </row>
    <row r="18671" spans="1:5" x14ac:dyDescent="0.2">
      <c r="A18671">
        <v>68923</v>
      </c>
      <c r="B18671" t="s">
        <v>35</v>
      </c>
      <c r="C18671">
        <v>68923</v>
      </c>
      <c r="D18671" t="str">
        <f>"68923"</f>
        <v>68923</v>
      </c>
      <c r="E18671" t="s">
        <v>6</v>
      </c>
    </row>
    <row r="18672" spans="1:5" x14ac:dyDescent="0.2">
      <c r="A18672">
        <v>68924</v>
      </c>
      <c r="B18672" t="s">
        <v>35</v>
      </c>
      <c r="C18672">
        <v>68924</v>
      </c>
      <c r="D18672" t="str">
        <f>"68924"</f>
        <v>68924</v>
      </c>
      <c r="E18672">
        <v>78.95</v>
      </c>
    </row>
    <row r="18673" spans="1:5" x14ac:dyDescent="0.2">
      <c r="A18673">
        <v>68925</v>
      </c>
      <c r="B18673" t="s">
        <v>35</v>
      </c>
      <c r="C18673">
        <v>68925</v>
      </c>
      <c r="D18673" t="str">
        <f>"68925"</f>
        <v>68925</v>
      </c>
      <c r="E18673">
        <v>73.680000000000007</v>
      </c>
    </row>
    <row r="18674" spans="1:5" x14ac:dyDescent="0.2">
      <c r="A18674">
        <v>68926</v>
      </c>
      <c r="B18674" t="s">
        <v>35</v>
      </c>
      <c r="C18674">
        <v>68926</v>
      </c>
      <c r="D18674" t="str">
        <f>"68926"</f>
        <v>68926</v>
      </c>
      <c r="E18674">
        <v>69.7</v>
      </c>
    </row>
    <row r="18675" spans="1:5" x14ac:dyDescent="0.2">
      <c r="A18675">
        <v>68927</v>
      </c>
      <c r="B18675" t="s">
        <v>35</v>
      </c>
      <c r="C18675">
        <v>68927</v>
      </c>
      <c r="D18675" t="str">
        <f>"68927"</f>
        <v>68927</v>
      </c>
      <c r="E18675">
        <v>69.39</v>
      </c>
    </row>
    <row r="18676" spans="1:5" x14ac:dyDescent="0.2">
      <c r="A18676">
        <v>68928</v>
      </c>
      <c r="B18676" t="s">
        <v>35</v>
      </c>
      <c r="C18676">
        <v>68928</v>
      </c>
      <c r="D18676" t="str">
        <f>"68928"</f>
        <v>68928</v>
      </c>
      <c r="E18676">
        <v>66.67</v>
      </c>
    </row>
    <row r="18677" spans="1:5" x14ac:dyDescent="0.2">
      <c r="A18677">
        <v>68929</v>
      </c>
      <c r="B18677" t="s">
        <v>35</v>
      </c>
      <c r="C18677">
        <v>68929</v>
      </c>
      <c r="D18677" t="str">
        <f>"68929"</f>
        <v>68929</v>
      </c>
      <c r="E18677" t="s">
        <v>6</v>
      </c>
    </row>
    <row r="18678" spans="1:5" x14ac:dyDescent="0.2">
      <c r="A18678">
        <v>68930</v>
      </c>
      <c r="B18678" t="s">
        <v>35</v>
      </c>
      <c r="C18678">
        <v>68930</v>
      </c>
      <c r="D18678" t="str">
        <f>"68930"</f>
        <v>68930</v>
      </c>
      <c r="E18678">
        <v>73.680000000000007</v>
      </c>
    </row>
    <row r="18679" spans="1:5" x14ac:dyDescent="0.2">
      <c r="A18679">
        <v>68932</v>
      </c>
      <c r="B18679" t="s">
        <v>35</v>
      </c>
      <c r="C18679">
        <v>68932</v>
      </c>
      <c r="D18679" t="str">
        <f>"68932"</f>
        <v>68932</v>
      </c>
      <c r="E18679">
        <v>66.67</v>
      </c>
    </row>
    <row r="18680" spans="1:5" x14ac:dyDescent="0.2">
      <c r="A18680">
        <v>68933</v>
      </c>
      <c r="B18680" t="s">
        <v>35</v>
      </c>
      <c r="C18680">
        <v>68933</v>
      </c>
      <c r="D18680" t="str">
        <f>"68933"</f>
        <v>68933</v>
      </c>
      <c r="E18680">
        <v>76.739999999999995</v>
      </c>
    </row>
    <row r="18681" spans="1:5" x14ac:dyDescent="0.2">
      <c r="A18681">
        <v>68934</v>
      </c>
      <c r="B18681" t="s">
        <v>35</v>
      </c>
      <c r="C18681">
        <v>68934</v>
      </c>
      <c r="D18681" t="str">
        <f>"68934"</f>
        <v>68934</v>
      </c>
      <c r="E18681" t="s">
        <v>6</v>
      </c>
    </row>
    <row r="18682" spans="1:5" x14ac:dyDescent="0.2">
      <c r="A18682">
        <v>68935</v>
      </c>
      <c r="B18682" t="s">
        <v>35</v>
      </c>
      <c r="C18682">
        <v>68935</v>
      </c>
      <c r="D18682" t="str">
        <f>"68935"</f>
        <v>68935</v>
      </c>
      <c r="E18682">
        <v>74.19</v>
      </c>
    </row>
    <row r="18683" spans="1:5" x14ac:dyDescent="0.2">
      <c r="A18683">
        <v>68936</v>
      </c>
      <c r="B18683" t="s">
        <v>35</v>
      </c>
      <c r="C18683">
        <v>68936</v>
      </c>
      <c r="D18683" t="str">
        <f>"68936"</f>
        <v>68936</v>
      </c>
      <c r="E18683">
        <v>50</v>
      </c>
    </row>
    <row r="18684" spans="1:5" x14ac:dyDescent="0.2">
      <c r="A18684">
        <v>68937</v>
      </c>
      <c r="B18684" t="s">
        <v>35</v>
      </c>
      <c r="C18684">
        <v>68937</v>
      </c>
      <c r="D18684" t="str">
        <f>"68937"</f>
        <v>68937</v>
      </c>
      <c r="E18684">
        <v>76.47</v>
      </c>
    </row>
    <row r="18685" spans="1:5" x14ac:dyDescent="0.2">
      <c r="A18685">
        <v>68938</v>
      </c>
      <c r="B18685" t="s">
        <v>35</v>
      </c>
      <c r="C18685">
        <v>68938</v>
      </c>
      <c r="D18685" t="str">
        <f>"68938"</f>
        <v>68938</v>
      </c>
      <c r="E18685">
        <v>73.08</v>
      </c>
    </row>
    <row r="18686" spans="1:5" x14ac:dyDescent="0.2">
      <c r="A18686">
        <v>68939</v>
      </c>
      <c r="B18686" t="s">
        <v>35</v>
      </c>
      <c r="C18686">
        <v>68939</v>
      </c>
      <c r="D18686" t="str">
        <f>"68939"</f>
        <v>68939</v>
      </c>
      <c r="E18686">
        <v>69.23</v>
      </c>
    </row>
    <row r="18687" spans="1:5" x14ac:dyDescent="0.2">
      <c r="A18687">
        <v>68940</v>
      </c>
      <c r="B18687" t="s">
        <v>35</v>
      </c>
      <c r="C18687">
        <v>68940</v>
      </c>
      <c r="D18687" t="str">
        <f>"68940"</f>
        <v>68940</v>
      </c>
      <c r="E18687">
        <v>61.9</v>
      </c>
    </row>
    <row r="18688" spans="1:5" x14ac:dyDescent="0.2">
      <c r="A18688">
        <v>68941</v>
      </c>
      <c r="B18688" t="s">
        <v>35</v>
      </c>
      <c r="C18688">
        <v>68941</v>
      </c>
      <c r="D18688" t="str">
        <f>"68941"</f>
        <v>68941</v>
      </c>
      <c r="E18688">
        <v>77.14</v>
      </c>
    </row>
    <row r="18689" spans="1:5" x14ac:dyDescent="0.2">
      <c r="A18689">
        <v>68942</v>
      </c>
      <c r="B18689" t="s">
        <v>35</v>
      </c>
      <c r="C18689">
        <v>68942</v>
      </c>
      <c r="D18689" t="str">
        <f>"68942"</f>
        <v>68942</v>
      </c>
      <c r="E18689">
        <v>62.5</v>
      </c>
    </row>
    <row r="18690" spans="1:5" x14ac:dyDescent="0.2">
      <c r="A18690">
        <v>68943</v>
      </c>
      <c r="B18690" t="s">
        <v>35</v>
      </c>
      <c r="C18690">
        <v>68943</v>
      </c>
      <c r="D18690" t="str">
        <f>"68943"</f>
        <v>68943</v>
      </c>
      <c r="E18690">
        <v>63.64</v>
      </c>
    </row>
    <row r="18691" spans="1:5" x14ac:dyDescent="0.2">
      <c r="A18691">
        <v>68944</v>
      </c>
      <c r="B18691" t="s">
        <v>35</v>
      </c>
      <c r="C18691">
        <v>68944</v>
      </c>
      <c r="D18691" t="str">
        <f>"68944"</f>
        <v>68944</v>
      </c>
      <c r="E18691">
        <v>72</v>
      </c>
    </row>
    <row r="18692" spans="1:5" x14ac:dyDescent="0.2">
      <c r="A18692">
        <v>68945</v>
      </c>
      <c r="B18692" t="s">
        <v>35</v>
      </c>
      <c r="C18692">
        <v>68945</v>
      </c>
      <c r="D18692" t="str">
        <f>"68945"</f>
        <v>68945</v>
      </c>
      <c r="E18692">
        <v>80</v>
      </c>
    </row>
    <row r="18693" spans="1:5" x14ac:dyDescent="0.2">
      <c r="A18693">
        <v>68946</v>
      </c>
      <c r="B18693" t="s">
        <v>35</v>
      </c>
      <c r="C18693">
        <v>68946</v>
      </c>
      <c r="D18693" t="str">
        <f>"68946"</f>
        <v>68946</v>
      </c>
      <c r="E18693" t="s">
        <v>6</v>
      </c>
    </row>
    <row r="18694" spans="1:5" x14ac:dyDescent="0.2">
      <c r="A18694">
        <v>68947</v>
      </c>
      <c r="B18694" t="s">
        <v>35</v>
      </c>
      <c r="C18694">
        <v>68947</v>
      </c>
      <c r="D18694" t="str">
        <f>"68947"</f>
        <v>68947</v>
      </c>
      <c r="E18694">
        <v>80</v>
      </c>
    </row>
    <row r="18695" spans="1:5" x14ac:dyDescent="0.2">
      <c r="A18695">
        <v>68948</v>
      </c>
      <c r="B18695" t="s">
        <v>35</v>
      </c>
      <c r="C18695">
        <v>68948</v>
      </c>
      <c r="D18695" t="str">
        <f>"68948"</f>
        <v>68948</v>
      </c>
      <c r="E18695">
        <v>66.67</v>
      </c>
    </row>
    <row r="18696" spans="1:5" x14ac:dyDescent="0.2">
      <c r="A18696">
        <v>68949</v>
      </c>
      <c r="B18696" t="s">
        <v>35</v>
      </c>
      <c r="C18696">
        <v>68949</v>
      </c>
      <c r="D18696" t="str">
        <f>"68949"</f>
        <v>68949</v>
      </c>
      <c r="E18696">
        <v>73.48</v>
      </c>
    </row>
    <row r="18697" spans="1:5" x14ac:dyDescent="0.2">
      <c r="A18697">
        <v>68950</v>
      </c>
      <c r="B18697" t="s">
        <v>35</v>
      </c>
      <c r="C18697">
        <v>68950</v>
      </c>
      <c r="D18697" t="str">
        <f>"68950"</f>
        <v>68950</v>
      </c>
      <c r="E18697">
        <v>80</v>
      </c>
    </row>
    <row r="18698" spans="1:5" x14ac:dyDescent="0.2">
      <c r="A18698">
        <v>68952</v>
      </c>
      <c r="B18698" t="s">
        <v>35</v>
      </c>
      <c r="C18698">
        <v>68952</v>
      </c>
      <c r="D18698" t="str">
        <f>"68952"</f>
        <v>68952</v>
      </c>
      <c r="E18698" t="s">
        <v>6</v>
      </c>
    </row>
    <row r="18699" spans="1:5" x14ac:dyDescent="0.2">
      <c r="A18699">
        <v>68954</v>
      </c>
      <c r="B18699" t="s">
        <v>35</v>
      </c>
      <c r="C18699">
        <v>68954</v>
      </c>
      <c r="D18699" t="str">
        <f>"68954"</f>
        <v>68954</v>
      </c>
      <c r="E18699" t="s">
        <v>6</v>
      </c>
    </row>
    <row r="18700" spans="1:5" x14ac:dyDescent="0.2">
      <c r="A18700">
        <v>68955</v>
      </c>
      <c r="B18700" t="s">
        <v>35</v>
      </c>
      <c r="C18700">
        <v>68955</v>
      </c>
      <c r="D18700" t="str">
        <f>"68955"</f>
        <v>68955</v>
      </c>
      <c r="E18700">
        <v>76.239999999999995</v>
      </c>
    </row>
    <row r="18701" spans="1:5" x14ac:dyDescent="0.2">
      <c r="A18701">
        <v>68956</v>
      </c>
      <c r="B18701" t="s">
        <v>35</v>
      </c>
      <c r="C18701">
        <v>68956</v>
      </c>
      <c r="D18701" t="str">
        <f>"68956"</f>
        <v>68956</v>
      </c>
      <c r="E18701">
        <v>71.430000000000007</v>
      </c>
    </row>
    <row r="18702" spans="1:5" x14ac:dyDescent="0.2">
      <c r="A18702">
        <v>68957</v>
      </c>
      <c r="B18702" t="s">
        <v>35</v>
      </c>
      <c r="C18702">
        <v>68957</v>
      </c>
      <c r="D18702" t="str">
        <f>"68957"</f>
        <v>68957</v>
      </c>
      <c r="E18702">
        <v>71.430000000000007</v>
      </c>
    </row>
    <row r="18703" spans="1:5" x14ac:dyDescent="0.2">
      <c r="A18703">
        <v>68958</v>
      </c>
      <c r="B18703" t="s">
        <v>35</v>
      </c>
      <c r="C18703">
        <v>68958</v>
      </c>
      <c r="D18703" t="str">
        <f>"68958"</f>
        <v>68958</v>
      </c>
      <c r="E18703">
        <v>75.86</v>
      </c>
    </row>
    <row r="18704" spans="1:5" x14ac:dyDescent="0.2">
      <c r="A18704">
        <v>68959</v>
      </c>
      <c r="B18704" t="s">
        <v>35</v>
      </c>
      <c r="C18704">
        <v>68959</v>
      </c>
      <c r="D18704" t="str">
        <f>"68959"</f>
        <v>68959</v>
      </c>
      <c r="E18704">
        <v>74.73</v>
      </c>
    </row>
    <row r="18705" spans="1:5" x14ac:dyDescent="0.2">
      <c r="A18705">
        <v>68960</v>
      </c>
      <c r="B18705" t="s">
        <v>35</v>
      </c>
      <c r="C18705">
        <v>68960</v>
      </c>
      <c r="D18705" t="str">
        <f>"68960"</f>
        <v>68960</v>
      </c>
      <c r="E18705" t="s">
        <v>6</v>
      </c>
    </row>
    <row r="18706" spans="1:5" x14ac:dyDescent="0.2">
      <c r="A18706">
        <v>68961</v>
      </c>
      <c r="B18706" t="s">
        <v>35</v>
      </c>
      <c r="C18706">
        <v>68961</v>
      </c>
      <c r="D18706" t="str">
        <f>"68961"</f>
        <v>68961</v>
      </c>
      <c r="E18706">
        <v>76.47</v>
      </c>
    </row>
    <row r="18707" spans="1:5" x14ac:dyDescent="0.2">
      <c r="A18707">
        <v>68964</v>
      </c>
      <c r="B18707" t="s">
        <v>35</v>
      </c>
      <c r="C18707">
        <v>68964</v>
      </c>
      <c r="D18707" t="str">
        <f>"68964"</f>
        <v>68964</v>
      </c>
      <c r="E18707" t="s">
        <v>6</v>
      </c>
    </row>
    <row r="18708" spans="1:5" x14ac:dyDescent="0.2">
      <c r="A18708">
        <v>68966</v>
      </c>
      <c r="B18708" t="s">
        <v>35</v>
      </c>
      <c r="C18708">
        <v>68966</v>
      </c>
      <c r="D18708" t="str">
        <f>"68966"</f>
        <v>68966</v>
      </c>
      <c r="E18708">
        <v>70</v>
      </c>
    </row>
    <row r="18709" spans="1:5" x14ac:dyDescent="0.2">
      <c r="A18709">
        <v>68967</v>
      </c>
      <c r="B18709" t="s">
        <v>35</v>
      </c>
      <c r="C18709">
        <v>68967</v>
      </c>
      <c r="D18709" t="str">
        <f>"68967"</f>
        <v>68967</v>
      </c>
      <c r="E18709">
        <v>70</v>
      </c>
    </row>
    <row r="18710" spans="1:5" x14ac:dyDescent="0.2">
      <c r="A18710">
        <v>68969</v>
      </c>
      <c r="B18710" t="s">
        <v>35</v>
      </c>
      <c r="C18710">
        <v>68969</v>
      </c>
      <c r="D18710" t="str">
        <f>"68969"</f>
        <v>68969</v>
      </c>
      <c r="E18710" t="s">
        <v>6</v>
      </c>
    </row>
    <row r="18711" spans="1:5" x14ac:dyDescent="0.2">
      <c r="A18711">
        <v>68970</v>
      </c>
      <c r="B18711" t="s">
        <v>35</v>
      </c>
      <c r="C18711">
        <v>68970</v>
      </c>
      <c r="D18711" t="str">
        <f>"68970"</f>
        <v>68970</v>
      </c>
      <c r="E18711">
        <v>67.86</v>
      </c>
    </row>
    <row r="18712" spans="1:5" x14ac:dyDescent="0.2">
      <c r="A18712">
        <v>68971</v>
      </c>
      <c r="B18712" t="s">
        <v>35</v>
      </c>
      <c r="C18712">
        <v>68971</v>
      </c>
      <c r="D18712" t="str">
        <f>"68971"</f>
        <v>68971</v>
      </c>
      <c r="E18712">
        <v>76.47</v>
      </c>
    </row>
    <row r="18713" spans="1:5" x14ac:dyDescent="0.2">
      <c r="A18713">
        <v>68972</v>
      </c>
      <c r="B18713" t="s">
        <v>35</v>
      </c>
      <c r="C18713">
        <v>68972</v>
      </c>
      <c r="D18713" t="str">
        <f>"68972"</f>
        <v>68972</v>
      </c>
      <c r="E18713" t="s">
        <v>6</v>
      </c>
    </row>
    <row r="18714" spans="1:5" x14ac:dyDescent="0.2">
      <c r="A18714">
        <v>68973</v>
      </c>
      <c r="B18714" t="s">
        <v>35</v>
      </c>
      <c r="C18714">
        <v>68973</v>
      </c>
      <c r="D18714" t="str">
        <f>"68973"</f>
        <v>68973</v>
      </c>
      <c r="E18714">
        <v>80</v>
      </c>
    </row>
    <row r="18715" spans="1:5" x14ac:dyDescent="0.2">
      <c r="A18715">
        <v>68974</v>
      </c>
      <c r="B18715" t="s">
        <v>35</v>
      </c>
      <c r="C18715">
        <v>68974</v>
      </c>
      <c r="D18715" t="str">
        <f>"68974"</f>
        <v>68974</v>
      </c>
      <c r="E18715" t="s">
        <v>6</v>
      </c>
    </row>
    <row r="18716" spans="1:5" x14ac:dyDescent="0.2">
      <c r="A18716">
        <v>68975</v>
      </c>
      <c r="B18716" t="s">
        <v>35</v>
      </c>
      <c r="C18716">
        <v>68975</v>
      </c>
      <c r="D18716" t="str">
        <f>"68975"</f>
        <v>68975</v>
      </c>
      <c r="E18716" t="s">
        <v>6</v>
      </c>
    </row>
    <row r="18717" spans="1:5" x14ac:dyDescent="0.2">
      <c r="A18717">
        <v>68976</v>
      </c>
      <c r="B18717" t="s">
        <v>35</v>
      </c>
      <c r="C18717">
        <v>68976</v>
      </c>
      <c r="D18717" t="str">
        <f>"68976"</f>
        <v>68976</v>
      </c>
      <c r="E18717" t="s">
        <v>6</v>
      </c>
    </row>
    <row r="18718" spans="1:5" x14ac:dyDescent="0.2">
      <c r="A18718">
        <v>68977</v>
      </c>
      <c r="B18718" t="s">
        <v>35</v>
      </c>
      <c r="C18718">
        <v>68977</v>
      </c>
      <c r="D18718" t="str">
        <f>"68977"</f>
        <v>68977</v>
      </c>
      <c r="E18718">
        <v>72.73</v>
      </c>
    </row>
    <row r="18719" spans="1:5" x14ac:dyDescent="0.2">
      <c r="A18719">
        <v>68978</v>
      </c>
      <c r="B18719" t="s">
        <v>35</v>
      </c>
      <c r="C18719">
        <v>68978</v>
      </c>
      <c r="D18719" t="str">
        <f>"68978"</f>
        <v>68978</v>
      </c>
      <c r="E18719">
        <v>71</v>
      </c>
    </row>
    <row r="18720" spans="1:5" x14ac:dyDescent="0.2">
      <c r="A18720">
        <v>68979</v>
      </c>
      <c r="B18720" t="s">
        <v>35</v>
      </c>
      <c r="C18720">
        <v>68979</v>
      </c>
      <c r="D18720" t="str">
        <f>"68979"</f>
        <v>68979</v>
      </c>
      <c r="E18720">
        <v>73.260000000000005</v>
      </c>
    </row>
    <row r="18721" spans="1:5" x14ac:dyDescent="0.2">
      <c r="A18721">
        <v>68980</v>
      </c>
      <c r="B18721" t="s">
        <v>35</v>
      </c>
      <c r="C18721">
        <v>68980</v>
      </c>
      <c r="D18721" t="str">
        <f>"68980"</f>
        <v>68980</v>
      </c>
      <c r="E18721">
        <v>77.78</v>
      </c>
    </row>
    <row r="18722" spans="1:5" x14ac:dyDescent="0.2">
      <c r="A18722">
        <v>68981</v>
      </c>
      <c r="B18722" t="s">
        <v>35</v>
      </c>
      <c r="C18722">
        <v>68981</v>
      </c>
      <c r="D18722" t="str">
        <f>"68981"</f>
        <v>68981</v>
      </c>
      <c r="E18722">
        <v>64.290000000000006</v>
      </c>
    </row>
    <row r="18723" spans="1:5" x14ac:dyDescent="0.2">
      <c r="A18723">
        <v>68982</v>
      </c>
      <c r="B18723" t="s">
        <v>35</v>
      </c>
      <c r="C18723">
        <v>68982</v>
      </c>
      <c r="D18723" t="str">
        <f>"68982"</f>
        <v>68982</v>
      </c>
      <c r="E18723">
        <v>73.33</v>
      </c>
    </row>
    <row r="18724" spans="1:5" x14ac:dyDescent="0.2">
      <c r="A18724">
        <v>69001</v>
      </c>
      <c r="B18724" t="s">
        <v>35</v>
      </c>
      <c r="C18724">
        <v>69001</v>
      </c>
      <c r="D18724" t="str">
        <f>"69001"</f>
        <v>69001</v>
      </c>
      <c r="E18724">
        <v>72.709999999999994</v>
      </c>
    </row>
    <row r="18725" spans="1:5" x14ac:dyDescent="0.2">
      <c r="A18725">
        <v>69020</v>
      </c>
      <c r="B18725" t="s">
        <v>35</v>
      </c>
      <c r="C18725">
        <v>69020</v>
      </c>
      <c r="D18725" t="str">
        <f>"69020"</f>
        <v>69020</v>
      </c>
      <c r="E18725">
        <v>66.67</v>
      </c>
    </row>
    <row r="18726" spans="1:5" x14ac:dyDescent="0.2">
      <c r="A18726">
        <v>69021</v>
      </c>
      <c r="B18726" t="s">
        <v>35</v>
      </c>
      <c r="C18726">
        <v>69021</v>
      </c>
      <c r="D18726" t="str">
        <f>"69021"</f>
        <v>69021</v>
      </c>
      <c r="E18726">
        <v>74.510000000000005</v>
      </c>
    </row>
    <row r="18727" spans="1:5" x14ac:dyDescent="0.2">
      <c r="A18727">
        <v>69022</v>
      </c>
      <c r="B18727" t="s">
        <v>35</v>
      </c>
      <c r="C18727">
        <v>69022</v>
      </c>
      <c r="D18727" t="str">
        <f>"69022"</f>
        <v>69022</v>
      </c>
      <c r="E18727">
        <v>70.42</v>
      </c>
    </row>
    <row r="18728" spans="1:5" x14ac:dyDescent="0.2">
      <c r="A18728">
        <v>69023</v>
      </c>
      <c r="B18728" t="s">
        <v>35</v>
      </c>
      <c r="C18728">
        <v>69023</v>
      </c>
      <c r="D18728" t="str">
        <f>"69023"</f>
        <v>69023</v>
      </c>
      <c r="E18728">
        <v>70.59</v>
      </c>
    </row>
    <row r="18729" spans="1:5" x14ac:dyDescent="0.2">
      <c r="A18729">
        <v>69024</v>
      </c>
      <c r="B18729" t="s">
        <v>35</v>
      </c>
      <c r="C18729">
        <v>69024</v>
      </c>
      <c r="D18729" t="str">
        <f>"69024"</f>
        <v>69024</v>
      </c>
      <c r="E18729">
        <v>68</v>
      </c>
    </row>
    <row r="18730" spans="1:5" x14ac:dyDescent="0.2">
      <c r="A18730">
        <v>69025</v>
      </c>
      <c r="B18730" t="s">
        <v>35</v>
      </c>
      <c r="C18730">
        <v>69025</v>
      </c>
      <c r="D18730" t="str">
        <f>"69025"</f>
        <v>69025</v>
      </c>
      <c r="E18730">
        <v>67.44</v>
      </c>
    </row>
    <row r="18731" spans="1:5" x14ac:dyDescent="0.2">
      <c r="A18731">
        <v>69026</v>
      </c>
      <c r="B18731" t="s">
        <v>35</v>
      </c>
      <c r="C18731">
        <v>69026</v>
      </c>
      <c r="D18731" t="str">
        <f>"69026"</f>
        <v>69026</v>
      </c>
      <c r="E18731" t="s">
        <v>6</v>
      </c>
    </row>
    <row r="18732" spans="1:5" x14ac:dyDescent="0.2">
      <c r="A18732">
        <v>69027</v>
      </c>
      <c r="B18732" t="s">
        <v>35</v>
      </c>
      <c r="C18732">
        <v>69027</v>
      </c>
      <c r="D18732" t="str">
        <f>"69027"</f>
        <v>69027</v>
      </c>
      <c r="E18732" t="s">
        <v>6</v>
      </c>
    </row>
    <row r="18733" spans="1:5" x14ac:dyDescent="0.2">
      <c r="A18733">
        <v>69028</v>
      </c>
      <c r="B18733" t="s">
        <v>35</v>
      </c>
      <c r="C18733">
        <v>69028</v>
      </c>
      <c r="D18733" t="str">
        <f>"69028"</f>
        <v>69028</v>
      </c>
      <c r="E18733">
        <v>73.53</v>
      </c>
    </row>
    <row r="18734" spans="1:5" x14ac:dyDescent="0.2">
      <c r="A18734">
        <v>69029</v>
      </c>
      <c r="B18734" t="s">
        <v>35</v>
      </c>
      <c r="C18734">
        <v>69029</v>
      </c>
      <c r="D18734" t="str">
        <f>"69029"</f>
        <v>69029</v>
      </c>
      <c r="E18734">
        <v>60</v>
      </c>
    </row>
    <row r="18735" spans="1:5" x14ac:dyDescent="0.2">
      <c r="A18735">
        <v>69030</v>
      </c>
      <c r="B18735" t="s">
        <v>35</v>
      </c>
      <c r="C18735">
        <v>69030</v>
      </c>
      <c r="D18735" t="str">
        <f>"69030"</f>
        <v>69030</v>
      </c>
      <c r="E18735">
        <v>61.54</v>
      </c>
    </row>
    <row r="18736" spans="1:5" x14ac:dyDescent="0.2">
      <c r="A18736">
        <v>69032</v>
      </c>
      <c r="B18736" t="s">
        <v>35</v>
      </c>
      <c r="C18736">
        <v>69032</v>
      </c>
      <c r="D18736" t="str">
        <f>"69032"</f>
        <v>69032</v>
      </c>
      <c r="E18736">
        <v>68.42</v>
      </c>
    </row>
    <row r="18737" spans="1:5" x14ac:dyDescent="0.2">
      <c r="A18737">
        <v>69033</v>
      </c>
      <c r="B18737" t="s">
        <v>35</v>
      </c>
      <c r="C18737">
        <v>69033</v>
      </c>
      <c r="D18737" t="str">
        <f>"69033"</f>
        <v>69033</v>
      </c>
      <c r="E18737">
        <v>73.28</v>
      </c>
    </row>
    <row r="18738" spans="1:5" x14ac:dyDescent="0.2">
      <c r="A18738">
        <v>69034</v>
      </c>
      <c r="B18738" t="s">
        <v>35</v>
      </c>
      <c r="C18738">
        <v>69034</v>
      </c>
      <c r="D18738" t="str">
        <f>"69034"</f>
        <v>69034</v>
      </c>
      <c r="E18738">
        <v>74.36</v>
      </c>
    </row>
    <row r="18739" spans="1:5" x14ac:dyDescent="0.2">
      <c r="A18739">
        <v>69036</v>
      </c>
      <c r="B18739" t="s">
        <v>35</v>
      </c>
      <c r="C18739">
        <v>69036</v>
      </c>
      <c r="D18739" t="str">
        <f>"69036"</f>
        <v>69036</v>
      </c>
      <c r="E18739" t="s">
        <v>6</v>
      </c>
    </row>
    <row r="18740" spans="1:5" x14ac:dyDescent="0.2">
      <c r="A18740">
        <v>69037</v>
      </c>
      <c r="B18740" t="s">
        <v>35</v>
      </c>
      <c r="C18740">
        <v>69037</v>
      </c>
      <c r="D18740" t="str">
        <f>"69037"</f>
        <v>69037</v>
      </c>
      <c r="E18740" t="s">
        <v>6</v>
      </c>
    </row>
    <row r="18741" spans="1:5" x14ac:dyDescent="0.2">
      <c r="A18741">
        <v>69038</v>
      </c>
      <c r="B18741" t="s">
        <v>35</v>
      </c>
      <c r="C18741">
        <v>69038</v>
      </c>
      <c r="D18741" t="str">
        <f>"69038"</f>
        <v>69038</v>
      </c>
      <c r="E18741">
        <v>63.16</v>
      </c>
    </row>
    <row r="18742" spans="1:5" x14ac:dyDescent="0.2">
      <c r="A18742">
        <v>69039</v>
      </c>
      <c r="B18742" t="s">
        <v>35</v>
      </c>
      <c r="C18742">
        <v>69039</v>
      </c>
      <c r="D18742" t="str">
        <f>"69039"</f>
        <v>69039</v>
      </c>
      <c r="E18742" t="s">
        <v>6</v>
      </c>
    </row>
    <row r="18743" spans="1:5" x14ac:dyDescent="0.2">
      <c r="A18743">
        <v>69040</v>
      </c>
      <c r="B18743" t="s">
        <v>35</v>
      </c>
      <c r="C18743">
        <v>69040</v>
      </c>
      <c r="D18743" t="str">
        <f>"69040"</f>
        <v>69040</v>
      </c>
      <c r="E18743">
        <v>72.73</v>
      </c>
    </row>
    <row r="18744" spans="1:5" x14ac:dyDescent="0.2">
      <c r="A18744">
        <v>69041</v>
      </c>
      <c r="B18744" t="s">
        <v>35</v>
      </c>
      <c r="C18744">
        <v>69041</v>
      </c>
      <c r="D18744" t="str">
        <f>"69041"</f>
        <v>69041</v>
      </c>
      <c r="E18744" t="s">
        <v>6</v>
      </c>
    </row>
    <row r="18745" spans="1:5" x14ac:dyDescent="0.2">
      <c r="A18745">
        <v>69042</v>
      </c>
      <c r="B18745" t="s">
        <v>35</v>
      </c>
      <c r="C18745">
        <v>69042</v>
      </c>
      <c r="D18745" t="str">
        <f>"69042"</f>
        <v>69042</v>
      </c>
      <c r="E18745" t="s">
        <v>6</v>
      </c>
    </row>
    <row r="18746" spans="1:5" x14ac:dyDescent="0.2">
      <c r="A18746">
        <v>69043</v>
      </c>
      <c r="B18746" t="s">
        <v>35</v>
      </c>
      <c r="C18746">
        <v>69043</v>
      </c>
      <c r="D18746" t="str">
        <f>"69043"</f>
        <v>69043</v>
      </c>
      <c r="E18746">
        <v>65</v>
      </c>
    </row>
    <row r="18747" spans="1:5" x14ac:dyDescent="0.2">
      <c r="A18747">
        <v>69044</v>
      </c>
      <c r="B18747" t="s">
        <v>35</v>
      </c>
      <c r="C18747">
        <v>69044</v>
      </c>
      <c r="D18747" t="str">
        <f>"69044"</f>
        <v>69044</v>
      </c>
      <c r="E18747">
        <v>67.650000000000006</v>
      </c>
    </row>
    <row r="18748" spans="1:5" x14ac:dyDescent="0.2">
      <c r="A18748">
        <v>69045</v>
      </c>
      <c r="B18748" t="s">
        <v>35</v>
      </c>
      <c r="C18748">
        <v>69045</v>
      </c>
      <c r="D18748" t="str">
        <f>"69045"</f>
        <v>69045</v>
      </c>
      <c r="E18748">
        <v>64.099999999999994</v>
      </c>
    </row>
    <row r="18749" spans="1:5" x14ac:dyDescent="0.2">
      <c r="A18749">
        <v>69046</v>
      </c>
      <c r="B18749" t="s">
        <v>35</v>
      </c>
      <c r="C18749">
        <v>69046</v>
      </c>
      <c r="D18749" t="str">
        <f>"69046"</f>
        <v>69046</v>
      </c>
      <c r="E18749" t="s">
        <v>6</v>
      </c>
    </row>
    <row r="18750" spans="1:5" x14ac:dyDescent="0.2">
      <c r="A18750">
        <v>69101</v>
      </c>
      <c r="B18750" t="s">
        <v>35</v>
      </c>
      <c r="C18750">
        <v>69101</v>
      </c>
      <c r="D18750" t="str">
        <f>"69101"</f>
        <v>69101</v>
      </c>
      <c r="E18750">
        <v>72.45</v>
      </c>
    </row>
    <row r="18751" spans="1:5" x14ac:dyDescent="0.2">
      <c r="A18751">
        <v>69120</v>
      </c>
      <c r="B18751" t="s">
        <v>35</v>
      </c>
      <c r="C18751">
        <v>69120</v>
      </c>
      <c r="D18751" t="str">
        <f>"69120"</f>
        <v>69120</v>
      </c>
      <c r="E18751">
        <v>69.05</v>
      </c>
    </row>
    <row r="18752" spans="1:5" x14ac:dyDescent="0.2">
      <c r="A18752">
        <v>69121</v>
      </c>
      <c r="B18752" t="s">
        <v>35</v>
      </c>
      <c r="C18752">
        <v>69121</v>
      </c>
      <c r="D18752" t="str">
        <f>"69121"</f>
        <v>69121</v>
      </c>
      <c r="E18752">
        <v>66.67</v>
      </c>
    </row>
    <row r="18753" spans="1:5" x14ac:dyDescent="0.2">
      <c r="A18753">
        <v>69122</v>
      </c>
      <c r="B18753" t="s">
        <v>35</v>
      </c>
      <c r="C18753">
        <v>69122</v>
      </c>
      <c r="D18753" t="str">
        <f>"69122"</f>
        <v>69122</v>
      </c>
      <c r="E18753">
        <v>66.67</v>
      </c>
    </row>
    <row r="18754" spans="1:5" x14ac:dyDescent="0.2">
      <c r="A18754">
        <v>69123</v>
      </c>
      <c r="B18754" t="s">
        <v>35</v>
      </c>
      <c r="C18754">
        <v>69123</v>
      </c>
      <c r="D18754" t="str">
        <f>"69123"</f>
        <v>69123</v>
      </c>
      <c r="E18754">
        <v>71.790000000000006</v>
      </c>
    </row>
    <row r="18755" spans="1:5" x14ac:dyDescent="0.2">
      <c r="A18755">
        <v>69125</v>
      </c>
      <c r="B18755" t="s">
        <v>35</v>
      </c>
      <c r="C18755">
        <v>69125</v>
      </c>
      <c r="D18755" t="str">
        <f>"69125"</f>
        <v>69125</v>
      </c>
      <c r="E18755">
        <v>61.54</v>
      </c>
    </row>
    <row r="18756" spans="1:5" x14ac:dyDescent="0.2">
      <c r="A18756">
        <v>69127</v>
      </c>
      <c r="B18756" t="s">
        <v>35</v>
      </c>
      <c r="C18756">
        <v>69127</v>
      </c>
      <c r="D18756" t="str">
        <f>"69127"</f>
        <v>69127</v>
      </c>
      <c r="E18756">
        <v>68.75</v>
      </c>
    </row>
    <row r="18757" spans="1:5" x14ac:dyDescent="0.2">
      <c r="A18757">
        <v>69128</v>
      </c>
      <c r="B18757" t="s">
        <v>35</v>
      </c>
      <c r="C18757">
        <v>69128</v>
      </c>
      <c r="D18757" t="str">
        <f>"69128"</f>
        <v>69128</v>
      </c>
      <c r="E18757">
        <v>66.67</v>
      </c>
    </row>
    <row r="18758" spans="1:5" x14ac:dyDescent="0.2">
      <c r="A18758">
        <v>69129</v>
      </c>
      <c r="B18758" t="s">
        <v>35</v>
      </c>
      <c r="C18758">
        <v>69129</v>
      </c>
      <c r="D18758" t="str">
        <f>"69129"</f>
        <v>69129</v>
      </c>
      <c r="E18758">
        <v>69.81</v>
      </c>
    </row>
    <row r="18759" spans="1:5" x14ac:dyDescent="0.2">
      <c r="A18759">
        <v>69130</v>
      </c>
      <c r="B18759" t="s">
        <v>35</v>
      </c>
      <c r="C18759">
        <v>69130</v>
      </c>
      <c r="D18759" t="str">
        <f>"69130"</f>
        <v>69130</v>
      </c>
      <c r="E18759">
        <v>69.569999999999993</v>
      </c>
    </row>
    <row r="18760" spans="1:5" x14ac:dyDescent="0.2">
      <c r="A18760">
        <v>69131</v>
      </c>
      <c r="B18760" t="s">
        <v>35</v>
      </c>
      <c r="C18760">
        <v>69131</v>
      </c>
      <c r="D18760" t="str">
        <f>"69131"</f>
        <v>69131</v>
      </c>
      <c r="E18760">
        <v>74.069999999999993</v>
      </c>
    </row>
    <row r="18761" spans="1:5" x14ac:dyDescent="0.2">
      <c r="A18761">
        <v>69132</v>
      </c>
      <c r="B18761" t="s">
        <v>35</v>
      </c>
      <c r="C18761">
        <v>69132</v>
      </c>
      <c r="D18761" t="str">
        <f>"69132"</f>
        <v>69132</v>
      </c>
      <c r="E18761" t="s">
        <v>6</v>
      </c>
    </row>
    <row r="18762" spans="1:5" x14ac:dyDescent="0.2">
      <c r="A18762">
        <v>69133</v>
      </c>
      <c r="B18762" t="s">
        <v>35</v>
      </c>
      <c r="C18762">
        <v>69133</v>
      </c>
      <c r="D18762" t="str">
        <f>"69133"</f>
        <v>69133</v>
      </c>
      <c r="E18762">
        <v>68.75</v>
      </c>
    </row>
    <row r="18763" spans="1:5" x14ac:dyDescent="0.2">
      <c r="A18763">
        <v>69134</v>
      </c>
      <c r="B18763" t="s">
        <v>35</v>
      </c>
      <c r="C18763">
        <v>69134</v>
      </c>
      <c r="D18763" t="str">
        <f>"69134"</f>
        <v>69134</v>
      </c>
      <c r="E18763">
        <v>61.54</v>
      </c>
    </row>
    <row r="18764" spans="1:5" x14ac:dyDescent="0.2">
      <c r="A18764">
        <v>69135</v>
      </c>
      <c r="B18764" t="s">
        <v>35</v>
      </c>
      <c r="C18764">
        <v>69135</v>
      </c>
      <c r="D18764" t="str">
        <f>"69135"</f>
        <v>69135</v>
      </c>
      <c r="E18764" t="s">
        <v>6</v>
      </c>
    </row>
    <row r="18765" spans="1:5" x14ac:dyDescent="0.2">
      <c r="A18765">
        <v>69138</v>
      </c>
      <c r="B18765" t="s">
        <v>35</v>
      </c>
      <c r="C18765">
        <v>69138</v>
      </c>
      <c r="D18765" t="str">
        <f>"69138"</f>
        <v>69138</v>
      </c>
      <c r="E18765">
        <v>71</v>
      </c>
    </row>
    <row r="18766" spans="1:5" x14ac:dyDescent="0.2">
      <c r="A18766">
        <v>69140</v>
      </c>
      <c r="B18766" t="s">
        <v>35</v>
      </c>
      <c r="C18766">
        <v>69140</v>
      </c>
      <c r="D18766" t="str">
        <f>"69140"</f>
        <v>69140</v>
      </c>
      <c r="E18766">
        <v>73.08</v>
      </c>
    </row>
    <row r="18767" spans="1:5" x14ac:dyDescent="0.2">
      <c r="A18767">
        <v>69141</v>
      </c>
      <c r="B18767" t="s">
        <v>35</v>
      </c>
      <c r="C18767">
        <v>69141</v>
      </c>
      <c r="D18767" t="str">
        <f>"69141"</f>
        <v>69141</v>
      </c>
      <c r="E18767">
        <v>82.35</v>
      </c>
    </row>
    <row r="18768" spans="1:5" x14ac:dyDescent="0.2">
      <c r="A18768">
        <v>69142</v>
      </c>
      <c r="B18768" t="s">
        <v>35</v>
      </c>
      <c r="C18768">
        <v>69142</v>
      </c>
      <c r="D18768" t="str">
        <f>"69142"</f>
        <v>69142</v>
      </c>
      <c r="E18768" t="s">
        <v>6</v>
      </c>
    </row>
    <row r="18769" spans="1:5" x14ac:dyDescent="0.2">
      <c r="A18769">
        <v>69143</v>
      </c>
      <c r="B18769" t="s">
        <v>35</v>
      </c>
      <c r="C18769">
        <v>69143</v>
      </c>
      <c r="D18769" t="str">
        <f>"69143"</f>
        <v>69143</v>
      </c>
      <c r="E18769">
        <v>75.36</v>
      </c>
    </row>
    <row r="18770" spans="1:5" x14ac:dyDescent="0.2">
      <c r="A18770">
        <v>69144</v>
      </c>
      <c r="B18770" t="s">
        <v>35</v>
      </c>
      <c r="C18770">
        <v>69144</v>
      </c>
      <c r="D18770" t="str">
        <f>"69144"</f>
        <v>69144</v>
      </c>
      <c r="E18770">
        <v>60</v>
      </c>
    </row>
    <row r="18771" spans="1:5" x14ac:dyDescent="0.2">
      <c r="A18771">
        <v>69145</v>
      </c>
      <c r="B18771" t="s">
        <v>35</v>
      </c>
      <c r="C18771">
        <v>69145</v>
      </c>
      <c r="D18771" t="str">
        <f>"69145"</f>
        <v>69145</v>
      </c>
      <c r="E18771">
        <v>71.319999999999993</v>
      </c>
    </row>
    <row r="18772" spans="1:5" x14ac:dyDescent="0.2">
      <c r="A18772">
        <v>69146</v>
      </c>
      <c r="B18772" t="s">
        <v>35</v>
      </c>
      <c r="C18772">
        <v>69146</v>
      </c>
      <c r="D18772" t="str">
        <f>"69146"</f>
        <v>69146</v>
      </c>
      <c r="E18772">
        <v>75</v>
      </c>
    </row>
    <row r="18773" spans="1:5" x14ac:dyDescent="0.2">
      <c r="A18773">
        <v>69147</v>
      </c>
      <c r="B18773" t="s">
        <v>35</v>
      </c>
      <c r="C18773">
        <v>69147</v>
      </c>
      <c r="D18773" t="str">
        <f>"69147"</f>
        <v>69147</v>
      </c>
      <c r="E18773">
        <v>60.71</v>
      </c>
    </row>
    <row r="18774" spans="1:5" x14ac:dyDescent="0.2">
      <c r="A18774">
        <v>69148</v>
      </c>
      <c r="B18774" t="s">
        <v>35</v>
      </c>
      <c r="C18774">
        <v>69148</v>
      </c>
      <c r="D18774" t="str">
        <f>"69148"</f>
        <v>69148</v>
      </c>
      <c r="E18774" t="s">
        <v>6</v>
      </c>
    </row>
    <row r="18775" spans="1:5" x14ac:dyDescent="0.2">
      <c r="A18775">
        <v>69149</v>
      </c>
      <c r="B18775" t="s">
        <v>35</v>
      </c>
      <c r="C18775">
        <v>69149</v>
      </c>
      <c r="D18775" t="str">
        <f>"69149"</f>
        <v>69149</v>
      </c>
      <c r="E18775">
        <v>65.63</v>
      </c>
    </row>
    <row r="18776" spans="1:5" x14ac:dyDescent="0.2">
      <c r="A18776">
        <v>69150</v>
      </c>
      <c r="B18776" t="s">
        <v>35</v>
      </c>
      <c r="C18776">
        <v>69150</v>
      </c>
      <c r="D18776" t="str">
        <f>"69150"</f>
        <v>69150</v>
      </c>
      <c r="E18776">
        <v>66.67</v>
      </c>
    </row>
    <row r="18777" spans="1:5" x14ac:dyDescent="0.2">
      <c r="A18777">
        <v>69151</v>
      </c>
      <c r="B18777" t="s">
        <v>35</v>
      </c>
      <c r="C18777">
        <v>69151</v>
      </c>
      <c r="D18777" t="str">
        <f>"69151"</f>
        <v>69151</v>
      </c>
      <c r="E18777">
        <v>74.290000000000006</v>
      </c>
    </row>
    <row r="18778" spans="1:5" x14ac:dyDescent="0.2">
      <c r="A18778">
        <v>69152</v>
      </c>
      <c r="B18778" t="s">
        <v>35</v>
      </c>
      <c r="C18778">
        <v>69152</v>
      </c>
      <c r="D18778" t="str">
        <f>"69152"</f>
        <v>69152</v>
      </c>
      <c r="E18778">
        <v>62.5</v>
      </c>
    </row>
    <row r="18779" spans="1:5" x14ac:dyDescent="0.2">
      <c r="A18779">
        <v>69153</v>
      </c>
      <c r="B18779" t="s">
        <v>35</v>
      </c>
      <c r="C18779">
        <v>69153</v>
      </c>
      <c r="D18779" t="str">
        <f>"69153"</f>
        <v>69153</v>
      </c>
      <c r="E18779">
        <v>70.650000000000006</v>
      </c>
    </row>
    <row r="18780" spans="1:5" x14ac:dyDescent="0.2">
      <c r="A18780">
        <v>69154</v>
      </c>
      <c r="B18780" t="s">
        <v>35</v>
      </c>
      <c r="C18780">
        <v>69154</v>
      </c>
      <c r="D18780" t="str">
        <f>"69154"</f>
        <v>69154</v>
      </c>
      <c r="E18780">
        <v>67.31</v>
      </c>
    </row>
    <row r="18781" spans="1:5" x14ac:dyDescent="0.2">
      <c r="A18781">
        <v>69155</v>
      </c>
      <c r="B18781" t="s">
        <v>35</v>
      </c>
      <c r="C18781">
        <v>69155</v>
      </c>
      <c r="D18781" t="str">
        <f>"69155"</f>
        <v>69155</v>
      </c>
      <c r="E18781">
        <v>72.73</v>
      </c>
    </row>
    <row r="18782" spans="1:5" x14ac:dyDescent="0.2">
      <c r="A18782">
        <v>69156</v>
      </c>
      <c r="B18782" t="s">
        <v>35</v>
      </c>
      <c r="C18782">
        <v>69156</v>
      </c>
      <c r="D18782" t="str">
        <f>"69156"</f>
        <v>69156</v>
      </c>
      <c r="E18782">
        <v>72.41</v>
      </c>
    </row>
    <row r="18783" spans="1:5" x14ac:dyDescent="0.2">
      <c r="A18783">
        <v>69157</v>
      </c>
      <c r="B18783" t="s">
        <v>35</v>
      </c>
      <c r="C18783">
        <v>69157</v>
      </c>
      <c r="D18783" t="str">
        <f>"69157"</f>
        <v>69157</v>
      </c>
      <c r="E18783" t="s">
        <v>6</v>
      </c>
    </row>
    <row r="18784" spans="1:5" x14ac:dyDescent="0.2">
      <c r="A18784">
        <v>69161</v>
      </c>
      <c r="B18784" t="s">
        <v>35</v>
      </c>
      <c r="C18784">
        <v>69161</v>
      </c>
      <c r="D18784" t="str">
        <f>"69161"</f>
        <v>69161</v>
      </c>
      <c r="E18784" t="s">
        <v>6</v>
      </c>
    </row>
    <row r="18785" spans="1:5" x14ac:dyDescent="0.2">
      <c r="A18785">
        <v>69162</v>
      </c>
      <c r="B18785" t="s">
        <v>35</v>
      </c>
      <c r="C18785">
        <v>69162</v>
      </c>
      <c r="D18785" t="str">
        <f>"69162"</f>
        <v>69162</v>
      </c>
      <c r="E18785">
        <v>73.569999999999993</v>
      </c>
    </row>
    <row r="18786" spans="1:5" x14ac:dyDescent="0.2">
      <c r="A18786">
        <v>69163</v>
      </c>
      <c r="B18786" t="s">
        <v>35</v>
      </c>
      <c r="C18786">
        <v>69163</v>
      </c>
      <c r="D18786" t="str">
        <f>"69163"</f>
        <v>69163</v>
      </c>
      <c r="E18786">
        <v>68.569999999999993</v>
      </c>
    </row>
    <row r="18787" spans="1:5" x14ac:dyDescent="0.2">
      <c r="A18787">
        <v>69165</v>
      </c>
      <c r="B18787" t="s">
        <v>35</v>
      </c>
      <c r="C18787">
        <v>69165</v>
      </c>
      <c r="D18787" t="str">
        <f>"69165"</f>
        <v>69165</v>
      </c>
      <c r="E18787">
        <v>72.150000000000006</v>
      </c>
    </row>
    <row r="18788" spans="1:5" x14ac:dyDescent="0.2">
      <c r="A18788">
        <v>69166</v>
      </c>
      <c r="B18788" t="s">
        <v>35</v>
      </c>
      <c r="C18788">
        <v>69166</v>
      </c>
      <c r="D18788" t="str">
        <f>"69166"</f>
        <v>69166</v>
      </c>
      <c r="E18788">
        <v>60</v>
      </c>
    </row>
    <row r="18789" spans="1:5" x14ac:dyDescent="0.2">
      <c r="A18789">
        <v>69167</v>
      </c>
      <c r="B18789" t="s">
        <v>35</v>
      </c>
      <c r="C18789">
        <v>69167</v>
      </c>
      <c r="D18789" t="str">
        <f>"69167"</f>
        <v>69167</v>
      </c>
      <c r="E18789">
        <v>62.5</v>
      </c>
    </row>
    <row r="18790" spans="1:5" x14ac:dyDescent="0.2">
      <c r="A18790">
        <v>69168</v>
      </c>
      <c r="B18790" t="s">
        <v>35</v>
      </c>
      <c r="C18790">
        <v>69168</v>
      </c>
      <c r="D18790" t="str">
        <f>"69168"</f>
        <v>69168</v>
      </c>
      <c r="E18790">
        <v>66.67</v>
      </c>
    </row>
    <row r="18791" spans="1:5" x14ac:dyDescent="0.2">
      <c r="A18791">
        <v>69169</v>
      </c>
      <c r="B18791" t="s">
        <v>35</v>
      </c>
      <c r="C18791">
        <v>69169</v>
      </c>
      <c r="D18791" t="str">
        <f>"69169"</f>
        <v>69169</v>
      </c>
      <c r="E18791">
        <v>70.83</v>
      </c>
    </row>
    <row r="18792" spans="1:5" x14ac:dyDescent="0.2">
      <c r="A18792">
        <v>69170</v>
      </c>
      <c r="B18792" t="s">
        <v>35</v>
      </c>
      <c r="C18792">
        <v>69170</v>
      </c>
      <c r="D18792" t="str">
        <f>"69170"</f>
        <v>69170</v>
      </c>
      <c r="E18792">
        <v>68.75</v>
      </c>
    </row>
    <row r="18793" spans="1:5" x14ac:dyDescent="0.2">
      <c r="A18793">
        <v>69171</v>
      </c>
      <c r="B18793" t="s">
        <v>35</v>
      </c>
      <c r="C18793">
        <v>69171</v>
      </c>
      <c r="D18793" t="str">
        <f>"69171"</f>
        <v>69171</v>
      </c>
      <c r="E18793" t="s">
        <v>6</v>
      </c>
    </row>
    <row r="18794" spans="1:5" x14ac:dyDescent="0.2">
      <c r="A18794">
        <v>69190</v>
      </c>
      <c r="B18794" t="s">
        <v>35</v>
      </c>
      <c r="C18794">
        <v>69190</v>
      </c>
      <c r="D18794" t="str">
        <f>"69190"</f>
        <v>69190</v>
      </c>
      <c r="E18794" t="s">
        <v>6</v>
      </c>
    </row>
    <row r="18795" spans="1:5" x14ac:dyDescent="0.2">
      <c r="A18795">
        <v>69201</v>
      </c>
      <c r="B18795" t="s">
        <v>35</v>
      </c>
      <c r="C18795">
        <v>69201</v>
      </c>
      <c r="D18795" t="str">
        <f>"69201"</f>
        <v>69201</v>
      </c>
      <c r="E18795">
        <v>69.19</v>
      </c>
    </row>
    <row r="18796" spans="1:5" x14ac:dyDescent="0.2">
      <c r="A18796">
        <v>69210</v>
      </c>
      <c r="B18796" t="s">
        <v>35</v>
      </c>
      <c r="C18796">
        <v>69210</v>
      </c>
      <c r="D18796" t="str">
        <f>"69210"</f>
        <v>69210</v>
      </c>
      <c r="E18796">
        <v>67.62</v>
      </c>
    </row>
    <row r="18797" spans="1:5" x14ac:dyDescent="0.2">
      <c r="A18797">
        <v>69211</v>
      </c>
      <c r="B18797" t="s">
        <v>35</v>
      </c>
      <c r="C18797">
        <v>69211</v>
      </c>
      <c r="D18797" t="str">
        <f>"69211"</f>
        <v>69211</v>
      </c>
      <c r="E18797">
        <v>66.67</v>
      </c>
    </row>
    <row r="18798" spans="1:5" x14ac:dyDescent="0.2">
      <c r="A18798">
        <v>69212</v>
      </c>
      <c r="B18798" t="s">
        <v>35</v>
      </c>
      <c r="C18798">
        <v>69212</v>
      </c>
      <c r="D18798" t="str">
        <f>"69212"</f>
        <v>69212</v>
      </c>
      <c r="E18798" t="s">
        <v>6</v>
      </c>
    </row>
    <row r="18799" spans="1:5" x14ac:dyDescent="0.2">
      <c r="A18799">
        <v>69214</v>
      </c>
      <c r="B18799" t="s">
        <v>35</v>
      </c>
      <c r="C18799">
        <v>69214</v>
      </c>
      <c r="D18799" t="str">
        <f>"69214"</f>
        <v>69214</v>
      </c>
      <c r="E18799" t="s">
        <v>6</v>
      </c>
    </row>
    <row r="18800" spans="1:5" x14ac:dyDescent="0.2">
      <c r="A18800">
        <v>69216</v>
      </c>
      <c r="B18800" t="s">
        <v>35</v>
      </c>
      <c r="C18800">
        <v>69216</v>
      </c>
      <c r="D18800" t="str">
        <f>"69216"</f>
        <v>69216</v>
      </c>
      <c r="E18800" t="s">
        <v>6</v>
      </c>
    </row>
    <row r="18801" spans="1:5" x14ac:dyDescent="0.2">
      <c r="A18801">
        <v>69217</v>
      </c>
      <c r="B18801" t="s">
        <v>35</v>
      </c>
      <c r="C18801">
        <v>69217</v>
      </c>
      <c r="D18801" t="str">
        <f>"69217"</f>
        <v>69217</v>
      </c>
      <c r="E18801">
        <v>68.180000000000007</v>
      </c>
    </row>
    <row r="18802" spans="1:5" x14ac:dyDescent="0.2">
      <c r="A18802">
        <v>69218</v>
      </c>
      <c r="B18802" t="s">
        <v>35</v>
      </c>
      <c r="C18802">
        <v>69218</v>
      </c>
      <c r="D18802" t="str">
        <f>"69218"</f>
        <v>69218</v>
      </c>
      <c r="E18802">
        <v>50</v>
      </c>
    </row>
    <row r="18803" spans="1:5" x14ac:dyDescent="0.2">
      <c r="A18803">
        <v>69219</v>
      </c>
      <c r="B18803" t="s">
        <v>35</v>
      </c>
      <c r="C18803">
        <v>69219</v>
      </c>
      <c r="D18803" t="str">
        <f>"69219"</f>
        <v>69219</v>
      </c>
      <c r="E18803" t="s">
        <v>6</v>
      </c>
    </row>
    <row r="18804" spans="1:5" x14ac:dyDescent="0.2">
      <c r="A18804">
        <v>69220</v>
      </c>
      <c r="B18804" t="s">
        <v>35</v>
      </c>
      <c r="C18804">
        <v>69220</v>
      </c>
      <c r="D18804" t="str">
        <f>"69220"</f>
        <v>69220</v>
      </c>
      <c r="E18804" t="s">
        <v>6</v>
      </c>
    </row>
    <row r="18805" spans="1:5" x14ac:dyDescent="0.2">
      <c r="A18805">
        <v>69221</v>
      </c>
      <c r="B18805" t="s">
        <v>35</v>
      </c>
      <c r="C18805">
        <v>69221</v>
      </c>
      <c r="D18805" t="str">
        <f>"69221"</f>
        <v>69221</v>
      </c>
      <c r="E18805" t="s">
        <v>6</v>
      </c>
    </row>
    <row r="18806" spans="1:5" x14ac:dyDescent="0.2">
      <c r="A18806">
        <v>69301</v>
      </c>
      <c r="B18806" t="s">
        <v>35</v>
      </c>
      <c r="C18806">
        <v>69301</v>
      </c>
      <c r="D18806" t="str">
        <f>"69301"</f>
        <v>69301</v>
      </c>
      <c r="E18806">
        <v>73.209999999999994</v>
      </c>
    </row>
    <row r="18807" spans="1:5" x14ac:dyDescent="0.2">
      <c r="A18807">
        <v>69331</v>
      </c>
      <c r="B18807" t="s">
        <v>35</v>
      </c>
      <c r="C18807">
        <v>69331</v>
      </c>
      <c r="D18807" t="str">
        <f>"69331"</f>
        <v>69331</v>
      </c>
      <c r="E18807" t="s">
        <v>6</v>
      </c>
    </row>
    <row r="18808" spans="1:5" x14ac:dyDescent="0.2">
      <c r="A18808">
        <v>69333</v>
      </c>
      <c r="B18808" t="s">
        <v>35</v>
      </c>
      <c r="C18808">
        <v>69333</v>
      </c>
      <c r="D18808" t="str">
        <f>"69333"</f>
        <v>69333</v>
      </c>
      <c r="E18808">
        <v>54.55</v>
      </c>
    </row>
    <row r="18809" spans="1:5" x14ac:dyDescent="0.2">
      <c r="A18809">
        <v>69334</v>
      </c>
      <c r="B18809" t="s">
        <v>35</v>
      </c>
      <c r="C18809">
        <v>69334</v>
      </c>
      <c r="D18809" t="str">
        <f>"69334"</f>
        <v>69334</v>
      </c>
      <c r="E18809">
        <v>67.39</v>
      </c>
    </row>
    <row r="18810" spans="1:5" x14ac:dyDescent="0.2">
      <c r="A18810">
        <v>69335</v>
      </c>
      <c r="B18810" t="s">
        <v>35</v>
      </c>
      <c r="C18810">
        <v>69335</v>
      </c>
      <c r="D18810" t="str">
        <f>"69335"</f>
        <v>69335</v>
      </c>
      <c r="E18810" t="s">
        <v>6</v>
      </c>
    </row>
    <row r="18811" spans="1:5" x14ac:dyDescent="0.2">
      <c r="A18811">
        <v>69336</v>
      </c>
      <c r="B18811" t="s">
        <v>35</v>
      </c>
      <c r="C18811">
        <v>69336</v>
      </c>
      <c r="D18811" t="str">
        <f>"69336"</f>
        <v>69336</v>
      </c>
      <c r="E18811">
        <v>70.59</v>
      </c>
    </row>
    <row r="18812" spans="1:5" x14ac:dyDescent="0.2">
      <c r="A18812">
        <v>69337</v>
      </c>
      <c r="B18812" t="s">
        <v>35</v>
      </c>
      <c r="C18812">
        <v>69337</v>
      </c>
      <c r="D18812" t="str">
        <f>"69337"</f>
        <v>69337</v>
      </c>
      <c r="E18812">
        <v>69.11</v>
      </c>
    </row>
    <row r="18813" spans="1:5" x14ac:dyDescent="0.2">
      <c r="A18813">
        <v>69339</v>
      </c>
      <c r="B18813" t="s">
        <v>35</v>
      </c>
      <c r="C18813">
        <v>69339</v>
      </c>
      <c r="D18813" t="str">
        <f>"69339"</f>
        <v>69339</v>
      </c>
      <c r="E18813">
        <v>67.69</v>
      </c>
    </row>
    <row r="18814" spans="1:5" x14ac:dyDescent="0.2">
      <c r="A18814">
        <v>69340</v>
      </c>
      <c r="B18814" t="s">
        <v>35</v>
      </c>
      <c r="C18814">
        <v>69340</v>
      </c>
      <c r="D18814" t="str">
        <f>"69340"</f>
        <v>69340</v>
      </c>
      <c r="E18814" t="s">
        <v>6</v>
      </c>
    </row>
    <row r="18815" spans="1:5" x14ac:dyDescent="0.2">
      <c r="A18815">
        <v>69341</v>
      </c>
      <c r="B18815" t="s">
        <v>35</v>
      </c>
      <c r="C18815">
        <v>69341</v>
      </c>
      <c r="D18815" t="str">
        <f>"69341"</f>
        <v>69341</v>
      </c>
      <c r="E18815">
        <v>70.19</v>
      </c>
    </row>
    <row r="18816" spans="1:5" x14ac:dyDescent="0.2">
      <c r="A18816">
        <v>69343</v>
      </c>
      <c r="B18816" t="s">
        <v>35</v>
      </c>
      <c r="C18816">
        <v>69343</v>
      </c>
      <c r="D18816" t="str">
        <f>"69343"</f>
        <v>69343</v>
      </c>
      <c r="E18816">
        <v>68</v>
      </c>
    </row>
    <row r="18817" spans="1:5" x14ac:dyDescent="0.2">
      <c r="A18817">
        <v>69345</v>
      </c>
      <c r="B18817" t="s">
        <v>35</v>
      </c>
      <c r="C18817">
        <v>69345</v>
      </c>
      <c r="D18817" t="str">
        <f>"69345"</f>
        <v>69345</v>
      </c>
      <c r="E18817">
        <v>63.16</v>
      </c>
    </row>
    <row r="18818" spans="1:5" x14ac:dyDescent="0.2">
      <c r="A18818">
        <v>69346</v>
      </c>
      <c r="B18818" t="s">
        <v>35</v>
      </c>
      <c r="C18818">
        <v>69346</v>
      </c>
      <c r="D18818" t="str">
        <f>"69346"</f>
        <v>69346</v>
      </c>
      <c r="E18818">
        <v>69.569999999999993</v>
      </c>
    </row>
    <row r="18819" spans="1:5" x14ac:dyDescent="0.2">
      <c r="A18819">
        <v>69347</v>
      </c>
      <c r="B18819" t="s">
        <v>35</v>
      </c>
      <c r="C18819">
        <v>69347</v>
      </c>
      <c r="D18819" t="str">
        <f>"69347"</f>
        <v>69347</v>
      </c>
      <c r="E18819">
        <v>67.92</v>
      </c>
    </row>
    <row r="18820" spans="1:5" x14ac:dyDescent="0.2">
      <c r="A18820">
        <v>69348</v>
      </c>
      <c r="B18820" t="s">
        <v>35</v>
      </c>
      <c r="C18820">
        <v>69348</v>
      </c>
      <c r="D18820" t="str">
        <f>"69348"</f>
        <v>69348</v>
      </c>
      <c r="E18820">
        <v>70.31</v>
      </c>
    </row>
    <row r="18821" spans="1:5" x14ac:dyDescent="0.2">
      <c r="A18821">
        <v>69350</v>
      </c>
      <c r="B18821" t="s">
        <v>35</v>
      </c>
      <c r="C18821">
        <v>69350</v>
      </c>
      <c r="D18821" t="str">
        <f>"69350"</f>
        <v>69350</v>
      </c>
      <c r="E18821">
        <v>66.67</v>
      </c>
    </row>
    <row r="18822" spans="1:5" x14ac:dyDescent="0.2">
      <c r="A18822">
        <v>69351</v>
      </c>
      <c r="B18822" t="s">
        <v>35</v>
      </c>
      <c r="C18822">
        <v>69351</v>
      </c>
      <c r="D18822" t="str">
        <f>"69351"</f>
        <v>69351</v>
      </c>
      <c r="E18822" t="s">
        <v>6</v>
      </c>
    </row>
    <row r="18823" spans="1:5" x14ac:dyDescent="0.2">
      <c r="A18823">
        <v>69352</v>
      </c>
      <c r="B18823" t="s">
        <v>35</v>
      </c>
      <c r="C18823">
        <v>69352</v>
      </c>
      <c r="D18823" t="str">
        <f>"69352"</f>
        <v>69352</v>
      </c>
      <c r="E18823">
        <v>56.52</v>
      </c>
    </row>
    <row r="18824" spans="1:5" x14ac:dyDescent="0.2">
      <c r="A18824">
        <v>69353</v>
      </c>
      <c r="B18824" t="s">
        <v>35</v>
      </c>
      <c r="C18824">
        <v>69353</v>
      </c>
      <c r="D18824" t="str">
        <f>"69353"</f>
        <v>69353</v>
      </c>
      <c r="E18824" t="s">
        <v>6</v>
      </c>
    </row>
    <row r="18825" spans="1:5" x14ac:dyDescent="0.2">
      <c r="A18825">
        <v>69354</v>
      </c>
      <c r="B18825" t="s">
        <v>35</v>
      </c>
      <c r="C18825">
        <v>69354</v>
      </c>
      <c r="D18825" t="str">
        <f>"69354"</f>
        <v>69354</v>
      </c>
      <c r="E18825" t="s">
        <v>6</v>
      </c>
    </row>
    <row r="18826" spans="1:5" x14ac:dyDescent="0.2">
      <c r="A18826">
        <v>69355</v>
      </c>
      <c r="B18826" t="s">
        <v>35</v>
      </c>
      <c r="C18826">
        <v>69355</v>
      </c>
      <c r="D18826" t="str">
        <f>"69355"</f>
        <v>69355</v>
      </c>
      <c r="E18826" t="s">
        <v>6</v>
      </c>
    </row>
    <row r="18827" spans="1:5" x14ac:dyDescent="0.2">
      <c r="A18827">
        <v>69356</v>
      </c>
      <c r="B18827" t="s">
        <v>35</v>
      </c>
      <c r="C18827">
        <v>69356</v>
      </c>
      <c r="D18827" t="str">
        <f>"69356"</f>
        <v>69356</v>
      </c>
      <c r="E18827">
        <v>69.33</v>
      </c>
    </row>
    <row r="18828" spans="1:5" x14ac:dyDescent="0.2">
      <c r="A18828">
        <v>69357</v>
      </c>
      <c r="B18828" t="s">
        <v>35</v>
      </c>
      <c r="C18828">
        <v>69357</v>
      </c>
      <c r="D18828" t="str">
        <f>"69357"</f>
        <v>69357</v>
      </c>
      <c r="E18828">
        <v>70.89</v>
      </c>
    </row>
    <row r="18829" spans="1:5" x14ac:dyDescent="0.2">
      <c r="A18829">
        <v>69358</v>
      </c>
      <c r="B18829" t="s">
        <v>35</v>
      </c>
      <c r="C18829">
        <v>69358</v>
      </c>
      <c r="D18829" t="str">
        <f>"69358"</f>
        <v>69358</v>
      </c>
      <c r="E18829">
        <v>67.95</v>
      </c>
    </row>
    <row r="18830" spans="1:5" x14ac:dyDescent="0.2">
      <c r="A18830">
        <v>69360</v>
      </c>
      <c r="B18830" t="s">
        <v>35</v>
      </c>
      <c r="C18830">
        <v>69360</v>
      </c>
      <c r="D18830" t="str">
        <f>"69360"</f>
        <v>69360</v>
      </c>
      <c r="E18830">
        <v>60.78</v>
      </c>
    </row>
    <row r="18831" spans="1:5" x14ac:dyDescent="0.2">
      <c r="A18831">
        <v>69361</v>
      </c>
      <c r="B18831" t="s">
        <v>35</v>
      </c>
      <c r="C18831">
        <v>69361</v>
      </c>
      <c r="D18831" t="str">
        <f>"69361"</f>
        <v>69361</v>
      </c>
      <c r="E18831">
        <v>67.56</v>
      </c>
    </row>
    <row r="18832" spans="1:5" x14ac:dyDescent="0.2">
      <c r="A18832">
        <v>69365</v>
      </c>
      <c r="B18832" t="s">
        <v>35</v>
      </c>
      <c r="C18832">
        <v>69365</v>
      </c>
      <c r="D18832" t="str">
        <f>"69365"</f>
        <v>69365</v>
      </c>
      <c r="E18832" t="s">
        <v>6</v>
      </c>
    </row>
    <row r="18833" spans="1:5" x14ac:dyDescent="0.2">
      <c r="A18833">
        <v>69366</v>
      </c>
      <c r="B18833" t="s">
        <v>35</v>
      </c>
      <c r="C18833">
        <v>69366</v>
      </c>
      <c r="D18833" t="str">
        <f>"69366"</f>
        <v>69366</v>
      </c>
      <c r="E18833">
        <v>72.73</v>
      </c>
    </row>
    <row r="18834" spans="1:5" x14ac:dyDescent="0.2">
      <c r="A18834">
        <v>69367</v>
      </c>
      <c r="B18834" t="s">
        <v>35</v>
      </c>
      <c r="C18834">
        <v>69367</v>
      </c>
      <c r="D18834" t="str">
        <f>"69367"</f>
        <v>69367</v>
      </c>
      <c r="E18834">
        <v>66.67</v>
      </c>
    </row>
    <row r="18835" spans="1:5" x14ac:dyDescent="0.2">
      <c r="A18835" t="str">
        <f>"03031"</f>
        <v>03031</v>
      </c>
      <c r="B18835" t="s">
        <v>36</v>
      </c>
      <c r="C18835">
        <v>3031</v>
      </c>
      <c r="D18835" t="str">
        <f>"03031"</f>
        <v>03031</v>
      </c>
      <c r="E18835">
        <v>82.38</v>
      </c>
    </row>
    <row r="18836" spans="1:5" x14ac:dyDescent="0.2">
      <c r="A18836" t="str">
        <f>"03032"</f>
        <v>03032</v>
      </c>
      <c r="B18836" t="s">
        <v>36</v>
      </c>
      <c r="C18836">
        <v>3032</v>
      </c>
      <c r="D18836" t="str">
        <f>"03032"</f>
        <v>03032</v>
      </c>
      <c r="E18836">
        <v>83.78</v>
      </c>
    </row>
    <row r="18837" spans="1:5" x14ac:dyDescent="0.2">
      <c r="A18837" t="str">
        <f>"03033"</f>
        <v>03033</v>
      </c>
      <c r="B18837" t="s">
        <v>36</v>
      </c>
      <c r="C18837">
        <v>3033</v>
      </c>
      <c r="D18837" t="str">
        <f>"03033"</f>
        <v>03033</v>
      </c>
      <c r="E18837">
        <v>81.319999999999993</v>
      </c>
    </row>
    <row r="18838" spans="1:5" x14ac:dyDescent="0.2">
      <c r="A18838" t="str">
        <f>"03034"</f>
        <v>03034</v>
      </c>
      <c r="B18838" t="s">
        <v>36</v>
      </c>
      <c r="C18838">
        <v>3034</v>
      </c>
      <c r="D18838" t="str">
        <f>"03034"</f>
        <v>03034</v>
      </c>
      <c r="E18838">
        <v>82.67</v>
      </c>
    </row>
    <row r="18839" spans="1:5" x14ac:dyDescent="0.2">
      <c r="A18839" t="str">
        <f>"03036"</f>
        <v>03036</v>
      </c>
      <c r="B18839" t="s">
        <v>36</v>
      </c>
      <c r="C18839">
        <v>3036</v>
      </c>
      <c r="D18839" t="str">
        <f>"03036"</f>
        <v>03036</v>
      </c>
      <c r="E18839">
        <v>82.22</v>
      </c>
    </row>
    <row r="18840" spans="1:5" x14ac:dyDescent="0.2">
      <c r="A18840" t="str">
        <f>"03037"</f>
        <v>03037</v>
      </c>
      <c r="B18840" t="s">
        <v>36</v>
      </c>
      <c r="C18840">
        <v>3037</v>
      </c>
      <c r="D18840" t="str">
        <f>"03037"</f>
        <v>03037</v>
      </c>
      <c r="E18840">
        <v>82.28</v>
      </c>
    </row>
    <row r="18841" spans="1:5" x14ac:dyDescent="0.2">
      <c r="A18841" t="str">
        <f>"03038"</f>
        <v>03038</v>
      </c>
      <c r="B18841" t="s">
        <v>36</v>
      </c>
      <c r="C18841">
        <v>3038</v>
      </c>
      <c r="D18841" t="str">
        <f>"03038"</f>
        <v>03038</v>
      </c>
      <c r="E18841">
        <v>80.53</v>
      </c>
    </row>
    <row r="18842" spans="1:5" x14ac:dyDescent="0.2">
      <c r="A18842" t="str">
        <f>"03042"</f>
        <v>03042</v>
      </c>
      <c r="B18842" t="s">
        <v>36</v>
      </c>
      <c r="C18842">
        <v>3042</v>
      </c>
      <c r="D18842" t="str">
        <f>"03042"</f>
        <v>03042</v>
      </c>
      <c r="E18842">
        <v>80.16</v>
      </c>
    </row>
    <row r="18843" spans="1:5" x14ac:dyDescent="0.2">
      <c r="A18843" t="str">
        <f>"03043"</f>
        <v>03043</v>
      </c>
      <c r="B18843" t="s">
        <v>36</v>
      </c>
      <c r="C18843">
        <v>3043</v>
      </c>
      <c r="D18843" t="str">
        <f>"03043"</f>
        <v>03043</v>
      </c>
      <c r="E18843">
        <v>79.489999999999995</v>
      </c>
    </row>
    <row r="18844" spans="1:5" x14ac:dyDescent="0.2">
      <c r="A18844" t="str">
        <f>"03044"</f>
        <v>03044</v>
      </c>
      <c r="B18844" t="s">
        <v>36</v>
      </c>
      <c r="C18844">
        <v>3044</v>
      </c>
      <c r="D18844" t="str">
        <f>"03044"</f>
        <v>03044</v>
      </c>
      <c r="E18844">
        <v>82.38</v>
      </c>
    </row>
    <row r="18845" spans="1:5" x14ac:dyDescent="0.2">
      <c r="A18845" t="str">
        <f>"03045"</f>
        <v>03045</v>
      </c>
      <c r="B18845" t="s">
        <v>36</v>
      </c>
      <c r="C18845">
        <v>3045</v>
      </c>
      <c r="D18845" t="str">
        <f>"03045"</f>
        <v>03045</v>
      </c>
      <c r="E18845">
        <v>81.11</v>
      </c>
    </row>
    <row r="18846" spans="1:5" x14ac:dyDescent="0.2">
      <c r="A18846" t="str">
        <f>"03046"</f>
        <v>03046</v>
      </c>
      <c r="B18846" t="s">
        <v>36</v>
      </c>
      <c r="C18846">
        <v>3046</v>
      </c>
      <c r="D18846" t="str">
        <f>"03046"</f>
        <v>03046</v>
      </c>
      <c r="E18846">
        <v>85.71</v>
      </c>
    </row>
    <row r="18847" spans="1:5" x14ac:dyDescent="0.2">
      <c r="A18847" t="str">
        <f>"03047"</f>
        <v>03047</v>
      </c>
      <c r="B18847" t="s">
        <v>36</v>
      </c>
      <c r="C18847">
        <v>3047</v>
      </c>
      <c r="D18847" t="str">
        <f>"03047"</f>
        <v>03047</v>
      </c>
      <c r="E18847">
        <v>78.569999999999993</v>
      </c>
    </row>
    <row r="18848" spans="1:5" x14ac:dyDescent="0.2">
      <c r="A18848" t="str">
        <f>"03048"</f>
        <v>03048</v>
      </c>
      <c r="B18848" t="s">
        <v>36</v>
      </c>
      <c r="C18848">
        <v>3048</v>
      </c>
      <c r="D18848" t="str">
        <f>"03048"</f>
        <v>03048</v>
      </c>
      <c r="E18848">
        <v>78.819999999999993</v>
      </c>
    </row>
    <row r="18849" spans="1:5" x14ac:dyDescent="0.2">
      <c r="A18849" t="str">
        <f>"03049"</f>
        <v>03049</v>
      </c>
      <c r="B18849" t="s">
        <v>36</v>
      </c>
      <c r="C18849">
        <v>3049</v>
      </c>
      <c r="D18849" t="str">
        <f>"03049"</f>
        <v>03049</v>
      </c>
      <c r="E18849">
        <v>81.88</v>
      </c>
    </row>
    <row r="18850" spans="1:5" x14ac:dyDescent="0.2">
      <c r="A18850" t="str">
        <f>"03051"</f>
        <v>03051</v>
      </c>
      <c r="B18850" t="s">
        <v>36</v>
      </c>
      <c r="C18850">
        <v>3051</v>
      </c>
      <c r="D18850" t="str">
        <f>"03051"</f>
        <v>03051</v>
      </c>
      <c r="E18850">
        <v>82.36</v>
      </c>
    </row>
    <row r="18851" spans="1:5" x14ac:dyDescent="0.2">
      <c r="A18851" t="str">
        <f>"03052"</f>
        <v>03052</v>
      </c>
      <c r="B18851" t="s">
        <v>36</v>
      </c>
      <c r="C18851">
        <v>3052</v>
      </c>
      <c r="D18851" t="str">
        <f>"03052"</f>
        <v>03052</v>
      </c>
      <c r="E18851">
        <v>82.1</v>
      </c>
    </row>
    <row r="18852" spans="1:5" x14ac:dyDescent="0.2">
      <c r="A18852" t="str">
        <f>"03053"</f>
        <v>03053</v>
      </c>
      <c r="B18852" t="s">
        <v>36</v>
      </c>
      <c r="C18852">
        <v>3053</v>
      </c>
      <c r="D18852" t="str">
        <f>"03053"</f>
        <v>03053</v>
      </c>
      <c r="E18852">
        <v>81.7</v>
      </c>
    </row>
    <row r="18853" spans="1:5" x14ac:dyDescent="0.2">
      <c r="A18853" t="str">
        <f>"03054"</f>
        <v>03054</v>
      </c>
      <c r="B18853" t="s">
        <v>36</v>
      </c>
      <c r="C18853">
        <v>3054</v>
      </c>
      <c r="D18853" t="str">
        <f>"03054"</f>
        <v>03054</v>
      </c>
      <c r="E18853">
        <v>83.27</v>
      </c>
    </row>
    <row r="18854" spans="1:5" x14ac:dyDescent="0.2">
      <c r="A18854" t="str">
        <f>"03055"</f>
        <v>03055</v>
      </c>
      <c r="B18854" t="s">
        <v>36</v>
      </c>
      <c r="C18854">
        <v>3055</v>
      </c>
      <c r="D18854" t="str">
        <f>"03055"</f>
        <v>03055</v>
      </c>
      <c r="E18854">
        <v>80.099999999999994</v>
      </c>
    </row>
    <row r="18855" spans="1:5" x14ac:dyDescent="0.2">
      <c r="A18855" t="str">
        <f>"03057"</f>
        <v>03057</v>
      </c>
      <c r="B18855" t="s">
        <v>36</v>
      </c>
      <c r="C18855">
        <v>3057</v>
      </c>
      <c r="D18855" t="str">
        <f>"03057"</f>
        <v>03057</v>
      </c>
      <c r="E18855">
        <v>81.25</v>
      </c>
    </row>
    <row r="18856" spans="1:5" x14ac:dyDescent="0.2">
      <c r="A18856" t="str">
        <f>"03060"</f>
        <v>03060</v>
      </c>
      <c r="B18856" t="s">
        <v>36</v>
      </c>
      <c r="C18856">
        <v>3060</v>
      </c>
      <c r="D18856" t="str">
        <f>"03060"</f>
        <v>03060</v>
      </c>
      <c r="E18856">
        <v>72.81</v>
      </c>
    </row>
    <row r="18857" spans="1:5" x14ac:dyDescent="0.2">
      <c r="A18857" t="str">
        <f>"03062"</f>
        <v>03062</v>
      </c>
      <c r="B18857" t="s">
        <v>36</v>
      </c>
      <c r="C18857">
        <v>3062</v>
      </c>
      <c r="D18857" t="str">
        <f>"03062"</f>
        <v>03062</v>
      </c>
      <c r="E18857">
        <v>83.2</v>
      </c>
    </row>
    <row r="18858" spans="1:5" x14ac:dyDescent="0.2">
      <c r="A18858" t="str">
        <f>"03063"</f>
        <v>03063</v>
      </c>
      <c r="B18858" t="s">
        <v>36</v>
      </c>
      <c r="C18858">
        <v>3063</v>
      </c>
      <c r="D18858" t="str">
        <f>"03063"</f>
        <v>03063</v>
      </c>
      <c r="E18858">
        <v>82.11</v>
      </c>
    </row>
    <row r="18859" spans="1:5" x14ac:dyDescent="0.2">
      <c r="A18859" t="str">
        <f>"03064"</f>
        <v>03064</v>
      </c>
      <c r="B18859" t="s">
        <v>36</v>
      </c>
      <c r="C18859">
        <v>3064</v>
      </c>
      <c r="D18859" t="str">
        <f>"03064"</f>
        <v>03064</v>
      </c>
      <c r="E18859">
        <v>77.180000000000007</v>
      </c>
    </row>
    <row r="18860" spans="1:5" x14ac:dyDescent="0.2">
      <c r="A18860" t="str">
        <f>"03070"</f>
        <v>03070</v>
      </c>
      <c r="B18860" t="s">
        <v>36</v>
      </c>
      <c r="C18860">
        <v>3070</v>
      </c>
      <c r="D18860" t="str">
        <f>"03070"</f>
        <v>03070</v>
      </c>
      <c r="E18860">
        <v>80.61</v>
      </c>
    </row>
    <row r="18861" spans="1:5" x14ac:dyDescent="0.2">
      <c r="A18861" t="str">
        <f>"03071"</f>
        <v>03071</v>
      </c>
      <c r="B18861" t="s">
        <v>36</v>
      </c>
      <c r="C18861">
        <v>3071</v>
      </c>
      <c r="D18861" t="str">
        <f>"03071"</f>
        <v>03071</v>
      </c>
      <c r="E18861">
        <v>79.44</v>
      </c>
    </row>
    <row r="18862" spans="1:5" x14ac:dyDescent="0.2">
      <c r="A18862" t="str">
        <f>"03076"</f>
        <v>03076</v>
      </c>
      <c r="B18862" t="s">
        <v>36</v>
      </c>
      <c r="C18862">
        <v>3076</v>
      </c>
      <c r="D18862" t="str">
        <f>"03076"</f>
        <v>03076</v>
      </c>
      <c r="E18862">
        <v>82.29</v>
      </c>
    </row>
    <row r="18863" spans="1:5" x14ac:dyDescent="0.2">
      <c r="A18863" t="str">
        <f>"03077"</f>
        <v>03077</v>
      </c>
      <c r="B18863" t="s">
        <v>36</v>
      </c>
      <c r="C18863">
        <v>3077</v>
      </c>
      <c r="D18863" t="str">
        <f>"03077"</f>
        <v>03077</v>
      </c>
      <c r="E18863">
        <v>79.959999999999994</v>
      </c>
    </row>
    <row r="18864" spans="1:5" x14ac:dyDescent="0.2">
      <c r="A18864" t="str">
        <f>"03079"</f>
        <v>03079</v>
      </c>
      <c r="B18864" t="s">
        <v>36</v>
      </c>
      <c r="C18864">
        <v>3079</v>
      </c>
      <c r="D18864" t="str">
        <f>"03079"</f>
        <v>03079</v>
      </c>
      <c r="E18864">
        <v>81.900000000000006</v>
      </c>
    </row>
    <row r="18865" spans="1:5" x14ac:dyDescent="0.2">
      <c r="A18865" t="str">
        <f>"03082"</f>
        <v>03082</v>
      </c>
      <c r="B18865" t="s">
        <v>36</v>
      </c>
      <c r="C18865">
        <v>3082</v>
      </c>
      <c r="D18865" t="str">
        <f>"03082"</f>
        <v>03082</v>
      </c>
      <c r="E18865">
        <v>79.27</v>
      </c>
    </row>
    <row r="18866" spans="1:5" x14ac:dyDescent="0.2">
      <c r="A18866" t="str">
        <f>"03084"</f>
        <v>03084</v>
      </c>
      <c r="B18866" t="s">
        <v>36</v>
      </c>
      <c r="C18866">
        <v>3084</v>
      </c>
      <c r="D18866" t="str">
        <f>"03084"</f>
        <v>03084</v>
      </c>
      <c r="E18866">
        <v>80</v>
      </c>
    </row>
    <row r="18867" spans="1:5" x14ac:dyDescent="0.2">
      <c r="A18867" t="str">
        <f>"03086"</f>
        <v>03086</v>
      </c>
      <c r="B18867" t="s">
        <v>36</v>
      </c>
      <c r="C18867">
        <v>3086</v>
      </c>
      <c r="D18867" t="str">
        <f>"03086"</f>
        <v>03086</v>
      </c>
      <c r="E18867">
        <v>78.97</v>
      </c>
    </row>
    <row r="18868" spans="1:5" x14ac:dyDescent="0.2">
      <c r="A18868" t="str">
        <f>"03087"</f>
        <v>03087</v>
      </c>
      <c r="B18868" t="s">
        <v>36</v>
      </c>
      <c r="C18868">
        <v>3087</v>
      </c>
      <c r="D18868" t="str">
        <f>"03087"</f>
        <v>03087</v>
      </c>
      <c r="E18868">
        <v>83.56</v>
      </c>
    </row>
    <row r="18869" spans="1:5" x14ac:dyDescent="0.2">
      <c r="A18869" t="str">
        <f>"03101"</f>
        <v>03101</v>
      </c>
      <c r="B18869" t="s">
        <v>36</v>
      </c>
      <c r="C18869">
        <v>3101</v>
      </c>
      <c r="D18869" t="str">
        <f>"03101"</f>
        <v>03101</v>
      </c>
      <c r="E18869">
        <v>74.03</v>
      </c>
    </row>
    <row r="18870" spans="1:5" x14ac:dyDescent="0.2">
      <c r="A18870" t="str">
        <f>"03102"</f>
        <v>03102</v>
      </c>
      <c r="B18870" t="s">
        <v>36</v>
      </c>
      <c r="C18870">
        <v>3102</v>
      </c>
      <c r="D18870" t="str">
        <f>"03102"</f>
        <v>03102</v>
      </c>
      <c r="E18870">
        <v>76.25</v>
      </c>
    </row>
    <row r="18871" spans="1:5" x14ac:dyDescent="0.2">
      <c r="A18871" t="str">
        <f>"03103"</f>
        <v>03103</v>
      </c>
      <c r="B18871" t="s">
        <v>36</v>
      </c>
      <c r="C18871">
        <v>3103</v>
      </c>
      <c r="D18871" t="str">
        <f>"03103"</f>
        <v>03103</v>
      </c>
      <c r="E18871">
        <v>71.709999999999994</v>
      </c>
    </row>
    <row r="18872" spans="1:5" x14ac:dyDescent="0.2">
      <c r="A18872" t="str">
        <f>"03104"</f>
        <v>03104</v>
      </c>
      <c r="B18872" t="s">
        <v>36</v>
      </c>
      <c r="C18872">
        <v>3104</v>
      </c>
      <c r="D18872" t="str">
        <f>"03104"</f>
        <v>03104</v>
      </c>
      <c r="E18872">
        <v>78.77</v>
      </c>
    </row>
    <row r="18873" spans="1:5" x14ac:dyDescent="0.2">
      <c r="A18873" t="str">
        <f>"03106"</f>
        <v>03106</v>
      </c>
      <c r="B18873" t="s">
        <v>36</v>
      </c>
      <c r="C18873">
        <v>3106</v>
      </c>
      <c r="D18873" t="str">
        <f>"03106"</f>
        <v>03106</v>
      </c>
      <c r="E18873">
        <v>81.34</v>
      </c>
    </row>
    <row r="18874" spans="1:5" x14ac:dyDescent="0.2">
      <c r="A18874" t="str">
        <f>"03109"</f>
        <v>03109</v>
      </c>
      <c r="B18874" t="s">
        <v>36</v>
      </c>
      <c r="C18874">
        <v>3109</v>
      </c>
      <c r="D18874" t="str">
        <f>"03109"</f>
        <v>03109</v>
      </c>
      <c r="E18874">
        <v>82.64</v>
      </c>
    </row>
    <row r="18875" spans="1:5" x14ac:dyDescent="0.2">
      <c r="A18875" t="str">
        <f>"03110"</f>
        <v>03110</v>
      </c>
      <c r="B18875" t="s">
        <v>36</v>
      </c>
      <c r="C18875">
        <v>3110</v>
      </c>
      <c r="D18875" t="str">
        <f>"03110"</f>
        <v>03110</v>
      </c>
      <c r="E18875">
        <v>81.739999999999995</v>
      </c>
    </row>
    <row r="18876" spans="1:5" x14ac:dyDescent="0.2">
      <c r="A18876" t="str">
        <f>"03215"</f>
        <v>03215</v>
      </c>
      <c r="B18876" t="s">
        <v>36</v>
      </c>
      <c r="C18876">
        <v>3215</v>
      </c>
      <c r="D18876" t="str">
        <f>"03215"</f>
        <v>03215</v>
      </c>
      <c r="E18876" t="s">
        <v>6</v>
      </c>
    </row>
    <row r="18877" spans="1:5" x14ac:dyDescent="0.2">
      <c r="A18877" t="str">
        <f>"03216"</f>
        <v>03216</v>
      </c>
      <c r="B18877" t="s">
        <v>36</v>
      </c>
      <c r="C18877">
        <v>3216</v>
      </c>
      <c r="D18877" t="str">
        <f>"03216"</f>
        <v>03216</v>
      </c>
      <c r="E18877">
        <v>75.89</v>
      </c>
    </row>
    <row r="18878" spans="1:5" x14ac:dyDescent="0.2">
      <c r="A18878" t="str">
        <f>"03217"</f>
        <v>03217</v>
      </c>
      <c r="B18878" t="s">
        <v>36</v>
      </c>
      <c r="C18878">
        <v>3217</v>
      </c>
      <c r="D18878" t="str">
        <f>"03217"</f>
        <v>03217</v>
      </c>
      <c r="E18878">
        <v>74.14</v>
      </c>
    </row>
    <row r="18879" spans="1:5" x14ac:dyDescent="0.2">
      <c r="A18879" t="str">
        <f>"03218"</f>
        <v>03218</v>
      </c>
      <c r="B18879" t="s">
        <v>36</v>
      </c>
      <c r="C18879">
        <v>3218</v>
      </c>
      <c r="D18879" t="str">
        <f>"03218"</f>
        <v>03218</v>
      </c>
      <c r="E18879">
        <v>77.42</v>
      </c>
    </row>
    <row r="18880" spans="1:5" x14ac:dyDescent="0.2">
      <c r="A18880" t="str">
        <f>"03220"</f>
        <v>03220</v>
      </c>
      <c r="B18880" t="s">
        <v>36</v>
      </c>
      <c r="C18880">
        <v>3220</v>
      </c>
      <c r="D18880" t="str">
        <f>"03220"</f>
        <v>03220</v>
      </c>
      <c r="E18880">
        <v>75.14</v>
      </c>
    </row>
    <row r="18881" spans="1:5" x14ac:dyDescent="0.2">
      <c r="A18881" t="str">
        <f>"03221"</f>
        <v>03221</v>
      </c>
      <c r="B18881" t="s">
        <v>36</v>
      </c>
      <c r="C18881">
        <v>3221</v>
      </c>
      <c r="D18881" t="str">
        <f>"03221"</f>
        <v>03221</v>
      </c>
      <c r="E18881">
        <v>77.06</v>
      </c>
    </row>
    <row r="18882" spans="1:5" x14ac:dyDescent="0.2">
      <c r="A18882" t="str">
        <f>"03222"</f>
        <v>03222</v>
      </c>
      <c r="B18882" t="s">
        <v>36</v>
      </c>
      <c r="C18882">
        <v>3222</v>
      </c>
      <c r="D18882" t="str">
        <f>"03222"</f>
        <v>03222</v>
      </c>
      <c r="E18882">
        <v>76.069999999999993</v>
      </c>
    </row>
    <row r="18883" spans="1:5" x14ac:dyDescent="0.2">
      <c r="A18883" t="str">
        <f>"03223"</f>
        <v>03223</v>
      </c>
      <c r="B18883" t="s">
        <v>36</v>
      </c>
      <c r="C18883">
        <v>3223</v>
      </c>
      <c r="D18883" t="str">
        <f>"03223"</f>
        <v>03223</v>
      </c>
      <c r="E18883">
        <v>76.13</v>
      </c>
    </row>
    <row r="18884" spans="1:5" x14ac:dyDescent="0.2">
      <c r="A18884" t="str">
        <f>"03224"</f>
        <v>03224</v>
      </c>
      <c r="B18884" t="s">
        <v>36</v>
      </c>
      <c r="C18884">
        <v>3224</v>
      </c>
      <c r="D18884" t="str">
        <f>"03224"</f>
        <v>03224</v>
      </c>
      <c r="E18884">
        <v>77.27</v>
      </c>
    </row>
    <row r="18885" spans="1:5" x14ac:dyDescent="0.2">
      <c r="A18885" t="str">
        <f>"03225"</f>
        <v>03225</v>
      </c>
      <c r="B18885" t="s">
        <v>36</v>
      </c>
      <c r="C18885">
        <v>3225</v>
      </c>
      <c r="D18885" t="str">
        <f>"03225"</f>
        <v>03225</v>
      </c>
      <c r="E18885">
        <v>79.89</v>
      </c>
    </row>
    <row r="18886" spans="1:5" x14ac:dyDescent="0.2">
      <c r="A18886" t="str">
        <f>"03226"</f>
        <v>03226</v>
      </c>
      <c r="B18886" t="s">
        <v>36</v>
      </c>
      <c r="C18886">
        <v>3226</v>
      </c>
      <c r="D18886" t="str">
        <f>"03226"</f>
        <v>03226</v>
      </c>
      <c r="E18886">
        <v>78.38</v>
      </c>
    </row>
    <row r="18887" spans="1:5" x14ac:dyDescent="0.2">
      <c r="A18887" t="str">
        <f>"03227"</f>
        <v>03227</v>
      </c>
      <c r="B18887" t="s">
        <v>36</v>
      </c>
      <c r="C18887">
        <v>3227</v>
      </c>
      <c r="D18887" t="str">
        <f>"03227"</f>
        <v>03227</v>
      </c>
      <c r="E18887">
        <v>72.73</v>
      </c>
    </row>
    <row r="18888" spans="1:5" x14ac:dyDescent="0.2">
      <c r="A18888" t="str">
        <f>"03229"</f>
        <v>03229</v>
      </c>
      <c r="B18888" t="s">
        <v>36</v>
      </c>
      <c r="C18888">
        <v>3229</v>
      </c>
      <c r="D18888" t="str">
        <f>"03229"</f>
        <v>03229</v>
      </c>
      <c r="E18888">
        <v>80.069999999999993</v>
      </c>
    </row>
    <row r="18889" spans="1:5" x14ac:dyDescent="0.2">
      <c r="A18889" t="str">
        <f>"03230"</f>
        <v>03230</v>
      </c>
      <c r="B18889" t="s">
        <v>36</v>
      </c>
      <c r="C18889">
        <v>3230</v>
      </c>
      <c r="D18889" t="str">
        <f>"03230"</f>
        <v>03230</v>
      </c>
      <c r="E18889">
        <v>78.13</v>
      </c>
    </row>
    <row r="18890" spans="1:5" x14ac:dyDescent="0.2">
      <c r="A18890" t="str">
        <f>"03233"</f>
        <v>03233</v>
      </c>
      <c r="B18890" t="s">
        <v>36</v>
      </c>
      <c r="C18890">
        <v>3233</v>
      </c>
      <c r="D18890" t="str">
        <f>"03233"</f>
        <v>03233</v>
      </c>
      <c r="E18890">
        <v>80.95</v>
      </c>
    </row>
    <row r="18891" spans="1:5" x14ac:dyDescent="0.2">
      <c r="A18891" t="str">
        <f>"03234"</f>
        <v>03234</v>
      </c>
      <c r="B18891" t="s">
        <v>36</v>
      </c>
      <c r="C18891">
        <v>3234</v>
      </c>
      <c r="D18891" t="str">
        <f>"03234"</f>
        <v>03234</v>
      </c>
      <c r="E18891">
        <v>79.760000000000005</v>
      </c>
    </row>
    <row r="18892" spans="1:5" x14ac:dyDescent="0.2">
      <c r="A18892" t="str">
        <f>"03235"</f>
        <v>03235</v>
      </c>
      <c r="B18892" t="s">
        <v>36</v>
      </c>
      <c r="C18892">
        <v>3235</v>
      </c>
      <c r="D18892" t="str">
        <f>"03235"</f>
        <v>03235</v>
      </c>
      <c r="E18892">
        <v>72.069999999999993</v>
      </c>
    </row>
    <row r="18893" spans="1:5" x14ac:dyDescent="0.2">
      <c r="A18893" t="str">
        <f>"03237"</f>
        <v>03237</v>
      </c>
      <c r="B18893" t="s">
        <v>36</v>
      </c>
      <c r="C18893">
        <v>3237</v>
      </c>
      <c r="D18893" t="str">
        <f>"03237"</f>
        <v>03237</v>
      </c>
      <c r="E18893">
        <v>77.34</v>
      </c>
    </row>
    <row r="18894" spans="1:5" x14ac:dyDescent="0.2">
      <c r="A18894" t="str">
        <f>"03240"</f>
        <v>03240</v>
      </c>
      <c r="B18894" t="s">
        <v>36</v>
      </c>
      <c r="C18894">
        <v>3240</v>
      </c>
      <c r="D18894" t="str">
        <f>"03240"</f>
        <v>03240</v>
      </c>
      <c r="E18894">
        <v>76.19</v>
      </c>
    </row>
    <row r="18895" spans="1:5" x14ac:dyDescent="0.2">
      <c r="A18895" t="str">
        <f>"03241"</f>
        <v>03241</v>
      </c>
      <c r="B18895" t="s">
        <v>36</v>
      </c>
      <c r="C18895">
        <v>3241</v>
      </c>
      <c r="D18895" t="str">
        <f>"03241"</f>
        <v>03241</v>
      </c>
      <c r="E18895">
        <v>79.55</v>
      </c>
    </row>
    <row r="18896" spans="1:5" x14ac:dyDescent="0.2">
      <c r="A18896" t="str">
        <f>"03242"</f>
        <v>03242</v>
      </c>
      <c r="B18896" t="s">
        <v>36</v>
      </c>
      <c r="C18896">
        <v>3242</v>
      </c>
      <c r="D18896" t="str">
        <f>"03242"</f>
        <v>03242</v>
      </c>
      <c r="E18896">
        <v>79.05</v>
      </c>
    </row>
    <row r="18897" spans="1:5" x14ac:dyDescent="0.2">
      <c r="A18897" t="str">
        <f>"03243"</f>
        <v>03243</v>
      </c>
      <c r="B18897" t="s">
        <v>36</v>
      </c>
      <c r="C18897">
        <v>3243</v>
      </c>
      <c r="D18897" t="str">
        <f>"03243"</f>
        <v>03243</v>
      </c>
      <c r="E18897">
        <v>79.25</v>
      </c>
    </row>
    <row r="18898" spans="1:5" x14ac:dyDescent="0.2">
      <c r="A18898" t="str">
        <f>"03244"</f>
        <v>03244</v>
      </c>
      <c r="B18898" t="s">
        <v>36</v>
      </c>
      <c r="C18898">
        <v>3244</v>
      </c>
      <c r="D18898" t="str">
        <f>"03244"</f>
        <v>03244</v>
      </c>
      <c r="E18898">
        <v>77.040000000000006</v>
      </c>
    </row>
    <row r="18899" spans="1:5" x14ac:dyDescent="0.2">
      <c r="A18899" t="str">
        <f>"03245"</f>
        <v>03245</v>
      </c>
      <c r="B18899" t="s">
        <v>36</v>
      </c>
      <c r="C18899">
        <v>3245</v>
      </c>
      <c r="D18899" t="str">
        <f>"03245"</f>
        <v>03245</v>
      </c>
      <c r="E18899">
        <v>74.290000000000006</v>
      </c>
    </row>
    <row r="18900" spans="1:5" x14ac:dyDescent="0.2">
      <c r="A18900" t="str">
        <f>"03246"</f>
        <v>03246</v>
      </c>
      <c r="B18900" t="s">
        <v>36</v>
      </c>
      <c r="C18900">
        <v>3246</v>
      </c>
      <c r="D18900" t="str">
        <f>"03246"</f>
        <v>03246</v>
      </c>
      <c r="E18900">
        <v>73.39</v>
      </c>
    </row>
    <row r="18901" spans="1:5" x14ac:dyDescent="0.2">
      <c r="A18901" t="str">
        <f>"03249"</f>
        <v>03249</v>
      </c>
      <c r="B18901" t="s">
        <v>36</v>
      </c>
      <c r="C18901">
        <v>3249</v>
      </c>
      <c r="D18901" t="str">
        <f>"03249"</f>
        <v>03249</v>
      </c>
      <c r="E18901">
        <v>77.37</v>
      </c>
    </row>
    <row r="18902" spans="1:5" x14ac:dyDescent="0.2">
      <c r="A18902" t="str">
        <f>"03251"</f>
        <v>03251</v>
      </c>
      <c r="B18902" t="s">
        <v>36</v>
      </c>
      <c r="C18902">
        <v>3251</v>
      </c>
      <c r="D18902" t="str">
        <f>"03251"</f>
        <v>03251</v>
      </c>
      <c r="E18902">
        <v>75.790000000000006</v>
      </c>
    </row>
    <row r="18903" spans="1:5" x14ac:dyDescent="0.2">
      <c r="A18903" t="str">
        <f>"03253"</f>
        <v>03253</v>
      </c>
      <c r="B18903" t="s">
        <v>36</v>
      </c>
      <c r="C18903">
        <v>3253</v>
      </c>
      <c r="D18903" t="str">
        <f>"03253"</f>
        <v>03253</v>
      </c>
      <c r="E18903">
        <v>76.19</v>
      </c>
    </row>
    <row r="18904" spans="1:5" x14ac:dyDescent="0.2">
      <c r="A18904" t="str">
        <f>"03254"</f>
        <v>03254</v>
      </c>
      <c r="B18904" t="s">
        <v>36</v>
      </c>
      <c r="C18904">
        <v>3254</v>
      </c>
      <c r="D18904" t="str">
        <f>"03254"</f>
        <v>03254</v>
      </c>
      <c r="E18904">
        <v>75.81</v>
      </c>
    </row>
    <row r="18905" spans="1:5" x14ac:dyDescent="0.2">
      <c r="A18905" t="str">
        <f>"03255"</f>
        <v>03255</v>
      </c>
      <c r="B18905" t="s">
        <v>36</v>
      </c>
      <c r="C18905">
        <v>3255</v>
      </c>
      <c r="D18905" t="str">
        <f>"03255"</f>
        <v>03255</v>
      </c>
      <c r="E18905">
        <v>78.64</v>
      </c>
    </row>
    <row r="18906" spans="1:5" x14ac:dyDescent="0.2">
      <c r="A18906" t="str">
        <f>"03256"</f>
        <v>03256</v>
      </c>
      <c r="B18906" t="s">
        <v>36</v>
      </c>
      <c r="C18906">
        <v>3256</v>
      </c>
      <c r="D18906" t="str">
        <f>"03256"</f>
        <v>03256</v>
      </c>
      <c r="E18906">
        <v>76.27</v>
      </c>
    </row>
    <row r="18907" spans="1:5" x14ac:dyDescent="0.2">
      <c r="A18907" t="str">
        <f>"03257"</f>
        <v>03257</v>
      </c>
      <c r="B18907" t="s">
        <v>36</v>
      </c>
      <c r="C18907">
        <v>3257</v>
      </c>
      <c r="D18907" t="str">
        <f>"03257"</f>
        <v>03257</v>
      </c>
      <c r="E18907">
        <v>80.09</v>
      </c>
    </row>
    <row r="18908" spans="1:5" x14ac:dyDescent="0.2">
      <c r="A18908" t="str">
        <f>"03258"</f>
        <v>03258</v>
      </c>
      <c r="B18908" t="s">
        <v>36</v>
      </c>
      <c r="C18908">
        <v>3258</v>
      </c>
      <c r="D18908" t="str">
        <f>"03258"</f>
        <v>03258</v>
      </c>
      <c r="E18908">
        <v>80.739999999999995</v>
      </c>
    </row>
    <row r="18909" spans="1:5" x14ac:dyDescent="0.2">
      <c r="A18909" t="str">
        <f>"03259"</f>
        <v>03259</v>
      </c>
      <c r="B18909" t="s">
        <v>36</v>
      </c>
      <c r="C18909">
        <v>3259</v>
      </c>
      <c r="D18909" t="str">
        <f>"03259"</f>
        <v>03259</v>
      </c>
      <c r="E18909">
        <v>72.22</v>
      </c>
    </row>
    <row r="18910" spans="1:5" x14ac:dyDescent="0.2">
      <c r="A18910" t="str">
        <f>"03260"</f>
        <v>03260</v>
      </c>
      <c r="B18910" t="s">
        <v>36</v>
      </c>
      <c r="C18910">
        <v>3260</v>
      </c>
      <c r="D18910" t="str">
        <f>"03260"</f>
        <v>03260</v>
      </c>
      <c r="E18910" t="s">
        <v>6</v>
      </c>
    </row>
    <row r="18911" spans="1:5" x14ac:dyDescent="0.2">
      <c r="A18911" t="str">
        <f>"03261"</f>
        <v>03261</v>
      </c>
      <c r="B18911" t="s">
        <v>36</v>
      </c>
      <c r="C18911">
        <v>3261</v>
      </c>
      <c r="D18911" t="str">
        <f>"03261"</f>
        <v>03261</v>
      </c>
      <c r="E18911">
        <v>81.12</v>
      </c>
    </row>
    <row r="18912" spans="1:5" x14ac:dyDescent="0.2">
      <c r="A18912" t="str">
        <f>"03262"</f>
        <v>03262</v>
      </c>
      <c r="B18912" t="s">
        <v>36</v>
      </c>
      <c r="C18912">
        <v>3262</v>
      </c>
      <c r="D18912" t="str">
        <f>"03262"</f>
        <v>03262</v>
      </c>
      <c r="E18912">
        <v>71.83</v>
      </c>
    </row>
    <row r="18913" spans="1:5" x14ac:dyDescent="0.2">
      <c r="A18913" t="str">
        <f>"03263"</f>
        <v>03263</v>
      </c>
      <c r="B18913" t="s">
        <v>36</v>
      </c>
      <c r="C18913">
        <v>3263</v>
      </c>
      <c r="D18913" t="str">
        <f>"03263"</f>
        <v>03263</v>
      </c>
      <c r="E18913">
        <v>74.87</v>
      </c>
    </row>
    <row r="18914" spans="1:5" x14ac:dyDescent="0.2">
      <c r="A18914" t="str">
        <f>"03264"</f>
        <v>03264</v>
      </c>
      <c r="B18914" t="s">
        <v>36</v>
      </c>
      <c r="C18914">
        <v>3264</v>
      </c>
      <c r="D18914" t="str">
        <f>"03264"</f>
        <v>03264</v>
      </c>
      <c r="E18914">
        <v>72.69</v>
      </c>
    </row>
    <row r="18915" spans="1:5" x14ac:dyDescent="0.2">
      <c r="A18915" t="str">
        <f>"03266"</f>
        <v>03266</v>
      </c>
      <c r="B18915" t="s">
        <v>36</v>
      </c>
      <c r="C18915">
        <v>3266</v>
      </c>
      <c r="D18915" t="str">
        <f>"03266"</f>
        <v>03266</v>
      </c>
      <c r="E18915">
        <v>75.930000000000007</v>
      </c>
    </row>
    <row r="18916" spans="1:5" x14ac:dyDescent="0.2">
      <c r="A18916" t="str">
        <f>"03268"</f>
        <v>03268</v>
      </c>
      <c r="B18916" t="s">
        <v>36</v>
      </c>
      <c r="C18916">
        <v>3268</v>
      </c>
      <c r="D18916" t="str">
        <f>"03268"</f>
        <v>03268</v>
      </c>
      <c r="E18916">
        <v>75.760000000000005</v>
      </c>
    </row>
    <row r="18917" spans="1:5" x14ac:dyDescent="0.2">
      <c r="A18917" t="str">
        <f>"03269"</f>
        <v>03269</v>
      </c>
      <c r="B18917" t="s">
        <v>36</v>
      </c>
      <c r="C18917">
        <v>3269</v>
      </c>
      <c r="D18917" t="str">
        <f>"03269"</f>
        <v>03269</v>
      </c>
      <c r="E18917">
        <v>78.81</v>
      </c>
    </row>
    <row r="18918" spans="1:5" x14ac:dyDescent="0.2">
      <c r="A18918" t="str">
        <f>"03273"</f>
        <v>03273</v>
      </c>
      <c r="B18918" t="s">
        <v>36</v>
      </c>
      <c r="C18918">
        <v>3273</v>
      </c>
      <c r="D18918" t="str">
        <f>"03273"</f>
        <v>03273</v>
      </c>
      <c r="E18918" t="s">
        <v>6</v>
      </c>
    </row>
    <row r="18919" spans="1:5" x14ac:dyDescent="0.2">
      <c r="A18919" t="str">
        <f>"03275"</f>
        <v>03275</v>
      </c>
      <c r="B18919" t="s">
        <v>36</v>
      </c>
      <c r="C18919">
        <v>3275</v>
      </c>
      <c r="D18919" t="str">
        <f>"03275"</f>
        <v>03275</v>
      </c>
      <c r="E18919">
        <v>79.37</v>
      </c>
    </row>
    <row r="18920" spans="1:5" x14ac:dyDescent="0.2">
      <c r="A18920" t="str">
        <f>"03276"</f>
        <v>03276</v>
      </c>
      <c r="B18920" t="s">
        <v>36</v>
      </c>
      <c r="C18920">
        <v>3276</v>
      </c>
      <c r="D18920" t="str">
        <f>"03276"</f>
        <v>03276</v>
      </c>
      <c r="E18920">
        <v>75.81</v>
      </c>
    </row>
    <row r="18921" spans="1:5" x14ac:dyDescent="0.2">
      <c r="A18921" t="str">
        <f>"03278"</f>
        <v>03278</v>
      </c>
      <c r="B18921" t="s">
        <v>36</v>
      </c>
      <c r="C18921">
        <v>3278</v>
      </c>
      <c r="D18921" t="str">
        <f>"03278"</f>
        <v>03278</v>
      </c>
      <c r="E18921">
        <v>80</v>
      </c>
    </row>
    <row r="18922" spans="1:5" x14ac:dyDescent="0.2">
      <c r="A18922" t="str">
        <f>"03279"</f>
        <v>03279</v>
      </c>
      <c r="B18922" t="s">
        <v>36</v>
      </c>
      <c r="C18922">
        <v>3279</v>
      </c>
      <c r="D18922" t="str">
        <f>"03279"</f>
        <v>03279</v>
      </c>
      <c r="E18922">
        <v>73.53</v>
      </c>
    </row>
    <row r="18923" spans="1:5" x14ac:dyDescent="0.2">
      <c r="A18923" t="str">
        <f>"03280"</f>
        <v>03280</v>
      </c>
      <c r="B18923" t="s">
        <v>36</v>
      </c>
      <c r="C18923">
        <v>3280</v>
      </c>
      <c r="D18923" t="str">
        <f>"03280"</f>
        <v>03280</v>
      </c>
      <c r="E18923">
        <v>77.97</v>
      </c>
    </row>
    <row r="18924" spans="1:5" x14ac:dyDescent="0.2">
      <c r="A18924" t="str">
        <f>"03281"</f>
        <v>03281</v>
      </c>
      <c r="B18924" t="s">
        <v>36</v>
      </c>
      <c r="C18924">
        <v>3281</v>
      </c>
      <c r="D18924" t="str">
        <f>"03281"</f>
        <v>03281</v>
      </c>
      <c r="E18924">
        <v>81.22</v>
      </c>
    </row>
    <row r="18925" spans="1:5" x14ac:dyDescent="0.2">
      <c r="A18925" t="str">
        <f>"03282"</f>
        <v>03282</v>
      </c>
      <c r="B18925" t="s">
        <v>36</v>
      </c>
      <c r="C18925">
        <v>3282</v>
      </c>
      <c r="D18925" t="str">
        <f>"03282"</f>
        <v>03282</v>
      </c>
      <c r="E18925">
        <v>76.599999999999994</v>
      </c>
    </row>
    <row r="18926" spans="1:5" x14ac:dyDescent="0.2">
      <c r="A18926" t="str">
        <f>"03284"</f>
        <v>03284</v>
      </c>
      <c r="B18926" t="s">
        <v>36</v>
      </c>
      <c r="C18926">
        <v>3284</v>
      </c>
      <c r="D18926" t="str">
        <f>"03284"</f>
        <v>03284</v>
      </c>
      <c r="E18926">
        <v>79.069999999999993</v>
      </c>
    </row>
    <row r="18927" spans="1:5" x14ac:dyDescent="0.2">
      <c r="A18927" t="str">
        <f>"03285"</f>
        <v>03285</v>
      </c>
      <c r="B18927" t="s">
        <v>36</v>
      </c>
      <c r="C18927">
        <v>3285</v>
      </c>
      <c r="D18927" t="str">
        <f>"03285"</f>
        <v>03285</v>
      </c>
      <c r="E18927">
        <v>76.25</v>
      </c>
    </row>
    <row r="18928" spans="1:5" x14ac:dyDescent="0.2">
      <c r="A18928" t="str">
        <f>"03287"</f>
        <v>03287</v>
      </c>
      <c r="B18928" t="s">
        <v>36</v>
      </c>
      <c r="C18928">
        <v>3287</v>
      </c>
      <c r="D18928" t="str">
        <f>"03287"</f>
        <v>03287</v>
      </c>
      <c r="E18928">
        <v>78.13</v>
      </c>
    </row>
    <row r="18929" spans="1:5" x14ac:dyDescent="0.2">
      <c r="A18929" t="str">
        <f>"03290"</f>
        <v>03290</v>
      </c>
      <c r="B18929" t="s">
        <v>36</v>
      </c>
      <c r="C18929">
        <v>3290</v>
      </c>
      <c r="D18929" t="str">
        <f>"03290"</f>
        <v>03290</v>
      </c>
      <c r="E18929">
        <v>83.27</v>
      </c>
    </row>
    <row r="18930" spans="1:5" x14ac:dyDescent="0.2">
      <c r="A18930" t="str">
        <f>"03291"</f>
        <v>03291</v>
      </c>
      <c r="B18930" t="s">
        <v>36</v>
      </c>
      <c r="C18930">
        <v>3291</v>
      </c>
      <c r="D18930" t="str">
        <f>"03291"</f>
        <v>03291</v>
      </c>
      <c r="E18930" t="s">
        <v>6</v>
      </c>
    </row>
    <row r="18931" spans="1:5" x14ac:dyDescent="0.2">
      <c r="A18931" t="str">
        <f>"03301"</f>
        <v>03301</v>
      </c>
      <c r="B18931" t="s">
        <v>36</v>
      </c>
      <c r="C18931">
        <v>3301</v>
      </c>
      <c r="D18931" t="str">
        <f>"03301"</f>
        <v>03301</v>
      </c>
      <c r="E18931">
        <v>76.77</v>
      </c>
    </row>
    <row r="18932" spans="1:5" x14ac:dyDescent="0.2">
      <c r="A18932" t="str">
        <f>"03303"</f>
        <v>03303</v>
      </c>
      <c r="B18932" t="s">
        <v>36</v>
      </c>
      <c r="C18932">
        <v>3303</v>
      </c>
      <c r="D18932" t="str">
        <f>"03303"</f>
        <v>03303</v>
      </c>
      <c r="E18932">
        <v>78.790000000000006</v>
      </c>
    </row>
    <row r="18933" spans="1:5" x14ac:dyDescent="0.2">
      <c r="A18933" t="str">
        <f>"03304"</f>
        <v>03304</v>
      </c>
      <c r="B18933" t="s">
        <v>36</v>
      </c>
      <c r="C18933">
        <v>3304</v>
      </c>
      <c r="D18933" t="str">
        <f>"03304"</f>
        <v>03304</v>
      </c>
      <c r="E18933">
        <v>82.04</v>
      </c>
    </row>
    <row r="18934" spans="1:5" x14ac:dyDescent="0.2">
      <c r="A18934" t="str">
        <f>"03307"</f>
        <v>03307</v>
      </c>
      <c r="B18934" t="s">
        <v>36</v>
      </c>
      <c r="C18934">
        <v>3307</v>
      </c>
      <c r="D18934" t="str">
        <f>"03307"</f>
        <v>03307</v>
      </c>
      <c r="E18934">
        <v>79.73</v>
      </c>
    </row>
    <row r="18935" spans="1:5" x14ac:dyDescent="0.2">
      <c r="A18935" t="str">
        <f>"03431"</f>
        <v>03431</v>
      </c>
      <c r="B18935" t="s">
        <v>36</v>
      </c>
      <c r="C18935">
        <v>3431</v>
      </c>
      <c r="D18935" t="str">
        <f>"03431"</f>
        <v>03431</v>
      </c>
      <c r="E18935">
        <v>76.34</v>
      </c>
    </row>
    <row r="18936" spans="1:5" x14ac:dyDescent="0.2">
      <c r="A18936" t="str">
        <f>"03440"</f>
        <v>03440</v>
      </c>
      <c r="B18936" t="s">
        <v>36</v>
      </c>
      <c r="C18936">
        <v>3440</v>
      </c>
      <c r="D18936" t="str">
        <f>"03440"</f>
        <v>03440</v>
      </c>
      <c r="E18936">
        <v>74.45</v>
      </c>
    </row>
    <row r="18937" spans="1:5" x14ac:dyDescent="0.2">
      <c r="A18937" t="str">
        <f>"03441"</f>
        <v>03441</v>
      </c>
      <c r="B18937" t="s">
        <v>36</v>
      </c>
      <c r="C18937">
        <v>3441</v>
      </c>
      <c r="D18937" t="str">
        <f>"03441"</f>
        <v>03441</v>
      </c>
      <c r="E18937">
        <v>71.430000000000007</v>
      </c>
    </row>
    <row r="18938" spans="1:5" x14ac:dyDescent="0.2">
      <c r="A18938" t="str">
        <f>"03442"</f>
        <v>03442</v>
      </c>
      <c r="B18938" t="s">
        <v>36</v>
      </c>
      <c r="C18938">
        <v>3442</v>
      </c>
      <c r="D18938" t="str">
        <f>"03442"</f>
        <v>03442</v>
      </c>
      <c r="E18938">
        <v>70.83</v>
      </c>
    </row>
    <row r="18939" spans="1:5" x14ac:dyDescent="0.2">
      <c r="A18939" t="str">
        <f>"03443"</f>
        <v>03443</v>
      </c>
      <c r="B18939" t="s">
        <v>36</v>
      </c>
      <c r="C18939">
        <v>3443</v>
      </c>
      <c r="D18939" t="str">
        <f>"03443"</f>
        <v>03443</v>
      </c>
      <c r="E18939">
        <v>82.05</v>
      </c>
    </row>
    <row r="18940" spans="1:5" x14ac:dyDescent="0.2">
      <c r="A18940" t="str">
        <f>"03444"</f>
        <v>03444</v>
      </c>
      <c r="B18940" t="s">
        <v>36</v>
      </c>
      <c r="C18940">
        <v>3444</v>
      </c>
      <c r="D18940" t="str">
        <f>"03444"</f>
        <v>03444</v>
      </c>
      <c r="E18940">
        <v>77.22</v>
      </c>
    </row>
    <row r="18941" spans="1:5" x14ac:dyDescent="0.2">
      <c r="A18941" t="str">
        <f>"03445"</f>
        <v>03445</v>
      </c>
      <c r="B18941" t="s">
        <v>36</v>
      </c>
      <c r="C18941">
        <v>3445</v>
      </c>
      <c r="D18941" t="str">
        <f>"03445"</f>
        <v>03445</v>
      </c>
      <c r="E18941">
        <v>76.92</v>
      </c>
    </row>
    <row r="18942" spans="1:5" x14ac:dyDescent="0.2">
      <c r="A18942" t="str">
        <f>"03446"</f>
        <v>03446</v>
      </c>
      <c r="B18942" t="s">
        <v>36</v>
      </c>
      <c r="C18942">
        <v>3446</v>
      </c>
      <c r="D18942" t="str">
        <f>"03446"</f>
        <v>03446</v>
      </c>
      <c r="E18942">
        <v>77.41</v>
      </c>
    </row>
    <row r="18943" spans="1:5" x14ac:dyDescent="0.2">
      <c r="A18943" t="str">
        <f>"03447"</f>
        <v>03447</v>
      </c>
      <c r="B18943" t="s">
        <v>36</v>
      </c>
      <c r="C18943">
        <v>3447</v>
      </c>
      <c r="D18943" t="str">
        <f>"03447"</f>
        <v>03447</v>
      </c>
      <c r="E18943">
        <v>76.67</v>
      </c>
    </row>
    <row r="18944" spans="1:5" x14ac:dyDescent="0.2">
      <c r="A18944" t="str">
        <f>"03448"</f>
        <v>03448</v>
      </c>
      <c r="B18944" t="s">
        <v>36</v>
      </c>
      <c r="C18944">
        <v>3448</v>
      </c>
      <c r="D18944" t="str">
        <f>"03448"</f>
        <v>03448</v>
      </c>
      <c r="E18944">
        <v>75</v>
      </c>
    </row>
    <row r="18945" spans="1:5" x14ac:dyDescent="0.2">
      <c r="A18945" t="str">
        <f>"03449"</f>
        <v>03449</v>
      </c>
      <c r="B18945" t="s">
        <v>36</v>
      </c>
      <c r="C18945">
        <v>3449</v>
      </c>
      <c r="D18945" t="str">
        <f>"03449"</f>
        <v>03449</v>
      </c>
      <c r="E18945">
        <v>78.72</v>
      </c>
    </row>
    <row r="18946" spans="1:5" x14ac:dyDescent="0.2">
      <c r="A18946" t="str">
        <f>"03450"</f>
        <v>03450</v>
      </c>
      <c r="B18946" t="s">
        <v>36</v>
      </c>
      <c r="C18946">
        <v>3450</v>
      </c>
      <c r="D18946" t="str">
        <f>"03450"</f>
        <v>03450</v>
      </c>
      <c r="E18946">
        <v>83.67</v>
      </c>
    </row>
    <row r="18947" spans="1:5" x14ac:dyDescent="0.2">
      <c r="A18947" t="str">
        <f>"03451"</f>
        <v>03451</v>
      </c>
      <c r="B18947" t="s">
        <v>36</v>
      </c>
      <c r="C18947">
        <v>3451</v>
      </c>
      <c r="D18947" t="str">
        <f>"03451"</f>
        <v>03451</v>
      </c>
      <c r="E18947">
        <v>75.88</v>
      </c>
    </row>
    <row r="18948" spans="1:5" x14ac:dyDescent="0.2">
      <c r="A18948" t="str">
        <f>"03452"</f>
        <v>03452</v>
      </c>
      <c r="B18948" t="s">
        <v>36</v>
      </c>
      <c r="C18948">
        <v>3452</v>
      </c>
      <c r="D18948" t="str">
        <f>"03452"</f>
        <v>03452</v>
      </c>
      <c r="E18948">
        <v>76.069999999999993</v>
      </c>
    </row>
    <row r="18949" spans="1:5" x14ac:dyDescent="0.2">
      <c r="A18949" t="str">
        <f>"03455"</f>
        <v>03455</v>
      </c>
      <c r="B18949" t="s">
        <v>36</v>
      </c>
      <c r="C18949">
        <v>3455</v>
      </c>
      <c r="D18949" t="str">
        <f>"03455"</f>
        <v>03455</v>
      </c>
      <c r="E18949">
        <v>75.680000000000007</v>
      </c>
    </row>
    <row r="18950" spans="1:5" x14ac:dyDescent="0.2">
      <c r="A18950" t="str">
        <f>"03456"</f>
        <v>03456</v>
      </c>
      <c r="B18950" t="s">
        <v>36</v>
      </c>
      <c r="C18950">
        <v>3456</v>
      </c>
      <c r="D18950" t="str">
        <f>"03456"</f>
        <v>03456</v>
      </c>
      <c r="E18950">
        <v>77.5</v>
      </c>
    </row>
    <row r="18951" spans="1:5" x14ac:dyDescent="0.2">
      <c r="A18951" t="str">
        <f>"03457"</f>
        <v>03457</v>
      </c>
      <c r="B18951" t="s">
        <v>36</v>
      </c>
      <c r="C18951">
        <v>3457</v>
      </c>
      <c r="D18951" t="str">
        <f>"03457"</f>
        <v>03457</v>
      </c>
      <c r="E18951">
        <v>77.78</v>
      </c>
    </row>
    <row r="18952" spans="1:5" x14ac:dyDescent="0.2">
      <c r="A18952" t="str">
        <f>"03458"</f>
        <v>03458</v>
      </c>
      <c r="B18952" t="s">
        <v>36</v>
      </c>
      <c r="C18952">
        <v>3458</v>
      </c>
      <c r="D18952" t="str">
        <f>"03458"</f>
        <v>03458</v>
      </c>
      <c r="E18952">
        <v>75.63</v>
      </c>
    </row>
    <row r="18953" spans="1:5" x14ac:dyDescent="0.2">
      <c r="A18953" t="str">
        <f>"03461"</f>
        <v>03461</v>
      </c>
      <c r="B18953" t="s">
        <v>36</v>
      </c>
      <c r="C18953">
        <v>3461</v>
      </c>
      <c r="D18953" t="str">
        <f>"03461"</f>
        <v>03461</v>
      </c>
      <c r="E18953">
        <v>80.52</v>
      </c>
    </row>
    <row r="18954" spans="1:5" x14ac:dyDescent="0.2">
      <c r="A18954" t="str">
        <f>"03462"</f>
        <v>03462</v>
      </c>
      <c r="B18954" t="s">
        <v>36</v>
      </c>
      <c r="C18954">
        <v>3462</v>
      </c>
      <c r="D18954" t="str">
        <f>"03462"</f>
        <v>03462</v>
      </c>
      <c r="E18954">
        <v>83.53</v>
      </c>
    </row>
    <row r="18955" spans="1:5" x14ac:dyDescent="0.2">
      <c r="A18955" t="str">
        <f>"03464"</f>
        <v>03464</v>
      </c>
      <c r="B18955" t="s">
        <v>36</v>
      </c>
      <c r="C18955">
        <v>3464</v>
      </c>
      <c r="D18955" t="str">
        <f>"03464"</f>
        <v>03464</v>
      </c>
      <c r="E18955">
        <v>79.25</v>
      </c>
    </row>
    <row r="18956" spans="1:5" x14ac:dyDescent="0.2">
      <c r="A18956" t="str">
        <f>"03465"</f>
        <v>03465</v>
      </c>
      <c r="B18956" t="s">
        <v>36</v>
      </c>
      <c r="C18956">
        <v>3465</v>
      </c>
      <c r="D18956" t="str">
        <f>"03465"</f>
        <v>03465</v>
      </c>
      <c r="E18956">
        <v>73.33</v>
      </c>
    </row>
    <row r="18957" spans="1:5" x14ac:dyDescent="0.2">
      <c r="A18957" t="str">
        <f>"03466"</f>
        <v>03466</v>
      </c>
      <c r="B18957" t="s">
        <v>36</v>
      </c>
      <c r="C18957">
        <v>3466</v>
      </c>
      <c r="D18957" t="str">
        <f>"03466"</f>
        <v>03466</v>
      </c>
      <c r="E18957">
        <v>79.099999999999994</v>
      </c>
    </row>
    <row r="18958" spans="1:5" x14ac:dyDescent="0.2">
      <c r="A18958" t="str">
        <f>"03467"</f>
        <v>03467</v>
      </c>
      <c r="B18958" t="s">
        <v>36</v>
      </c>
      <c r="C18958">
        <v>3467</v>
      </c>
      <c r="D18958" t="str">
        <f>"03467"</f>
        <v>03467</v>
      </c>
      <c r="E18958">
        <v>80.459999999999994</v>
      </c>
    </row>
    <row r="18959" spans="1:5" x14ac:dyDescent="0.2">
      <c r="A18959" t="str">
        <f>"03470"</f>
        <v>03470</v>
      </c>
      <c r="B18959" t="s">
        <v>36</v>
      </c>
      <c r="C18959">
        <v>3470</v>
      </c>
      <c r="D18959" t="str">
        <f>"03470"</f>
        <v>03470</v>
      </c>
      <c r="E18959">
        <v>72.27</v>
      </c>
    </row>
    <row r="18960" spans="1:5" x14ac:dyDescent="0.2">
      <c r="A18960" t="str">
        <f>"03561"</f>
        <v>03561</v>
      </c>
      <c r="B18960" t="s">
        <v>36</v>
      </c>
      <c r="C18960">
        <v>3561</v>
      </c>
      <c r="D18960" t="str">
        <f>"03561"</f>
        <v>03561</v>
      </c>
      <c r="E18960">
        <v>72.98</v>
      </c>
    </row>
    <row r="18961" spans="1:5" x14ac:dyDescent="0.2">
      <c r="A18961" t="str">
        <f>"03570"</f>
        <v>03570</v>
      </c>
      <c r="B18961" t="s">
        <v>36</v>
      </c>
      <c r="C18961">
        <v>3570</v>
      </c>
      <c r="D18961" t="str">
        <f>"03570"</f>
        <v>03570</v>
      </c>
      <c r="E18961">
        <v>66.41</v>
      </c>
    </row>
    <row r="18962" spans="1:5" x14ac:dyDescent="0.2">
      <c r="A18962" t="str">
        <f>"03574"</f>
        <v>03574</v>
      </c>
      <c r="B18962" t="s">
        <v>36</v>
      </c>
      <c r="C18962">
        <v>3574</v>
      </c>
      <c r="D18962" t="str">
        <f>"03574"</f>
        <v>03574</v>
      </c>
      <c r="E18962">
        <v>74.650000000000006</v>
      </c>
    </row>
    <row r="18963" spans="1:5" x14ac:dyDescent="0.2">
      <c r="A18963" t="str">
        <f>"03575"</f>
        <v>03575</v>
      </c>
      <c r="B18963" t="s">
        <v>36</v>
      </c>
      <c r="C18963">
        <v>3575</v>
      </c>
      <c r="D18963" t="str">
        <f>"03575"</f>
        <v>03575</v>
      </c>
      <c r="E18963" t="s">
        <v>6</v>
      </c>
    </row>
    <row r="18964" spans="1:5" x14ac:dyDescent="0.2">
      <c r="A18964" t="str">
        <f>"03576"</f>
        <v>03576</v>
      </c>
      <c r="B18964" t="s">
        <v>36</v>
      </c>
      <c r="C18964">
        <v>3576</v>
      </c>
      <c r="D18964" t="str">
        <f>"03576"</f>
        <v>03576</v>
      </c>
      <c r="E18964">
        <v>68.569999999999993</v>
      </c>
    </row>
    <row r="18965" spans="1:5" x14ac:dyDescent="0.2">
      <c r="A18965" t="str">
        <f>"03579"</f>
        <v>03579</v>
      </c>
      <c r="B18965" t="s">
        <v>36</v>
      </c>
      <c r="C18965">
        <v>3579</v>
      </c>
      <c r="D18965" t="str">
        <f>"03579"</f>
        <v>03579</v>
      </c>
      <c r="E18965">
        <v>73.680000000000007</v>
      </c>
    </row>
    <row r="18966" spans="1:5" x14ac:dyDescent="0.2">
      <c r="A18966" t="str">
        <f>"03580"</f>
        <v>03580</v>
      </c>
      <c r="B18966" t="s">
        <v>36</v>
      </c>
      <c r="C18966">
        <v>3580</v>
      </c>
      <c r="D18966" t="str">
        <f>"03580"</f>
        <v>03580</v>
      </c>
      <c r="E18966">
        <v>75</v>
      </c>
    </row>
    <row r="18967" spans="1:5" x14ac:dyDescent="0.2">
      <c r="A18967" t="str">
        <f>"03581"</f>
        <v>03581</v>
      </c>
      <c r="B18967" t="s">
        <v>36</v>
      </c>
      <c r="C18967">
        <v>3581</v>
      </c>
      <c r="D18967" t="str">
        <f>"03581"</f>
        <v>03581</v>
      </c>
      <c r="E18967">
        <v>75</v>
      </c>
    </row>
    <row r="18968" spans="1:5" x14ac:dyDescent="0.2">
      <c r="A18968" t="str">
        <f>"03582"</f>
        <v>03582</v>
      </c>
      <c r="B18968" t="s">
        <v>36</v>
      </c>
      <c r="C18968">
        <v>3582</v>
      </c>
      <c r="D18968" t="str">
        <f>"03582"</f>
        <v>03582</v>
      </c>
      <c r="E18968">
        <v>66.37</v>
      </c>
    </row>
    <row r="18969" spans="1:5" x14ac:dyDescent="0.2">
      <c r="A18969" t="str">
        <f>"03583"</f>
        <v>03583</v>
      </c>
      <c r="B18969" t="s">
        <v>36</v>
      </c>
      <c r="C18969">
        <v>3583</v>
      </c>
      <c r="D18969" t="str">
        <f>"03583"</f>
        <v>03583</v>
      </c>
      <c r="E18969">
        <v>76.790000000000006</v>
      </c>
    </row>
    <row r="18970" spans="1:5" x14ac:dyDescent="0.2">
      <c r="A18970" t="str">
        <f>"03584"</f>
        <v>03584</v>
      </c>
      <c r="B18970" t="s">
        <v>36</v>
      </c>
      <c r="C18970">
        <v>3584</v>
      </c>
      <c r="D18970" t="str">
        <f>"03584"</f>
        <v>03584</v>
      </c>
      <c r="E18970">
        <v>69.709999999999994</v>
      </c>
    </row>
    <row r="18971" spans="1:5" x14ac:dyDescent="0.2">
      <c r="A18971" t="str">
        <f>"03585"</f>
        <v>03585</v>
      </c>
      <c r="B18971" t="s">
        <v>36</v>
      </c>
      <c r="C18971">
        <v>3585</v>
      </c>
      <c r="D18971" t="str">
        <f>"03585"</f>
        <v>03585</v>
      </c>
      <c r="E18971">
        <v>72.52</v>
      </c>
    </row>
    <row r="18972" spans="1:5" x14ac:dyDescent="0.2">
      <c r="A18972" t="str">
        <f>"03586"</f>
        <v>03586</v>
      </c>
      <c r="B18972" t="s">
        <v>36</v>
      </c>
      <c r="C18972">
        <v>3586</v>
      </c>
      <c r="D18972" t="str">
        <f>"03586"</f>
        <v>03586</v>
      </c>
      <c r="E18972">
        <v>80.77</v>
      </c>
    </row>
    <row r="18973" spans="1:5" x14ac:dyDescent="0.2">
      <c r="A18973" t="str">
        <f>"03588"</f>
        <v>03588</v>
      </c>
      <c r="B18973" t="s">
        <v>36</v>
      </c>
      <c r="C18973">
        <v>3588</v>
      </c>
      <c r="D18973" t="str">
        <f>"03588"</f>
        <v>03588</v>
      </c>
      <c r="E18973">
        <v>75.61</v>
      </c>
    </row>
    <row r="18974" spans="1:5" x14ac:dyDescent="0.2">
      <c r="A18974" t="str">
        <f>"03590"</f>
        <v>03590</v>
      </c>
      <c r="B18974" t="s">
        <v>36</v>
      </c>
      <c r="C18974">
        <v>3590</v>
      </c>
      <c r="D18974" t="str">
        <f>"03590"</f>
        <v>03590</v>
      </c>
      <c r="E18974">
        <v>62.5</v>
      </c>
    </row>
    <row r="18975" spans="1:5" x14ac:dyDescent="0.2">
      <c r="A18975" t="str">
        <f>"03592"</f>
        <v>03592</v>
      </c>
      <c r="B18975" t="s">
        <v>36</v>
      </c>
      <c r="C18975">
        <v>3592</v>
      </c>
      <c r="D18975" t="str">
        <f>"03592"</f>
        <v>03592</v>
      </c>
      <c r="E18975">
        <v>70.59</v>
      </c>
    </row>
    <row r="18976" spans="1:5" x14ac:dyDescent="0.2">
      <c r="A18976" t="str">
        <f>"03593"</f>
        <v>03593</v>
      </c>
      <c r="B18976" t="s">
        <v>36</v>
      </c>
      <c r="C18976">
        <v>3593</v>
      </c>
      <c r="D18976" t="str">
        <f>"03593"</f>
        <v>03593</v>
      </c>
      <c r="E18976">
        <v>70.59</v>
      </c>
    </row>
    <row r="18977" spans="1:5" x14ac:dyDescent="0.2">
      <c r="A18977" t="str">
        <f>"03595"</f>
        <v>03595</v>
      </c>
      <c r="B18977" t="s">
        <v>36</v>
      </c>
      <c r="C18977">
        <v>3595</v>
      </c>
      <c r="D18977" t="str">
        <f>"03595"</f>
        <v>03595</v>
      </c>
      <c r="E18977" t="s">
        <v>6</v>
      </c>
    </row>
    <row r="18978" spans="1:5" x14ac:dyDescent="0.2">
      <c r="A18978" t="str">
        <f>"03597"</f>
        <v>03597</v>
      </c>
      <c r="B18978" t="s">
        <v>36</v>
      </c>
      <c r="C18978">
        <v>3597</v>
      </c>
      <c r="D18978" t="str">
        <f>"03597"</f>
        <v>03597</v>
      </c>
      <c r="E18978" t="s">
        <v>6</v>
      </c>
    </row>
    <row r="18979" spans="1:5" x14ac:dyDescent="0.2">
      <c r="A18979" t="str">
        <f>"03598"</f>
        <v>03598</v>
      </c>
      <c r="B18979" t="s">
        <v>36</v>
      </c>
      <c r="C18979">
        <v>3598</v>
      </c>
      <c r="D18979" t="str">
        <f>"03598"</f>
        <v>03598</v>
      </c>
      <c r="E18979">
        <v>68.02</v>
      </c>
    </row>
    <row r="18980" spans="1:5" x14ac:dyDescent="0.2">
      <c r="A18980" t="str">
        <f>"03601"</f>
        <v>03601</v>
      </c>
      <c r="B18980" t="s">
        <v>36</v>
      </c>
      <c r="C18980">
        <v>3601</v>
      </c>
      <c r="D18980" t="str">
        <f>"03601"</f>
        <v>03601</v>
      </c>
      <c r="E18980">
        <v>71.430000000000007</v>
      </c>
    </row>
    <row r="18981" spans="1:5" x14ac:dyDescent="0.2">
      <c r="A18981" t="str">
        <f>"03602"</f>
        <v>03602</v>
      </c>
      <c r="B18981" t="s">
        <v>36</v>
      </c>
      <c r="C18981">
        <v>3602</v>
      </c>
      <c r="D18981" t="str">
        <f>"03602"</f>
        <v>03602</v>
      </c>
      <c r="E18981">
        <v>76.64</v>
      </c>
    </row>
    <row r="18982" spans="1:5" x14ac:dyDescent="0.2">
      <c r="A18982" t="str">
        <f>"03603"</f>
        <v>03603</v>
      </c>
      <c r="B18982" t="s">
        <v>36</v>
      </c>
      <c r="C18982">
        <v>3603</v>
      </c>
      <c r="D18982" t="str">
        <f>"03603"</f>
        <v>03603</v>
      </c>
      <c r="E18982">
        <v>75.790000000000006</v>
      </c>
    </row>
    <row r="18983" spans="1:5" x14ac:dyDescent="0.2">
      <c r="A18983" t="str">
        <f>"03605"</f>
        <v>03605</v>
      </c>
      <c r="B18983" t="s">
        <v>36</v>
      </c>
      <c r="C18983">
        <v>3605</v>
      </c>
      <c r="D18983" t="str">
        <f>"03605"</f>
        <v>03605</v>
      </c>
      <c r="E18983">
        <v>72.92</v>
      </c>
    </row>
    <row r="18984" spans="1:5" x14ac:dyDescent="0.2">
      <c r="A18984" t="str">
        <f>"03607"</f>
        <v>03607</v>
      </c>
      <c r="B18984" t="s">
        <v>36</v>
      </c>
      <c r="C18984">
        <v>3607</v>
      </c>
      <c r="D18984" t="str">
        <f>"03607"</f>
        <v>03607</v>
      </c>
      <c r="E18984">
        <v>78.569999999999993</v>
      </c>
    </row>
    <row r="18985" spans="1:5" x14ac:dyDescent="0.2">
      <c r="A18985" t="str">
        <f>"03608"</f>
        <v>03608</v>
      </c>
      <c r="B18985" t="s">
        <v>36</v>
      </c>
      <c r="C18985">
        <v>3608</v>
      </c>
      <c r="D18985" t="str">
        <f>"03608"</f>
        <v>03608</v>
      </c>
      <c r="E18985">
        <v>81.08</v>
      </c>
    </row>
    <row r="18986" spans="1:5" x14ac:dyDescent="0.2">
      <c r="A18986" t="str">
        <f>"03609"</f>
        <v>03609</v>
      </c>
      <c r="B18986" t="s">
        <v>36</v>
      </c>
      <c r="C18986">
        <v>3609</v>
      </c>
      <c r="D18986" t="str">
        <f>"03609"</f>
        <v>03609</v>
      </c>
      <c r="E18986">
        <v>72.97</v>
      </c>
    </row>
    <row r="18987" spans="1:5" x14ac:dyDescent="0.2">
      <c r="A18987" t="str">
        <f>"03740"</f>
        <v>03740</v>
      </c>
      <c r="B18987" t="s">
        <v>36</v>
      </c>
      <c r="C18987">
        <v>3740</v>
      </c>
      <c r="D18987" t="str">
        <f>"03740"</f>
        <v>03740</v>
      </c>
      <c r="E18987">
        <v>71.7</v>
      </c>
    </row>
    <row r="18988" spans="1:5" x14ac:dyDescent="0.2">
      <c r="A18988" t="str">
        <f>"03741"</f>
        <v>03741</v>
      </c>
      <c r="B18988" t="s">
        <v>36</v>
      </c>
      <c r="C18988">
        <v>3741</v>
      </c>
      <c r="D18988" t="str">
        <f>"03741"</f>
        <v>03741</v>
      </c>
      <c r="E18988">
        <v>78.3</v>
      </c>
    </row>
    <row r="18989" spans="1:5" x14ac:dyDescent="0.2">
      <c r="A18989" t="str">
        <f>"03743"</f>
        <v>03743</v>
      </c>
      <c r="B18989" t="s">
        <v>36</v>
      </c>
      <c r="C18989">
        <v>3743</v>
      </c>
      <c r="D18989" t="str">
        <f>"03743"</f>
        <v>03743</v>
      </c>
      <c r="E18989">
        <v>73.13</v>
      </c>
    </row>
    <row r="18990" spans="1:5" x14ac:dyDescent="0.2">
      <c r="A18990" t="str">
        <f>"03745"</f>
        <v>03745</v>
      </c>
      <c r="B18990" t="s">
        <v>36</v>
      </c>
      <c r="C18990">
        <v>3745</v>
      </c>
      <c r="D18990" t="str">
        <f>"03745"</f>
        <v>03745</v>
      </c>
      <c r="E18990">
        <v>84.62</v>
      </c>
    </row>
    <row r="18991" spans="1:5" x14ac:dyDescent="0.2">
      <c r="A18991" t="str">
        <f>"03748"</f>
        <v>03748</v>
      </c>
      <c r="B18991" t="s">
        <v>36</v>
      </c>
      <c r="C18991">
        <v>3748</v>
      </c>
      <c r="D18991" t="str">
        <f>"03748"</f>
        <v>03748</v>
      </c>
      <c r="E18991">
        <v>81.5</v>
      </c>
    </row>
    <row r="18992" spans="1:5" x14ac:dyDescent="0.2">
      <c r="A18992" t="str">
        <f>"03750"</f>
        <v>03750</v>
      </c>
      <c r="B18992" t="s">
        <v>36</v>
      </c>
      <c r="C18992">
        <v>3750</v>
      </c>
      <c r="D18992" t="str">
        <f>"03750"</f>
        <v>03750</v>
      </c>
      <c r="E18992">
        <v>86.54</v>
      </c>
    </row>
    <row r="18993" spans="1:5" x14ac:dyDescent="0.2">
      <c r="A18993" t="str">
        <f>"03751"</f>
        <v>03751</v>
      </c>
      <c r="B18993" t="s">
        <v>36</v>
      </c>
      <c r="C18993">
        <v>3751</v>
      </c>
      <c r="D18993" t="str">
        <f>"03751"</f>
        <v>03751</v>
      </c>
      <c r="E18993" t="s">
        <v>6</v>
      </c>
    </row>
    <row r="18994" spans="1:5" x14ac:dyDescent="0.2">
      <c r="A18994" t="str">
        <f>"03752"</f>
        <v>03752</v>
      </c>
      <c r="B18994" t="s">
        <v>36</v>
      </c>
      <c r="C18994">
        <v>3752</v>
      </c>
      <c r="D18994" t="str">
        <f>"03752"</f>
        <v>03752</v>
      </c>
      <c r="E18994">
        <v>72.09</v>
      </c>
    </row>
    <row r="18995" spans="1:5" x14ac:dyDescent="0.2">
      <c r="A18995" t="str">
        <f>"03753"</f>
        <v>03753</v>
      </c>
      <c r="B18995" t="s">
        <v>36</v>
      </c>
      <c r="C18995">
        <v>3753</v>
      </c>
      <c r="D18995" t="str">
        <f>"03753"</f>
        <v>03753</v>
      </c>
      <c r="E18995">
        <v>84.07</v>
      </c>
    </row>
    <row r="18996" spans="1:5" x14ac:dyDescent="0.2">
      <c r="A18996" t="str">
        <f>"03755"</f>
        <v>03755</v>
      </c>
      <c r="B18996" t="s">
        <v>36</v>
      </c>
      <c r="C18996">
        <v>3755</v>
      </c>
      <c r="D18996" t="str">
        <f>"03755"</f>
        <v>03755</v>
      </c>
      <c r="E18996">
        <v>80.849999999999994</v>
      </c>
    </row>
    <row r="18997" spans="1:5" x14ac:dyDescent="0.2">
      <c r="A18997" t="str">
        <f>"03756"</f>
        <v>03756</v>
      </c>
      <c r="B18997" t="s">
        <v>36</v>
      </c>
      <c r="C18997">
        <v>3756</v>
      </c>
      <c r="D18997" t="str">
        <f>"03756"</f>
        <v>03756</v>
      </c>
      <c r="E18997" t="s">
        <v>6</v>
      </c>
    </row>
    <row r="18998" spans="1:5" x14ac:dyDescent="0.2">
      <c r="A18998" t="str">
        <f>"03765"</f>
        <v>03765</v>
      </c>
      <c r="B18998" t="s">
        <v>36</v>
      </c>
      <c r="C18998">
        <v>3765</v>
      </c>
      <c r="D18998" t="str">
        <f>"03765"</f>
        <v>03765</v>
      </c>
      <c r="E18998">
        <v>70.83</v>
      </c>
    </row>
    <row r="18999" spans="1:5" x14ac:dyDescent="0.2">
      <c r="A18999" t="str">
        <f>"03766"</f>
        <v>03766</v>
      </c>
      <c r="B18999" t="s">
        <v>36</v>
      </c>
      <c r="C18999">
        <v>3766</v>
      </c>
      <c r="D18999" t="str">
        <f>"03766"</f>
        <v>03766</v>
      </c>
      <c r="E18999">
        <v>82.26</v>
      </c>
    </row>
    <row r="19000" spans="1:5" x14ac:dyDescent="0.2">
      <c r="A19000" t="str">
        <f>"03768"</f>
        <v>03768</v>
      </c>
      <c r="B19000" t="s">
        <v>36</v>
      </c>
      <c r="C19000">
        <v>3768</v>
      </c>
      <c r="D19000" t="str">
        <f>"03768"</f>
        <v>03768</v>
      </c>
      <c r="E19000">
        <v>82.93</v>
      </c>
    </row>
    <row r="19001" spans="1:5" x14ac:dyDescent="0.2">
      <c r="A19001" t="str">
        <f>"03770"</f>
        <v>03770</v>
      </c>
      <c r="B19001" t="s">
        <v>36</v>
      </c>
      <c r="C19001">
        <v>3770</v>
      </c>
      <c r="D19001" t="str">
        <f>"03770"</f>
        <v>03770</v>
      </c>
      <c r="E19001">
        <v>78.38</v>
      </c>
    </row>
    <row r="19002" spans="1:5" x14ac:dyDescent="0.2">
      <c r="A19002" t="str">
        <f>"03771"</f>
        <v>03771</v>
      </c>
      <c r="B19002" t="s">
        <v>36</v>
      </c>
      <c r="C19002">
        <v>3771</v>
      </c>
      <c r="D19002" t="str">
        <f>"03771"</f>
        <v>03771</v>
      </c>
      <c r="E19002">
        <v>80.95</v>
      </c>
    </row>
    <row r="19003" spans="1:5" x14ac:dyDescent="0.2">
      <c r="A19003" t="str">
        <f>"03773"</f>
        <v>03773</v>
      </c>
      <c r="B19003" t="s">
        <v>36</v>
      </c>
      <c r="C19003">
        <v>3773</v>
      </c>
      <c r="D19003" t="str">
        <f>"03773"</f>
        <v>03773</v>
      </c>
      <c r="E19003">
        <v>72.28</v>
      </c>
    </row>
    <row r="19004" spans="1:5" x14ac:dyDescent="0.2">
      <c r="A19004" t="str">
        <f>"03774"</f>
        <v>03774</v>
      </c>
      <c r="B19004" t="s">
        <v>36</v>
      </c>
      <c r="C19004">
        <v>3774</v>
      </c>
      <c r="D19004" t="str">
        <f>"03774"</f>
        <v>03774</v>
      </c>
      <c r="E19004">
        <v>77.17</v>
      </c>
    </row>
    <row r="19005" spans="1:5" x14ac:dyDescent="0.2">
      <c r="A19005" t="str">
        <f>"03777"</f>
        <v>03777</v>
      </c>
      <c r="B19005" t="s">
        <v>36</v>
      </c>
      <c r="C19005">
        <v>3777</v>
      </c>
      <c r="D19005" t="str">
        <f>"03777"</f>
        <v>03777</v>
      </c>
      <c r="E19005">
        <v>81.540000000000006</v>
      </c>
    </row>
    <row r="19006" spans="1:5" x14ac:dyDescent="0.2">
      <c r="A19006" t="str">
        <f>"03779"</f>
        <v>03779</v>
      </c>
      <c r="B19006" t="s">
        <v>36</v>
      </c>
      <c r="C19006">
        <v>3779</v>
      </c>
      <c r="D19006" t="str">
        <f>"03779"</f>
        <v>03779</v>
      </c>
      <c r="E19006">
        <v>81.58</v>
      </c>
    </row>
    <row r="19007" spans="1:5" x14ac:dyDescent="0.2">
      <c r="A19007" t="str">
        <f>"03780"</f>
        <v>03780</v>
      </c>
      <c r="B19007" t="s">
        <v>36</v>
      </c>
      <c r="C19007">
        <v>3780</v>
      </c>
      <c r="D19007" t="str">
        <f>"03780"</f>
        <v>03780</v>
      </c>
      <c r="E19007">
        <v>76.19</v>
      </c>
    </row>
    <row r="19008" spans="1:5" x14ac:dyDescent="0.2">
      <c r="A19008" t="str">
        <f>"03781"</f>
        <v>03781</v>
      </c>
      <c r="B19008" t="s">
        <v>36</v>
      </c>
      <c r="C19008">
        <v>3781</v>
      </c>
      <c r="D19008" t="str">
        <f>"03781"</f>
        <v>03781</v>
      </c>
      <c r="E19008">
        <v>85.06</v>
      </c>
    </row>
    <row r="19009" spans="1:5" x14ac:dyDescent="0.2">
      <c r="A19009" t="str">
        <f>"03782"</f>
        <v>03782</v>
      </c>
      <c r="B19009" t="s">
        <v>36</v>
      </c>
      <c r="C19009">
        <v>3782</v>
      </c>
      <c r="D19009" t="str">
        <f>"03782"</f>
        <v>03782</v>
      </c>
      <c r="E19009">
        <v>79.22</v>
      </c>
    </row>
    <row r="19010" spans="1:5" x14ac:dyDescent="0.2">
      <c r="A19010" t="str">
        <f>"03784"</f>
        <v>03784</v>
      </c>
      <c r="B19010" t="s">
        <v>36</v>
      </c>
      <c r="C19010">
        <v>3784</v>
      </c>
      <c r="D19010" t="str">
        <f>"03784"</f>
        <v>03784</v>
      </c>
      <c r="E19010">
        <v>80.28</v>
      </c>
    </row>
    <row r="19011" spans="1:5" x14ac:dyDescent="0.2">
      <c r="A19011" t="str">
        <f>"03785"</f>
        <v>03785</v>
      </c>
      <c r="B19011" t="s">
        <v>36</v>
      </c>
      <c r="C19011">
        <v>3785</v>
      </c>
      <c r="D19011" t="str">
        <f>"03785"</f>
        <v>03785</v>
      </c>
      <c r="E19011">
        <v>72.22</v>
      </c>
    </row>
    <row r="19012" spans="1:5" x14ac:dyDescent="0.2">
      <c r="A19012" t="str">
        <f>"03801"</f>
        <v>03801</v>
      </c>
      <c r="B19012" t="s">
        <v>36</v>
      </c>
      <c r="C19012">
        <v>3801</v>
      </c>
      <c r="D19012" t="str">
        <f>"03801"</f>
        <v>03801</v>
      </c>
      <c r="E19012">
        <v>83.61</v>
      </c>
    </row>
    <row r="19013" spans="1:5" x14ac:dyDescent="0.2">
      <c r="A19013" t="str">
        <f>"03809"</f>
        <v>03809</v>
      </c>
      <c r="B19013" t="s">
        <v>36</v>
      </c>
      <c r="C19013">
        <v>3809</v>
      </c>
      <c r="D19013" t="str">
        <f>"03809"</f>
        <v>03809</v>
      </c>
      <c r="E19013">
        <v>78.05</v>
      </c>
    </row>
    <row r="19014" spans="1:5" x14ac:dyDescent="0.2">
      <c r="A19014" t="str">
        <f>"03810"</f>
        <v>03810</v>
      </c>
      <c r="B19014" t="s">
        <v>36</v>
      </c>
      <c r="C19014">
        <v>3810</v>
      </c>
      <c r="D19014" t="str">
        <f>"03810"</f>
        <v>03810</v>
      </c>
      <c r="E19014">
        <v>78.489999999999995</v>
      </c>
    </row>
    <row r="19015" spans="1:5" x14ac:dyDescent="0.2">
      <c r="A19015" t="str">
        <f>"03811"</f>
        <v>03811</v>
      </c>
      <c r="B19015" t="s">
        <v>36</v>
      </c>
      <c r="C19015">
        <v>3811</v>
      </c>
      <c r="D19015" t="str">
        <f>"03811"</f>
        <v>03811</v>
      </c>
      <c r="E19015">
        <v>83.97</v>
      </c>
    </row>
    <row r="19016" spans="1:5" x14ac:dyDescent="0.2">
      <c r="A19016" t="str">
        <f>"03812"</f>
        <v>03812</v>
      </c>
      <c r="B19016" t="s">
        <v>36</v>
      </c>
      <c r="C19016">
        <v>3812</v>
      </c>
      <c r="D19016" t="str">
        <f>"03812"</f>
        <v>03812</v>
      </c>
      <c r="E19016">
        <v>76.67</v>
      </c>
    </row>
    <row r="19017" spans="1:5" x14ac:dyDescent="0.2">
      <c r="A19017" t="str">
        <f>"03813"</f>
        <v>03813</v>
      </c>
      <c r="B19017" t="s">
        <v>36</v>
      </c>
      <c r="C19017">
        <v>3813</v>
      </c>
      <c r="D19017" t="str">
        <f>"03813"</f>
        <v>03813</v>
      </c>
      <c r="E19017">
        <v>73.959999999999994</v>
      </c>
    </row>
    <row r="19018" spans="1:5" x14ac:dyDescent="0.2">
      <c r="A19018" t="str">
        <f>"03814"</f>
        <v>03814</v>
      </c>
      <c r="B19018" t="s">
        <v>36</v>
      </c>
      <c r="C19018">
        <v>3814</v>
      </c>
      <c r="D19018" t="str">
        <f>"03814"</f>
        <v>03814</v>
      </c>
      <c r="E19018">
        <v>69.37</v>
      </c>
    </row>
    <row r="19019" spans="1:5" x14ac:dyDescent="0.2">
      <c r="A19019" t="str">
        <f>"03816"</f>
        <v>03816</v>
      </c>
      <c r="B19019" t="s">
        <v>36</v>
      </c>
      <c r="C19019">
        <v>3816</v>
      </c>
      <c r="D19019" t="str">
        <f>"03816"</f>
        <v>03816</v>
      </c>
      <c r="E19019">
        <v>70.489999999999995</v>
      </c>
    </row>
    <row r="19020" spans="1:5" x14ac:dyDescent="0.2">
      <c r="A19020" t="str">
        <f>"03817"</f>
        <v>03817</v>
      </c>
      <c r="B19020" t="s">
        <v>36</v>
      </c>
      <c r="C19020">
        <v>3817</v>
      </c>
      <c r="D19020" t="str">
        <f>"03817"</f>
        <v>03817</v>
      </c>
      <c r="E19020">
        <v>73.53</v>
      </c>
    </row>
    <row r="19021" spans="1:5" x14ac:dyDescent="0.2">
      <c r="A19021" t="str">
        <f>"03818"</f>
        <v>03818</v>
      </c>
      <c r="B19021" t="s">
        <v>36</v>
      </c>
      <c r="C19021">
        <v>3818</v>
      </c>
      <c r="D19021" t="str">
        <f>"03818"</f>
        <v>03818</v>
      </c>
      <c r="E19021">
        <v>72.510000000000005</v>
      </c>
    </row>
    <row r="19022" spans="1:5" x14ac:dyDescent="0.2">
      <c r="A19022" t="str">
        <f>"03819"</f>
        <v>03819</v>
      </c>
      <c r="B19022" t="s">
        <v>36</v>
      </c>
      <c r="C19022">
        <v>3819</v>
      </c>
      <c r="D19022" t="str">
        <f>"03819"</f>
        <v>03819</v>
      </c>
      <c r="E19022">
        <v>81.17</v>
      </c>
    </row>
    <row r="19023" spans="1:5" x14ac:dyDescent="0.2">
      <c r="A19023" t="str">
        <f>"03820"</f>
        <v>03820</v>
      </c>
      <c r="B19023" t="s">
        <v>36</v>
      </c>
      <c r="C19023">
        <v>3820</v>
      </c>
      <c r="D19023" t="str">
        <f>"03820"</f>
        <v>03820</v>
      </c>
      <c r="E19023">
        <v>81.75</v>
      </c>
    </row>
    <row r="19024" spans="1:5" x14ac:dyDescent="0.2">
      <c r="A19024" t="str">
        <f>"03823"</f>
        <v>03823</v>
      </c>
      <c r="B19024" t="s">
        <v>36</v>
      </c>
      <c r="C19024">
        <v>3823</v>
      </c>
      <c r="D19024" t="str">
        <f>"03823"</f>
        <v>03823</v>
      </c>
      <c r="E19024">
        <v>85.56</v>
      </c>
    </row>
    <row r="19025" spans="1:5" x14ac:dyDescent="0.2">
      <c r="A19025" t="str">
        <f>"03824"</f>
        <v>03824</v>
      </c>
      <c r="B19025" t="s">
        <v>36</v>
      </c>
      <c r="C19025">
        <v>3824</v>
      </c>
      <c r="D19025" t="str">
        <f>"03824"</f>
        <v>03824</v>
      </c>
      <c r="E19025">
        <v>79.94</v>
      </c>
    </row>
    <row r="19026" spans="1:5" x14ac:dyDescent="0.2">
      <c r="A19026" t="str">
        <f>"03825"</f>
        <v>03825</v>
      </c>
      <c r="B19026" t="s">
        <v>36</v>
      </c>
      <c r="C19026">
        <v>3825</v>
      </c>
      <c r="D19026" t="str">
        <f>"03825"</f>
        <v>03825</v>
      </c>
      <c r="E19026">
        <v>81.48</v>
      </c>
    </row>
    <row r="19027" spans="1:5" x14ac:dyDescent="0.2">
      <c r="A19027" t="str">
        <f>"03826"</f>
        <v>03826</v>
      </c>
      <c r="B19027" t="s">
        <v>36</v>
      </c>
      <c r="C19027">
        <v>3826</v>
      </c>
      <c r="D19027" t="str">
        <f>"03826"</f>
        <v>03826</v>
      </c>
      <c r="E19027">
        <v>83.44</v>
      </c>
    </row>
    <row r="19028" spans="1:5" x14ac:dyDescent="0.2">
      <c r="A19028" t="str">
        <f>"03827"</f>
        <v>03827</v>
      </c>
      <c r="B19028" t="s">
        <v>36</v>
      </c>
      <c r="C19028">
        <v>3827</v>
      </c>
      <c r="D19028" t="str">
        <f>"03827"</f>
        <v>03827</v>
      </c>
      <c r="E19028">
        <v>81.03</v>
      </c>
    </row>
    <row r="19029" spans="1:5" x14ac:dyDescent="0.2">
      <c r="A19029" t="str">
        <f>"03830"</f>
        <v>03830</v>
      </c>
      <c r="B19029" t="s">
        <v>36</v>
      </c>
      <c r="C19029">
        <v>3830</v>
      </c>
      <c r="D19029" t="str">
        <f>"03830"</f>
        <v>03830</v>
      </c>
      <c r="E19029">
        <v>79.73</v>
      </c>
    </row>
    <row r="19030" spans="1:5" x14ac:dyDescent="0.2">
      <c r="A19030" t="str">
        <f>"03833"</f>
        <v>03833</v>
      </c>
      <c r="B19030" t="s">
        <v>36</v>
      </c>
      <c r="C19030">
        <v>3833</v>
      </c>
      <c r="D19030" t="str">
        <f>"03833"</f>
        <v>03833</v>
      </c>
      <c r="E19030">
        <v>80.34</v>
      </c>
    </row>
    <row r="19031" spans="1:5" x14ac:dyDescent="0.2">
      <c r="A19031" t="str">
        <f>"03835"</f>
        <v>03835</v>
      </c>
      <c r="B19031" t="s">
        <v>36</v>
      </c>
      <c r="C19031">
        <v>3835</v>
      </c>
      <c r="D19031" t="str">
        <f>"03835"</f>
        <v>03835</v>
      </c>
      <c r="E19031">
        <v>76.81</v>
      </c>
    </row>
    <row r="19032" spans="1:5" x14ac:dyDescent="0.2">
      <c r="A19032" t="str">
        <f>"03836"</f>
        <v>03836</v>
      </c>
      <c r="B19032" t="s">
        <v>36</v>
      </c>
      <c r="C19032">
        <v>3836</v>
      </c>
      <c r="D19032" t="str">
        <f>"03836"</f>
        <v>03836</v>
      </c>
      <c r="E19032">
        <v>76.25</v>
      </c>
    </row>
    <row r="19033" spans="1:5" x14ac:dyDescent="0.2">
      <c r="A19033" t="str">
        <f>"03837"</f>
        <v>03837</v>
      </c>
      <c r="B19033" t="s">
        <v>36</v>
      </c>
      <c r="C19033">
        <v>3837</v>
      </c>
      <c r="D19033" t="str">
        <f>"03837"</f>
        <v>03837</v>
      </c>
      <c r="E19033">
        <v>78.569999999999993</v>
      </c>
    </row>
    <row r="19034" spans="1:5" x14ac:dyDescent="0.2">
      <c r="A19034" t="str">
        <f>"03838"</f>
        <v>03838</v>
      </c>
      <c r="B19034" t="s">
        <v>36</v>
      </c>
      <c r="C19034">
        <v>3838</v>
      </c>
      <c r="D19034" t="str">
        <f>"03838"</f>
        <v>03838</v>
      </c>
      <c r="E19034">
        <v>77.5</v>
      </c>
    </row>
    <row r="19035" spans="1:5" x14ac:dyDescent="0.2">
      <c r="A19035" t="str">
        <f>"03839"</f>
        <v>03839</v>
      </c>
      <c r="B19035" t="s">
        <v>36</v>
      </c>
      <c r="C19035">
        <v>3839</v>
      </c>
      <c r="D19035" t="str">
        <f>"03839"</f>
        <v>03839</v>
      </c>
      <c r="E19035">
        <v>78.849999999999994</v>
      </c>
    </row>
    <row r="19036" spans="1:5" x14ac:dyDescent="0.2">
      <c r="A19036" t="str">
        <f>"03840"</f>
        <v>03840</v>
      </c>
      <c r="B19036" t="s">
        <v>36</v>
      </c>
      <c r="C19036">
        <v>3840</v>
      </c>
      <c r="D19036" t="str">
        <f>"03840"</f>
        <v>03840</v>
      </c>
      <c r="E19036">
        <v>84.05</v>
      </c>
    </row>
    <row r="19037" spans="1:5" x14ac:dyDescent="0.2">
      <c r="A19037" t="str">
        <f>"03841"</f>
        <v>03841</v>
      </c>
      <c r="B19037" t="s">
        <v>36</v>
      </c>
      <c r="C19037">
        <v>3841</v>
      </c>
      <c r="D19037" t="str">
        <f>"03841"</f>
        <v>03841</v>
      </c>
      <c r="E19037">
        <v>82.84</v>
      </c>
    </row>
    <row r="19038" spans="1:5" x14ac:dyDescent="0.2">
      <c r="A19038" t="str">
        <f>"03842"</f>
        <v>03842</v>
      </c>
      <c r="B19038" t="s">
        <v>36</v>
      </c>
      <c r="C19038">
        <v>3842</v>
      </c>
      <c r="D19038" t="str">
        <f>"03842"</f>
        <v>03842</v>
      </c>
      <c r="E19038">
        <v>81.69</v>
      </c>
    </row>
    <row r="19039" spans="1:5" x14ac:dyDescent="0.2">
      <c r="A19039" t="str">
        <f>"03844"</f>
        <v>03844</v>
      </c>
      <c r="B19039" t="s">
        <v>36</v>
      </c>
      <c r="C19039">
        <v>3844</v>
      </c>
      <c r="D19039" t="str">
        <f>"03844"</f>
        <v>03844</v>
      </c>
      <c r="E19039">
        <v>79.69</v>
      </c>
    </row>
    <row r="19040" spans="1:5" x14ac:dyDescent="0.2">
      <c r="A19040" t="str">
        <f>"03845"</f>
        <v>03845</v>
      </c>
      <c r="B19040" t="s">
        <v>36</v>
      </c>
      <c r="C19040">
        <v>3845</v>
      </c>
      <c r="D19040" t="str">
        <f>"03845"</f>
        <v>03845</v>
      </c>
      <c r="E19040">
        <v>82.19</v>
      </c>
    </row>
    <row r="19041" spans="1:5" x14ac:dyDescent="0.2">
      <c r="A19041" t="str">
        <f>"03846"</f>
        <v>03846</v>
      </c>
      <c r="B19041" t="s">
        <v>36</v>
      </c>
      <c r="C19041">
        <v>3846</v>
      </c>
      <c r="D19041" t="str">
        <f>"03846"</f>
        <v>03846</v>
      </c>
      <c r="E19041">
        <v>73.08</v>
      </c>
    </row>
    <row r="19042" spans="1:5" x14ac:dyDescent="0.2">
      <c r="A19042" t="str">
        <f>"03848"</f>
        <v>03848</v>
      </c>
      <c r="B19042" t="s">
        <v>36</v>
      </c>
      <c r="C19042">
        <v>3848</v>
      </c>
      <c r="D19042" t="str">
        <f>"03848"</f>
        <v>03848</v>
      </c>
      <c r="E19042">
        <v>82.37</v>
      </c>
    </row>
    <row r="19043" spans="1:5" x14ac:dyDescent="0.2">
      <c r="A19043" t="str">
        <f>"03849"</f>
        <v>03849</v>
      </c>
      <c r="B19043" t="s">
        <v>36</v>
      </c>
      <c r="C19043">
        <v>3849</v>
      </c>
      <c r="D19043" t="str">
        <f>"03849"</f>
        <v>03849</v>
      </c>
      <c r="E19043">
        <v>77.78</v>
      </c>
    </row>
    <row r="19044" spans="1:5" x14ac:dyDescent="0.2">
      <c r="A19044" t="str">
        <f>"03850"</f>
        <v>03850</v>
      </c>
      <c r="B19044" t="s">
        <v>36</v>
      </c>
      <c r="C19044">
        <v>3850</v>
      </c>
      <c r="D19044" t="str">
        <f>"03850"</f>
        <v>03850</v>
      </c>
      <c r="E19044" t="s">
        <v>6</v>
      </c>
    </row>
    <row r="19045" spans="1:5" x14ac:dyDescent="0.2">
      <c r="A19045" t="str">
        <f>"03851"</f>
        <v>03851</v>
      </c>
      <c r="B19045" t="s">
        <v>36</v>
      </c>
      <c r="C19045">
        <v>3851</v>
      </c>
      <c r="D19045" t="str">
        <f>"03851"</f>
        <v>03851</v>
      </c>
      <c r="E19045">
        <v>78.95</v>
      </c>
    </row>
    <row r="19046" spans="1:5" x14ac:dyDescent="0.2">
      <c r="A19046" t="str">
        <f>"03852"</f>
        <v>03852</v>
      </c>
      <c r="B19046" t="s">
        <v>36</v>
      </c>
      <c r="C19046">
        <v>3852</v>
      </c>
      <c r="D19046" t="str">
        <f>"03852"</f>
        <v>03852</v>
      </c>
      <c r="E19046">
        <v>76.67</v>
      </c>
    </row>
    <row r="19047" spans="1:5" x14ac:dyDescent="0.2">
      <c r="A19047" t="str">
        <f>"03853"</f>
        <v>03853</v>
      </c>
      <c r="B19047" t="s">
        <v>36</v>
      </c>
      <c r="C19047">
        <v>3853</v>
      </c>
      <c r="D19047" t="str">
        <f>"03853"</f>
        <v>03853</v>
      </c>
      <c r="E19047">
        <v>80.650000000000006</v>
      </c>
    </row>
    <row r="19048" spans="1:5" x14ac:dyDescent="0.2">
      <c r="A19048" t="str">
        <f>"03854"</f>
        <v>03854</v>
      </c>
      <c r="B19048" t="s">
        <v>36</v>
      </c>
      <c r="C19048">
        <v>3854</v>
      </c>
      <c r="D19048" t="str">
        <f>"03854"</f>
        <v>03854</v>
      </c>
      <c r="E19048" t="s">
        <v>6</v>
      </c>
    </row>
    <row r="19049" spans="1:5" x14ac:dyDescent="0.2">
      <c r="A19049" t="str">
        <f>"03855"</f>
        <v>03855</v>
      </c>
      <c r="B19049" t="s">
        <v>36</v>
      </c>
      <c r="C19049">
        <v>3855</v>
      </c>
      <c r="D19049" t="str">
        <f>"03855"</f>
        <v>03855</v>
      </c>
      <c r="E19049">
        <v>82.52</v>
      </c>
    </row>
    <row r="19050" spans="1:5" x14ac:dyDescent="0.2">
      <c r="A19050" t="str">
        <f>"03856"</f>
        <v>03856</v>
      </c>
      <c r="B19050" t="s">
        <v>36</v>
      </c>
      <c r="C19050">
        <v>3856</v>
      </c>
      <c r="D19050" t="str">
        <f>"03856"</f>
        <v>03856</v>
      </c>
      <c r="E19050">
        <v>81.819999999999993</v>
      </c>
    </row>
    <row r="19051" spans="1:5" x14ac:dyDescent="0.2">
      <c r="A19051" t="str">
        <f>"03857"</f>
        <v>03857</v>
      </c>
      <c r="B19051" t="s">
        <v>36</v>
      </c>
      <c r="C19051">
        <v>3857</v>
      </c>
      <c r="D19051" t="str">
        <f>"03857"</f>
        <v>03857</v>
      </c>
      <c r="E19051">
        <v>82.85</v>
      </c>
    </row>
    <row r="19052" spans="1:5" x14ac:dyDescent="0.2">
      <c r="A19052" t="str">
        <f>"03858"</f>
        <v>03858</v>
      </c>
      <c r="B19052" t="s">
        <v>36</v>
      </c>
      <c r="C19052">
        <v>3858</v>
      </c>
      <c r="D19052" t="str">
        <f>"03858"</f>
        <v>03858</v>
      </c>
      <c r="E19052">
        <v>83</v>
      </c>
    </row>
    <row r="19053" spans="1:5" x14ac:dyDescent="0.2">
      <c r="A19053" t="str">
        <f>"03860"</f>
        <v>03860</v>
      </c>
      <c r="B19053" t="s">
        <v>36</v>
      </c>
      <c r="C19053">
        <v>3860</v>
      </c>
      <c r="D19053" t="str">
        <f>"03860"</f>
        <v>03860</v>
      </c>
      <c r="E19053">
        <v>72.88</v>
      </c>
    </row>
    <row r="19054" spans="1:5" x14ac:dyDescent="0.2">
      <c r="A19054" t="str">
        <f>"03861"</f>
        <v>03861</v>
      </c>
      <c r="B19054" t="s">
        <v>36</v>
      </c>
      <c r="C19054">
        <v>3861</v>
      </c>
      <c r="D19054" t="str">
        <f>"03861"</f>
        <v>03861</v>
      </c>
      <c r="E19054">
        <v>81.94</v>
      </c>
    </row>
    <row r="19055" spans="1:5" x14ac:dyDescent="0.2">
      <c r="A19055" t="str">
        <f>"03862"</f>
        <v>03862</v>
      </c>
      <c r="B19055" t="s">
        <v>36</v>
      </c>
      <c r="C19055">
        <v>3862</v>
      </c>
      <c r="D19055" t="str">
        <f>"03862"</f>
        <v>03862</v>
      </c>
      <c r="E19055">
        <v>80.52</v>
      </c>
    </row>
    <row r="19056" spans="1:5" x14ac:dyDescent="0.2">
      <c r="A19056" t="str">
        <f>"03864"</f>
        <v>03864</v>
      </c>
      <c r="B19056" t="s">
        <v>36</v>
      </c>
      <c r="C19056">
        <v>3864</v>
      </c>
      <c r="D19056" t="str">
        <f>"03864"</f>
        <v>03864</v>
      </c>
      <c r="E19056">
        <v>68.239999999999995</v>
      </c>
    </row>
    <row r="19057" spans="1:5" x14ac:dyDescent="0.2">
      <c r="A19057" t="str">
        <f>"03865"</f>
        <v>03865</v>
      </c>
      <c r="B19057" t="s">
        <v>36</v>
      </c>
      <c r="C19057">
        <v>3865</v>
      </c>
      <c r="D19057" t="str">
        <f>"03865"</f>
        <v>03865</v>
      </c>
      <c r="E19057">
        <v>82.27</v>
      </c>
    </row>
    <row r="19058" spans="1:5" x14ac:dyDescent="0.2">
      <c r="A19058" t="str">
        <f>"03867"</f>
        <v>03867</v>
      </c>
      <c r="B19058" t="s">
        <v>36</v>
      </c>
      <c r="C19058">
        <v>3867</v>
      </c>
      <c r="D19058" t="str">
        <f>"03867"</f>
        <v>03867</v>
      </c>
      <c r="E19058">
        <v>76.12</v>
      </c>
    </row>
    <row r="19059" spans="1:5" x14ac:dyDescent="0.2">
      <c r="A19059" t="str">
        <f>"03868"</f>
        <v>03868</v>
      </c>
      <c r="B19059" t="s">
        <v>36</v>
      </c>
      <c r="C19059">
        <v>3868</v>
      </c>
      <c r="D19059" t="str">
        <f>"03868"</f>
        <v>03868</v>
      </c>
      <c r="E19059">
        <v>77.989999999999995</v>
      </c>
    </row>
    <row r="19060" spans="1:5" x14ac:dyDescent="0.2">
      <c r="A19060" t="str">
        <f>"03869"</f>
        <v>03869</v>
      </c>
      <c r="B19060" t="s">
        <v>36</v>
      </c>
      <c r="C19060">
        <v>3869</v>
      </c>
      <c r="D19060" t="str">
        <f>"03869"</f>
        <v>03869</v>
      </c>
      <c r="E19060">
        <v>81.16</v>
      </c>
    </row>
    <row r="19061" spans="1:5" x14ac:dyDescent="0.2">
      <c r="A19061" t="str">
        <f>"03870"</f>
        <v>03870</v>
      </c>
      <c r="B19061" t="s">
        <v>36</v>
      </c>
      <c r="C19061">
        <v>3870</v>
      </c>
      <c r="D19061" t="str">
        <f>"03870"</f>
        <v>03870</v>
      </c>
      <c r="E19061">
        <v>81.180000000000007</v>
      </c>
    </row>
    <row r="19062" spans="1:5" x14ac:dyDescent="0.2">
      <c r="A19062" t="str">
        <f>"03871"</f>
        <v>03871</v>
      </c>
      <c r="B19062" t="s">
        <v>36</v>
      </c>
      <c r="C19062">
        <v>3871</v>
      </c>
      <c r="D19062" t="str">
        <f>"03871"</f>
        <v>03871</v>
      </c>
      <c r="E19062" t="s">
        <v>6</v>
      </c>
    </row>
    <row r="19063" spans="1:5" x14ac:dyDescent="0.2">
      <c r="A19063" t="str">
        <f>"03872"</f>
        <v>03872</v>
      </c>
      <c r="B19063" t="s">
        <v>36</v>
      </c>
      <c r="C19063">
        <v>3872</v>
      </c>
      <c r="D19063" t="str">
        <f>"03872"</f>
        <v>03872</v>
      </c>
      <c r="E19063">
        <v>76.81</v>
      </c>
    </row>
    <row r="19064" spans="1:5" x14ac:dyDescent="0.2">
      <c r="A19064" t="str">
        <f>"03873"</f>
        <v>03873</v>
      </c>
      <c r="B19064" t="s">
        <v>36</v>
      </c>
      <c r="C19064">
        <v>3873</v>
      </c>
      <c r="D19064" t="str">
        <f>"03873"</f>
        <v>03873</v>
      </c>
      <c r="E19064">
        <v>83.33</v>
      </c>
    </row>
    <row r="19065" spans="1:5" x14ac:dyDescent="0.2">
      <c r="A19065" t="str">
        <f>"03874"</f>
        <v>03874</v>
      </c>
      <c r="B19065" t="s">
        <v>36</v>
      </c>
      <c r="C19065">
        <v>3874</v>
      </c>
      <c r="D19065" t="str">
        <f>"03874"</f>
        <v>03874</v>
      </c>
      <c r="E19065">
        <v>77.47</v>
      </c>
    </row>
    <row r="19066" spans="1:5" x14ac:dyDescent="0.2">
      <c r="A19066" t="str">
        <f>"03875"</f>
        <v>03875</v>
      </c>
      <c r="B19066" t="s">
        <v>36</v>
      </c>
      <c r="C19066">
        <v>3875</v>
      </c>
      <c r="D19066" t="str">
        <f>"03875"</f>
        <v>03875</v>
      </c>
      <c r="E19066">
        <v>77.27</v>
      </c>
    </row>
    <row r="19067" spans="1:5" x14ac:dyDescent="0.2">
      <c r="A19067" t="str">
        <f>"03878"</f>
        <v>03878</v>
      </c>
      <c r="B19067" t="s">
        <v>36</v>
      </c>
      <c r="C19067">
        <v>3878</v>
      </c>
      <c r="D19067" t="str">
        <f>"03878"</f>
        <v>03878</v>
      </c>
      <c r="E19067">
        <v>77.78</v>
      </c>
    </row>
    <row r="19068" spans="1:5" x14ac:dyDescent="0.2">
      <c r="A19068" t="str">
        <f>"03882"</f>
        <v>03882</v>
      </c>
      <c r="B19068" t="s">
        <v>36</v>
      </c>
      <c r="C19068">
        <v>3882</v>
      </c>
      <c r="D19068" t="str">
        <f>"03882"</f>
        <v>03882</v>
      </c>
      <c r="E19068">
        <v>68.12</v>
      </c>
    </row>
    <row r="19069" spans="1:5" x14ac:dyDescent="0.2">
      <c r="A19069" t="str">
        <f>"03883"</f>
        <v>03883</v>
      </c>
      <c r="B19069" t="s">
        <v>36</v>
      </c>
      <c r="C19069">
        <v>3883</v>
      </c>
      <c r="D19069" t="str">
        <f>"03883"</f>
        <v>03883</v>
      </c>
      <c r="E19069">
        <v>81.819999999999993</v>
      </c>
    </row>
    <row r="19070" spans="1:5" x14ac:dyDescent="0.2">
      <c r="A19070" t="str">
        <f>"03884"</f>
        <v>03884</v>
      </c>
      <c r="B19070" t="s">
        <v>36</v>
      </c>
      <c r="C19070">
        <v>3884</v>
      </c>
      <c r="D19070" t="str">
        <f>"03884"</f>
        <v>03884</v>
      </c>
      <c r="E19070">
        <v>82.16</v>
      </c>
    </row>
    <row r="19071" spans="1:5" x14ac:dyDescent="0.2">
      <c r="A19071" t="str">
        <f>"03885"</f>
        <v>03885</v>
      </c>
      <c r="B19071" t="s">
        <v>36</v>
      </c>
      <c r="C19071">
        <v>3885</v>
      </c>
      <c r="D19071" t="str">
        <f>"03885"</f>
        <v>03885</v>
      </c>
      <c r="E19071">
        <v>83.37</v>
      </c>
    </row>
    <row r="19072" spans="1:5" x14ac:dyDescent="0.2">
      <c r="A19072" t="str">
        <f>"03886"</f>
        <v>03886</v>
      </c>
      <c r="B19072" t="s">
        <v>36</v>
      </c>
      <c r="C19072">
        <v>3886</v>
      </c>
      <c r="D19072" t="str">
        <f>"03886"</f>
        <v>03886</v>
      </c>
      <c r="E19072">
        <v>71.25</v>
      </c>
    </row>
    <row r="19073" spans="1:5" x14ac:dyDescent="0.2">
      <c r="A19073" t="str">
        <f>"03887"</f>
        <v>03887</v>
      </c>
      <c r="B19073" t="s">
        <v>36</v>
      </c>
      <c r="C19073">
        <v>3887</v>
      </c>
      <c r="D19073" t="str">
        <f>"03887"</f>
        <v>03887</v>
      </c>
      <c r="E19073">
        <v>77.98</v>
      </c>
    </row>
    <row r="19074" spans="1:5" x14ac:dyDescent="0.2">
      <c r="A19074" t="str">
        <f>"03890"</f>
        <v>03890</v>
      </c>
      <c r="B19074" t="s">
        <v>36</v>
      </c>
      <c r="C19074">
        <v>3890</v>
      </c>
      <c r="D19074" t="str">
        <f>"03890"</f>
        <v>03890</v>
      </c>
      <c r="E19074">
        <v>66.67</v>
      </c>
    </row>
    <row r="19075" spans="1:5" x14ac:dyDescent="0.2">
      <c r="A19075" t="str">
        <f>"03894"</f>
        <v>03894</v>
      </c>
      <c r="B19075" t="s">
        <v>36</v>
      </c>
      <c r="C19075">
        <v>3894</v>
      </c>
      <c r="D19075" t="str">
        <f>"03894"</f>
        <v>03894</v>
      </c>
      <c r="E19075">
        <v>75.900000000000006</v>
      </c>
    </row>
    <row r="19076" spans="1:5" x14ac:dyDescent="0.2">
      <c r="A19076" t="str">
        <f>"03897"</f>
        <v>03897</v>
      </c>
      <c r="B19076" t="s">
        <v>36</v>
      </c>
      <c r="C19076">
        <v>3897</v>
      </c>
      <c r="D19076" t="str">
        <f>"03897"</f>
        <v>03897</v>
      </c>
      <c r="E19076" t="s">
        <v>6</v>
      </c>
    </row>
    <row r="19077" spans="1:5" x14ac:dyDescent="0.2">
      <c r="A19077" t="str">
        <f>"07001"</f>
        <v>07001</v>
      </c>
      <c r="B19077" t="s">
        <v>37</v>
      </c>
      <c r="C19077">
        <v>7001</v>
      </c>
      <c r="D19077" t="str">
        <f>"07001"</f>
        <v>07001</v>
      </c>
      <c r="E19077">
        <v>77.150000000000006</v>
      </c>
    </row>
    <row r="19078" spans="1:5" x14ac:dyDescent="0.2">
      <c r="A19078" t="str">
        <f>"07002"</f>
        <v>07002</v>
      </c>
      <c r="B19078" t="s">
        <v>37</v>
      </c>
      <c r="C19078">
        <v>7002</v>
      </c>
      <c r="D19078" t="str">
        <f>"07002"</f>
        <v>07002</v>
      </c>
      <c r="E19078">
        <v>70.94</v>
      </c>
    </row>
    <row r="19079" spans="1:5" x14ac:dyDescent="0.2">
      <c r="A19079" t="str">
        <f>"07003"</f>
        <v>07003</v>
      </c>
      <c r="B19079" t="s">
        <v>37</v>
      </c>
      <c r="C19079">
        <v>7003</v>
      </c>
      <c r="D19079" t="str">
        <f>"07003"</f>
        <v>07003</v>
      </c>
      <c r="E19079">
        <v>77.84</v>
      </c>
    </row>
    <row r="19080" spans="1:5" x14ac:dyDescent="0.2">
      <c r="A19080" t="str">
        <f>"07004"</f>
        <v>07004</v>
      </c>
      <c r="B19080" t="s">
        <v>37</v>
      </c>
      <c r="C19080">
        <v>7004</v>
      </c>
      <c r="D19080" t="str">
        <f>"07004"</f>
        <v>07004</v>
      </c>
      <c r="E19080">
        <v>80.2</v>
      </c>
    </row>
    <row r="19081" spans="1:5" x14ac:dyDescent="0.2">
      <c r="A19081" t="str">
        <f>"07005"</f>
        <v>07005</v>
      </c>
      <c r="B19081" t="s">
        <v>37</v>
      </c>
      <c r="C19081">
        <v>7005</v>
      </c>
      <c r="D19081" t="str">
        <f>"07005"</f>
        <v>07005</v>
      </c>
      <c r="E19081">
        <v>79.599999999999994</v>
      </c>
    </row>
    <row r="19082" spans="1:5" x14ac:dyDescent="0.2">
      <c r="A19082" t="str">
        <f>"07006"</f>
        <v>07006</v>
      </c>
      <c r="B19082" t="s">
        <v>37</v>
      </c>
      <c r="C19082">
        <v>7006</v>
      </c>
      <c r="D19082" t="str">
        <f>"07006"</f>
        <v>07006</v>
      </c>
      <c r="E19082">
        <v>82</v>
      </c>
    </row>
    <row r="19083" spans="1:5" x14ac:dyDescent="0.2">
      <c r="A19083" t="str">
        <f>"07008"</f>
        <v>07008</v>
      </c>
      <c r="B19083" t="s">
        <v>37</v>
      </c>
      <c r="C19083">
        <v>7008</v>
      </c>
      <c r="D19083" t="str">
        <f>"07008"</f>
        <v>07008</v>
      </c>
      <c r="E19083">
        <v>68.66</v>
      </c>
    </row>
    <row r="19084" spans="1:5" x14ac:dyDescent="0.2">
      <c r="A19084" t="str">
        <f>"07009"</f>
        <v>07009</v>
      </c>
      <c r="B19084" t="s">
        <v>37</v>
      </c>
      <c r="C19084">
        <v>7009</v>
      </c>
      <c r="D19084" t="str">
        <f>"07009"</f>
        <v>07009</v>
      </c>
      <c r="E19084">
        <v>82.93</v>
      </c>
    </row>
    <row r="19085" spans="1:5" x14ac:dyDescent="0.2">
      <c r="A19085" t="str">
        <f>"07010"</f>
        <v>07010</v>
      </c>
      <c r="B19085" t="s">
        <v>37</v>
      </c>
      <c r="C19085">
        <v>7010</v>
      </c>
      <c r="D19085" t="str">
        <f>"07010"</f>
        <v>07010</v>
      </c>
      <c r="E19085">
        <v>71.540000000000006</v>
      </c>
    </row>
    <row r="19086" spans="1:5" x14ac:dyDescent="0.2">
      <c r="A19086" t="str">
        <f>"07011"</f>
        <v>07011</v>
      </c>
      <c r="B19086" t="s">
        <v>37</v>
      </c>
      <c r="C19086">
        <v>7011</v>
      </c>
      <c r="D19086" t="str">
        <f>"07011"</f>
        <v>07011</v>
      </c>
      <c r="E19086">
        <v>65.16</v>
      </c>
    </row>
    <row r="19087" spans="1:5" x14ac:dyDescent="0.2">
      <c r="A19087" t="str">
        <f>"07012"</f>
        <v>07012</v>
      </c>
      <c r="B19087" t="s">
        <v>37</v>
      </c>
      <c r="C19087">
        <v>7012</v>
      </c>
      <c r="D19087" t="str">
        <f>"07012"</f>
        <v>07012</v>
      </c>
      <c r="E19087">
        <v>81.34</v>
      </c>
    </row>
    <row r="19088" spans="1:5" x14ac:dyDescent="0.2">
      <c r="A19088" t="str">
        <f>"07013"</f>
        <v>07013</v>
      </c>
      <c r="B19088" t="s">
        <v>37</v>
      </c>
      <c r="C19088">
        <v>7013</v>
      </c>
      <c r="D19088" t="str">
        <f>"07013"</f>
        <v>07013</v>
      </c>
      <c r="E19088">
        <v>78.06</v>
      </c>
    </row>
    <row r="19089" spans="1:5" x14ac:dyDescent="0.2">
      <c r="A19089" t="str">
        <f>"07014"</f>
        <v>07014</v>
      </c>
      <c r="B19089" t="s">
        <v>37</v>
      </c>
      <c r="C19089">
        <v>7014</v>
      </c>
      <c r="D19089" t="str">
        <f>"07014"</f>
        <v>07014</v>
      </c>
      <c r="E19089">
        <v>78.52</v>
      </c>
    </row>
    <row r="19090" spans="1:5" x14ac:dyDescent="0.2">
      <c r="A19090" t="str">
        <f>"07016"</f>
        <v>07016</v>
      </c>
      <c r="B19090" t="s">
        <v>37</v>
      </c>
      <c r="C19090">
        <v>7016</v>
      </c>
      <c r="D19090" t="str">
        <f>"07016"</f>
        <v>07016</v>
      </c>
      <c r="E19090">
        <v>82.98</v>
      </c>
    </row>
    <row r="19091" spans="1:5" x14ac:dyDescent="0.2">
      <c r="A19091" t="str">
        <f>"07017"</f>
        <v>07017</v>
      </c>
      <c r="B19091" t="s">
        <v>37</v>
      </c>
      <c r="C19091">
        <v>7017</v>
      </c>
      <c r="D19091" t="str">
        <f>"07017"</f>
        <v>07017</v>
      </c>
      <c r="E19091">
        <v>62.57</v>
      </c>
    </row>
    <row r="19092" spans="1:5" x14ac:dyDescent="0.2">
      <c r="A19092" t="str">
        <f>"07018"</f>
        <v>07018</v>
      </c>
      <c r="B19092" t="s">
        <v>37</v>
      </c>
      <c r="C19092">
        <v>7018</v>
      </c>
      <c r="D19092" t="str">
        <f>"07018"</f>
        <v>07018</v>
      </c>
      <c r="E19092">
        <v>60.64</v>
      </c>
    </row>
    <row r="19093" spans="1:5" x14ac:dyDescent="0.2">
      <c r="A19093" t="str">
        <f>"07020"</f>
        <v>07020</v>
      </c>
      <c r="B19093" t="s">
        <v>37</v>
      </c>
      <c r="C19093">
        <v>7020</v>
      </c>
      <c r="D19093" t="str">
        <f>"07020"</f>
        <v>07020</v>
      </c>
      <c r="E19093">
        <v>84.11</v>
      </c>
    </row>
    <row r="19094" spans="1:5" x14ac:dyDescent="0.2">
      <c r="A19094" t="str">
        <f>"07021"</f>
        <v>07021</v>
      </c>
      <c r="B19094" t="s">
        <v>37</v>
      </c>
      <c r="C19094">
        <v>7021</v>
      </c>
      <c r="D19094" t="str">
        <f>"07021"</f>
        <v>07021</v>
      </c>
      <c r="E19094">
        <v>82.57</v>
      </c>
    </row>
    <row r="19095" spans="1:5" x14ac:dyDescent="0.2">
      <c r="A19095" t="str">
        <f>"07022"</f>
        <v>07022</v>
      </c>
      <c r="B19095" t="s">
        <v>37</v>
      </c>
      <c r="C19095">
        <v>7022</v>
      </c>
      <c r="D19095" t="str">
        <f>"07022"</f>
        <v>07022</v>
      </c>
      <c r="E19095">
        <v>60.1</v>
      </c>
    </row>
    <row r="19096" spans="1:5" x14ac:dyDescent="0.2">
      <c r="A19096" t="str">
        <f>"07023"</f>
        <v>07023</v>
      </c>
      <c r="B19096" t="s">
        <v>37</v>
      </c>
      <c r="C19096">
        <v>7023</v>
      </c>
      <c r="D19096" t="str">
        <f>"07023"</f>
        <v>07023</v>
      </c>
      <c r="E19096">
        <v>83.43</v>
      </c>
    </row>
    <row r="19097" spans="1:5" x14ac:dyDescent="0.2">
      <c r="A19097" t="str">
        <f>"07024"</f>
        <v>07024</v>
      </c>
      <c r="B19097" t="s">
        <v>37</v>
      </c>
      <c r="C19097">
        <v>7024</v>
      </c>
      <c r="D19097" t="str">
        <f>"07024"</f>
        <v>07024</v>
      </c>
      <c r="E19097">
        <v>78.56</v>
      </c>
    </row>
    <row r="19098" spans="1:5" x14ac:dyDescent="0.2">
      <c r="A19098" t="str">
        <f>"07026"</f>
        <v>07026</v>
      </c>
      <c r="B19098" t="s">
        <v>37</v>
      </c>
      <c r="C19098">
        <v>7026</v>
      </c>
      <c r="D19098" t="str">
        <f>"07026"</f>
        <v>07026</v>
      </c>
      <c r="E19098">
        <v>66.239999999999995</v>
      </c>
    </row>
    <row r="19099" spans="1:5" x14ac:dyDescent="0.2">
      <c r="A19099" t="str">
        <f>"07027"</f>
        <v>07027</v>
      </c>
      <c r="B19099" t="s">
        <v>37</v>
      </c>
      <c r="C19099">
        <v>7027</v>
      </c>
      <c r="D19099" t="str">
        <f>"07027"</f>
        <v>07027</v>
      </c>
      <c r="E19099">
        <v>81.03</v>
      </c>
    </row>
    <row r="19100" spans="1:5" x14ac:dyDescent="0.2">
      <c r="A19100" t="str">
        <f>"07028"</f>
        <v>07028</v>
      </c>
      <c r="B19100" t="s">
        <v>37</v>
      </c>
      <c r="C19100">
        <v>7028</v>
      </c>
      <c r="D19100" t="str">
        <f>"07028"</f>
        <v>07028</v>
      </c>
      <c r="E19100">
        <v>85.12</v>
      </c>
    </row>
    <row r="19101" spans="1:5" x14ac:dyDescent="0.2">
      <c r="A19101" t="str">
        <f>"07029"</f>
        <v>07029</v>
      </c>
      <c r="B19101" t="s">
        <v>37</v>
      </c>
      <c r="C19101">
        <v>7029</v>
      </c>
      <c r="D19101" t="str">
        <f>"07029"</f>
        <v>07029</v>
      </c>
      <c r="E19101">
        <v>71.16</v>
      </c>
    </row>
    <row r="19102" spans="1:5" x14ac:dyDescent="0.2">
      <c r="A19102" t="str">
        <f>"07030"</f>
        <v>07030</v>
      </c>
      <c r="B19102" t="s">
        <v>37</v>
      </c>
      <c r="C19102">
        <v>7030</v>
      </c>
      <c r="D19102" t="str">
        <f>"07030"</f>
        <v>07030</v>
      </c>
      <c r="E19102">
        <v>91.63</v>
      </c>
    </row>
    <row r="19103" spans="1:5" x14ac:dyDescent="0.2">
      <c r="A19103" t="str">
        <f>"07031"</f>
        <v>07031</v>
      </c>
      <c r="B19103" t="s">
        <v>37</v>
      </c>
      <c r="C19103">
        <v>7031</v>
      </c>
      <c r="D19103" t="str">
        <f>"07031"</f>
        <v>07031</v>
      </c>
      <c r="E19103">
        <v>79.599999999999994</v>
      </c>
    </row>
    <row r="19104" spans="1:5" x14ac:dyDescent="0.2">
      <c r="A19104" t="str">
        <f>"07032"</f>
        <v>07032</v>
      </c>
      <c r="B19104" t="s">
        <v>37</v>
      </c>
      <c r="C19104">
        <v>7032</v>
      </c>
      <c r="D19104" t="str">
        <f>"07032"</f>
        <v>07032</v>
      </c>
      <c r="E19104">
        <v>70.19</v>
      </c>
    </row>
    <row r="19105" spans="1:5" x14ac:dyDescent="0.2">
      <c r="A19105" t="str">
        <f>"07033"</f>
        <v>07033</v>
      </c>
      <c r="B19105" t="s">
        <v>37</v>
      </c>
      <c r="C19105">
        <v>7033</v>
      </c>
      <c r="D19105" t="str">
        <f>"07033"</f>
        <v>07033</v>
      </c>
      <c r="E19105">
        <v>78.099999999999994</v>
      </c>
    </row>
    <row r="19106" spans="1:5" x14ac:dyDescent="0.2">
      <c r="A19106" t="str">
        <f>"07034"</f>
        <v>07034</v>
      </c>
      <c r="B19106" t="s">
        <v>37</v>
      </c>
      <c r="C19106">
        <v>7034</v>
      </c>
      <c r="D19106" t="str">
        <f>"07034"</f>
        <v>07034</v>
      </c>
      <c r="E19106">
        <v>81.19</v>
      </c>
    </row>
    <row r="19107" spans="1:5" x14ac:dyDescent="0.2">
      <c r="A19107" t="str">
        <f>"07035"</f>
        <v>07035</v>
      </c>
      <c r="B19107" t="s">
        <v>37</v>
      </c>
      <c r="C19107">
        <v>7035</v>
      </c>
      <c r="D19107" t="str">
        <f>"07035"</f>
        <v>07035</v>
      </c>
      <c r="E19107">
        <v>82.33</v>
      </c>
    </row>
    <row r="19108" spans="1:5" x14ac:dyDescent="0.2">
      <c r="A19108" t="str">
        <f>"07036"</f>
        <v>07036</v>
      </c>
      <c r="B19108" t="s">
        <v>37</v>
      </c>
      <c r="C19108">
        <v>7036</v>
      </c>
      <c r="D19108" t="str">
        <f>"07036"</f>
        <v>07036</v>
      </c>
      <c r="E19108">
        <v>72.19</v>
      </c>
    </row>
    <row r="19109" spans="1:5" x14ac:dyDescent="0.2">
      <c r="A19109" t="str">
        <f>"07039"</f>
        <v>07039</v>
      </c>
      <c r="B19109" t="s">
        <v>37</v>
      </c>
      <c r="C19109">
        <v>7039</v>
      </c>
      <c r="D19109" t="str">
        <f>"07039"</f>
        <v>07039</v>
      </c>
      <c r="E19109">
        <v>82.13</v>
      </c>
    </row>
    <row r="19110" spans="1:5" x14ac:dyDescent="0.2">
      <c r="A19110" t="str">
        <f>"07040"</f>
        <v>07040</v>
      </c>
      <c r="B19110" t="s">
        <v>37</v>
      </c>
      <c r="C19110">
        <v>7040</v>
      </c>
      <c r="D19110" t="str">
        <f>"07040"</f>
        <v>07040</v>
      </c>
      <c r="E19110">
        <v>79.92</v>
      </c>
    </row>
    <row r="19111" spans="1:5" x14ac:dyDescent="0.2">
      <c r="A19111" t="str">
        <f>"07041"</f>
        <v>07041</v>
      </c>
      <c r="B19111" t="s">
        <v>37</v>
      </c>
      <c r="C19111">
        <v>7041</v>
      </c>
      <c r="D19111" t="str">
        <f>"07041"</f>
        <v>07041</v>
      </c>
      <c r="E19111">
        <v>80.900000000000006</v>
      </c>
    </row>
    <row r="19112" spans="1:5" x14ac:dyDescent="0.2">
      <c r="A19112" t="str">
        <f>"07042"</f>
        <v>07042</v>
      </c>
      <c r="B19112" t="s">
        <v>37</v>
      </c>
      <c r="C19112">
        <v>7042</v>
      </c>
      <c r="D19112" t="str">
        <f>"07042"</f>
        <v>07042</v>
      </c>
      <c r="E19112">
        <v>80.53</v>
      </c>
    </row>
    <row r="19113" spans="1:5" x14ac:dyDescent="0.2">
      <c r="A19113" t="str">
        <f>"07043"</f>
        <v>07043</v>
      </c>
      <c r="B19113" t="s">
        <v>37</v>
      </c>
      <c r="C19113">
        <v>7043</v>
      </c>
      <c r="D19113" t="str">
        <f>"07043"</f>
        <v>07043</v>
      </c>
      <c r="E19113">
        <v>84.11</v>
      </c>
    </row>
    <row r="19114" spans="1:5" x14ac:dyDescent="0.2">
      <c r="A19114" t="str">
        <f>"07044"</f>
        <v>07044</v>
      </c>
      <c r="B19114" t="s">
        <v>37</v>
      </c>
      <c r="C19114">
        <v>7044</v>
      </c>
      <c r="D19114" t="str">
        <f>"07044"</f>
        <v>07044</v>
      </c>
      <c r="E19114">
        <v>83.69</v>
      </c>
    </row>
    <row r="19115" spans="1:5" x14ac:dyDescent="0.2">
      <c r="A19115" t="str">
        <f>"07045"</f>
        <v>07045</v>
      </c>
      <c r="B19115" t="s">
        <v>37</v>
      </c>
      <c r="C19115">
        <v>7045</v>
      </c>
      <c r="D19115" t="str">
        <f>"07045"</f>
        <v>07045</v>
      </c>
      <c r="E19115">
        <v>81.11</v>
      </c>
    </row>
    <row r="19116" spans="1:5" x14ac:dyDescent="0.2">
      <c r="A19116" t="str">
        <f>"07046"</f>
        <v>07046</v>
      </c>
      <c r="B19116" t="s">
        <v>37</v>
      </c>
      <c r="C19116">
        <v>7046</v>
      </c>
      <c r="D19116" t="str">
        <f>"07046"</f>
        <v>07046</v>
      </c>
      <c r="E19116">
        <v>81.63</v>
      </c>
    </row>
    <row r="19117" spans="1:5" x14ac:dyDescent="0.2">
      <c r="A19117" t="str">
        <f>"07047"</f>
        <v>07047</v>
      </c>
      <c r="B19117" t="s">
        <v>37</v>
      </c>
      <c r="C19117">
        <v>7047</v>
      </c>
      <c r="D19117" t="str">
        <f>"07047"</f>
        <v>07047</v>
      </c>
      <c r="E19117">
        <v>67.2</v>
      </c>
    </row>
    <row r="19118" spans="1:5" x14ac:dyDescent="0.2">
      <c r="A19118" t="str">
        <f>"07050"</f>
        <v>07050</v>
      </c>
      <c r="B19118" t="s">
        <v>37</v>
      </c>
      <c r="C19118">
        <v>7050</v>
      </c>
      <c r="D19118" t="str">
        <f>"07050"</f>
        <v>07050</v>
      </c>
      <c r="E19118">
        <v>59.08</v>
      </c>
    </row>
    <row r="19119" spans="1:5" x14ac:dyDescent="0.2">
      <c r="A19119" t="str">
        <f>"07052"</f>
        <v>07052</v>
      </c>
      <c r="B19119" t="s">
        <v>37</v>
      </c>
      <c r="C19119">
        <v>7052</v>
      </c>
      <c r="D19119" t="str">
        <f>"07052"</f>
        <v>07052</v>
      </c>
      <c r="E19119">
        <v>76.959999999999994</v>
      </c>
    </row>
    <row r="19120" spans="1:5" x14ac:dyDescent="0.2">
      <c r="A19120" t="str">
        <f>"07054"</f>
        <v>07054</v>
      </c>
      <c r="B19120" t="s">
        <v>37</v>
      </c>
      <c r="C19120">
        <v>7054</v>
      </c>
      <c r="D19120" t="str">
        <f>"07054"</f>
        <v>07054</v>
      </c>
      <c r="E19120">
        <v>81.5</v>
      </c>
    </row>
    <row r="19121" spans="1:5" x14ac:dyDescent="0.2">
      <c r="A19121" t="str">
        <f>"07055"</f>
        <v>07055</v>
      </c>
      <c r="B19121" t="s">
        <v>37</v>
      </c>
      <c r="C19121">
        <v>7055</v>
      </c>
      <c r="D19121" t="str">
        <f>"07055"</f>
        <v>07055</v>
      </c>
      <c r="E19121">
        <v>53.7</v>
      </c>
    </row>
    <row r="19122" spans="1:5" x14ac:dyDescent="0.2">
      <c r="A19122" t="str">
        <f>"07057"</f>
        <v>07057</v>
      </c>
      <c r="B19122" t="s">
        <v>37</v>
      </c>
      <c r="C19122">
        <v>7057</v>
      </c>
      <c r="D19122" t="str">
        <f>"07057"</f>
        <v>07057</v>
      </c>
      <c r="E19122">
        <v>73.3</v>
      </c>
    </row>
    <row r="19123" spans="1:5" x14ac:dyDescent="0.2">
      <c r="A19123" t="str">
        <f>"07058"</f>
        <v>07058</v>
      </c>
      <c r="B19123" t="s">
        <v>37</v>
      </c>
      <c r="C19123">
        <v>7058</v>
      </c>
      <c r="D19123" t="str">
        <f>"07058"</f>
        <v>07058</v>
      </c>
      <c r="E19123">
        <v>80.58</v>
      </c>
    </row>
    <row r="19124" spans="1:5" x14ac:dyDescent="0.2">
      <c r="A19124" t="str">
        <f>"07059"</f>
        <v>07059</v>
      </c>
      <c r="B19124" t="s">
        <v>37</v>
      </c>
      <c r="C19124">
        <v>7059</v>
      </c>
      <c r="D19124" t="str">
        <f>"07059"</f>
        <v>07059</v>
      </c>
      <c r="E19124">
        <v>80.97</v>
      </c>
    </row>
    <row r="19125" spans="1:5" x14ac:dyDescent="0.2">
      <c r="A19125" t="str">
        <f>"07060"</f>
        <v>07060</v>
      </c>
      <c r="B19125" t="s">
        <v>37</v>
      </c>
      <c r="C19125">
        <v>7060</v>
      </c>
      <c r="D19125" t="str">
        <f>"07060"</f>
        <v>07060</v>
      </c>
      <c r="E19125">
        <v>64</v>
      </c>
    </row>
    <row r="19126" spans="1:5" x14ac:dyDescent="0.2">
      <c r="A19126" t="str">
        <f>"07062"</f>
        <v>07062</v>
      </c>
      <c r="B19126" t="s">
        <v>37</v>
      </c>
      <c r="C19126">
        <v>7062</v>
      </c>
      <c r="D19126" t="str">
        <f>"07062"</f>
        <v>07062</v>
      </c>
      <c r="E19126">
        <v>67.72</v>
      </c>
    </row>
    <row r="19127" spans="1:5" x14ac:dyDescent="0.2">
      <c r="A19127" t="str">
        <f>"07063"</f>
        <v>07063</v>
      </c>
      <c r="B19127" t="s">
        <v>37</v>
      </c>
      <c r="C19127">
        <v>7063</v>
      </c>
      <c r="D19127" t="str">
        <f>"07063"</f>
        <v>07063</v>
      </c>
      <c r="E19127">
        <v>64.91</v>
      </c>
    </row>
    <row r="19128" spans="1:5" x14ac:dyDescent="0.2">
      <c r="A19128" t="str">
        <f>"07064"</f>
        <v>07064</v>
      </c>
      <c r="B19128" t="s">
        <v>37</v>
      </c>
      <c r="C19128">
        <v>7064</v>
      </c>
      <c r="D19128" t="str">
        <f>"07064"</f>
        <v>07064</v>
      </c>
      <c r="E19128">
        <v>76.59</v>
      </c>
    </row>
    <row r="19129" spans="1:5" x14ac:dyDescent="0.2">
      <c r="A19129" t="str">
        <f>"07065"</f>
        <v>07065</v>
      </c>
      <c r="B19129" t="s">
        <v>37</v>
      </c>
      <c r="C19129">
        <v>7065</v>
      </c>
      <c r="D19129" t="str">
        <f>"07065"</f>
        <v>07065</v>
      </c>
      <c r="E19129">
        <v>75.48</v>
      </c>
    </row>
    <row r="19130" spans="1:5" x14ac:dyDescent="0.2">
      <c r="A19130" t="str">
        <f>"07066"</f>
        <v>07066</v>
      </c>
      <c r="B19130" t="s">
        <v>37</v>
      </c>
      <c r="C19130">
        <v>7066</v>
      </c>
      <c r="D19130" t="str">
        <f>"07066"</f>
        <v>07066</v>
      </c>
      <c r="E19130">
        <v>83.03</v>
      </c>
    </row>
    <row r="19131" spans="1:5" x14ac:dyDescent="0.2">
      <c r="A19131" t="str">
        <f>"07067"</f>
        <v>07067</v>
      </c>
      <c r="B19131" t="s">
        <v>37</v>
      </c>
      <c r="C19131">
        <v>7067</v>
      </c>
      <c r="D19131" t="str">
        <f>"07067"</f>
        <v>07067</v>
      </c>
      <c r="E19131">
        <v>81.099999999999994</v>
      </c>
    </row>
    <row r="19132" spans="1:5" x14ac:dyDescent="0.2">
      <c r="A19132" t="str">
        <f>"07068"</f>
        <v>07068</v>
      </c>
      <c r="B19132" t="s">
        <v>37</v>
      </c>
      <c r="C19132">
        <v>7068</v>
      </c>
      <c r="D19132" t="str">
        <f>"07068"</f>
        <v>07068</v>
      </c>
      <c r="E19132">
        <v>83.14</v>
      </c>
    </row>
    <row r="19133" spans="1:5" x14ac:dyDescent="0.2">
      <c r="A19133" t="str">
        <f>"07069"</f>
        <v>07069</v>
      </c>
      <c r="B19133" t="s">
        <v>37</v>
      </c>
      <c r="C19133">
        <v>7069</v>
      </c>
      <c r="D19133" t="str">
        <f>"07069"</f>
        <v>07069</v>
      </c>
      <c r="E19133">
        <v>81.17</v>
      </c>
    </row>
    <row r="19134" spans="1:5" x14ac:dyDescent="0.2">
      <c r="A19134" t="str">
        <f>"07070"</f>
        <v>07070</v>
      </c>
      <c r="B19134" t="s">
        <v>37</v>
      </c>
      <c r="C19134">
        <v>7070</v>
      </c>
      <c r="D19134" t="str">
        <f>"07070"</f>
        <v>07070</v>
      </c>
      <c r="E19134">
        <v>82.25</v>
      </c>
    </row>
    <row r="19135" spans="1:5" x14ac:dyDescent="0.2">
      <c r="A19135" t="str">
        <f>"07071"</f>
        <v>07071</v>
      </c>
      <c r="B19135" t="s">
        <v>37</v>
      </c>
      <c r="C19135">
        <v>7071</v>
      </c>
      <c r="D19135" t="str">
        <f>"07071"</f>
        <v>07071</v>
      </c>
      <c r="E19135">
        <v>78.83</v>
      </c>
    </row>
    <row r="19136" spans="1:5" x14ac:dyDescent="0.2">
      <c r="A19136" t="str">
        <f>"07072"</f>
        <v>07072</v>
      </c>
      <c r="B19136" t="s">
        <v>37</v>
      </c>
      <c r="C19136">
        <v>7072</v>
      </c>
      <c r="D19136" t="str">
        <f>"07072"</f>
        <v>07072</v>
      </c>
      <c r="E19136">
        <v>78.7</v>
      </c>
    </row>
    <row r="19137" spans="1:5" x14ac:dyDescent="0.2">
      <c r="A19137" t="str">
        <f>"07073"</f>
        <v>07073</v>
      </c>
      <c r="B19137" t="s">
        <v>37</v>
      </c>
      <c r="C19137">
        <v>7073</v>
      </c>
      <c r="D19137" t="str">
        <f>"07073"</f>
        <v>07073</v>
      </c>
      <c r="E19137">
        <v>80.239999999999995</v>
      </c>
    </row>
    <row r="19138" spans="1:5" x14ac:dyDescent="0.2">
      <c r="A19138" t="str">
        <f>"07074"</f>
        <v>07074</v>
      </c>
      <c r="B19138" t="s">
        <v>37</v>
      </c>
      <c r="C19138">
        <v>7074</v>
      </c>
      <c r="D19138" t="str">
        <f>"07074"</f>
        <v>07074</v>
      </c>
      <c r="E19138">
        <v>68.989999999999995</v>
      </c>
    </row>
    <row r="19139" spans="1:5" x14ac:dyDescent="0.2">
      <c r="A19139" t="str">
        <f>"07075"</f>
        <v>07075</v>
      </c>
      <c r="B19139" t="s">
        <v>37</v>
      </c>
      <c r="C19139">
        <v>7075</v>
      </c>
      <c r="D19139" t="str">
        <f>"07075"</f>
        <v>07075</v>
      </c>
      <c r="E19139">
        <v>82.32</v>
      </c>
    </row>
    <row r="19140" spans="1:5" x14ac:dyDescent="0.2">
      <c r="A19140" t="str">
        <f>"07076"</f>
        <v>07076</v>
      </c>
      <c r="B19140" t="s">
        <v>37</v>
      </c>
      <c r="C19140">
        <v>7076</v>
      </c>
      <c r="D19140" t="str">
        <f>"07076"</f>
        <v>07076</v>
      </c>
      <c r="E19140">
        <v>82.61</v>
      </c>
    </row>
    <row r="19141" spans="1:5" x14ac:dyDescent="0.2">
      <c r="A19141" t="str">
        <f>"07077"</f>
        <v>07077</v>
      </c>
      <c r="B19141" t="s">
        <v>37</v>
      </c>
      <c r="C19141">
        <v>7077</v>
      </c>
      <c r="D19141" t="str">
        <f>"07077"</f>
        <v>07077</v>
      </c>
      <c r="E19141">
        <v>78.08</v>
      </c>
    </row>
    <row r="19142" spans="1:5" x14ac:dyDescent="0.2">
      <c r="A19142" t="str">
        <f>"07078"</f>
        <v>07078</v>
      </c>
      <c r="B19142" t="s">
        <v>37</v>
      </c>
      <c r="C19142">
        <v>7078</v>
      </c>
      <c r="D19142" t="str">
        <f>"07078"</f>
        <v>07078</v>
      </c>
      <c r="E19142">
        <v>83.51</v>
      </c>
    </row>
    <row r="19143" spans="1:5" x14ac:dyDescent="0.2">
      <c r="A19143" t="str">
        <f>"07079"</f>
        <v>07079</v>
      </c>
      <c r="B19143" t="s">
        <v>37</v>
      </c>
      <c r="C19143">
        <v>7079</v>
      </c>
      <c r="D19143" t="str">
        <f>"07079"</f>
        <v>07079</v>
      </c>
      <c r="E19143">
        <v>83.38</v>
      </c>
    </row>
    <row r="19144" spans="1:5" x14ac:dyDescent="0.2">
      <c r="A19144" t="str">
        <f>"07080"</f>
        <v>07080</v>
      </c>
      <c r="B19144" t="s">
        <v>37</v>
      </c>
      <c r="C19144">
        <v>7080</v>
      </c>
      <c r="D19144" t="str">
        <f>"07080"</f>
        <v>07080</v>
      </c>
      <c r="E19144">
        <v>79.150000000000006</v>
      </c>
    </row>
    <row r="19145" spans="1:5" x14ac:dyDescent="0.2">
      <c r="A19145" t="str">
        <f>"07081"</f>
        <v>07081</v>
      </c>
      <c r="B19145" t="s">
        <v>37</v>
      </c>
      <c r="C19145">
        <v>7081</v>
      </c>
      <c r="D19145" t="str">
        <f>"07081"</f>
        <v>07081</v>
      </c>
      <c r="E19145">
        <v>81.37</v>
      </c>
    </row>
    <row r="19146" spans="1:5" x14ac:dyDescent="0.2">
      <c r="A19146" t="str">
        <f>"07082"</f>
        <v>07082</v>
      </c>
      <c r="B19146" t="s">
        <v>37</v>
      </c>
      <c r="C19146">
        <v>7082</v>
      </c>
      <c r="D19146" t="str">
        <f>"07082"</f>
        <v>07082</v>
      </c>
      <c r="E19146">
        <v>79.239999999999995</v>
      </c>
    </row>
    <row r="19147" spans="1:5" x14ac:dyDescent="0.2">
      <c r="A19147" t="str">
        <f>"07083"</f>
        <v>07083</v>
      </c>
      <c r="B19147" t="s">
        <v>37</v>
      </c>
      <c r="C19147">
        <v>7083</v>
      </c>
      <c r="D19147" t="str">
        <f>"07083"</f>
        <v>07083</v>
      </c>
      <c r="E19147">
        <v>77.959999999999994</v>
      </c>
    </row>
    <row r="19148" spans="1:5" x14ac:dyDescent="0.2">
      <c r="A19148" t="str">
        <f>"07086"</f>
        <v>07086</v>
      </c>
      <c r="B19148" t="s">
        <v>37</v>
      </c>
      <c r="C19148">
        <v>7086</v>
      </c>
      <c r="D19148" t="str">
        <f>"07086"</f>
        <v>07086</v>
      </c>
      <c r="E19148">
        <v>80.52</v>
      </c>
    </row>
    <row r="19149" spans="1:5" x14ac:dyDescent="0.2">
      <c r="A19149" t="str">
        <f>"07087"</f>
        <v>07087</v>
      </c>
      <c r="B19149" t="s">
        <v>37</v>
      </c>
      <c r="C19149">
        <v>7087</v>
      </c>
      <c r="D19149" t="str">
        <f>"07087"</f>
        <v>07087</v>
      </c>
      <c r="E19149">
        <v>60.45</v>
      </c>
    </row>
    <row r="19150" spans="1:5" x14ac:dyDescent="0.2">
      <c r="A19150" t="str">
        <f>"07088"</f>
        <v>07088</v>
      </c>
      <c r="B19150" t="s">
        <v>37</v>
      </c>
      <c r="C19150">
        <v>7088</v>
      </c>
      <c r="D19150" t="str">
        <f>"07088"</f>
        <v>07088</v>
      </c>
      <c r="E19150">
        <v>70.88</v>
      </c>
    </row>
    <row r="19151" spans="1:5" x14ac:dyDescent="0.2">
      <c r="A19151" t="str">
        <f>"07090"</f>
        <v>07090</v>
      </c>
      <c r="B19151" t="s">
        <v>37</v>
      </c>
      <c r="C19151">
        <v>7090</v>
      </c>
      <c r="D19151" t="str">
        <f>"07090"</f>
        <v>07090</v>
      </c>
      <c r="E19151">
        <v>83.42</v>
      </c>
    </row>
    <row r="19152" spans="1:5" x14ac:dyDescent="0.2">
      <c r="A19152" t="str">
        <f>"07092"</f>
        <v>07092</v>
      </c>
      <c r="B19152" t="s">
        <v>37</v>
      </c>
      <c r="C19152">
        <v>7092</v>
      </c>
      <c r="D19152" t="str">
        <f>"07092"</f>
        <v>07092</v>
      </c>
      <c r="E19152">
        <v>83.78</v>
      </c>
    </row>
    <row r="19153" spans="1:5" x14ac:dyDescent="0.2">
      <c r="A19153" t="str">
        <f>"07093"</f>
        <v>07093</v>
      </c>
      <c r="B19153" t="s">
        <v>37</v>
      </c>
      <c r="C19153">
        <v>7093</v>
      </c>
      <c r="D19153" t="str">
        <f>"07093"</f>
        <v>07093</v>
      </c>
      <c r="E19153">
        <v>64.55</v>
      </c>
    </row>
    <row r="19154" spans="1:5" x14ac:dyDescent="0.2">
      <c r="A19154" t="str">
        <f>"07094"</f>
        <v>07094</v>
      </c>
      <c r="B19154" t="s">
        <v>37</v>
      </c>
      <c r="C19154">
        <v>7094</v>
      </c>
      <c r="D19154" t="str">
        <f>"07094"</f>
        <v>07094</v>
      </c>
      <c r="E19154">
        <v>81.08</v>
      </c>
    </row>
    <row r="19155" spans="1:5" x14ac:dyDescent="0.2">
      <c r="A19155" t="str">
        <f>"07095"</f>
        <v>07095</v>
      </c>
      <c r="B19155" t="s">
        <v>37</v>
      </c>
      <c r="C19155">
        <v>7095</v>
      </c>
      <c r="D19155" t="str">
        <f>"07095"</f>
        <v>07095</v>
      </c>
      <c r="E19155">
        <v>79.48</v>
      </c>
    </row>
    <row r="19156" spans="1:5" x14ac:dyDescent="0.2">
      <c r="A19156" t="str">
        <f>"07097"</f>
        <v>07097</v>
      </c>
      <c r="B19156" t="s">
        <v>37</v>
      </c>
      <c r="C19156">
        <v>7097</v>
      </c>
      <c r="D19156" t="str">
        <f>"07097"</f>
        <v>07097</v>
      </c>
      <c r="E19156" t="s">
        <v>6</v>
      </c>
    </row>
    <row r="19157" spans="1:5" x14ac:dyDescent="0.2">
      <c r="A19157" t="str">
        <f>"07099"</f>
        <v>07099</v>
      </c>
      <c r="B19157" t="s">
        <v>37</v>
      </c>
      <c r="C19157">
        <v>7099</v>
      </c>
      <c r="D19157" t="str">
        <f>"07099"</f>
        <v>07099</v>
      </c>
      <c r="E19157" t="s">
        <v>6</v>
      </c>
    </row>
    <row r="19158" spans="1:5" x14ac:dyDescent="0.2">
      <c r="A19158" t="str">
        <f>"07102"</f>
        <v>07102</v>
      </c>
      <c r="B19158" t="s">
        <v>37</v>
      </c>
      <c r="C19158">
        <v>7102</v>
      </c>
      <c r="D19158" t="str">
        <f>"07102"</f>
        <v>07102</v>
      </c>
      <c r="E19158">
        <v>63.02</v>
      </c>
    </row>
    <row r="19159" spans="1:5" x14ac:dyDescent="0.2">
      <c r="A19159" t="str">
        <f>"07103"</f>
        <v>07103</v>
      </c>
      <c r="B19159" t="s">
        <v>37</v>
      </c>
      <c r="C19159">
        <v>7103</v>
      </c>
      <c r="D19159" t="str">
        <f>"07103"</f>
        <v>07103</v>
      </c>
      <c r="E19159">
        <v>50.53</v>
      </c>
    </row>
    <row r="19160" spans="1:5" x14ac:dyDescent="0.2">
      <c r="A19160" t="str">
        <f>"07104"</f>
        <v>07104</v>
      </c>
      <c r="B19160" t="s">
        <v>37</v>
      </c>
      <c r="C19160">
        <v>7104</v>
      </c>
      <c r="D19160" t="str">
        <f>"07104"</f>
        <v>07104</v>
      </c>
      <c r="E19160">
        <v>58.43</v>
      </c>
    </row>
    <row r="19161" spans="1:5" x14ac:dyDescent="0.2">
      <c r="A19161" t="str">
        <f>"07105"</f>
        <v>07105</v>
      </c>
      <c r="B19161" t="s">
        <v>37</v>
      </c>
      <c r="C19161">
        <v>7105</v>
      </c>
      <c r="D19161" t="str">
        <f>"07105"</f>
        <v>07105</v>
      </c>
      <c r="E19161">
        <v>58.19</v>
      </c>
    </row>
    <row r="19162" spans="1:5" x14ac:dyDescent="0.2">
      <c r="A19162" t="str">
        <f>"07106"</f>
        <v>07106</v>
      </c>
      <c r="B19162" t="s">
        <v>37</v>
      </c>
      <c r="C19162">
        <v>7106</v>
      </c>
      <c r="D19162" t="str">
        <f>"07106"</f>
        <v>07106</v>
      </c>
      <c r="E19162">
        <v>58.3</v>
      </c>
    </row>
    <row r="19163" spans="1:5" x14ac:dyDescent="0.2">
      <c r="A19163" t="str">
        <f>"07107"</f>
        <v>07107</v>
      </c>
      <c r="B19163" t="s">
        <v>37</v>
      </c>
      <c r="C19163">
        <v>7107</v>
      </c>
      <c r="D19163" t="str">
        <f>"07107"</f>
        <v>07107</v>
      </c>
      <c r="E19163">
        <v>52.57</v>
      </c>
    </row>
    <row r="19164" spans="1:5" x14ac:dyDescent="0.2">
      <c r="A19164" t="str">
        <f>"07108"</f>
        <v>07108</v>
      </c>
      <c r="B19164" t="s">
        <v>37</v>
      </c>
      <c r="C19164">
        <v>7108</v>
      </c>
      <c r="D19164" t="str">
        <f>"07108"</f>
        <v>07108</v>
      </c>
      <c r="E19164">
        <v>48.4</v>
      </c>
    </row>
    <row r="19165" spans="1:5" x14ac:dyDescent="0.2">
      <c r="A19165" t="str">
        <f>"07109"</f>
        <v>07109</v>
      </c>
      <c r="B19165" t="s">
        <v>37</v>
      </c>
      <c r="C19165">
        <v>7109</v>
      </c>
      <c r="D19165" t="str">
        <f>"07109"</f>
        <v>07109</v>
      </c>
      <c r="E19165">
        <v>73.87</v>
      </c>
    </row>
    <row r="19166" spans="1:5" x14ac:dyDescent="0.2">
      <c r="A19166" t="str">
        <f>"07110"</f>
        <v>07110</v>
      </c>
      <c r="B19166" t="s">
        <v>37</v>
      </c>
      <c r="C19166">
        <v>7110</v>
      </c>
      <c r="D19166" t="str">
        <f>"07110"</f>
        <v>07110</v>
      </c>
      <c r="E19166">
        <v>82.16</v>
      </c>
    </row>
    <row r="19167" spans="1:5" x14ac:dyDescent="0.2">
      <c r="A19167" t="str">
        <f>"07111"</f>
        <v>07111</v>
      </c>
      <c r="B19167" t="s">
        <v>37</v>
      </c>
      <c r="C19167">
        <v>7111</v>
      </c>
      <c r="D19167" t="str">
        <f>"07111"</f>
        <v>07111</v>
      </c>
      <c r="E19167">
        <v>57.83</v>
      </c>
    </row>
    <row r="19168" spans="1:5" x14ac:dyDescent="0.2">
      <c r="A19168" t="str">
        <f>"07112"</f>
        <v>07112</v>
      </c>
      <c r="B19168" t="s">
        <v>37</v>
      </c>
      <c r="C19168">
        <v>7112</v>
      </c>
      <c r="D19168" t="str">
        <f>"07112"</f>
        <v>07112</v>
      </c>
      <c r="E19168">
        <v>56.72</v>
      </c>
    </row>
    <row r="19169" spans="1:5" x14ac:dyDescent="0.2">
      <c r="A19169" t="str">
        <f>"07114"</f>
        <v>07114</v>
      </c>
      <c r="B19169" t="s">
        <v>37</v>
      </c>
      <c r="C19169">
        <v>7114</v>
      </c>
      <c r="D19169" t="str">
        <f>"07114"</f>
        <v>07114</v>
      </c>
      <c r="E19169">
        <v>53.1</v>
      </c>
    </row>
    <row r="19170" spans="1:5" x14ac:dyDescent="0.2">
      <c r="A19170" t="str">
        <f>"07201"</f>
        <v>07201</v>
      </c>
      <c r="B19170" t="s">
        <v>37</v>
      </c>
      <c r="C19170">
        <v>7201</v>
      </c>
      <c r="D19170" t="str">
        <f>"07201"</f>
        <v>07201</v>
      </c>
      <c r="E19170">
        <v>57.08</v>
      </c>
    </row>
    <row r="19171" spans="1:5" x14ac:dyDescent="0.2">
      <c r="A19171" t="str">
        <f>"07202"</f>
        <v>07202</v>
      </c>
      <c r="B19171" t="s">
        <v>37</v>
      </c>
      <c r="C19171">
        <v>7202</v>
      </c>
      <c r="D19171" t="str">
        <f>"07202"</f>
        <v>07202</v>
      </c>
      <c r="E19171">
        <v>62.47</v>
      </c>
    </row>
    <row r="19172" spans="1:5" x14ac:dyDescent="0.2">
      <c r="A19172" t="str">
        <f>"07203"</f>
        <v>07203</v>
      </c>
      <c r="B19172" t="s">
        <v>37</v>
      </c>
      <c r="C19172">
        <v>7203</v>
      </c>
      <c r="D19172" t="str">
        <f>"07203"</f>
        <v>07203</v>
      </c>
      <c r="E19172">
        <v>69.239999999999995</v>
      </c>
    </row>
    <row r="19173" spans="1:5" x14ac:dyDescent="0.2">
      <c r="A19173" t="str">
        <f>"07204"</f>
        <v>07204</v>
      </c>
      <c r="B19173" t="s">
        <v>37</v>
      </c>
      <c r="C19173">
        <v>7204</v>
      </c>
      <c r="D19173" t="str">
        <f>"07204"</f>
        <v>07204</v>
      </c>
      <c r="E19173">
        <v>78.05</v>
      </c>
    </row>
    <row r="19174" spans="1:5" x14ac:dyDescent="0.2">
      <c r="A19174" t="str">
        <f>"07205"</f>
        <v>07205</v>
      </c>
      <c r="B19174" t="s">
        <v>37</v>
      </c>
      <c r="C19174">
        <v>7205</v>
      </c>
      <c r="D19174" t="str">
        <f>"07205"</f>
        <v>07205</v>
      </c>
      <c r="E19174">
        <v>70.739999999999995</v>
      </c>
    </row>
    <row r="19175" spans="1:5" x14ac:dyDescent="0.2">
      <c r="A19175" t="str">
        <f>"07206"</f>
        <v>07206</v>
      </c>
      <c r="B19175" t="s">
        <v>37</v>
      </c>
      <c r="C19175">
        <v>7206</v>
      </c>
      <c r="D19175" t="str">
        <f>"07206"</f>
        <v>07206</v>
      </c>
      <c r="E19175">
        <v>52.57</v>
      </c>
    </row>
    <row r="19176" spans="1:5" x14ac:dyDescent="0.2">
      <c r="A19176" t="str">
        <f>"07208"</f>
        <v>07208</v>
      </c>
      <c r="B19176" t="s">
        <v>37</v>
      </c>
      <c r="C19176">
        <v>7208</v>
      </c>
      <c r="D19176" t="str">
        <f>"07208"</f>
        <v>07208</v>
      </c>
      <c r="E19176">
        <v>65.7</v>
      </c>
    </row>
    <row r="19177" spans="1:5" x14ac:dyDescent="0.2">
      <c r="A19177" t="str">
        <f>"07302"</f>
        <v>07302</v>
      </c>
      <c r="B19177" t="s">
        <v>37</v>
      </c>
      <c r="C19177">
        <v>7302</v>
      </c>
      <c r="D19177" t="str">
        <f>"07302"</f>
        <v>07302</v>
      </c>
      <c r="E19177">
        <v>90.04</v>
      </c>
    </row>
    <row r="19178" spans="1:5" x14ac:dyDescent="0.2">
      <c r="A19178" t="str">
        <f>"07304"</f>
        <v>07304</v>
      </c>
      <c r="B19178" t="s">
        <v>37</v>
      </c>
      <c r="C19178">
        <v>7304</v>
      </c>
      <c r="D19178" t="str">
        <f>"07304"</f>
        <v>07304</v>
      </c>
      <c r="E19178">
        <v>65.27</v>
      </c>
    </row>
    <row r="19179" spans="1:5" x14ac:dyDescent="0.2">
      <c r="A19179" t="str">
        <f>"07305"</f>
        <v>07305</v>
      </c>
      <c r="B19179" t="s">
        <v>37</v>
      </c>
      <c r="C19179">
        <v>7305</v>
      </c>
      <c r="D19179" t="str">
        <f>"07305"</f>
        <v>07305</v>
      </c>
      <c r="E19179">
        <v>64.8</v>
      </c>
    </row>
    <row r="19180" spans="1:5" x14ac:dyDescent="0.2">
      <c r="A19180" t="str">
        <f>"07306"</f>
        <v>07306</v>
      </c>
      <c r="B19180" t="s">
        <v>37</v>
      </c>
      <c r="C19180">
        <v>7306</v>
      </c>
      <c r="D19180" t="str">
        <f>"07306"</f>
        <v>07306</v>
      </c>
      <c r="E19180">
        <v>69.87</v>
      </c>
    </row>
    <row r="19181" spans="1:5" x14ac:dyDescent="0.2">
      <c r="A19181" t="str">
        <f>"07307"</f>
        <v>07307</v>
      </c>
      <c r="B19181" t="s">
        <v>37</v>
      </c>
      <c r="C19181">
        <v>7307</v>
      </c>
      <c r="D19181" t="str">
        <f>"07307"</f>
        <v>07307</v>
      </c>
      <c r="E19181">
        <v>71.31</v>
      </c>
    </row>
    <row r="19182" spans="1:5" x14ac:dyDescent="0.2">
      <c r="A19182" t="str">
        <f>"07310"</f>
        <v>07310</v>
      </c>
      <c r="B19182" t="s">
        <v>37</v>
      </c>
      <c r="C19182">
        <v>7310</v>
      </c>
      <c r="D19182" t="str">
        <f>"07310"</f>
        <v>07310</v>
      </c>
      <c r="E19182">
        <v>91.21</v>
      </c>
    </row>
    <row r="19183" spans="1:5" x14ac:dyDescent="0.2">
      <c r="A19183" t="str">
        <f>"07311"</f>
        <v>07311</v>
      </c>
      <c r="B19183" t="s">
        <v>37</v>
      </c>
      <c r="C19183">
        <v>7311</v>
      </c>
      <c r="D19183" t="str">
        <f>"07311"</f>
        <v>07311</v>
      </c>
      <c r="E19183">
        <v>95.18</v>
      </c>
    </row>
    <row r="19184" spans="1:5" x14ac:dyDescent="0.2">
      <c r="A19184" t="str">
        <f>"07401"</f>
        <v>07401</v>
      </c>
      <c r="B19184" t="s">
        <v>37</v>
      </c>
      <c r="C19184">
        <v>7401</v>
      </c>
      <c r="D19184" t="str">
        <f>"07401"</f>
        <v>07401</v>
      </c>
      <c r="E19184">
        <v>82.24</v>
      </c>
    </row>
    <row r="19185" spans="1:5" x14ac:dyDescent="0.2">
      <c r="A19185" t="str">
        <f>"07403"</f>
        <v>07403</v>
      </c>
      <c r="B19185" t="s">
        <v>37</v>
      </c>
      <c r="C19185">
        <v>7403</v>
      </c>
      <c r="D19185" t="str">
        <f>"07403"</f>
        <v>07403</v>
      </c>
      <c r="E19185">
        <v>81.31</v>
      </c>
    </row>
    <row r="19186" spans="1:5" x14ac:dyDescent="0.2">
      <c r="A19186" t="str">
        <f>"07405"</f>
        <v>07405</v>
      </c>
      <c r="B19186" t="s">
        <v>37</v>
      </c>
      <c r="C19186">
        <v>7405</v>
      </c>
      <c r="D19186" t="str">
        <f>"07405"</f>
        <v>07405</v>
      </c>
      <c r="E19186">
        <v>82.42</v>
      </c>
    </row>
    <row r="19187" spans="1:5" x14ac:dyDescent="0.2">
      <c r="A19187" t="str">
        <f>"07407"</f>
        <v>07407</v>
      </c>
      <c r="B19187" t="s">
        <v>37</v>
      </c>
      <c r="C19187">
        <v>7407</v>
      </c>
      <c r="D19187" t="str">
        <f>"07407"</f>
        <v>07407</v>
      </c>
      <c r="E19187">
        <v>74.03</v>
      </c>
    </row>
    <row r="19188" spans="1:5" x14ac:dyDescent="0.2">
      <c r="A19188" t="str">
        <f>"07410"</f>
        <v>07410</v>
      </c>
      <c r="B19188" t="s">
        <v>37</v>
      </c>
      <c r="C19188">
        <v>7410</v>
      </c>
      <c r="D19188" t="str">
        <f>"07410"</f>
        <v>07410</v>
      </c>
      <c r="E19188">
        <v>80.64</v>
      </c>
    </row>
    <row r="19189" spans="1:5" x14ac:dyDescent="0.2">
      <c r="A19189" t="str">
        <f>"07416"</f>
        <v>07416</v>
      </c>
      <c r="B19189" t="s">
        <v>37</v>
      </c>
      <c r="C19189">
        <v>7416</v>
      </c>
      <c r="D19189" t="str">
        <f>"07416"</f>
        <v>07416</v>
      </c>
      <c r="E19189">
        <v>77.58</v>
      </c>
    </row>
    <row r="19190" spans="1:5" x14ac:dyDescent="0.2">
      <c r="A19190" t="str">
        <f>"07417"</f>
        <v>07417</v>
      </c>
      <c r="B19190" t="s">
        <v>37</v>
      </c>
      <c r="C19190">
        <v>7417</v>
      </c>
      <c r="D19190" t="str">
        <f>"07417"</f>
        <v>07417</v>
      </c>
      <c r="E19190">
        <v>80.48</v>
      </c>
    </row>
    <row r="19191" spans="1:5" x14ac:dyDescent="0.2">
      <c r="A19191" t="str">
        <f>"07418"</f>
        <v>07418</v>
      </c>
      <c r="B19191" t="s">
        <v>37</v>
      </c>
      <c r="C19191">
        <v>7418</v>
      </c>
      <c r="D19191" t="str">
        <f>"07418"</f>
        <v>07418</v>
      </c>
      <c r="E19191">
        <v>80.17</v>
      </c>
    </row>
    <row r="19192" spans="1:5" x14ac:dyDescent="0.2">
      <c r="A19192" t="str">
        <f>"07419"</f>
        <v>07419</v>
      </c>
      <c r="B19192" t="s">
        <v>37</v>
      </c>
      <c r="C19192">
        <v>7419</v>
      </c>
      <c r="D19192" t="str">
        <f>"07419"</f>
        <v>07419</v>
      </c>
      <c r="E19192">
        <v>80.540000000000006</v>
      </c>
    </row>
    <row r="19193" spans="1:5" x14ac:dyDescent="0.2">
      <c r="A19193" t="str">
        <f>"07420"</f>
        <v>07420</v>
      </c>
      <c r="B19193" t="s">
        <v>37</v>
      </c>
      <c r="C19193">
        <v>7420</v>
      </c>
      <c r="D19193" t="str">
        <f>"07420"</f>
        <v>07420</v>
      </c>
      <c r="E19193">
        <v>81.42</v>
      </c>
    </row>
    <row r="19194" spans="1:5" x14ac:dyDescent="0.2">
      <c r="A19194" t="str">
        <f>"07421"</f>
        <v>07421</v>
      </c>
      <c r="B19194" t="s">
        <v>37</v>
      </c>
      <c r="C19194">
        <v>7421</v>
      </c>
      <c r="D19194" t="str">
        <f>"07421"</f>
        <v>07421</v>
      </c>
      <c r="E19194">
        <v>81.53</v>
      </c>
    </row>
    <row r="19195" spans="1:5" x14ac:dyDescent="0.2">
      <c r="A19195" t="str">
        <f>"07422"</f>
        <v>07422</v>
      </c>
      <c r="B19195" t="s">
        <v>37</v>
      </c>
      <c r="C19195">
        <v>7422</v>
      </c>
      <c r="D19195" t="str">
        <f>"07422"</f>
        <v>07422</v>
      </c>
      <c r="E19195">
        <v>81.849999999999994</v>
      </c>
    </row>
    <row r="19196" spans="1:5" x14ac:dyDescent="0.2">
      <c r="A19196" t="str">
        <f>"07423"</f>
        <v>07423</v>
      </c>
      <c r="B19196" t="s">
        <v>37</v>
      </c>
      <c r="C19196">
        <v>7423</v>
      </c>
      <c r="D19196" t="str">
        <f>"07423"</f>
        <v>07423</v>
      </c>
      <c r="E19196">
        <v>83.59</v>
      </c>
    </row>
    <row r="19197" spans="1:5" x14ac:dyDescent="0.2">
      <c r="A19197" t="str">
        <f>"07424"</f>
        <v>07424</v>
      </c>
      <c r="B19197" t="s">
        <v>37</v>
      </c>
      <c r="C19197">
        <v>7424</v>
      </c>
      <c r="D19197" t="str">
        <f>"07424"</f>
        <v>07424</v>
      </c>
      <c r="E19197">
        <v>77.64</v>
      </c>
    </row>
    <row r="19198" spans="1:5" x14ac:dyDescent="0.2">
      <c r="A19198" t="str">
        <f>"07430"</f>
        <v>07430</v>
      </c>
      <c r="B19198" t="s">
        <v>37</v>
      </c>
      <c r="C19198">
        <v>7430</v>
      </c>
      <c r="D19198" t="str">
        <f>"07430"</f>
        <v>07430</v>
      </c>
      <c r="E19198">
        <v>82.44</v>
      </c>
    </row>
    <row r="19199" spans="1:5" x14ac:dyDescent="0.2">
      <c r="A19199" t="str">
        <f>"07432"</f>
        <v>07432</v>
      </c>
      <c r="B19199" t="s">
        <v>37</v>
      </c>
      <c r="C19199">
        <v>7432</v>
      </c>
      <c r="D19199" t="str">
        <f>"07432"</f>
        <v>07432</v>
      </c>
      <c r="E19199">
        <v>81.52</v>
      </c>
    </row>
    <row r="19200" spans="1:5" x14ac:dyDescent="0.2">
      <c r="A19200" t="str">
        <f>"07435"</f>
        <v>07435</v>
      </c>
      <c r="B19200" t="s">
        <v>37</v>
      </c>
      <c r="C19200">
        <v>7435</v>
      </c>
      <c r="D19200" t="str">
        <f>"07435"</f>
        <v>07435</v>
      </c>
      <c r="E19200">
        <v>82.26</v>
      </c>
    </row>
    <row r="19201" spans="1:5" x14ac:dyDescent="0.2">
      <c r="A19201" t="str">
        <f>"07436"</f>
        <v>07436</v>
      </c>
      <c r="B19201" t="s">
        <v>37</v>
      </c>
      <c r="C19201">
        <v>7436</v>
      </c>
      <c r="D19201" t="str">
        <f>"07436"</f>
        <v>07436</v>
      </c>
      <c r="E19201">
        <v>83.06</v>
      </c>
    </row>
    <row r="19202" spans="1:5" x14ac:dyDescent="0.2">
      <c r="A19202" t="str">
        <f>"07438"</f>
        <v>07438</v>
      </c>
      <c r="B19202" t="s">
        <v>37</v>
      </c>
      <c r="C19202">
        <v>7438</v>
      </c>
      <c r="D19202" t="str">
        <f>"07438"</f>
        <v>07438</v>
      </c>
      <c r="E19202">
        <v>81.98</v>
      </c>
    </row>
    <row r="19203" spans="1:5" x14ac:dyDescent="0.2">
      <c r="A19203" t="str">
        <f>"07439"</f>
        <v>07439</v>
      </c>
      <c r="B19203" t="s">
        <v>37</v>
      </c>
      <c r="C19203">
        <v>7439</v>
      </c>
      <c r="D19203" t="str">
        <f>"07439"</f>
        <v>07439</v>
      </c>
      <c r="E19203">
        <v>82.76</v>
      </c>
    </row>
    <row r="19204" spans="1:5" x14ac:dyDescent="0.2">
      <c r="A19204" t="str">
        <f>"07440"</f>
        <v>07440</v>
      </c>
      <c r="B19204" t="s">
        <v>37</v>
      </c>
      <c r="C19204">
        <v>7440</v>
      </c>
      <c r="D19204" t="str">
        <f>"07440"</f>
        <v>07440</v>
      </c>
      <c r="E19204">
        <v>80.260000000000005</v>
      </c>
    </row>
    <row r="19205" spans="1:5" x14ac:dyDescent="0.2">
      <c r="A19205" t="str">
        <f>"07442"</f>
        <v>07442</v>
      </c>
      <c r="B19205" t="s">
        <v>37</v>
      </c>
      <c r="C19205">
        <v>7442</v>
      </c>
      <c r="D19205" t="str">
        <f>"07442"</f>
        <v>07442</v>
      </c>
      <c r="E19205">
        <v>79.48</v>
      </c>
    </row>
    <row r="19206" spans="1:5" x14ac:dyDescent="0.2">
      <c r="A19206" t="str">
        <f>"07444"</f>
        <v>07444</v>
      </c>
      <c r="B19206" t="s">
        <v>37</v>
      </c>
      <c r="C19206">
        <v>7444</v>
      </c>
      <c r="D19206" t="str">
        <f>"07444"</f>
        <v>07444</v>
      </c>
      <c r="E19206">
        <v>80.78</v>
      </c>
    </row>
    <row r="19207" spans="1:5" x14ac:dyDescent="0.2">
      <c r="A19207" t="str">
        <f>"07446"</f>
        <v>07446</v>
      </c>
      <c r="B19207" t="s">
        <v>37</v>
      </c>
      <c r="C19207">
        <v>7446</v>
      </c>
      <c r="D19207" t="str">
        <f>"07446"</f>
        <v>07446</v>
      </c>
      <c r="E19207">
        <v>81.56</v>
      </c>
    </row>
    <row r="19208" spans="1:5" x14ac:dyDescent="0.2">
      <c r="A19208" t="str">
        <f>"07450"</f>
        <v>07450</v>
      </c>
      <c r="B19208" t="s">
        <v>37</v>
      </c>
      <c r="C19208">
        <v>7450</v>
      </c>
      <c r="D19208" t="str">
        <f>"07450"</f>
        <v>07450</v>
      </c>
      <c r="E19208">
        <v>82.17</v>
      </c>
    </row>
    <row r="19209" spans="1:5" x14ac:dyDescent="0.2">
      <c r="A19209" t="str">
        <f>"07452"</f>
        <v>07452</v>
      </c>
      <c r="B19209" t="s">
        <v>37</v>
      </c>
      <c r="C19209">
        <v>7452</v>
      </c>
      <c r="D19209" t="str">
        <f>"07452"</f>
        <v>07452</v>
      </c>
      <c r="E19209">
        <v>83.76</v>
      </c>
    </row>
    <row r="19210" spans="1:5" x14ac:dyDescent="0.2">
      <c r="A19210" t="str">
        <f>"07456"</f>
        <v>07456</v>
      </c>
      <c r="B19210" t="s">
        <v>37</v>
      </c>
      <c r="C19210">
        <v>7456</v>
      </c>
      <c r="D19210" t="str">
        <f>"07456"</f>
        <v>07456</v>
      </c>
      <c r="E19210">
        <v>82.34</v>
      </c>
    </row>
    <row r="19211" spans="1:5" x14ac:dyDescent="0.2">
      <c r="A19211" t="str">
        <f>"07457"</f>
        <v>07457</v>
      </c>
      <c r="B19211" t="s">
        <v>37</v>
      </c>
      <c r="C19211">
        <v>7457</v>
      </c>
      <c r="D19211" t="str">
        <f>"07457"</f>
        <v>07457</v>
      </c>
      <c r="E19211">
        <v>83.47</v>
      </c>
    </row>
    <row r="19212" spans="1:5" x14ac:dyDescent="0.2">
      <c r="A19212" t="str">
        <f>"07458"</f>
        <v>07458</v>
      </c>
      <c r="B19212" t="s">
        <v>37</v>
      </c>
      <c r="C19212">
        <v>7458</v>
      </c>
      <c r="D19212" t="str">
        <f>"07458"</f>
        <v>07458</v>
      </c>
      <c r="E19212">
        <v>80.69</v>
      </c>
    </row>
    <row r="19213" spans="1:5" x14ac:dyDescent="0.2">
      <c r="A19213" t="str">
        <f>"07460"</f>
        <v>07460</v>
      </c>
      <c r="B19213" t="s">
        <v>37</v>
      </c>
      <c r="C19213">
        <v>7460</v>
      </c>
      <c r="D19213" t="str">
        <f>"07460"</f>
        <v>07460</v>
      </c>
      <c r="E19213">
        <v>82.94</v>
      </c>
    </row>
    <row r="19214" spans="1:5" x14ac:dyDescent="0.2">
      <c r="A19214" t="str">
        <f>"07461"</f>
        <v>07461</v>
      </c>
      <c r="B19214" t="s">
        <v>37</v>
      </c>
      <c r="C19214">
        <v>7461</v>
      </c>
      <c r="D19214" t="str">
        <f>"07461"</f>
        <v>07461</v>
      </c>
      <c r="E19214">
        <v>78</v>
      </c>
    </row>
    <row r="19215" spans="1:5" x14ac:dyDescent="0.2">
      <c r="A19215" t="str">
        <f>"07462"</f>
        <v>07462</v>
      </c>
      <c r="B19215" t="s">
        <v>37</v>
      </c>
      <c r="C19215">
        <v>7462</v>
      </c>
      <c r="D19215" t="str">
        <f>"07462"</f>
        <v>07462</v>
      </c>
      <c r="E19215">
        <v>79.47</v>
      </c>
    </row>
    <row r="19216" spans="1:5" x14ac:dyDescent="0.2">
      <c r="A19216" t="str">
        <f>"07463"</f>
        <v>07463</v>
      </c>
      <c r="B19216" t="s">
        <v>37</v>
      </c>
      <c r="C19216">
        <v>7463</v>
      </c>
      <c r="D19216" t="str">
        <f>"07463"</f>
        <v>07463</v>
      </c>
      <c r="E19216">
        <v>81.569999999999993</v>
      </c>
    </row>
    <row r="19217" spans="1:5" x14ac:dyDescent="0.2">
      <c r="A19217" t="str">
        <f>"07465"</f>
        <v>07465</v>
      </c>
      <c r="B19217" t="s">
        <v>37</v>
      </c>
      <c r="C19217">
        <v>7465</v>
      </c>
      <c r="D19217" t="str">
        <f>"07465"</f>
        <v>07465</v>
      </c>
      <c r="E19217">
        <v>83.68</v>
      </c>
    </row>
    <row r="19218" spans="1:5" x14ac:dyDescent="0.2">
      <c r="A19218" t="str">
        <f>"07470"</f>
        <v>07470</v>
      </c>
      <c r="B19218" t="s">
        <v>37</v>
      </c>
      <c r="C19218">
        <v>7470</v>
      </c>
      <c r="D19218" t="str">
        <f>"07470"</f>
        <v>07470</v>
      </c>
      <c r="E19218">
        <v>80.47</v>
      </c>
    </row>
    <row r="19219" spans="1:5" x14ac:dyDescent="0.2">
      <c r="A19219" t="str">
        <f>"07480"</f>
        <v>07480</v>
      </c>
      <c r="B19219" t="s">
        <v>37</v>
      </c>
      <c r="C19219">
        <v>7480</v>
      </c>
      <c r="D19219" t="str">
        <f>"07480"</f>
        <v>07480</v>
      </c>
      <c r="E19219">
        <v>81.36</v>
      </c>
    </row>
    <row r="19220" spans="1:5" x14ac:dyDescent="0.2">
      <c r="A19220" t="str">
        <f>"07481"</f>
        <v>07481</v>
      </c>
      <c r="B19220" t="s">
        <v>37</v>
      </c>
      <c r="C19220">
        <v>7481</v>
      </c>
      <c r="D19220" t="str">
        <f>"07481"</f>
        <v>07481</v>
      </c>
      <c r="E19220">
        <v>82.75</v>
      </c>
    </row>
    <row r="19221" spans="1:5" x14ac:dyDescent="0.2">
      <c r="A19221" t="str">
        <f>"07495"</f>
        <v>07495</v>
      </c>
      <c r="B19221" t="s">
        <v>37</v>
      </c>
      <c r="C19221">
        <v>7495</v>
      </c>
      <c r="D19221" t="str">
        <f>"07495"</f>
        <v>07495</v>
      </c>
      <c r="E19221" t="s">
        <v>6</v>
      </c>
    </row>
    <row r="19222" spans="1:5" x14ac:dyDescent="0.2">
      <c r="A19222" t="str">
        <f>"07501"</f>
        <v>07501</v>
      </c>
      <c r="B19222" t="s">
        <v>37</v>
      </c>
      <c r="C19222">
        <v>7501</v>
      </c>
      <c r="D19222" t="str">
        <f>"07501"</f>
        <v>07501</v>
      </c>
      <c r="E19222">
        <v>48.66</v>
      </c>
    </row>
    <row r="19223" spans="1:5" x14ac:dyDescent="0.2">
      <c r="A19223" t="str">
        <f>"07502"</f>
        <v>07502</v>
      </c>
      <c r="B19223" t="s">
        <v>37</v>
      </c>
      <c r="C19223">
        <v>7502</v>
      </c>
      <c r="D19223" t="str">
        <f>"07502"</f>
        <v>07502</v>
      </c>
      <c r="E19223">
        <v>59.97</v>
      </c>
    </row>
    <row r="19224" spans="1:5" x14ac:dyDescent="0.2">
      <c r="A19224" t="str">
        <f>"07503"</f>
        <v>07503</v>
      </c>
      <c r="B19224" t="s">
        <v>37</v>
      </c>
      <c r="C19224">
        <v>7503</v>
      </c>
      <c r="D19224" t="str">
        <f>"07503"</f>
        <v>07503</v>
      </c>
      <c r="E19224">
        <v>55.35</v>
      </c>
    </row>
    <row r="19225" spans="1:5" x14ac:dyDescent="0.2">
      <c r="A19225" t="str">
        <f>"07504"</f>
        <v>07504</v>
      </c>
      <c r="B19225" t="s">
        <v>37</v>
      </c>
      <c r="C19225">
        <v>7504</v>
      </c>
      <c r="D19225" t="str">
        <f>"07504"</f>
        <v>07504</v>
      </c>
      <c r="E19225">
        <v>59.58</v>
      </c>
    </row>
    <row r="19226" spans="1:5" x14ac:dyDescent="0.2">
      <c r="A19226" t="str">
        <f>"07505"</f>
        <v>07505</v>
      </c>
      <c r="B19226" t="s">
        <v>37</v>
      </c>
      <c r="C19226">
        <v>7505</v>
      </c>
      <c r="D19226" t="str">
        <f>"07505"</f>
        <v>07505</v>
      </c>
      <c r="E19226">
        <v>54.31</v>
      </c>
    </row>
    <row r="19227" spans="1:5" x14ac:dyDescent="0.2">
      <c r="A19227" t="str">
        <f>"07506"</f>
        <v>07506</v>
      </c>
      <c r="B19227" t="s">
        <v>37</v>
      </c>
      <c r="C19227">
        <v>7506</v>
      </c>
      <c r="D19227" t="str">
        <f>"07506"</f>
        <v>07506</v>
      </c>
      <c r="E19227">
        <v>78.53</v>
      </c>
    </row>
    <row r="19228" spans="1:5" x14ac:dyDescent="0.2">
      <c r="A19228" t="str">
        <f>"07508"</f>
        <v>07508</v>
      </c>
      <c r="B19228" t="s">
        <v>37</v>
      </c>
      <c r="C19228">
        <v>7508</v>
      </c>
      <c r="D19228" t="str">
        <f>"07508"</f>
        <v>07508</v>
      </c>
      <c r="E19228">
        <v>69.97</v>
      </c>
    </row>
    <row r="19229" spans="1:5" x14ac:dyDescent="0.2">
      <c r="A19229" t="str">
        <f>"07509"</f>
        <v>07509</v>
      </c>
      <c r="B19229" t="s">
        <v>37</v>
      </c>
      <c r="C19229">
        <v>7509</v>
      </c>
      <c r="D19229" t="str">
        <f>"07509"</f>
        <v>07509</v>
      </c>
      <c r="E19229" t="s">
        <v>6</v>
      </c>
    </row>
    <row r="19230" spans="1:5" x14ac:dyDescent="0.2">
      <c r="A19230" t="str">
        <f>"07512"</f>
        <v>07512</v>
      </c>
      <c r="B19230" t="s">
        <v>37</v>
      </c>
      <c r="C19230">
        <v>7512</v>
      </c>
      <c r="D19230" t="str">
        <f>"07512"</f>
        <v>07512</v>
      </c>
      <c r="E19230">
        <v>78.650000000000006</v>
      </c>
    </row>
    <row r="19231" spans="1:5" x14ac:dyDescent="0.2">
      <c r="A19231" t="str">
        <f>"07513"</f>
        <v>07513</v>
      </c>
      <c r="B19231" t="s">
        <v>37</v>
      </c>
      <c r="C19231">
        <v>7513</v>
      </c>
      <c r="D19231" t="str">
        <f>"07513"</f>
        <v>07513</v>
      </c>
      <c r="E19231">
        <v>55.35</v>
      </c>
    </row>
    <row r="19232" spans="1:5" x14ac:dyDescent="0.2">
      <c r="A19232" t="str">
        <f>"07514"</f>
        <v>07514</v>
      </c>
      <c r="B19232" t="s">
        <v>37</v>
      </c>
      <c r="C19232">
        <v>7514</v>
      </c>
      <c r="D19232" t="str">
        <f>"07514"</f>
        <v>07514</v>
      </c>
      <c r="E19232">
        <v>57.38</v>
      </c>
    </row>
    <row r="19233" spans="1:5" x14ac:dyDescent="0.2">
      <c r="A19233" t="str">
        <f>"07522"</f>
        <v>07522</v>
      </c>
      <c r="B19233" t="s">
        <v>37</v>
      </c>
      <c r="C19233">
        <v>7522</v>
      </c>
      <c r="D19233" t="str">
        <f>"07522"</f>
        <v>07522</v>
      </c>
      <c r="E19233">
        <v>49.32</v>
      </c>
    </row>
    <row r="19234" spans="1:5" x14ac:dyDescent="0.2">
      <c r="A19234" t="str">
        <f>"07524"</f>
        <v>07524</v>
      </c>
      <c r="B19234" t="s">
        <v>37</v>
      </c>
      <c r="C19234">
        <v>7524</v>
      </c>
      <c r="D19234" t="str">
        <f>"07524"</f>
        <v>07524</v>
      </c>
      <c r="E19234">
        <v>51.4</v>
      </c>
    </row>
    <row r="19235" spans="1:5" x14ac:dyDescent="0.2">
      <c r="A19235" t="str">
        <f>"07601"</f>
        <v>07601</v>
      </c>
      <c r="B19235" t="s">
        <v>37</v>
      </c>
      <c r="C19235">
        <v>7601</v>
      </c>
      <c r="D19235" t="str">
        <f>"07601"</f>
        <v>07601</v>
      </c>
      <c r="E19235">
        <v>72.819999999999993</v>
      </c>
    </row>
    <row r="19236" spans="1:5" x14ac:dyDescent="0.2">
      <c r="A19236" t="str">
        <f>"07603"</f>
        <v>07603</v>
      </c>
      <c r="B19236" t="s">
        <v>37</v>
      </c>
      <c r="C19236">
        <v>7603</v>
      </c>
      <c r="D19236" t="str">
        <f>"07603"</f>
        <v>07603</v>
      </c>
      <c r="E19236">
        <v>75.62</v>
      </c>
    </row>
    <row r="19237" spans="1:5" x14ac:dyDescent="0.2">
      <c r="A19237" t="str">
        <f>"07604"</f>
        <v>07604</v>
      </c>
      <c r="B19237" t="s">
        <v>37</v>
      </c>
      <c r="C19237">
        <v>7604</v>
      </c>
      <c r="D19237" t="str">
        <f>"07604"</f>
        <v>07604</v>
      </c>
      <c r="E19237">
        <v>80.56</v>
      </c>
    </row>
    <row r="19238" spans="1:5" x14ac:dyDescent="0.2">
      <c r="A19238" t="str">
        <f>"07605"</f>
        <v>07605</v>
      </c>
      <c r="B19238" t="s">
        <v>37</v>
      </c>
      <c r="C19238">
        <v>7605</v>
      </c>
      <c r="D19238" t="str">
        <f>"07605"</f>
        <v>07605</v>
      </c>
      <c r="E19238">
        <v>76.510000000000005</v>
      </c>
    </row>
    <row r="19239" spans="1:5" x14ac:dyDescent="0.2">
      <c r="A19239" t="str">
        <f>"07606"</f>
        <v>07606</v>
      </c>
      <c r="B19239" t="s">
        <v>37</v>
      </c>
      <c r="C19239">
        <v>7606</v>
      </c>
      <c r="D19239" t="str">
        <f>"07606"</f>
        <v>07606</v>
      </c>
      <c r="E19239">
        <v>71.430000000000007</v>
      </c>
    </row>
    <row r="19240" spans="1:5" x14ac:dyDescent="0.2">
      <c r="A19240" t="str">
        <f>"07607"</f>
        <v>07607</v>
      </c>
      <c r="B19240" t="s">
        <v>37</v>
      </c>
      <c r="C19240">
        <v>7607</v>
      </c>
      <c r="D19240" t="str">
        <f>"07607"</f>
        <v>07607</v>
      </c>
      <c r="E19240">
        <v>80.16</v>
      </c>
    </row>
    <row r="19241" spans="1:5" x14ac:dyDescent="0.2">
      <c r="A19241" t="str">
        <f>"07608"</f>
        <v>07608</v>
      </c>
      <c r="B19241" t="s">
        <v>37</v>
      </c>
      <c r="C19241">
        <v>7608</v>
      </c>
      <c r="D19241" t="str">
        <f>"07608"</f>
        <v>07608</v>
      </c>
      <c r="E19241" t="s">
        <v>6</v>
      </c>
    </row>
    <row r="19242" spans="1:5" x14ac:dyDescent="0.2">
      <c r="A19242" t="str">
        <f>"07620"</f>
        <v>07620</v>
      </c>
      <c r="B19242" t="s">
        <v>37</v>
      </c>
      <c r="C19242">
        <v>7620</v>
      </c>
      <c r="D19242" t="str">
        <f>"07620"</f>
        <v>07620</v>
      </c>
      <c r="E19242" t="s">
        <v>6</v>
      </c>
    </row>
    <row r="19243" spans="1:5" x14ac:dyDescent="0.2">
      <c r="A19243" t="str">
        <f>"07621"</f>
        <v>07621</v>
      </c>
      <c r="B19243" t="s">
        <v>37</v>
      </c>
      <c r="C19243">
        <v>7621</v>
      </c>
      <c r="D19243" t="str">
        <f>"07621"</f>
        <v>07621</v>
      </c>
      <c r="E19243">
        <v>76.069999999999993</v>
      </c>
    </row>
    <row r="19244" spans="1:5" x14ac:dyDescent="0.2">
      <c r="A19244" t="str">
        <f>"07624"</f>
        <v>07624</v>
      </c>
      <c r="B19244" t="s">
        <v>37</v>
      </c>
      <c r="C19244">
        <v>7624</v>
      </c>
      <c r="D19244" t="str">
        <f>"07624"</f>
        <v>07624</v>
      </c>
      <c r="E19244">
        <v>78.28</v>
      </c>
    </row>
    <row r="19245" spans="1:5" x14ac:dyDescent="0.2">
      <c r="A19245" t="str">
        <f>"07626"</f>
        <v>07626</v>
      </c>
      <c r="B19245" t="s">
        <v>37</v>
      </c>
      <c r="C19245">
        <v>7626</v>
      </c>
      <c r="D19245" t="str">
        <f>"07626"</f>
        <v>07626</v>
      </c>
      <c r="E19245">
        <v>78.88</v>
      </c>
    </row>
    <row r="19246" spans="1:5" x14ac:dyDescent="0.2">
      <c r="A19246" t="str">
        <f>"07627"</f>
        <v>07627</v>
      </c>
      <c r="B19246" t="s">
        <v>37</v>
      </c>
      <c r="C19246">
        <v>7627</v>
      </c>
      <c r="D19246" t="str">
        <f>"07627"</f>
        <v>07627</v>
      </c>
      <c r="E19246">
        <v>80.180000000000007</v>
      </c>
    </row>
    <row r="19247" spans="1:5" x14ac:dyDescent="0.2">
      <c r="A19247" t="str">
        <f>"07628"</f>
        <v>07628</v>
      </c>
      <c r="B19247" t="s">
        <v>37</v>
      </c>
      <c r="C19247">
        <v>7628</v>
      </c>
      <c r="D19247" t="str">
        <f>"07628"</f>
        <v>07628</v>
      </c>
      <c r="E19247">
        <v>79.87</v>
      </c>
    </row>
    <row r="19248" spans="1:5" x14ac:dyDescent="0.2">
      <c r="A19248" t="str">
        <f>"07630"</f>
        <v>07630</v>
      </c>
      <c r="B19248" t="s">
        <v>37</v>
      </c>
      <c r="C19248">
        <v>7630</v>
      </c>
      <c r="D19248" t="str">
        <f>"07630"</f>
        <v>07630</v>
      </c>
      <c r="E19248">
        <v>81.48</v>
      </c>
    </row>
    <row r="19249" spans="1:5" x14ac:dyDescent="0.2">
      <c r="A19249" t="str">
        <f>"07631"</f>
        <v>07631</v>
      </c>
      <c r="B19249" t="s">
        <v>37</v>
      </c>
      <c r="C19249">
        <v>7631</v>
      </c>
      <c r="D19249" t="str">
        <f>"07631"</f>
        <v>07631</v>
      </c>
      <c r="E19249">
        <v>73.59</v>
      </c>
    </row>
    <row r="19250" spans="1:5" x14ac:dyDescent="0.2">
      <c r="A19250" t="str">
        <f>"07632"</f>
        <v>07632</v>
      </c>
      <c r="B19250" t="s">
        <v>37</v>
      </c>
      <c r="C19250">
        <v>7632</v>
      </c>
      <c r="D19250" t="str">
        <f>"07632"</f>
        <v>07632</v>
      </c>
      <c r="E19250">
        <v>81.62</v>
      </c>
    </row>
    <row r="19251" spans="1:5" x14ac:dyDescent="0.2">
      <c r="A19251" t="str">
        <f>"07640"</f>
        <v>07640</v>
      </c>
      <c r="B19251" t="s">
        <v>37</v>
      </c>
      <c r="C19251">
        <v>7640</v>
      </c>
      <c r="D19251" t="str">
        <f>"07640"</f>
        <v>07640</v>
      </c>
      <c r="E19251">
        <v>81.61</v>
      </c>
    </row>
    <row r="19252" spans="1:5" x14ac:dyDescent="0.2">
      <c r="A19252" t="str">
        <f>"07641"</f>
        <v>07641</v>
      </c>
      <c r="B19252" t="s">
        <v>37</v>
      </c>
      <c r="C19252">
        <v>7641</v>
      </c>
      <c r="D19252" t="str">
        <f>"07641"</f>
        <v>07641</v>
      </c>
      <c r="E19252">
        <v>80.61</v>
      </c>
    </row>
    <row r="19253" spans="1:5" x14ac:dyDescent="0.2">
      <c r="A19253" t="str">
        <f>"07642"</f>
        <v>07642</v>
      </c>
      <c r="B19253" t="s">
        <v>37</v>
      </c>
      <c r="C19253">
        <v>7642</v>
      </c>
      <c r="D19253" t="str">
        <f>"07642"</f>
        <v>07642</v>
      </c>
      <c r="E19253">
        <v>81.44</v>
      </c>
    </row>
    <row r="19254" spans="1:5" x14ac:dyDescent="0.2">
      <c r="A19254" t="str">
        <f>"07643"</f>
        <v>07643</v>
      </c>
      <c r="B19254" t="s">
        <v>37</v>
      </c>
      <c r="C19254">
        <v>7643</v>
      </c>
      <c r="D19254" t="str">
        <f>"07643"</f>
        <v>07643</v>
      </c>
      <c r="E19254">
        <v>72.959999999999994</v>
      </c>
    </row>
    <row r="19255" spans="1:5" x14ac:dyDescent="0.2">
      <c r="A19255" t="str">
        <f>"07644"</f>
        <v>07644</v>
      </c>
      <c r="B19255" t="s">
        <v>37</v>
      </c>
      <c r="C19255">
        <v>7644</v>
      </c>
      <c r="D19255" t="str">
        <f>"07644"</f>
        <v>07644</v>
      </c>
      <c r="E19255">
        <v>71.209999999999994</v>
      </c>
    </row>
    <row r="19256" spans="1:5" x14ac:dyDescent="0.2">
      <c r="A19256" t="str">
        <f>"07645"</f>
        <v>07645</v>
      </c>
      <c r="B19256" t="s">
        <v>37</v>
      </c>
      <c r="C19256">
        <v>7645</v>
      </c>
      <c r="D19256" t="str">
        <f>"07645"</f>
        <v>07645</v>
      </c>
      <c r="E19256">
        <v>81.34</v>
      </c>
    </row>
    <row r="19257" spans="1:5" x14ac:dyDescent="0.2">
      <c r="A19257" t="str">
        <f>"07646"</f>
        <v>07646</v>
      </c>
      <c r="B19257" t="s">
        <v>37</v>
      </c>
      <c r="C19257">
        <v>7646</v>
      </c>
      <c r="D19257" t="str">
        <f>"07646"</f>
        <v>07646</v>
      </c>
      <c r="E19257">
        <v>81.06</v>
      </c>
    </row>
    <row r="19258" spans="1:5" x14ac:dyDescent="0.2">
      <c r="A19258" t="str">
        <f>"07647"</f>
        <v>07647</v>
      </c>
      <c r="B19258" t="s">
        <v>37</v>
      </c>
      <c r="C19258">
        <v>7647</v>
      </c>
      <c r="D19258" t="str">
        <f>"07647"</f>
        <v>07647</v>
      </c>
      <c r="E19258">
        <v>77.87</v>
      </c>
    </row>
    <row r="19259" spans="1:5" x14ac:dyDescent="0.2">
      <c r="A19259" t="str">
        <f>"07648"</f>
        <v>07648</v>
      </c>
      <c r="B19259" t="s">
        <v>37</v>
      </c>
      <c r="C19259">
        <v>7648</v>
      </c>
      <c r="D19259" t="str">
        <f>"07648"</f>
        <v>07648</v>
      </c>
      <c r="E19259">
        <v>78.680000000000007</v>
      </c>
    </row>
    <row r="19260" spans="1:5" x14ac:dyDescent="0.2">
      <c r="A19260" t="str">
        <f>"07649"</f>
        <v>07649</v>
      </c>
      <c r="B19260" t="s">
        <v>37</v>
      </c>
      <c r="C19260">
        <v>7649</v>
      </c>
      <c r="D19260" t="str">
        <f>"07649"</f>
        <v>07649</v>
      </c>
      <c r="E19260">
        <v>82.49</v>
      </c>
    </row>
    <row r="19261" spans="1:5" x14ac:dyDescent="0.2">
      <c r="A19261" t="str">
        <f>"07650"</f>
        <v>07650</v>
      </c>
      <c r="B19261" t="s">
        <v>37</v>
      </c>
      <c r="C19261">
        <v>7650</v>
      </c>
      <c r="D19261" t="str">
        <f>"07650"</f>
        <v>07650</v>
      </c>
      <c r="E19261">
        <v>67.790000000000006</v>
      </c>
    </row>
    <row r="19262" spans="1:5" x14ac:dyDescent="0.2">
      <c r="A19262" t="str">
        <f>"07652"</f>
        <v>07652</v>
      </c>
      <c r="B19262" t="s">
        <v>37</v>
      </c>
      <c r="C19262">
        <v>7652</v>
      </c>
      <c r="D19262" t="str">
        <f>"07652"</f>
        <v>07652</v>
      </c>
      <c r="E19262">
        <v>79.95</v>
      </c>
    </row>
    <row r="19263" spans="1:5" x14ac:dyDescent="0.2">
      <c r="A19263" t="str">
        <f>"07656"</f>
        <v>07656</v>
      </c>
      <c r="B19263" t="s">
        <v>37</v>
      </c>
      <c r="C19263">
        <v>7656</v>
      </c>
      <c r="D19263" t="str">
        <f>"07656"</f>
        <v>07656</v>
      </c>
      <c r="E19263">
        <v>81.489999999999995</v>
      </c>
    </row>
    <row r="19264" spans="1:5" x14ac:dyDescent="0.2">
      <c r="A19264" t="str">
        <f>"07657"</f>
        <v>07657</v>
      </c>
      <c r="B19264" t="s">
        <v>37</v>
      </c>
      <c r="C19264">
        <v>7657</v>
      </c>
      <c r="D19264" t="str">
        <f>"07657"</f>
        <v>07657</v>
      </c>
      <c r="E19264">
        <v>72.349999999999994</v>
      </c>
    </row>
    <row r="19265" spans="1:5" x14ac:dyDescent="0.2">
      <c r="A19265" t="str">
        <f>"07660"</f>
        <v>07660</v>
      </c>
      <c r="B19265" t="s">
        <v>37</v>
      </c>
      <c r="C19265">
        <v>7660</v>
      </c>
      <c r="D19265" t="str">
        <f>"07660"</f>
        <v>07660</v>
      </c>
      <c r="E19265">
        <v>75.88</v>
      </c>
    </row>
    <row r="19266" spans="1:5" x14ac:dyDescent="0.2">
      <c r="A19266" t="str">
        <f>"07661"</f>
        <v>07661</v>
      </c>
      <c r="B19266" t="s">
        <v>37</v>
      </c>
      <c r="C19266">
        <v>7661</v>
      </c>
      <c r="D19266" t="str">
        <f>"07661"</f>
        <v>07661</v>
      </c>
      <c r="E19266">
        <v>80.040000000000006</v>
      </c>
    </row>
    <row r="19267" spans="1:5" x14ac:dyDescent="0.2">
      <c r="A19267" t="str">
        <f>"07662"</f>
        <v>07662</v>
      </c>
      <c r="B19267" t="s">
        <v>37</v>
      </c>
      <c r="C19267">
        <v>7662</v>
      </c>
      <c r="D19267" t="str">
        <f>"07662"</f>
        <v>07662</v>
      </c>
      <c r="E19267">
        <v>81.489999999999995</v>
      </c>
    </row>
    <row r="19268" spans="1:5" x14ac:dyDescent="0.2">
      <c r="A19268" t="str">
        <f>"07663"</f>
        <v>07663</v>
      </c>
      <c r="B19268" t="s">
        <v>37</v>
      </c>
      <c r="C19268">
        <v>7663</v>
      </c>
      <c r="D19268" t="str">
        <f>"07663"</f>
        <v>07663</v>
      </c>
      <c r="E19268">
        <v>80.209999999999994</v>
      </c>
    </row>
    <row r="19269" spans="1:5" x14ac:dyDescent="0.2">
      <c r="A19269" t="str">
        <f>"07666"</f>
        <v>07666</v>
      </c>
      <c r="B19269" t="s">
        <v>37</v>
      </c>
      <c r="C19269">
        <v>7666</v>
      </c>
      <c r="D19269" t="str">
        <f>"07666"</f>
        <v>07666</v>
      </c>
      <c r="E19269">
        <v>77.599999999999994</v>
      </c>
    </row>
    <row r="19270" spans="1:5" x14ac:dyDescent="0.2">
      <c r="A19270" t="str">
        <f>"07670"</f>
        <v>07670</v>
      </c>
      <c r="B19270" t="s">
        <v>37</v>
      </c>
      <c r="C19270">
        <v>7670</v>
      </c>
      <c r="D19270" t="str">
        <f>"07670"</f>
        <v>07670</v>
      </c>
      <c r="E19270">
        <v>79.81</v>
      </c>
    </row>
    <row r="19271" spans="1:5" x14ac:dyDescent="0.2">
      <c r="A19271" t="str">
        <f>"07675"</f>
        <v>07675</v>
      </c>
      <c r="B19271" t="s">
        <v>37</v>
      </c>
      <c r="C19271">
        <v>7675</v>
      </c>
      <c r="D19271" t="str">
        <f>"07675"</f>
        <v>07675</v>
      </c>
      <c r="E19271">
        <v>80.75</v>
      </c>
    </row>
    <row r="19272" spans="1:5" x14ac:dyDescent="0.2">
      <c r="A19272" t="str">
        <f>"07676"</f>
        <v>07676</v>
      </c>
      <c r="B19272" t="s">
        <v>37</v>
      </c>
      <c r="C19272">
        <v>7676</v>
      </c>
      <c r="D19272" t="str">
        <f>"07676"</f>
        <v>07676</v>
      </c>
      <c r="E19272">
        <v>81.55</v>
      </c>
    </row>
    <row r="19273" spans="1:5" x14ac:dyDescent="0.2">
      <c r="A19273" t="str">
        <f>"07677"</f>
        <v>07677</v>
      </c>
      <c r="B19273" t="s">
        <v>37</v>
      </c>
      <c r="C19273">
        <v>7677</v>
      </c>
      <c r="D19273" t="str">
        <f>"07677"</f>
        <v>07677</v>
      </c>
      <c r="E19273">
        <v>83.17</v>
      </c>
    </row>
    <row r="19274" spans="1:5" x14ac:dyDescent="0.2">
      <c r="A19274" t="str">
        <f>"07699"</f>
        <v>07699</v>
      </c>
      <c r="B19274" t="s">
        <v>37</v>
      </c>
      <c r="C19274">
        <v>7699</v>
      </c>
      <c r="D19274" t="str">
        <f>"07699"</f>
        <v>07699</v>
      </c>
      <c r="E19274" t="s">
        <v>6</v>
      </c>
    </row>
    <row r="19275" spans="1:5" x14ac:dyDescent="0.2">
      <c r="A19275" t="str">
        <f>"07701"</f>
        <v>07701</v>
      </c>
      <c r="B19275" t="s">
        <v>37</v>
      </c>
      <c r="C19275">
        <v>7701</v>
      </c>
      <c r="D19275" t="str">
        <f>"07701"</f>
        <v>07701</v>
      </c>
      <c r="E19275">
        <v>76.489999999999995</v>
      </c>
    </row>
    <row r="19276" spans="1:5" x14ac:dyDescent="0.2">
      <c r="A19276" t="str">
        <f>"07702"</f>
        <v>07702</v>
      </c>
      <c r="B19276" t="s">
        <v>37</v>
      </c>
      <c r="C19276">
        <v>7702</v>
      </c>
      <c r="D19276" t="str">
        <f>"07702"</f>
        <v>07702</v>
      </c>
      <c r="E19276">
        <v>81.819999999999993</v>
      </c>
    </row>
    <row r="19277" spans="1:5" x14ac:dyDescent="0.2">
      <c r="A19277" t="str">
        <f>"07703"</f>
        <v>07703</v>
      </c>
      <c r="B19277" t="s">
        <v>37</v>
      </c>
      <c r="C19277">
        <v>7703</v>
      </c>
      <c r="D19277" t="str">
        <f>"07703"</f>
        <v>07703</v>
      </c>
      <c r="E19277" t="s">
        <v>6</v>
      </c>
    </row>
    <row r="19278" spans="1:5" x14ac:dyDescent="0.2">
      <c r="A19278" t="str">
        <f>"07704"</f>
        <v>07704</v>
      </c>
      <c r="B19278" t="s">
        <v>37</v>
      </c>
      <c r="C19278">
        <v>7704</v>
      </c>
      <c r="D19278" t="str">
        <f>"07704"</f>
        <v>07704</v>
      </c>
      <c r="E19278">
        <v>80.5</v>
      </c>
    </row>
    <row r="19279" spans="1:5" x14ac:dyDescent="0.2">
      <c r="A19279" t="str">
        <f>"07711"</f>
        <v>07711</v>
      </c>
      <c r="B19279" t="s">
        <v>37</v>
      </c>
      <c r="C19279">
        <v>7711</v>
      </c>
      <c r="D19279" t="str">
        <f>"07711"</f>
        <v>07711</v>
      </c>
      <c r="E19279">
        <v>81.25</v>
      </c>
    </row>
    <row r="19280" spans="1:5" x14ac:dyDescent="0.2">
      <c r="A19280" t="str">
        <f>"07712"</f>
        <v>07712</v>
      </c>
      <c r="B19280" t="s">
        <v>37</v>
      </c>
      <c r="C19280">
        <v>7712</v>
      </c>
      <c r="D19280" t="str">
        <f>"07712"</f>
        <v>07712</v>
      </c>
      <c r="E19280">
        <v>72.53</v>
      </c>
    </row>
    <row r="19281" spans="1:5" x14ac:dyDescent="0.2">
      <c r="A19281" t="str">
        <f>"07716"</f>
        <v>07716</v>
      </c>
      <c r="B19281" t="s">
        <v>37</v>
      </c>
      <c r="C19281">
        <v>7716</v>
      </c>
      <c r="D19281" t="str">
        <f>"07716"</f>
        <v>07716</v>
      </c>
      <c r="E19281">
        <v>80.88</v>
      </c>
    </row>
    <row r="19282" spans="1:5" x14ac:dyDescent="0.2">
      <c r="A19282" t="str">
        <f>"07717"</f>
        <v>07717</v>
      </c>
      <c r="B19282" t="s">
        <v>37</v>
      </c>
      <c r="C19282">
        <v>7717</v>
      </c>
      <c r="D19282" t="str">
        <f>"07717"</f>
        <v>07717</v>
      </c>
      <c r="E19282">
        <v>78.569999999999993</v>
      </c>
    </row>
    <row r="19283" spans="1:5" x14ac:dyDescent="0.2">
      <c r="A19283" t="str">
        <f>"07718"</f>
        <v>07718</v>
      </c>
      <c r="B19283" t="s">
        <v>37</v>
      </c>
      <c r="C19283">
        <v>7718</v>
      </c>
      <c r="D19283" t="str">
        <f>"07718"</f>
        <v>07718</v>
      </c>
      <c r="E19283">
        <v>81.19</v>
      </c>
    </row>
    <row r="19284" spans="1:5" x14ac:dyDescent="0.2">
      <c r="A19284" t="str">
        <f>"07719"</f>
        <v>07719</v>
      </c>
      <c r="B19284" t="s">
        <v>37</v>
      </c>
      <c r="C19284">
        <v>7719</v>
      </c>
      <c r="D19284" t="str">
        <f>"07719"</f>
        <v>07719</v>
      </c>
      <c r="E19284">
        <v>79.23</v>
      </c>
    </row>
    <row r="19285" spans="1:5" x14ac:dyDescent="0.2">
      <c r="A19285" t="str">
        <f>"07720"</f>
        <v>07720</v>
      </c>
      <c r="B19285" t="s">
        <v>37</v>
      </c>
      <c r="C19285">
        <v>7720</v>
      </c>
      <c r="D19285" t="str">
        <f>"07720"</f>
        <v>07720</v>
      </c>
      <c r="E19285">
        <v>78.069999999999993</v>
      </c>
    </row>
    <row r="19286" spans="1:5" x14ac:dyDescent="0.2">
      <c r="A19286" t="str">
        <f>"07721"</f>
        <v>07721</v>
      </c>
      <c r="B19286" t="s">
        <v>37</v>
      </c>
      <c r="C19286">
        <v>7721</v>
      </c>
      <c r="D19286" t="str">
        <f>"07721"</f>
        <v>07721</v>
      </c>
      <c r="E19286">
        <v>77.05</v>
      </c>
    </row>
    <row r="19287" spans="1:5" x14ac:dyDescent="0.2">
      <c r="A19287" t="str">
        <f>"07722"</f>
        <v>07722</v>
      </c>
      <c r="B19287" t="s">
        <v>37</v>
      </c>
      <c r="C19287">
        <v>7722</v>
      </c>
      <c r="D19287" t="str">
        <f>"07722"</f>
        <v>07722</v>
      </c>
      <c r="E19287">
        <v>78</v>
      </c>
    </row>
    <row r="19288" spans="1:5" x14ac:dyDescent="0.2">
      <c r="A19288" t="str">
        <f>"07723"</f>
        <v>07723</v>
      </c>
      <c r="B19288" t="s">
        <v>37</v>
      </c>
      <c r="C19288">
        <v>7723</v>
      </c>
      <c r="D19288" t="str">
        <f>"07723"</f>
        <v>07723</v>
      </c>
      <c r="E19288">
        <v>65.91</v>
      </c>
    </row>
    <row r="19289" spans="1:5" x14ac:dyDescent="0.2">
      <c r="A19289" t="str">
        <f>"07724"</f>
        <v>07724</v>
      </c>
      <c r="B19289" t="s">
        <v>37</v>
      </c>
      <c r="C19289">
        <v>7724</v>
      </c>
      <c r="D19289" t="str">
        <f>"07724"</f>
        <v>07724</v>
      </c>
      <c r="E19289">
        <v>78.09</v>
      </c>
    </row>
    <row r="19290" spans="1:5" x14ac:dyDescent="0.2">
      <c r="A19290" t="str">
        <f>"07726"</f>
        <v>07726</v>
      </c>
      <c r="B19290" t="s">
        <v>37</v>
      </c>
      <c r="C19290">
        <v>7726</v>
      </c>
      <c r="D19290" t="str">
        <f>"07726"</f>
        <v>07726</v>
      </c>
      <c r="E19290">
        <v>79.55</v>
      </c>
    </row>
    <row r="19291" spans="1:5" x14ac:dyDescent="0.2">
      <c r="A19291" t="str">
        <f>"07727"</f>
        <v>07727</v>
      </c>
      <c r="B19291" t="s">
        <v>37</v>
      </c>
      <c r="C19291">
        <v>7727</v>
      </c>
      <c r="D19291" t="str">
        <f>"07727"</f>
        <v>07727</v>
      </c>
      <c r="E19291">
        <v>79.8</v>
      </c>
    </row>
    <row r="19292" spans="1:5" x14ac:dyDescent="0.2">
      <c r="A19292" t="str">
        <f>"07728"</f>
        <v>07728</v>
      </c>
      <c r="B19292" t="s">
        <v>37</v>
      </c>
      <c r="C19292">
        <v>7728</v>
      </c>
      <c r="D19292" t="str">
        <f>"07728"</f>
        <v>07728</v>
      </c>
      <c r="E19292">
        <v>76.02</v>
      </c>
    </row>
    <row r="19293" spans="1:5" x14ac:dyDescent="0.2">
      <c r="A19293" t="str">
        <f>"07730"</f>
        <v>07730</v>
      </c>
      <c r="B19293" t="s">
        <v>37</v>
      </c>
      <c r="C19293">
        <v>7730</v>
      </c>
      <c r="D19293" t="str">
        <f>"07730"</f>
        <v>07730</v>
      </c>
      <c r="E19293">
        <v>81.790000000000006</v>
      </c>
    </row>
    <row r="19294" spans="1:5" x14ac:dyDescent="0.2">
      <c r="A19294" t="str">
        <f>"07731"</f>
        <v>07731</v>
      </c>
      <c r="B19294" t="s">
        <v>37</v>
      </c>
      <c r="C19294">
        <v>7731</v>
      </c>
      <c r="D19294" t="str">
        <f>"07731"</f>
        <v>07731</v>
      </c>
      <c r="E19294">
        <v>78.8</v>
      </c>
    </row>
    <row r="19295" spans="1:5" x14ac:dyDescent="0.2">
      <c r="A19295" t="str">
        <f>"07732"</f>
        <v>07732</v>
      </c>
      <c r="B19295" t="s">
        <v>37</v>
      </c>
      <c r="C19295">
        <v>7732</v>
      </c>
      <c r="D19295" t="str">
        <f>"07732"</f>
        <v>07732</v>
      </c>
      <c r="E19295">
        <v>79.84</v>
      </c>
    </row>
    <row r="19296" spans="1:5" x14ac:dyDescent="0.2">
      <c r="A19296" t="str">
        <f>"07733"</f>
        <v>07733</v>
      </c>
      <c r="B19296" t="s">
        <v>37</v>
      </c>
      <c r="C19296">
        <v>7733</v>
      </c>
      <c r="D19296" t="str">
        <f>"07733"</f>
        <v>07733</v>
      </c>
      <c r="E19296">
        <v>81.430000000000007</v>
      </c>
    </row>
    <row r="19297" spans="1:5" x14ac:dyDescent="0.2">
      <c r="A19297" t="str">
        <f>"07734"</f>
        <v>07734</v>
      </c>
      <c r="B19297" t="s">
        <v>37</v>
      </c>
      <c r="C19297">
        <v>7734</v>
      </c>
      <c r="D19297" t="str">
        <f>"07734"</f>
        <v>07734</v>
      </c>
      <c r="E19297">
        <v>71.2</v>
      </c>
    </row>
    <row r="19298" spans="1:5" x14ac:dyDescent="0.2">
      <c r="A19298" t="str">
        <f>"07735"</f>
        <v>07735</v>
      </c>
      <c r="B19298" t="s">
        <v>37</v>
      </c>
      <c r="C19298">
        <v>7735</v>
      </c>
      <c r="D19298" t="str">
        <f>"07735"</f>
        <v>07735</v>
      </c>
      <c r="E19298">
        <v>77.53</v>
      </c>
    </row>
    <row r="19299" spans="1:5" x14ac:dyDescent="0.2">
      <c r="A19299" t="str">
        <f>"07737"</f>
        <v>07737</v>
      </c>
      <c r="B19299" t="s">
        <v>37</v>
      </c>
      <c r="C19299">
        <v>7737</v>
      </c>
      <c r="D19299" t="str">
        <f>"07737"</f>
        <v>07737</v>
      </c>
      <c r="E19299">
        <v>81.040000000000006</v>
      </c>
    </row>
    <row r="19300" spans="1:5" x14ac:dyDescent="0.2">
      <c r="A19300" t="str">
        <f>"07738"</f>
        <v>07738</v>
      </c>
      <c r="B19300" t="s">
        <v>37</v>
      </c>
      <c r="C19300">
        <v>7738</v>
      </c>
      <c r="D19300" t="str">
        <f>"07738"</f>
        <v>07738</v>
      </c>
      <c r="E19300">
        <v>80.569999999999993</v>
      </c>
    </row>
    <row r="19301" spans="1:5" x14ac:dyDescent="0.2">
      <c r="A19301" t="str">
        <f>"07739"</f>
        <v>07739</v>
      </c>
      <c r="B19301" t="s">
        <v>37</v>
      </c>
      <c r="C19301">
        <v>7739</v>
      </c>
      <c r="D19301" t="str">
        <f>"07739"</f>
        <v>07739</v>
      </c>
      <c r="E19301">
        <v>80.78</v>
      </c>
    </row>
    <row r="19302" spans="1:5" x14ac:dyDescent="0.2">
      <c r="A19302" t="str">
        <f>"07740"</f>
        <v>07740</v>
      </c>
      <c r="B19302" t="s">
        <v>37</v>
      </c>
      <c r="C19302">
        <v>7740</v>
      </c>
      <c r="D19302" t="str">
        <f>"07740"</f>
        <v>07740</v>
      </c>
      <c r="E19302">
        <v>64.709999999999994</v>
      </c>
    </row>
    <row r="19303" spans="1:5" x14ac:dyDescent="0.2">
      <c r="A19303" t="str">
        <f>"07746"</f>
        <v>07746</v>
      </c>
      <c r="B19303" t="s">
        <v>37</v>
      </c>
      <c r="C19303">
        <v>7746</v>
      </c>
      <c r="D19303" t="str">
        <f>"07746"</f>
        <v>07746</v>
      </c>
      <c r="E19303">
        <v>80.38</v>
      </c>
    </row>
    <row r="19304" spans="1:5" x14ac:dyDescent="0.2">
      <c r="A19304" t="str">
        <f>"07747"</f>
        <v>07747</v>
      </c>
      <c r="B19304" t="s">
        <v>37</v>
      </c>
      <c r="C19304">
        <v>7747</v>
      </c>
      <c r="D19304" t="str">
        <f>"07747"</f>
        <v>07747</v>
      </c>
      <c r="E19304">
        <v>81.23</v>
      </c>
    </row>
    <row r="19305" spans="1:5" x14ac:dyDescent="0.2">
      <c r="A19305" t="str">
        <f>"07748"</f>
        <v>07748</v>
      </c>
      <c r="B19305" t="s">
        <v>37</v>
      </c>
      <c r="C19305">
        <v>7748</v>
      </c>
      <c r="D19305" t="str">
        <f>"07748"</f>
        <v>07748</v>
      </c>
      <c r="E19305">
        <v>81.209999999999994</v>
      </c>
    </row>
    <row r="19306" spans="1:5" x14ac:dyDescent="0.2">
      <c r="A19306" t="str">
        <f>"07750"</f>
        <v>07750</v>
      </c>
      <c r="B19306" t="s">
        <v>37</v>
      </c>
      <c r="C19306">
        <v>7750</v>
      </c>
      <c r="D19306" t="str">
        <f>"07750"</f>
        <v>07750</v>
      </c>
      <c r="E19306">
        <v>80.66</v>
      </c>
    </row>
    <row r="19307" spans="1:5" x14ac:dyDescent="0.2">
      <c r="A19307" t="str">
        <f>"07751"</f>
        <v>07751</v>
      </c>
      <c r="B19307" t="s">
        <v>37</v>
      </c>
      <c r="C19307">
        <v>7751</v>
      </c>
      <c r="D19307" t="str">
        <f>"07751"</f>
        <v>07751</v>
      </c>
      <c r="E19307">
        <v>80.260000000000005</v>
      </c>
    </row>
    <row r="19308" spans="1:5" x14ac:dyDescent="0.2">
      <c r="A19308" t="str">
        <f>"07753"</f>
        <v>07753</v>
      </c>
      <c r="B19308" t="s">
        <v>37</v>
      </c>
      <c r="C19308">
        <v>7753</v>
      </c>
      <c r="D19308" t="str">
        <f>"07753"</f>
        <v>07753</v>
      </c>
      <c r="E19308">
        <v>74.989999999999995</v>
      </c>
    </row>
    <row r="19309" spans="1:5" x14ac:dyDescent="0.2">
      <c r="A19309" t="str">
        <f>"07755"</f>
        <v>07755</v>
      </c>
      <c r="B19309" t="s">
        <v>37</v>
      </c>
      <c r="C19309">
        <v>7755</v>
      </c>
      <c r="D19309" t="str">
        <f>"07755"</f>
        <v>07755</v>
      </c>
      <c r="E19309">
        <v>76.92</v>
      </c>
    </row>
    <row r="19310" spans="1:5" x14ac:dyDescent="0.2">
      <c r="A19310" t="str">
        <f>"07756"</f>
        <v>07756</v>
      </c>
      <c r="B19310" t="s">
        <v>37</v>
      </c>
      <c r="C19310">
        <v>7756</v>
      </c>
      <c r="D19310" t="str">
        <f>"07756"</f>
        <v>07756</v>
      </c>
      <c r="E19310">
        <v>80.81</v>
      </c>
    </row>
    <row r="19311" spans="1:5" x14ac:dyDescent="0.2">
      <c r="A19311" t="str">
        <f>"07757"</f>
        <v>07757</v>
      </c>
      <c r="B19311" t="s">
        <v>37</v>
      </c>
      <c r="C19311">
        <v>7757</v>
      </c>
      <c r="D19311" t="str">
        <f>"07757"</f>
        <v>07757</v>
      </c>
      <c r="E19311">
        <v>79.73</v>
      </c>
    </row>
    <row r="19312" spans="1:5" x14ac:dyDescent="0.2">
      <c r="A19312" t="str">
        <f>"07758"</f>
        <v>07758</v>
      </c>
      <c r="B19312" t="s">
        <v>37</v>
      </c>
      <c r="C19312">
        <v>7758</v>
      </c>
      <c r="D19312" t="str">
        <f>"07758"</f>
        <v>07758</v>
      </c>
      <c r="E19312">
        <v>79.92</v>
      </c>
    </row>
    <row r="19313" spans="1:5" x14ac:dyDescent="0.2">
      <c r="A19313" t="str">
        <f>"07760"</f>
        <v>07760</v>
      </c>
      <c r="B19313" t="s">
        <v>37</v>
      </c>
      <c r="C19313">
        <v>7760</v>
      </c>
      <c r="D19313" t="str">
        <f>"07760"</f>
        <v>07760</v>
      </c>
      <c r="E19313">
        <v>81.56</v>
      </c>
    </row>
    <row r="19314" spans="1:5" x14ac:dyDescent="0.2">
      <c r="A19314" t="str">
        <f>"07762"</f>
        <v>07762</v>
      </c>
      <c r="B19314" t="s">
        <v>37</v>
      </c>
      <c r="C19314">
        <v>7762</v>
      </c>
      <c r="D19314" t="str">
        <f>"07762"</f>
        <v>07762</v>
      </c>
      <c r="E19314">
        <v>79.16</v>
      </c>
    </row>
    <row r="19315" spans="1:5" x14ac:dyDescent="0.2">
      <c r="A19315" t="str">
        <f>"07764"</f>
        <v>07764</v>
      </c>
      <c r="B19315" t="s">
        <v>37</v>
      </c>
      <c r="C19315">
        <v>7764</v>
      </c>
      <c r="D19315" t="str">
        <f>"07764"</f>
        <v>07764</v>
      </c>
      <c r="E19315">
        <v>79.17</v>
      </c>
    </row>
    <row r="19316" spans="1:5" x14ac:dyDescent="0.2">
      <c r="A19316" t="str">
        <f>"07801"</f>
        <v>07801</v>
      </c>
      <c r="B19316" t="s">
        <v>37</v>
      </c>
      <c r="C19316">
        <v>7801</v>
      </c>
      <c r="D19316" t="str">
        <f>"07801"</f>
        <v>07801</v>
      </c>
      <c r="E19316">
        <v>68.989999999999995</v>
      </c>
    </row>
    <row r="19317" spans="1:5" x14ac:dyDescent="0.2">
      <c r="A19317" t="str">
        <f>"07803"</f>
        <v>07803</v>
      </c>
      <c r="B19317" t="s">
        <v>37</v>
      </c>
      <c r="C19317">
        <v>7803</v>
      </c>
      <c r="D19317" t="str">
        <f>"07803"</f>
        <v>07803</v>
      </c>
      <c r="E19317">
        <v>80.19</v>
      </c>
    </row>
    <row r="19318" spans="1:5" x14ac:dyDescent="0.2">
      <c r="A19318" t="str">
        <f>"07821"</f>
        <v>07821</v>
      </c>
      <c r="B19318" t="s">
        <v>37</v>
      </c>
      <c r="C19318">
        <v>7821</v>
      </c>
      <c r="D19318" t="str">
        <f>"07821"</f>
        <v>07821</v>
      </c>
      <c r="E19318">
        <v>80.41</v>
      </c>
    </row>
    <row r="19319" spans="1:5" x14ac:dyDescent="0.2">
      <c r="A19319" t="str">
        <f>"07822"</f>
        <v>07822</v>
      </c>
      <c r="B19319" t="s">
        <v>37</v>
      </c>
      <c r="C19319">
        <v>7822</v>
      </c>
      <c r="D19319" t="str">
        <f>"07822"</f>
        <v>07822</v>
      </c>
      <c r="E19319">
        <v>82.69</v>
      </c>
    </row>
    <row r="19320" spans="1:5" x14ac:dyDescent="0.2">
      <c r="A19320" t="str">
        <f>"07823"</f>
        <v>07823</v>
      </c>
      <c r="B19320" t="s">
        <v>37</v>
      </c>
      <c r="C19320">
        <v>7823</v>
      </c>
      <c r="D19320" t="str">
        <f>"07823"</f>
        <v>07823</v>
      </c>
      <c r="E19320">
        <v>78.3</v>
      </c>
    </row>
    <row r="19321" spans="1:5" x14ac:dyDescent="0.2">
      <c r="A19321" t="str">
        <f>"07825"</f>
        <v>07825</v>
      </c>
      <c r="B19321" t="s">
        <v>37</v>
      </c>
      <c r="C19321">
        <v>7825</v>
      </c>
      <c r="D19321" t="str">
        <f>"07825"</f>
        <v>07825</v>
      </c>
      <c r="E19321">
        <v>79.91</v>
      </c>
    </row>
    <row r="19322" spans="1:5" x14ac:dyDescent="0.2">
      <c r="A19322" t="str">
        <f>"07826"</f>
        <v>07826</v>
      </c>
      <c r="B19322" t="s">
        <v>37</v>
      </c>
      <c r="C19322">
        <v>7826</v>
      </c>
      <c r="D19322" t="str">
        <f>"07826"</f>
        <v>07826</v>
      </c>
      <c r="E19322">
        <v>81.209999999999994</v>
      </c>
    </row>
    <row r="19323" spans="1:5" x14ac:dyDescent="0.2">
      <c r="A19323" t="str">
        <f>"07827"</f>
        <v>07827</v>
      </c>
      <c r="B19323" t="s">
        <v>37</v>
      </c>
      <c r="C19323">
        <v>7827</v>
      </c>
      <c r="D19323" t="str">
        <f>"07827"</f>
        <v>07827</v>
      </c>
      <c r="E19323">
        <v>76.56</v>
      </c>
    </row>
    <row r="19324" spans="1:5" x14ac:dyDescent="0.2">
      <c r="A19324" t="str">
        <f>"07828"</f>
        <v>07828</v>
      </c>
      <c r="B19324" t="s">
        <v>37</v>
      </c>
      <c r="C19324">
        <v>7828</v>
      </c>
      <c r="D19324" t="str">
        <f>"07828"</f>
        <v>07828</v>
      </c>
      <c r="E19324">
        <v>79.27</v>
      </c>
    </row>
    <row r="19325" spans="1:5" x14ac:dyDescent="0.2">
      <c r="A19325" t="str">
        <f>"07830"</f>
        <v>07830</v>
      </c>
      <c r="B19325" t="s">
        <v>37</v>
      </c>
      <c r="C19325">
        <v>7830</v>
      </c>
      <c r="D19325" t="str">
        <f>"07830"</f>
        <v>07830</v>
      </c>
      <c r="E19325">
        <v>82.91</v>
      </c>
    </row>
    <row r="19326" spans="1:5" x14ac:dyDescent="0.2">
      <c r="A19326" t="str">
        <f>"07832"</f>
        <v>07832</v>
      </c>
      <c r="B19326" t="s">
        <v>37</v>
      </c>
      <c r="C19326">
        <v>7832</v>
      </c>
      <c r="D19326" t="str">
        <f>"07832"</f>
        <v>07832</v>
      </c>
      <c r="E19326">
        <v>77.010000000000005</v>
      </c>
    </row>
    <row r="19327" spans="1:5" x14ac:dyDescent="0.2">
      <c r="A19327" t="str">
        <f>"07834"</f>
        <v>07834</v>
      </c>
      <c r="B19327" t="s">
        <v>37</v>
      </c>
      <c r="C19327">
        <v>7834</v>
      </c>
      <c r="D19327" t="str">
        <f>"07834"</f>
        <v>07834</v>
      </c>
      <c r="E19327">
        <v>83.98</v>
      </c>
    </row>
    <row r="19328" spans="1:5" x14ac:dyDescent="0.2">
      <c r="A19328" t="str">
        <f>"07836"</f>
        <v>07836</v>
      </c>
      <c r="B19328" t="s">
        <v>37</v>
      </c>
      <c r="C19328">
        <v>7836</v>
      </c>
      <c r="D19328" t="str">
        <f>"07836"</f>
        <v>07836</v>
      </c>
      <c r="E19328">
        <v>82</v>
      </c>
    </row>
    <row r="19329" spans="1:5" x14ac:dyDescent="0.2">
      <c r="A19329" t="str">
        <f>"07837"</f>
        <v>07837</v>
      </c>
      <c r="B19329" t="s">
        <v>37</v>
      </c>
      <c r="C19329">
        <v>7837</v>
      </c>
      <c r="D19329" t="str">
        <f>"07837"</f>
        <v>07837</v>
      </c>
      <c r="E19329" t="s">
        <v>6</v>
      </c>
    </row>
    <row r="19330" spans="1:5" x14ac:dyDescent="0.2">
      <c r="A19330" t="str">
        <f>"07838"</f>
        <v>07838</v>
      </c>
      <c r="B19330" t="s">
        <v>37</v>
      </c>
      <c r="C19330">
        <v>7838</v>
      </c>
      <c r="D19330" t="str">
        <f>"07838"</f>
        <v>07838</v>
      </c>
      <c r="E19330">
        <v>80.59</v>
      </c>
    </row>
    <row r="19331" spans="1:5" x14ac:dyDescent="0.2">
      <c r="A19331" t="str">
        <f>"07840"</f>
        <v>07840</v>
      </c>
      <c r="B19331" t="s">
        <v>37</v>
      </c>
      <c r="C19331">
        <v>7840</v>
      </c>
      <c r="D19331" t="str">
        <f>"07840"</f>
        <v>07840</v>
      </c>
      <c r="E19331">
        <v>79.58</v>
      </c>
    </row>
    <row r="19332" spans="1:5" x14ac:dyDescent="0.2">
      <c r="A19332" t="str">
        <f>"07843"</f>
        <v>07843</v>
      </c>
      <c r="B19332" t="s">
        <v>37</v>
      </c>
      <c r="C19332">
        <v>7843</v>
      </c>
      <c r="D19332" t="str">
        <f>"07843"</f>
        <v>07843</v>
      </c>
      <c r="E19332">
        <v>81</v>
      </c>
    </row>
    <row r="19333" spans="1:5" x14ac:dyDescent="0.2">
      <c r="A19333" t="str">
        <f>"07847"</f>
        <v>07847</v>
      </c>
      <c r="B19333" t="s">
        <v>37</v>
      </c>
      <c r="C19333">
        <v>7847</v>
      </c>
      <c r="D19333" t="str">
        <f>"07847"</f>
        <v>07847</v>
      </c>
      <c r="E19333">
        <v>78.260000000000005</v>
      </c>
    </row>
    <row r="19334" spans="1:5" x14ac:dyDescent="0.2">
      <c r="A19334" t="str">
        <f>"07848"</f>
        <v>07848</v>
      </c>
      <c r="B19334" t="s">
        <v>37</v>
      </c>
      <c r="C19334">
        <v>7848</v>
      </c>
      <c r="D19334" t="str">
        <f>"07848"</f>
        <v>07848</v>
      </c>
      <c r="E19334">
        <v>81.45</v>
      </c>
    </row>
    <row r="19335" spans="1:5" x14ac:dyDescent="0.2">
      <c r="A19335" t="str">
        <f>"07849"</f>
        <v>07849</v>
      </c>
      <c r="B19335" t="s">
        <v>37</v>
      </c>
      <c r="C19335">
        <v>7849</v>
      </c>
      <c r="D19335" t="str">
        <f>"07849"</f>
        <v>07849</v>
      </c>
      <c r="E19335">
        <v>82.53</v>
      </c>
    </row>
    <row r="19336" spans="1:5" x14ac:dyDescent="0.2">
      <c r="A19336" t="str">
        <f>"07850"</f>
        <v>07850</v>
      </c>
      <c r="B19336" t="s">
        <v>37</v>
      </c>
      <c r="C19336">
        <v>7850</v>
      </c>
      <c r="D19336" t="str">
        <f>"07850"</f>
        <v>07850</v>
      </c>
      <c r="E19336">
        <v>79.59</v>
      </c>
    </row>
    <row r="19337" spans="1:5" x14ac:dyDescent="0.2">
      <c r="A19337" t="str">
        <f>"07851"</f>
        <v>07851</v>
      </c>
      <c r="B19337" t="s">
        <v>37</v>
      </c>
      <c r="C19337">
        <v>7851</v>
      </c>
      <c r="D19337" t="str">
        <f>"07851"</f>
        <v>07851</v>
      </c>
      <c r="E19337">
        <v>80</v>
      </c>
    </row>
    <row r="19338" spans="1:5" x14ac:dyDescent="0.2">
      <c r="A19338" t="str">
        <f>"07852"</f>
        <v>07852</v>
      </c>
      <c r="B19338" t="s">
        <v>37</v>
      </c>
      <c r="C19338">
        <v>7852</v>
      </c>
      <c r="D19338" t="str">
        <f>"07852"</f>
        <v>07852</v>
      </c>
      <c r="E19338">
        <v>78.5</v>
      </c>
    </row>
    <row r="19339" spans="1:5" x14ac:dyDescent="0.2">
      <c r="A19339" t="str">
        <f>"07853"</f>
        <v>07853</v>
      </c>
      <c r="B19339" t="s">
        <v>37</v>
      </c>
      <c r="C19339">
        <v>7853</v>
      </c>
      <c r="D19339" t="str">
        <f>"07853"</f>
        <v>07853</v>
      </c>
      <c r="E19339">
        <v>82.68</v>
      </c>
    </row>
    <row r="19340" spans="1:5" x14ac:dyDescent="0.2">
      <c r="A19340" t="str">
        <f>"07856"</f>
        <v>07856</v>
      </c>
      <c r="B19340" t="s">
        <v>37</v>
      </c>
      <c r="C19340">
        <v>7856</v>
      </c>
      <c r="D19340" t="str">
        <f>"07856"</f>
        <v>07856</v>
      </c>
      <c r="E19340">
        <v>85.07</v>
      </c>
    </row>
    <row r="19341" spans="1:5" x14ac:dyDescent="0.2">
      <c r="A19341" t="str">
        <f>"07857"</f>
        <v>07857</v>
      </c>
      <c r="B19341" t="s">
        <v>37</v>
      </c>
      <c r="C19341">
        <v>7857</v>
      </c>
      <c r="D19341" t="str">
        <f>"07857"</f>
        <v>07857</v>
      </c>
      <c r="E19341">
        <v>77.709999999999994</v>
      </c>
    </row>
    <row r="19342" spans="1:5" x14ac:dyDescent="0.2">
      <c r="A19342" t="str">
        <f>"07860"</f>
        <v>07860</v>
      </c>
      <c r="B19342" t="s">
        <v>37</v>
      </c>
      <c r="C19342">
        <v>7860</v>
      </c>
      <c r="D19342" t="str">
        <f>"07860"</f>
        <v>07860</v>
      </c>
      <c r="E19342">
        <v>79.010000000000005</v>
      </c>
    </row>
    <row r="19343" spans="1:5" x14ac:dyDescent="0.2">
      <c r="A19343" t="str">
        <f>"07863"</f>
        <v>07863</v>
      </c>
      <c r="B19343" t="s">
        <v>37</v>
      </c>
      <c r="C19343">
        <v>7863</v>
      </c>
      <c r="D19343" t="str">
        <f>"07863"</f>
        <v>07863</v>
      </c>
      <c r="E19343">
        <v>80.099999999999994</v>
      </c>
    </row>
    <row r="19344" spans="1:5" x14ac:dyDescent="0.2">
      <c r="A19344" t="str">
        <f>"07865"</f>
        <v>07865</v>
      </c>
      <c r="B19344" t="s">
        <v>37</v>
      </c>
      <c r="C19344">
        <v>7865</v>
      </c>
      <c r="D19344" t="str">
        <f>"07865"</f>
        <v>07865</v>
      </c>
      <c r="E19344">
        <v>80.77</v>
      </c>
    </row>
    <row r="19345" spans="1:5" x14ac:dyDescent="0.2">
      <c r="A19345" t="str">
        <f>"07866"</f>
        <v>07866</v>
      </c>
      <c r="B19345" t="s">
        <v>37</v>
      </c>
      <c r="C19345">
        <v>7866</v>
      </c>
      <c r="D19345" t="str">
        <f>"07866"</f>
        <v>07866</v>
      </c>
      <c r="E19345">
        <v>82.03</v>
      </c>
    </row>
    <row r="19346" spans="1:5" x14ac:dyDescent="0.2">
      <c r="A19346" t="str">
        <f>"07869"</f>
        <v>07869</v>
      </c>
      <c r="B19346" t="s">
        <v>37</v>
      </c>
      <c r="C19346">
        <v>7869</v>
      </c>
      <c r="D19346" t="str">
        <f>"07869"</f>
        <v>07869</v>
      </c>
      <c r="E19346">
        <v>81.849999999999994</v>
      </c>
    </row>
    <row r="19347" spans="1:5" x14ac:dyDescent="0.2">
      <c r="A19347" t="str">
        <f>"07871"</f>
        <v>07871</v>
      </c>
      <c r="B19347" t="s">
        <v>37</v>
      </c>
      <c r="C19347">
        <v>7871</v>
      </c>
      <c r="D19347" t="str">
        <f>"07871"</f>
        <v>07871</v>
      </c>
      <c r="E19347">
        <v>81.14</v>
      </c>
    </row>
    <row r="19348" spans="1:5" x14ac:dyDescent="0.2">
      <c r="A19348" t="str">
        <f>"07874"</f>
        <v>07874</v>
      </c>
      <c r="B19348" t="s">
        <v>37</v>
      </c>
      <c r="C19348">
        <v>7874</v>
      </c>
      <c r="D19348" t="str">
        <f>"07874"</f>
        <v>07874</v>
      </c>
      <c r="E19348">
        <v>80.61</v>
      </c>
    </row>
    <row r="19349" spans="1:5" x14ac:dyDescent="0.2">
      <c r="A19349" t="str">
        <f>"07876"</f>
        <v>07876</v>
      </c>
      <c r="B19349" t="s">
        <v>37</v>
      </c>
      <c r="C19349">
        <v>7876</v>
      </c>
      <c r="D19349" t="str">
        <f>"07876"</f>
        <v>07876</v>
      </c>
      <c r="E19349">
        <v>82.75</v>
      </c>
    </row>
    <row r="19350" spans="1:5" x14ac:dyDescent="0.2">
      <c r="A19350" t="str">
        <f>"07878"</f>
        <v>07878</v>
      </c>
      <c r="B19350" t="s">
        <v>37</v>
      </c>
      <c r="C19350">
        <v>7878</v>
      </c>
      <c r="D19350" t="str">
        <f>"07878"</f>
        <v>07878</v>
      </c>
      <c r="E19350" t="s">
        <v>6</v>
      </c>
    </row>
    <row r="19351" spans="1:5" x14ac:dyDescent="0.2">
      <c r="A19351" t="str">
        <f>"07882"</f>
        <v>07882</v>
      </c>
      <c r="B19351" t="s">
        <v>37</v>
      </c>
      <c r="C19351">
        <v>7882</v>
      </c>
      <c r="D19351" t="str">
        <f>"07882"</f>
        <v>07882</v>
      </c>
      <c r="E19351">
        <v>79.44</v>
      </c>
    </row>
    <row r="19352" spans="1:5" x14ac:dyDescent="0.2">
      <c r="A19352" t="str">
        <f>"07885"</f>
        <v>07885</v>
      </c>
      <c r="B19352" t="s">
        <v>37</v>
      </c>
      <c r="C19352">
        <v>7885</v>
      </c>
      <c r="D19352" t="str">
        <f>"07885"</f>
        <v>07885</v>
      </c>
      <c r="E19352">
        <v>77.89</v>
      </c>
    </row>
    <row r="19353" spans="1:5" x14ac:dyDescent="0.2">
      <c r="A19353" t="str">
        <f>"07890"</f>
        <v>07890</v>
      </c>
      <c r="B19353" t="s">
        <v>37</v>
      </c>
      <c r="C19353">
        <v>7890</v>
      </c>
      <c r="D19353" t="str">
        <f>"07890"</f>
        <v>07890</v>
      </c>
      <c r="E19353" t="s">
        <v>6</v>
      </c>
    </row>
    <row r="19354" spans="1:5" x14ac:dyDescent="0.2">
      <c r="A19354" t="str">
        <f>"07901"</f>
        <v>07901</v>
      </c>
      <c r="B19354" t="s">
        <v>37</v>
      </c>
      <c r="C19354">
        <v>7901</v>
      </c>
      <c r="D19354" t="str">
        <f>"07901"</f>
        <v>07901</v>
      </c>
      <c r="E19354">
        <v>80.989999999999995</v>
      </c>
    </row>
    <row r="19355" spans="1:5" x14ac:dyDescent="0.2">
      <c r="A19355" t="str">
        <f>"07920"</f>
        <v>07920</v>
      </c>
      <c r="B19355" t="s">
        <v>37</v>
      </c>
      <c r="C19355">
        <v>7920</v>
      </c>
      <c r="D19355" t="str">
        <f>"07920"</f>
        <v>07920</v>
      </c>
      <c r="E19355">
        <v>82.9</v>
      </c>
    </row>
    <row r="19356" spans="1:5" x14ac:dyDescent="0.2">
      <c r="A19356" t="str">
        <f>"07921"</f>
        <v>07921</v>
      </c>
      <c r="B19356" t="s">
        <v>37</v>
      </c>
      <c r="C19356">
        <v>7921</v>
      </c>
      <c r="D19356" t="str">
        <f>"07921"</f>
        <v>07921</v>
      </c>
      <c r="E19356">
        <v>85.84</v>
      </c>
    </row>
    <row r="19357" spans="1:5" x14ac:dyDescent="0.2">
      <c r="A19357" t="str">
        <f>"07922"</f>
        <v>07922</v>
      </c>
      <c r="B19357" t="s">
        <v>37</v>
      </c>
      <c r="C19357">
        <v>7922</v>
      </c>
      <c r="D19357" t="str">
        <f>"07922"</f>
        <v>07922</v>
      </c>
      <c r="E19357">
        <v>82.4</v>
      </c>
    </row>
    <row r="19358" spans="1:5" x14ac:dyDescent="0.2">
      <c r="A19358" t="str">
        <f>"07924"</f>
        <v>07924</v>
      </c>
      <c r="B19358" t="s">
        <v>37</v>
      </c>
      <c r="C19358">
        <v>7924</v>
      </c>
      <c r="D19358" t="str">
        <f>"07924"</f>
        <v>07924</v>
      </c>
      <c r="E19358">
        <v>80</v>
      </c>
    </row>
    <row r="19359" spans="1:5" x14ac:dyDescent="0.2">
      <c r="A19359" t="str">
        <f>"07927"</f>
        <v>07927</v>
      </c>
      <c r="B19359" t="s">
        <v>37</v>
      </c>
      <c r="C19359">
        <v>7927</v>
      </c>
      <c r="D19359" t="str">
        <f>"07927"</f>
        <v>07927</v>
      </c>
      <c r="E19359">
        <v>82.46</v>
      </c>
    </row>
    <row r="19360" spans="1:5" x14ac:dyDescent="0.2">
      <c r="A19360" t="str">
        <f>"07928"</f>
        <v>07928</v>
      </c>
      <c r="B19360" t="s">
        <v>37</v>
      </c>
      <c r="C19360">
        <v>7928</v>
      </c>
      <c r="D19360" t="str">
        <f>"07928"</f>
        <v>07928</v>
      </c>
      <c r="E19360">
        <v>84.12</v>
      </c>
    </row>
    <row r="19361" spans="1:5" x14ac:dyDescent="0.2">
      <c r="A19361" t="str">
        <f>"07930"</f>
        <v>07930</v>
      </c>
      <c r="B19361" t="s">
        <v>37</v>
      </c>
      <c r="C19361">
        <v>7930</v>
      </c>
      <c r="D19361" t="str">
        <f>"07930"</f>
        <v>07930</v>
      </c>
      <c r="E19361">
        <v>80.58</v>
      </c>
    </row>
    <row r="19362" spans="1:5" x14ac:dyDescent="0.2">
      <c r="A19362" t="str">
        <f>"07931"</f>
        <v>07931</v>
      </c>
      <c r="B19362" t="s">
        <v>37</v>
      </c>
      <c r="C19362">
        <v>7931</v>
      </c>
      <c r="D19362" t="str">
        <f>"07931"</f>
        <v>07931</v>
      </c>
      <c r="E19362">
        <v>78.88</v>
      </c>
    </row>
    <row r="19363" spans="1:5" x14ac:dyDescent="0.2">
      <c r="A19363" t="str">
        <f>"07932"</f>
        <v>07932</v>
      </c>
      <c r="B19363" t="s">
        <v>37</v>
      </c>
      <c r="C19363">
        <v>7932</v>
      </c>
      <c r="D19363" t="str">
        <f>"07932"</f>
        <v>07932</v>
      </c>
      <c r="E19363">
        <v>83.43</v>
      </c>
    </row>
    <row r="19364" spans="1:5" x14ac:dyDescent="0.2">
      <c r="A19364" t="str">
        <f>"07933"</f>
        <v>07933</v>
      </c>
      <c r="B19364" t="s">
        <v>37</v>
      </c>
      <c r="C19364">
        <v>7933</v>
      </c>
      <c r="D19364" t="str">
        <f>"07933"</f>
        <v>07933</v>
      </c>
      <c r="E19364">
        <v>82.93</v>
      </c>
    </row>
    <row r="19365" spans="1:5" x14ac:dyDescent="0.2">
      <c r="A19365" t="str">
        <f>"07934"</f>
        <v>07934</v>
      </c>
      <c r="B19365" t="s">
        <v>37</v>
      </c>
      <c r="C19365">
        <v>7934</v>
      </c>
      <c r="D19365" t="str">
        <f>"07934"</f>
        <v>07934</v>
      </c>
      <c r="E19365">
        <v>81.58</v>
      </c>
    </row>
    <row r="19366" spans="1:5" x14ac:dyDescent="0.2">
      <c r="A19366" t="str">
        <f>"07935"</f>
        <v>07935</v>
      </c>
      <c r="B19366" t="s">
        <v>37</v>
      </c>
      <c r="C19366">
        <v>7935</v>
      </c>
      <c r="D19366" t="str">
        <f>"07935"</f>
        <v>07935</v>
      </c>
      <c r="E19366">
        <v>75.86</v>
      </c>
    </row>
    <row r="19367" spans="1:5" x14ac:dyDescent="0.2">
      <c r="A19367" t="str">
        <f>"07936"</f>
        <v>07936</v>
      </c>
      <c r="B19367" t="s">
        <v>37</v>
      </c>
      <c r="C19367">
        <v>7936</v>
      </c>
      <c r="D19367" t="str">
        <f>"07936"</f>
        <v>07936</v>
      </c>
      <c r="E19367">
        <v>80.3</v>
      </c>
    </row>
    <row r="19368" spans="1:5" x14ac:dyDescent="0.2">
      <c r="A19368" t="str">
        <f>"07940"</f>
        <v>07940</v>
      </c>
      <c r="B19368" t="s">
        <v>37</v>
      </c>
      <c r="C19368">
        <v>7940</v>
      </c>
      <c r="D19368" t="str">
        <f>"07940"</f>
        <v>07940</v>
      </c>
      <c r="E19368">
        <v>82.22</v>
      </c>
    </row>
    <row r="19369" spans="1:5" x14ac:dyDescent="0.2">
      <c r="A19369" t="str">
        <f>"07945"</f>
        <v>07945</v>
      </c>
      <c r="B19369" t="s">
        <v>37</v>
      </c>
      <c r="C19369">
        <v>7945</v>
      </c>
      <c r="D19369" t="str">
        <f>"07945"</f>
        <v>07945</v>
      </c>
      <c r="E19369">
        <v>81.66</v>
      </c>
    </row>
    <row r="19370" spans="1:5" x14ac:dyDescent="0.2">
      <c r="A19370" t="str">
        <f>"07946"</f>
        <v>07946</v>
      </c>
      <c r="B19370" t="s">
        <v>37</v>
      </c>
      <c r="C19370">
        <v>7946</v>
      </c>
      <c r="D19370" t="str">
        <f>"07946"</f>
        <v>07946</v>
      </c>
      <c r="E19370">
        <v>83.44</v>
      </c>
    </row>
    <row r="19371" spans="1:5" x14ac:dyDescent="0.2">
      <c r="A19371" t="str">
        <f>"07950"</f>
        <v>07950</v>
      </c>
      <c r="B19371" t="s">
        <v>37</v>
      </c>
      <c r="C19371">
        <v>7950</v>
      </c>
      <c r="D19371" t="str">
        <f>"07950"</f>
        <v>07950</v>
      </c>
      <c r="E19371">
        <v>83.85</v>
      </c>
    </row>
    <row r="19372" spans="1:5" x14ac:dyDescent="0.2">
      <c r="A19372" t="str">
        <f>"07960"</f>
        <v>07960</v>
      </c>
      <c r="B19372" t="s">
        <v>37</v>
      </c>
      <c r="C19372">
        <v>7960</v>
      </c>
      <c r="D19372" t="str">
        <f>"07960"</f>
        <v>07960</v>
      </c>
      <c r="E19372">
        <v>80.44</v>
      </c>
    </row>
    <row r="19373" spans="1:5" x14ac:dyDescent="0.2">
      <c r="A19373" t="str">
        <f>"07974"</f>
        <v>07974</v>
      </c>
      <c r="B19373" t="s">
        <v>37</v>
      </c>
      <c r="C19373">
        <v>7974</v>
      </c>
      <c r="D19373" t="str">
        <f>"07974"</f>
        <v>07974</v>
      </c>
      <c r="E19373">
        <v>83.3</v>
      </c>
    </row>
    <row r="19374" spans="1:5" x14ac:dyDescent="0.2">
      <c r="A19374" t="str">
        <f>"07976"</f>
        <v>07976</v>
      </c>
      <c r="B19374" t="s">
        <v>37</v>
      </c>
      <c r="C19374">
        <v>7976</v>
      </c>
      <c r="D19374" t="str">
        <f>"07976"</f>
        <v>07976</v>
      </c>
      <c r="E19374">
        <v>81.67</v>
      </c>
    </row>
    <row r="19375" spans="1:5" x14ac:dyDescent="0.2">
      <c r="A19375" t="str">
        <f>"07977"</f>
        <v>07977</v>
      </c>
      <c r="B19375" t="s">
        <v>37</v>
      </c>
      <c r="C19375">
        <v>7977</v>
      </c>
      <c r="D19375" t="str">
        <f>"07977"</f>
        <v>07977</v>
      </c>
      <c r="E19375" t="s">
        <v>6</v>
      </c>
    </row>
    <row r="19376" spans="1:5" x14ac:dyDescent="0.2">
      <c r="A19376" t="str">
        <f>"07979"</f>
        <v>07979</v>
      </c>
      <c r="B19376" t="s">
        <v>37</v>
      </c>
      <c r="C19376">
        <v>7979</v>
      </c>
      <c r="D19376" t="str">
        <f>"07979"</f>
        <v>07979</v>
      </c>
      <c r="E19376" t="s">
        <v>6</v>
      </c>
    </row>
    <row r="19377" spans="1:5" x14ac:dyDescent="0.2">
      <c r="A19377" t="str">
        <f>"07980"</f>
        <v>07980</v>
      </c>
      <c r="B19377" t="s">
        <v>37</v>
      </c>
      <c r="C19377">
        <v>7980</v>
      </c>
      <c r="D19377" t="str">
        <f>"07980"</f>
        <v>07980</v>
      </c>
      <c r="E19377">
        <v>80.83</v>
      </c>
    </row>
    <row r="19378" spans="1:5" x14ac:dyDescent="0.2">
      <c r="A19378" t="str">
        <f>"07981"</f>
        <v>07981</v>
      </c>
      <c r="B19378" t="s">
        <v>37</v>
      </c>
      <c r="C19378">
        <v>7981</v>
      </c>
      <c r="D19378" t="str">
        <f>"07981"</f>
        <v>07981</v>
      </c>
      <c r="E19378">
        <v>82.35</v>
      </c>
    </row>
    <row r="19379" spans="1:5" x14ac:dyDescent="0.2">
      <c r="A19379" t="str">
        <f>"08001"</f>
        <v>08001</v>
      </c>
      <c r="B19379" t="s">
        <v>37</v>
      </c>
      <c r="C19379">
        <v>8001</v>
      </c>
      <c r="D19379" t="str">
        <f>"08001"</f>
        <v>08001</v>
      </c>
      <c r="E19379" t="s">
        <v>6</v>
      </c>
    </row>
    <row r="19380" spans="1:5" x14ac:dyDescent="0.2">
      <c r="A19380" t="str">
        <f>"08002"</f>
        <v>08002</v>
      </c>
      <c r="B19380" t="s">
        <v>37</v>
      </c>
      <c r="C19380">
        <v>8002</v>
      </c>
      <c r="D19380" t="str">
        <f>"08002"</f>
        <v>08002</v>
      </c>
      <c r="E19380">
        <v>76.7</v>
      </c>
    </row>
    <row r="19381" spans="1:5" x14ac:dyDescent="0.2">
      <c r="A19381" t="str">
        <f>"08003"</f>
        <v>08003</v>
      </c>
      <c r="B19381" t="s">
        <v>37</v>
      </c>
      <c r="C19381">
        <v>8003</v>
      </c>
      <c r="D19381" t="str">
        <f>"08003"</f>
        <v>08003</v>
      </c>
      <c r="E19381">
        <v>80.459999999999994</v>
      </c>
    </row>
    <row r="19382" spans="1:5" x14ac:dyDescent="0.2">
      <c r="A19382" t="str">
        <f>"08004"</f>
        <v>08004</v>
      </c>
      <c r="B19382" t="s">
        <v>37</v>
      </c>
      <c r="C19382">
        <v>8004</v>
      </c>
      <c r="D19382" t="str">
        <f>"08004"</f>
        <v>08004</v>
      </c>
      <c r="E19382">
        <v>78.069999999999993</v>
      </c>
    </row>
    <row r="19383" spans="1:5" x14ac:dyDescent="0.2">
      <c r="A19383" t="str">
        <f>"08005"</f>
        <v>08005</v>
      </c>
      <c r="B19383" t="s">
        <v>37</v>
      </c>
      <c r="C19383">
        <v>8005</v>
      </c>
      <c r="D19383" t="str">
        <f>"08005"</f>
        <v>08005</v>
      </c>
      <c r="E19383">
        <v>76.06</v>
      </c>
    </row>
    <row r="19384" spans="1:5" x14ac:dyDescent="0.2">
      <c r="A19384" t="str">
        <f>"08006"</f>
        <v>08006</v>
      </c>
      <c r="B19384" t="s">
        <v>37</v>
      </c>
      <c r="C19384">
        <v>8006</v>
      </c>
      <c r="D19384" t="str">
        <f>"08006"</f>
        <v>08006</v>
      </c>
      <c r="E19384" t="s">
        <v>6</v>
      </c>
    </row>
    <row r="19385" spans="1:5" x14ac:dyDescent="0.2">
      <c r="A19385" t="str">
        <f>"08007"</f>
        <v>08007</v>
      </c>
      <c r="B19385" t="s">
        <v>37</v>
      </c>
      <c r="C19385">
        <v>8007</v>
      </c>
      <c r="D19385" t="str">
        <f>"08007"</f>
        <v>08007</v>
      </c>
      <c r="E19385">
        <v>80.709999999999994</v>
      </c>
    </row>
    <row r="19386" spans="1:5" x14ac:dyDescent="0.2">
      <c r="A19386" t="str">
        <f>"08008"</f>
        <v>08008</v>
      </c>
      <c r="B19386" t="s">
        <v>37</v>
      </c>
      <c r="C19386">
        <v>8008</v>
      </c>
      <c r="D19386" t="str">
        <f>"08008"</f>
        <v>08008</v>
      </c>
      <c r="E19386">
        <v>78.5</v>
      </c>
    </row>
    <row r="19387" spans="1:5" x14ac:dyDescent="0.2">
      <c r="A19387" t="str">
        <f>"08009"</f>
        <v>08009</v>
      </c>
      <c r="B19387" t="s">
        <v>37</v>
      </c>
      <c r="C19387">
        <v>8009</v>
      </c>
      <c r="D19387" t="str">
        <f>"08009"</f>
        <v>08009</v>
      </c>
      <c r="E19387">
        <v>79.3</v>
      </c>
    </row>
    <row r="19388" spans="1:5" x14ac:dyDescent="0.2">
      <c r="A19388" t="str">
        <f>"08010"</f>
        <v>08010</v>
      </c>
      <c r="B19388" t="s">
        <v>37</v>
      </c>
      <c r="C19388">
        <v>8010</v>
      </c>
      <c r="D19388" t="str">
        <f>"08010"</f>
        <v>08010</v>
      </c>
      <c r="E19388">
        <v>71.19</v>
      </c>
    </row>
    <row r="19389" spans="1:5" x14ac:dyDescent="0.2">
      <c r="A19389" t="str">
        <f>"08011"</f>
        <v>08011</v>
      </c>
      <c r="B19389" t="s">
        <v>37</v>
      </c>
      <c r="C19389">
        <v>8011</v>
      </c>
      <c r="D19389" t="str">
        <f>"08011"</f>
        <v>08011</v>
      </c>
      <c r="E19389" t="s">
        <v>6</v>
      </c>
    </row>
    <row r="19390" spans="1:5" x14ac:dyDescent="0.2">
      <c r="A19390" t="str">
        <f>"08012"</f>
        <v>08012</v>
      </c>
      <c r="B19390" t="s">
        <v>37</v>
      </c>
      <c r="C19390">
        <v>8012</v>
      </c>
      <c r="D19390" t="str">
        <f>"08012"</f>
        <v>08012</v>
      </c>
      <c r="E19390">
        <v>77.62</v>
      </c>
    </row>
    <row r="19391" spans="1:5" x14ac:dyDescent="0.2">
      <c r="A19391" t="str">
        <f>"08014"</f>
        <v>08014</v>
      </c>
      <c r="B19391" t="s">
        <v>37</v>
      </c>
      <c r="C19391">
        <v>8014</v>
      </c>
      <c r="D19391" t="str">
        <f>"08014"</f>
        <v>08014</v>
      </c>
      <c r="E19391">
        <v>76.92</v>
      </c>
    </row>
    <row r="19392" spans="1:5" x14ac:dyDescent="0.2">
      <c r="A19392" t="str">
        <f>"08015"</f>
        <v>08015</v>
      </c>
      <c r="B19392" t="s">
        <v>37</v>
      </c>
      <c r="C19392">
        <v>8015</v>
      </c>
      <c r="D19392" t="str">
        <f>"08015"</f>
        <v>08015</v>
      </c>
      <c r="E19392">
        <v>73.900000000000006</v>
      </c>
    </row>
    <row r="19393" spans="1:5" x14ac:dyDescent="0.2">
      <c r="A19393" t="str">
        <f>"08016"</f>
        <v>08016</v>
      </c>
      <c r="B19393" t="s">
        <v>37</v>
      </c>
      <c r="C19393">
        <v>8016</v>
      </c>
      <c r="D19393" t="str">
        <f>"08016"</f>
        <v>08016</v>
      </c>
      <c r="E19393">
        <v>75</v>
      </c>
    </row>
    <row r="19394" spans="1:5" x14ac:dyDescent="0.2">
      <c r="A19394" t="str">
        <f>"08019"</f>
        <v>08019</v>
      </c>
      <c r="B19394" t="s">
        <v>37</v>
      </c>
      <c r="C19394">
        <v>8019</v>
      </c>
      <c r="D19394" t="str">
        <f>"08019"</f>
        <v>08019</v>
      </c>
      <c r="E19394">
        <v>78.260000000000005</v>
      </c>
    </row>
    <row r="19395" spans="1:5" x14ac:dyDescent="0.2">
      <c r="A19395" t="str">
        <f>"08020"</f>
        <v>08020</v>
      </c>
      <c r="B19395" t="s">
        <v>37</v>
      </c>
      <c r="C19395">
        <v>8020</v>
      </c>
      <c r="D19395" t="str">
        <f>"08020"</f>
        <v>08020</v>
      </c>
      <c r="E19395">
        <v>83.21</v>
      </c>
    </row>
    <row r="19396" spans="1:5" x14ac:dyDescent="0.2">
      <c r="A19396" t="str">
        <f>"08021"</f>
        <v>08021</v>
      </c>
      <c r="B19396" t="s">
        <v>37</v>
      </c>
      <c r="C19396">
        <v>8021</v>
      </c>
      <c r="D19396" t="str">
        <f>"08021"</f>
        <v>08021</v>
      </c>
      <c r="E19396">
        <v>70.13</v>
      </c>
    </row>
    <row r="19397" spans="1:5" x14ac:dyDescent="0.2">
      <c r="A19397" t="str">
        <f>"08022"</f>
        <v>08022</v>
      </c>
      <c r="B19397" t="s">
        <v>37</v>
      </c>
      <c r="C19397">
        <v>8022</v>
      </c>
      <c r="D19397" t="str">
        <f>"08022"</f>
        <v>08022</v>
      </c>
      <c r="E19397">
        <v>81.760000000000005</v>
      </c>
    </row>
    <row r="19398" spans="1:5" x14ac:dyDescent="0.2">
      <c r="A19398" t="str">
        <f>"08023"</f>
        <v>08023</v>
      </c>
      <c r="B19398" t="s">
        <v>37</v>
      </c>
      <c r="C19398">
        <v>8023</v>
      </c>
      <c r="D19398" t="str">
        <f>"08023"</f>
        <v>08023</v>
      </c>
      <c r="E19398" t="s">
        <v>6</v>
      </c>
    </row>
    <row r="19399" spans="1:5" x14ac:dyDescent="0.2">
      <c r="A19399" t="str">
        <f>"08026"</f>
        <v>08026</v>
      </c>
      <c r="B19399" t="s">
        <v>37</v>
      </c>
      <c r="C19399">
        <v>8026</v>
      </c>
      <c r="D19399" t="str">
        <f>"08026"</f>
        <v>08026</v>
      </c>
      <c r="E19399">
        <v>81.48</v>
      </c>
    </row>
    <row r="19400" spans="1:5" x14ac:dyDescent="0.2">
      <c r="A19400" t="str">
        <f>"08027"</f>
        <v>08027</v>
      </c>
      <c r="B19400" t="s">
        <v>37</v>
      </c>
      <c r="C19400">
        <v>8027</v>
      </c>
      <c r="D19400" t="str">
        <f>"08027"</f>
        <v>08027</v>
      </c>
      <c r="E19400">
        <v>80</v>
      </c>
    </row>
    <row r="19401" spans="1:5" x14ac:dyDescent="0.2">
      <c r="A19401" t="str">
        <f>"08028"</f>
        <v>08028</v>
      </c>
      <c r="B19401" t="s">
        <v>37</v>
      </c>
      <c r="C19401">
        <v>8028</v>
      </c>
      <c r="D19401" t="str">
        <f>"08028"</f>
        <v>08028</v>
      </c>
      <c r="E19401">
        <v>74.14</v>
      </c>
    </row>
    <row r="19402" spans="1:5" x14ac:dyDescent="0.2">
      <c r="A19402" t="str">
        <f>"08029"</f>
        <v>08029</v>
      </c>
      <c r="B19402" t="s">
        <v>37</v>
      </c>
      <c r="C19402">
        <v>8029</v>
      </c>
      <c r="D19402" t="str">
        <f>"08029"</f>
        <v>08029</v>
      </c>
      <c r="E19402">
        <v>78.349999999999994</v>
      </c>
    </row>
    <row r="19403" spans="1:5" x14ac:dyDescent="0.2">
      <c r="A19403" t="str">
        <f>"08030"</f>
        <v>08030</v>
      </c>
      <c r="B19403" t="s">
        <v>37</v>
      </c>
      <c r="C19403">
        <v>8030</v>
      </c>
      <c r="D19403" t="str">
        <f>"08030"</f>
        <v>08030</v>
      </c>
      <c r="E19403">
        <v>69.099999999999994</v>
      </c>
    </row>
    <row r="19404" spans="1:5" x14ac:dyDescent="0.2">
      <c r="A19404" t="str">
        <f>"08031"</f>
        <v>08031</v>
      </c>
      <c r="B19404" t="s">
        <v>37</v>
      </c>
      <c r="C19404">
        <v>8031</v>
      </c>
      <c r="D19404" t="str">
        <f>"08031"</f>
        <v>08031</v>
      </c>
      <c r="E19404">
        <v>75.040000000000006</v>
      </c>
    </row>
    <row r="19405" spans="1:5" x14ac:dyDescent="0.2">
      <c r="A19405" t="str">
        <f>"08032"</f>
        <v>08032</v>
      </c>
      <c r="B19405" t="s">
        <v>37</v>
      </c>
      <c r="C19405">
        <v>8032</v>
      </c>
      <c r="D19405" t="str">
        <f>"08032"</f>
        <v>08032</v>
      </c>
      <c r="E19405" t="s">
        <v>6</v>
      </c>
    </row>
    <row r="19406" spans="1:5" x14ac:dyDescent="0.2">
      <c r="A19406" t="str">
        <f>"08033"</f>
        <v>08033</v>
      </c>
      <c r="B19406" t="s">
        <v>37</v>
      </c>
      <c r="C19406">
        <v>8033</v>
      </c>
      <c r="D19406" t="str">
        <f>"08033"</f>
        <v>08033</v>
      </c>
      <c r="E19406">
        <v>82.86</v>
      </c>
    </row>
    <row r="19407" spans="1:5" x14ac:dyDescent="0.2">
      <c r="A19407" t="str">
        <f>"08034"</f>
        <v>08034</v>
      </c>
      <c r="B19407" t="s">
        <v>37</v>
      </c>
      <c r="C19407">
        <v>8034</v>
      </c>
      <c r="D19407" t="str">
        <f>"08034"</f>
        <v>08034</v>
      </c>
      <c r="E19407">
        <v>80</v>
      </c>
    </row>
    <row r="19408" spans="1:5" x14ac:dyDescent="0.2">
      <c r="A19408" t="str">
        <f>"08035"</f>
        <v>08035</v>
      </c>
      <c r="B19408" t="s">
        <v>37</v>
      </c>
      <c r="C19408">
        <v>8035</v>
      </c>
      <c r="D19408" t="str">
        <f>"08035"</f>
        <v>08035</v>
      </c>
      <c r="E19408">
        <v>82.72</v>
      </c>
    </row>
    <row r="19409" spans="1:5" x14ac:dyDescent="0.2">
      <c r="A19409" t="str">
        <f>"08036"</f>
        <v>08036</v>
      </c>
      <c r="B19409" t="s">
        <v>37</v>
      </c>
      <c r="C19409">
        <v>8036</v>
      </c>
      <c r="D19409" t="str">
        <f>"08036"</f>
        <v>08036</v>
      </c>
      <c r="E19409">
        <v>80.89</v>
      </c>
    </row>
    <row r="19410" spans="1:5" x14ac:dyDescent="0.2">
      <c r="A19410" t="str">
        <f>"08037"</f>
        <v>08037</v>
      </c>
      <c r="B19410" t="s">
        <v>37</v>
      </c>
      <c r="C19410">
        <v>8037</v>
      </c>
      <c r="D19410" t="str">
        <f>"08037"</f>
        <v>08037</v>
      </c>
      <c r="E19410">
        <v>73.59</v>
      </c>
    </row>
    <row r="19411" spans="1:5" x14ac:dyDescent="0.2">
      <c r="A19411" t="str">
        <f>"08038"</f>
        <v>08038</v>
      </c>
      <c r="B19411" t="s">
        <v>37</v>
      </c>
      <c r="C19411">
        <v>8038</v>
      </c>
      <c r="D19411" t="str">
        <f>"08038"</f>
        <v>08038</v>
      </c>
      <c r="E19411" t="s">
        <v>6</v>
      </c>
    </row>
    <row r="19412" spans="1:5" x14ac:dyDescent="0.2">
      <c r="A19412" t="str">
        <f>"08039"</f>
        <v>08039</v>
      </c>
      <c r="B19412" t="s">
        <v>37</v>
      </c>
      <c r="C19412">
        <v>8039</v>
      </c>
      <c r="D19412" t="str">
        <f>"08039"</f>
        <v>08039</v>
      </c>
      <c r="E19412" t="s">
        <v>6</v>
      </c>
    </row>
    <row r="19413" spans="1:5" x14ac:dyDescent="0.2">
      <c r="A19413" t="str">
        <f>"08041"</f>
        <v>08041</v>
      </c>
      <c r="B19413" t="s">
        <v>37</v>
      </c>
      <c r="C19413">
        <v>8041</v>
      </c>
      <c r="D19413" t="str">
        <f>"08041"</f>
        <v>08041</v>
      </c>
      <c r="E19413">
        <v>76.599999999999994</v>
      </c>
    </row>
    <row r="19414" spans="1:5" x14ac:dyDescent="0.2">
      <c r="A19414" t="str">
        <f>"08043"</f>
        <v>08043</v>
      </c>
      <c r="B19414" t="s">
        <v>37</v>
      </c>
      <c r="C19414">
        <v>8043</v>
      </c>
      <c r="D19414" t="str">
        <f>"08043"</f>
        <v>08043</v>
      </c>
      <c r="E19414">
        <v>80.55</v>
      </c>
    </row>
    <row r="19415" spans="1:5" x14ac:dyDescent="0.2">
      <c r="A19415" t="str">
        <f>"08045"</f>
        <v>08045</v>
      </c>
      <c r="B19415" t="s">
        <v>37</v>
      </c>
      <c r="C19415">
        <v>8045</v>
      </c>
      <c r="D19415" t="str">
        <f>"08045"</f>
        <v>08045</v>
      </c>
      <c r="E19415">
        <v>68.790000000000006</v>
      </c>
    </row>
    <row r="19416" spans="1:5" x14ac:dyDescent="0.2">
      <c r="A19416" t="str">
        <f>"08046"</f>
        <v>08046</v>
      </c>
      <c r="B19416" t="s">
        <v>37</v>
      </c>
      <c r="C19416">
        <v>8046</v>
      </c>
      <c r="D19416" t="str">
        <f>"08046"</f>
        <v>08046</v>
      </c>
      <c r="E19416">
        <v>71.010000000000005</v>
      </c>
    </row>
    <row r="19417" spans="1:5" x14ac:dyDescent="0.2">
      <c r="A19417" t="str">
        <f>"08048"</f>
        <v>08048</v>
      </c>
      <c r="B19417" t="s">
        <v>37</v>
      </c>
      <c r="C19417">
        <v>8048</v>
      </c>
      <c r="D19417" t="str">
        <f>"08048"</f>
        <v>08048</v>
      </c>
      <c r="E19417">
        <v>78.39</v>
      </c>
    </row>
    <row r="19418" spans="1:5" x14ac:dyDescent="0.2">
      <c r="A19418" t="str">
        <f>"08049"</f>
        <v>08049</v>
      </c>
      <c r="B19418" t="s">
        <v>37</v>
      </c>
      <c r="C19418">
        <v>8049</v>
      </c>
      <c r="D19418" t="str">
        <f>"08049"</f>
        <v>08049</v>
      </c>
      <c r="E19418">
        <v>77.44</v>
      </c>
    </row>
    <row r="19419" spans="1:5" x14ac:dyDescent="0.2">
      <c r="A19419" t="str">
        <f>"08050"</f>
        <v>08050</v>
      </c>
      <c r="B19419" t="s">
        <v>37</v>
      </c>
      <c r="C19419">
        <v>8050</v>
      </c>
      <c r="D19419" t="str">
        <f>"08050"</f>
        <v>08050</v>
      </c>
      <c r="E19419">
        <v>76.09</v>
      </c>
    </row>
    <row r="19420" spans="1:5" x14ac:dyDescent="0.2">
      <c r="A19420" t="str">
        <f>"08051"</f>
        <v>08051</v>
      </c>
      <c r="B19420" t="s">
        <v>37</v>
      </c>
      <c r="C19420">
        <v>8051</v>
      </c>
      <c r="D19420" t="str">
        <f>"08051"</f>
        <v>08051</v>
      </c>
      <c r="E19420">
        <v>80.87</v>
      </c>
    </row>
    <row r="19421" spans="1:5" x14ac:dyDescent="0.2">
      <c r="A19421" t="str">
        <f>"08052"</f>
        <v>08052</v>
      </c>
      <c r="B19421" t="s">
        <v>37</v>
      </c>
      <c r="C19421">
        <v>8052</v>
      </c>
      <c r="D19421" t="str">
        <f>"08052"</f>
        <v>08052</v>
      </c>
      <c r="E19421">
        <v>78.3</v>
      </c>
    </row>
    <row r="19422" spans="1:5" x14ac:dyDescent="0.2">
      <c r="A19422" t="str">
        <f>"08053"</f>
        <v>08053</v>
      </c>
      <c r="B19422" t="s">
        <v>37</v>
      </c>
      <c r="C19422">
        <v>8053</v>
      </c>
      <c r="D19422" t="str">
        <f>"08053"</f>
        <v>08053</v>
      </c>
      <c r="E19422">
        <v>81.59</v>
      </c>
    </row>
    <row r="19423" spans="1:5" x14ac:dyDescent="0.2">
      <c r="A19423" t="str">
        <f>"08054"</f>
        <v>08054</v>
      </c>
      <c r="B19423" t="s">
        <v>37</v>
      </c>
      <c r="C19423">
        <v>8054</v>
      </c>
      <c r="D19423" t="str">
        <f>"08054"</f>
        <v>08054</v>
      </c>
      <c r="E19423">
        <v>82.11</v>
      </c>
    </row>
    <row r="19424" spans="1:5" x14ac:dyDescent="0.2">
      <c r="A19424" t="str">
        <f>"08055"</f>
        <v>08055</v>
      </c>
      <c r="B19424" t="s">
        <v>37</v>
      </c>
      <c r="C19424">
        <v>8055</v>
      </c>
      <c r="D19424" t="str">
        <f>"08055"</f>
        <v>08055</v>
      </c>
      <c r="E19424">
        <v>82.45</v>
      </c>
    </row>
    <row r="19425" spans="1:5" x14ac:dyDescent="0.2">
      <c r="A19425" t="str">
        <f>"08056"</f>
        <v>08056</v>
      </c>
      <c r="B19425" t="s">
        <v>37</v>
      </c>
      <c r="C19425">
        <v>8056</v>
      </c>
      <c r="D19425" t="str">
        <f>"08056"</f>
        <v>08056</v>
      </c>
      <c r="E19425">
        <v>85.65</v>
      </c>
    </row>
    <row r="19426" spans="1:5" x14ac:dyDescent="0.2">
      <c r="A19426" t="str">
        <f>"08057"</f>
        <v>08057</v>
      </c>
      <c r="B19426" t="s">
        <v>37</v>
      </c>
      <c r="C19426">
        <v>8057</v>
      </c>
      <c r="D19426" t="str">
        <f>"08057"</f>
        <v>08057</v>
      </c>
      <c r="E19426">
        <v>79.650000000000006</v>
      </c>
    </row>
    <row r="19427" spans="1:5" x14ac:dyDescent="0.2">
      <c r="A19427" t="str">
        <f>"08059"</f>
        <v>08059</v>
      </c>
      <c r="B19427" t="s">
        <v>37</v>
      </c>
      <c r="C19427">
        <v>8059</v>
      </c>
      <c r="D19427" t="str">
        <f>"08059"</f>
        <v>08059</v>
      </c>
      <c r="E19427">
        <v>78.010000000000005</v>
      </c>
    </row>
    <row r="19428" spans="1:5" x14ac:dyDescent="0.2">
      <c r="A19428" t="str">
        <f>"08060"</f>
        <v>08060</v>
      </c>
      <c r="B19428" t="s">
        <v>37</v>
      </c>
      <c r="C19428">
        <v>8060</v>
      </c>
      <c r="D19428" t="str">
        <f>"08060"</f>
        <v>08060</v>
      </c>
      <c r="E19428">
        <v>77.989999999999995</v>
      </c>
    </row>
    <row r="19429" spans="1:5" x14ac:dyDescent="0.2">
      <c r="A19429" t="str">
        <f>"08061"</f>
        <v>08061</v>
      </c>
      <c r="B19429" t="s">
        <v>37</v>
      </c>
      <c r="C19429">
        <v>8061</v>
      </c>
      <c r="D19429" t="str">
        <f>"08061"</f>
        <v>08061</v>
      </c>
      <c r="E19429">
        <v>82.78</v>
      </c>
    </row>
    <row r="19430" spans="1:5" x14ac:dyDescent="0.2">
      <c r="A19430" t="str">
        <f>"08062"</f>
        <v>08062</v>
      </c>
      <c r="B19430" t="s">
        <v>37</v>
      </c>
      <c r="C19430">
        <v>8062</v>
      </c>
      <c r="D19430" t="str">
        <f>"08062"</f>
        <v>08062</v>
      </c>
      <c r="E19430">
        <v>79.64</v>
      </c>
    </row>
    <row r="19431" spans="1:5" x14ac:dyDescent="0.2">
      <c r="A19431" t="str">
        <f>"08063"</f>
        <v>08063</v>
      </c>
      <c r="B19431" t="s">
        <v>37</v>
      </c>
      <c r="C19431">
        <v>8063</v>
      </c>
      <c r="D19431" t="str">
        <f>"08063"</f>
        <v>08063</v>
      </c>
      <c r="E19431">
        <v>76.55</v>
      </c>
    </row>
    <row r="19432" spans="1:5" x14ac:dyDescent="0.2">
      <c r="A19432" t="str">
        <f>"08064"</f>
        <v>08064</v>
      </c>
      <c r="B19432" t="s">
        <v>37</v>
      </c>
      <c r="C19432">
        <v>8064</v>
      </c>
      <c r="D19432" t="str">
        <f>"08064"</f>
        <v>08064</v>
      </c>
      <c r="E19432" t="s">
        <v>6</v>
      </c>
    </row>
    <row r="19433" spans="1:5" x14ac:dyDescent="0.2">
      <c r="A19433" t="str">
        <f>"08065"</f>
        <v>08065</v>
      </c>
      <c r="B19433" t="s">
        <v>37</v>
      </c>
      <c r="C19433">
        <v>8065</v>
      </c>
      <c r="D19433" t="str">
        <f>"08065"</f>
        <v>08065</v>
      </c>
      <c r="E19433">
        <v>79.739999999999995</v>
      </c>
    </row>
    <row r="19434" spans="1:5" x14ac:dyDescent="0.2">
      <c r="A19434" t="str">
        <f>"08066"</f>
        <v>08066</v>
      </c>
      <c r="B19434" t="s">
        <v>37</v>
      </c>
      <c r="C19434">
        <v>8066</v>
      </c>
      <c r="D19434" t="str">
        <f>"08066"</f>
        <v>08066</v>
      </c>
      <c r="E19434">
        <v>68.19</v>
      </c>
    </row>
    <row r="19435" spans="1:5" x14ac:dyDescent="0.2">
      <c r="A19435" t="str">
        <f>"08067"</f>
        <v>08067</v>
      </c>
      <c r="B19435" t="s">
        <v>37</v>
      </c>
      <c r="C19435">
        <v>8067</v>
      </c>
      <c r="D19435" t="str">
        <f>"08067"</f>
        <v>08067</v>
      </c>
      <c r="E19435">
        <v>77.78</v>
      </c>
    </row>
    <row r="19436" spans="1:5" x14ac:dyDescent="0.2">
      <c r="A19436" t="str">
        <f>"08068"</f>
        <v>08068</v>
      </c>
      <c r="B19436" t="s">
        <v>37</v>
      </c>
      <c r="C19436">
        <v>8068</v>
      </c>
      <c r="D19436" t="str">
        <f>"08068"</f>
        <v>08068</v>
      </c>
      <c r="E19436">
        <v>75.62</v>
      </c>
    </row>
    <row r="19437" spans="1:5" x14ac:dyDescent="0.2">
      <c r="A19437" t="str">
        <f>"08069"</f>
        <v>08069</v>
      </c>
      <c r="B19437" t="s">
        <v>37</v>
      </c>
      <c r="C19437">
        <v>8069</v>
      </c>
      <c r="D19437" t="str">
        <f>"08069"</f>
        <v>08069</v>
      </c>
      <c r="E19437">
        <v>66.010000000000005</v>
      </c>
    </row>
    <row r="19438" spans="1:5" x14ac:dyDescent="0.2">
      <c r="A19438" t="str">
        <f>"08070"</f>
        <v>08070</v>
      </c>
      <c r="B19438" t="s">
        <v>37</v>
      </c>
      <c r="C19438">
        <v>8070</v>
      </c>
      <c r="D19438" t="str">
        <f>"08070"</f>
        <v>08070</v>
      </c>
      <c r="E19438">
        <v>78.69</v>
      </c>
    </row>
    <row r="19439" spans="1:5" x14ac:dyDescent="0.2">
      <c r="A19439" t="str">
        <f>"08071"</f>
        <v>08071</v>
      </c>
      <c r="B19439" t="s">
        <v>37</v>
      </c>
      <c r="C19439">
        <v>8071</v>
      </c>
      <c r="D19439" t="str">
        <f>"08071"</f>
        <v>08071</v>
      </c>
      <c r="E19439">
        <v>80.709999999999994</v>
      </c>
    </row>
    <row r="19440" spans="1:5" x14ac:dyDescent="0.2">
      <c r="A19440" t="str">
        <f>"08072"</f>
        <v>08072</v>
      </c>
      <c r="B19440" t="s">
        <v>37</v>
      </c>
      <c r="C19440">
        <v>8072</v>
      </c>
      <c r="D19440" t="str">
        <f>"08072"</f>
        <v>08072</v>
      </c>
      <c r="E19440" t="s">
        <v>6</v>
      </c>
    </row>
    <row r="19441" spans="1:5" x14ac:dyDescent="0.2">
      <c r="A19441" t="str">
        <f>"08073"</f>
        <v>08073</v>
      </c>
      <c r="B19441" t="s">
        <v>37</v>
      </c>
      <c r="C19441">
        <v>8073</v>
      </c>
      <c r="D19441" t="str">
        <f>"08073"</f>
        <v>08073</v>
      </c>
      <c r="E19441" t="s">
        <v>6</v>
      </c>
    </row>
    <row r="19442" spans="1:5" x14ac:dyDescent="0.2">
      <c r="A19442" t="str">
        <f>"08075"</f>
        <v>08075</v>
      </c>
      <c r="B19442" t="s">
        <v>37</v>
      </c>
      <c r="C19442">
        <v>8075</v>
      </c>
      <c r="D19442" t="str">
        <f>"08075"</f>
        <v>08075</v>
      </c>
      <c r="E19442">
        <v>76.180000000000007</v>
      </c>
    </row>
    <row r="19443" spans="1:5" x14ac:dyDescent="0.2">
      <c r="A19443" t="str">
        <f>"08077"</f>
        <v>08077</v>
      </c>
      <c r="B19443" t="s">
        <v>37</v>
      </c>
      <c r="C19443">
        <v>8077</v>
      </c>
      <c r="D19443" t="str">
        <f>"08077"</f>
        <v>08077</v>
      </c>
      <c r="E19443">
        <v>80.86</v>
      </c>
    </row>
    <row r="19444" spans="1:5" x14ac:dyDescent="0.2">
      <c r="A19444" t="str">
        <f>"08078"</f>
        <v>08078</v>
      </c>
      <c r="B19444" t="s">
        <v>37</v>
      </c>
      <c r="C19444">
        <v>8078</v>
      </c>
      <c r="D19444" t="str">
        <f>"08078"</f>
        <v>08078</v>
      </c>
      <c r="E19444">
        <v>77.34</v>
      </c>
    </row>
    <row r="19445" spans="1:5" x14ac:dyDescent="0.2">
      <c r="A19445" t="str">
        <f>"08079"</f>
        <v>08079</v>
      </c>
      <c r="B19445" t="s">
        <v>37</v>
      </c>
      <c r="C19445">
        <v>8079</v>
      </c>
      <c r="D19445" t="str">
        <f>"08079"</f>
        <v>08079</v>
      </c>
      <c r="E19445">
        <v>65.47</v>
      </c>
    </row>
    <row r="19446" spans="1:5" x14ac:dyDescent="0.2">
      <c r="A19446" t="str">
        <f>"08080"</f>
        <v>08080</v>
      </c>
      <c r="B19446" t="s">
        <v>37</v>
      </c>
      <c r="C19446">
        <v>8080</v>
      </c>
      <c r="D19446" t="str">
        <f>"08080"</f>
        <v>08080</v>
      </c>
      <c r="E19446">
        <v>80.319999999999993</v>
      </c>
    </row>
    <row r="19447" spans="1:5" x14ac:dyDescent="0.2">
      <c r="A19447" t="str">
        <f>"08081"</f>
        <v>08081</v>
      </c>
      <c r="B19447" t="s">
        <v>37</v>
      </c>
      <c r="C19447">
        <v>8081</v>
      </c>
      <c r="D19447" t="str">
        <f>"08081"</f>
        <v>08081</v>
      </c>
      <c r="E19447">
        <v>74.489999999999995</v>
      </c>
    </row>
    <row r="19448" spans="1:5" x14ac:dyDescent="0.2">
      <c r="A19448" t="str">
        <f>"08083"</f>
        <v>08083</v>
      </c>
      <c r="B19448" t="s">
        <v>37</v>
      </c>
      <c r="C19448">
        <v>8083</v>
      </c>
      <c r="D19448" t="str">
        <f>"08083"</f>
        <v>08083</v>
      </c>
      <c r="E19448">
        <v>77.58</v>
      </c>
    </row>
    <row r="19449" spans="1:5" x14ac:dyDescent="0.2">
      <c r="A19449" t="str">
        <f>"08084"</f>
        <v>08084</v>
      </c>
      <c r="B19449" t="s">
        <v>37</v>
      </c>
      <c r="C19449">
        <v>8084</v>
      </c>
      <c r="D19449" t="str">
        <f>"08084"</f>
        <v>08084</v>
      </c>
      <c r="E19449">
        <v>77.05</v>
      </c>
    </row>
    <row r="19450" spans="1:5" x14ac:dyDescent="0.2">
      <c r="A19450" t="str">
        <f>"08085"</f>
        <v>08085</v>
      </c>
      <c r="B19450" t="s">
        <v>37</v>
      </c>
      <c r="C19450">
        <v>8085</v>
      </c>
      <c r="D19450" t="str">
        <f>"08085"</f>
        <v>08085</v>
      </c>
      <c r="E19450">
        <v>80.02</v>
      </c>
    </row>
    <row r="19451" spans="1:5" x14ac:dyDescent="0.2">
      <c r="A19451" t="str">
        <f>"08086"</f>
        <v>08086</v>
      </c>
      <c r="B19451" t="s">
        <v>37</v>
      </c>
      <c r="C19451">
        <v>8086</v>
      </c>
      <c r="D19451" t="str">
        <f>"08086"</f>
        <v>08086</v>
      </c>
      <c r="E19451">
        <v>80.75</v>
      </c>
    </row>
    <row r="19452" spans="1:5" x14ac:dyDescent="0.2">
      <c r="A19452" t="str">
        <f>"08087"</f>
        <v>08087</v>
      </c>
      <c r="B19452" t="s">
        <v>37</v>
      </c>
      <c r="C19452">
        <v>8087</v>
      </c>
      <c r="D19452" t="str">
        <f>"08087"</f>
        <v>08087</v>
      </c>
      <c r="E19452">
        <v>76.05</v>
      </c>
    </row>
    <row r="19453" spans="1:5" x14ac:dyDescent="0.2">
      <c r="A19453" t="str">
        <f>"08088"</f>
        <v>08088</v>
      </c>
      <c r="B19453" t="s">
        <v>37</v>
      </c>
      <c r="C19453">
        <v>8088</v>
      </c>
      <c r="D19453" t="str">
        <f>"08088"</f>
        <v>08088</v>
      </c>
      <c r="E19453">
        <v>79.52</v>
      </c>
    </row>
    <row r="19454" spans="1:5" x14ac:dyDescent="0.2">
      <c r="A19454" t="str">
        <f>"08089"</f>
        <v>08089</v>
      </c>
      <c r="B19454" t="s">
        <v>37</v>
      </c>
      <c r="C19454">
        <v>8089</v>
      </c>
      <c r="D19454" t="str">
        <f>"08089"</f>
        <v>08089</v>
      </c>
      <c r="E19454">
        <v>76.650000000000006</v>
      </c>
    </row>
    <row r="19455" spans="1:5" x14ac:dyDescent="0.2">
      <c r="A19455" t="str">
        <f>"08090"</f>
        <v>08090</v>
      </c>
      <c r="B19455" t="s">
        <v>37</v>
      </c>
      <c r="C19455">
        <v>8090</v>
      </c>
      <c r="D19455" t="str">
        <f>"08090"</f>
        <v>08090</v>
      </c>
      <c r="E19455">
        <v>80.81</v>
      </c>
    </row>
    <row r="19456" spans="1:5" x14ac:dyDescent="0.2">
      <c r="A19456" t="str">
        <f>"08091"</f>
        <v>08091</v>
      </c>
      <c r="B19456" t="s">
        <v>37</v>
      </c>
      <c r="C19456">
        <v>8091</v>
      </c>
      <c r="D19456" t="str">
        <f>"08091"</f>
        <v>08091</v>
      </c>
      <c r="E19456">
        <v>75.09</v>
      </c>
    </row>
    <row r="19457" spans="1:5" x14ac:dyDescent="0.2">
      <c r="A19457" t="str">
        <f>"08092"</f>
        <v>08092</v>
      </c>
      <c r="B19457" t="s">
        <v>37</v>
      </c>
      <c r="C19457">
        <v>8092</v>
      </c>
      <c r="D19457" t="str">
        <f>"08092"</f>
        <v>08092</v>
      </c>
      <c r="E19457">
        <v>74.599999999999994</v>
      </c>
    </row>
    <row r="19458" spans="1:5" x14ac:dyDescent="0.2">
      <c r="A19458" t="str">
        <f>"08093"</f>
        <v>08093</v>
      </c>
      <c r="B19458" t="s">
        <v>37</v>
      </c>
      <c r="C19458">
        <v>8093</v>
      </c>
      <c r="D19458" t="str">
        <f>"08093"</f>
        <v>08093</v>
      </c>
      <c r="E19458">
        <v>72.58</v>
      </c>
    </row>
    <row r="19459" spans="1:5" x14ac:dyDescent="0.2">
      <c r="A19459" t="str">
        <f>"08094"</f>
        <v>08094</v>
      </c>
      <c r="B19459" t="s">
        <v>37</v>
      </c>
      <c r="C19459">
        <v>8094</v>
      </c>
      <c r="D19459" t="str">
        <f>"08094"</f>
        <v>08094</v>
      </c>
      <c r="E19459">
        <v>76.459999999999994</v>
      </c>
    </row>
    <row r="19460" spans="1:5" x14ac:dyDescent="0.2">
      <c r="A19460" t="str">
        <f>"08096"</f>
        <v>08096</v>
      </c>
      <c r="B19460" t="s">
        <v>37</v>
      </c>
      <c r="C19460">
        <v>8096</v>
      </c>
      <c r="D19460" t="str">
        <f>"08096"</f>
        <v>08096</v>
      </c>
      <c r="E19460">
        <v>77.38</v>
      </c>
    </row>
    <row r="19461" spans="1:5" x14ac:dyDescent="0.2">
      <c r="A19461" t="str">
        <f>"08097"</f>
        <v>08097</v>
      </c>
      <c r="B19461" t="s">
        <v>37</v>
      </c>
      <c r="C19461">
        <v>8097</v>
      </c>
      <c r="D19461" t="str">
        <f>"08097"</f>
        <v>08097</v>
      </c>
      <c r="E19461">
        <v>82.1</v>
      </c>
    </row>
    <row r="19462" spans="1:5" x14ac:dyDescent="0.2">
      <c r="A19462" t="str">
        <f>"08098"</f>
        <v>08098</v>
      </c>
      <c r="B19462" t="s">
        <v>37</v>
      </c>
      <c r="C19462">
        <v>8098</v>
      </c>
      <c r="D19462" t="str">
        <f>"08098"</f>
        <v>08098</v>
      </c>
      <c r="E19462">
        <v>77.8</v>
      </c>
    </row>
    <row r="19463" spans="1:5" x14ac:dyDescent="0.2">
      <c r="A19463" t="str">
        <f>"08102"</f>
        <v>08102</v>
      </c>
      <c r="B19463" t="s">
        <v>37</v>
      </c>
      <c r="C19463">
        <v>8102</v>
      </c>
      <c r="D19463" t="str">
        <f>"08102"</f>
        <v>08102</v>
      </c>
      <c r="E19463">
        <v>46.57</v>
      </c>
    </row>
    <row r="19464" spans="1:5" x14ac:dyDescent="0.2">
      <c r="A19464" t="str">
        <f>"08103"</f>
        <v>08103</v>
      </c>
      <c r="B19464" t="s">
        <v>37</v>
      </c>
      <c r="C19464">
        <v>8103</v>
      </c>
      <c r="D19464" t="str">
        <f>"08103"</f>
        <v>08103</v>
      </c>
      <c r="E19464">
        <v>46.19</v>
      </c>
    </row>
    <row r="19465" spans="1:5" x14ac:dyDescent="0.2">
      <c r="A19465" t="str">
        <f>"08104"</f>
        <v>08104</v>
      </c>
      <c r="B19465" t="s">
        <v>37</v>
      </c>
      <c r="C19465">
        <v>8104</v>
      </c>
      <c r="D19465" t="str">
        <f>"08104"</f>
        <v>08104</v>
      </c>
      <c r="E19465">
        <v>42.69</v>
      </c>
    </row>
    <row r="19466" spans="1:5" x14ac:dyDescent="0.2">
      <c r="A19466" t="str">
        <f>"08105"</f>
        <v>08105</v>
      </c>
      <c r="B19466" t="s">
        <v>37</v>
      </c>
      <c r="C19466">
        <v>8105</v>
      </c>
      <c r="D19466" t="str">
        <f>"08105"</f>
        <v>08105</v>
      </c>
      <c r="E19466">
        <v>46.21</v>
      </c>
    </row>
    <row r="19467" spans="1:5" x14ac:dyDescent="0.2">
      <c r="A19467" t="str">
        <f>"08106"</f>
        <v>08106</v>
      </c>
      <c r="B19467" t="s">
        <v>37</v>
      </c>
      <c r="C19467">
        <v>8106</v>
      </c>
      <c r="D19467" t="str">
        <f>"08106"</f>
        <v>08106</v>
      </c>
      <c r="E19467">
        <v>80.59</v>
      </c>
    </row>
    <row r="19468" spans="1:5" x14ac:dyDescent="0.2">
      <c r="A19468" t="str">
        <f>"08107"</f>
        <v>08107</v>
      </c>
      <c r="B19468" t="s">
        <v>37</v>
      </c>
      <c r="C19468">
        <v>8107</v>
      </c>
      <c r="D19468" t="str">
        <f>"08107"</f>
        <v>08107</v>
      </c>
      <c r="E19468">
        <v>71.930000000000007</v>
      </c>
    </row>
    <row r="19469" spans="1:5" x14ac:dyDescent="0.2">
      <c r="A19469" t="str">
        <f>"08108"</f>
        <v>08108</v>
      </c>
      <c r="B19469" t="s">
        <v>37</v>
      </c>
      <c r="C19469">
        <v>8108</v>
      </c>
      <c r="D19469" t="str">
        <f>"08108"</f>
        <v>08108</v>
      </c>
      <c r="E19469">
        <v>84.33</v>
      </c>
    </row>
    <row r="19470" spans="1:5" x14ac:dyDescent="0.2">
      <c r="A19470" t="str">
        <f>"08109"</f>
        <v>08109</v>
      </c>
      <c r="B19470" t="s">
        <v>37</v>
      </c>
      <c r="C19470">
        <v>8109</v>
      </c>
      <c r="D19470" t="str">
        <f>"08109"</f>
        <v>08109</v>
      </c>
      <c r="E19470">
        <v>73.569999999999993</v>
      </c>
    </row>
    <row r="19471" spans="1:5" x14ac:dyDescent="0.2">
      <c r="A19471" t="str">
        <f>"08110"</f>
        <v>08110</v>
      </c>
      <c r="B19471" t="s">
        <v>37</v>
      </c>
      <c r="C19471">
        <v>8110</v>
      </c>
      <c r="D19471" t="str">
        <f>"08110"</f>
        <v>08110</v>
      </c>
      <c r="E19471">
        <v>62.87</v>
      </c>
    </row>
    <row r="19472" spans="1:5" x14ac:dyDescent="0.2">
      <c r="A19472" t="str">
        <f>"08201"</f>
        <v>08201</v>
      </c>
      <c r="B19472" t="s">
        <v>37</v>
      </c>
      <c r="C19472">
        <v>8201</v>
      </c>
      <c r="D19472" t="str">
        <f>"08201"</f>
        <v>08201</v>
      </c>
      <c r="E19472">
        <v>72.25</v>
      </c>
    </row>
    <row r="19473" spans="1:5" x14ac:dyDescent="0.2">
      <c r="A19473" t="str">
        <f>"08202"</f>
        <v>08202</v>
      </c>
      <c r="B19473" t="s">
        <v>37</v>
      </c>
      <c r="C19473">
        <v>8202</v>
      </c>
      <c r="D19473" t="str">
        <f>"08202"</f>
        <v>08202</v>
      </c>
      <c r="E19473">
        <v>84.42</v>
      </c>
    </row>
    <row r="19474" spans="1:5" x14ac:dyDescent="0.2">
      <c r="A19474" t="str">
        <f>"08203"</f>
        <v>08203</v>
      </c>
      <c r="B19474" t="s">
        <v>37</v>
      </c>
      <c r="C19474">
        <v>8203</v>
      </c>
      <c r="D19474" t="str">
        <f>"08203"</f>
        <v>08203</v>
      </c>
      <c r="E19474">
        <v>77.180000000000007</v>
      </c>
    </row>
    <row r="19475" spans="1:5" x14ac:dyDescent="0.2">
      <c r="A19475" t="str">
        <f>"08204"</f>
        <v>08204</v>
      </c>
      <c r="B19475" t="s">
        <v>37</v>
      </c>
      <c r="C19475">
        <v>8204</v>
      </c>
      <c r="D19475" t="str">
        <f>"08204"</f>
        <v>08204</v>
      </c>
      <c r="E19475">
        <v>74.67</v>
      </c>
    </row>
    <row r="19476" spans="1:5" x14ac:dyDescent="0.2">
      <c r="A19476" t="str">
        <f>"08205"</f>
        <v>08205</v>
      </c>
      <c r="B19476" t="s">
        <v>37</v>
      </c>
      <c r="C19476">
        <v>8205</v>
      </c>
      <c r="D19476" t="str">
        <f>"08205"</f>
        <v>08205</v>
      </c>
      <c r="E19476">
        <v>72.66</v>
      </c>
    </row>
    <row r="19477" spans="1:5" x14ac:dyDescent="0.2">
      <c r="A19477" t="str">
        <f>"08210"</f>
        <v>08210</v>
      </c>
      <c r="B19477" t="s">
        <v>37</v>
      </c>
      <c r="C19477">
        <v>8210</v>
      </c>
      <c r="D19477" t="str">
        <f>"08210"</f>
        <v>08210</v>
      </c>
      <c r="E19477">
        <v>73.760000000000005</v>
      </c>
    </row>
    <row r="19478" spans="1:5" x14ac:dyDescent="0.2">
      <c r="A19478" t="str">
        <f>"08212"</f>
        <v>08212</v>
      </c>
      <c r="B19478" t="s">
        <v>37</v>
      </c>
      <c r="C19478">
        <v>8212</v>
      </c>
      <c r="D19478" t="str">
        <f>"08212"</f>
        <v>08212</v>
      </c>
      <c r="E19478" t="s">
        <v>6</v>
      </c>
    </row>
    <row r="19479" spans="1:5" x14ac:dyDescent="0.2">
      <c r="A19479" t="str">
        <f>"08214"</f>
        <v>08214</v>
      </c>
      <c r="B19479" t="s">
        <v>37</v>
      </c>
      <c r="C19479">
        <v>8214</v>
      </c>
      <c r="D19479" t="str">
        <f>"08214"</f>
        <v>08214</v>
      </c>
      <c r="E19479" t="s">
        <v>6</v>
      </c>
    </row>
    <row r="19480" spans="1:5" x14ac:dyDescent="0.2">
      <c r="A19480" t="str">
        <f>"08215"</f>
        <v>08215</v>
      </c>
      <c r="B19480" t="s">
        <v>37</v>
      </c>
      <c r="C19480">
        <v>8215</v>
      </c>
      <c r="D19480" t="str">
        <f>"08215"</f>
        <v>08215</v>
      </c>
      <c r="E19480">
        <v>72.180000000000007</v>
      </c>
    </row>
    <row r="19481" spans="1:5" x14ac:dyDescent="0.2">
      <c r="A19481" t="str">
        <f>"08221"</f>
        <v>08221</v>
      </c>
      <c r="B19481" t="s">
        <v>37</v>
      </c>
      <c r="C19481">
        <v>8221</v>
      </c>
      <c r="D19481" t="str">
        <f>"08221"</f>
        <v>08221</v>
      </c>
      <c r="E19481">
        <v>77.180000000000007</v>
      </c>
    </row>
    <row r="19482" spans="1:5" x14ac:dyDescent="0.2">
      <c r="A19482" t="str">
        <f>"08223"</f>
        <v>08223</v>
      </c>
      <c r="B19482" t="s">
        <v>37</v>
      </c>
      <c r="C19482">
        <v>8223</v>
      </c>
      <c r="D19482" t="str">
        <f>"08223"</f>
        <v>08223</v>
      </c>
      <c r="E19482">
        <v>77.349999999999994</v>
      </c>
    </row>
    <row r="19483" spans="1:5" x14ac:dyDescent="0.2">
      <c r="A19483" t="str">
        <f>"08224"</f>
        <v>08224</v>
      </c>
      <c r="B19483" t="s">
        <v>37</v>
      </c>
      <c r="C19483">
        <v>8224</v>
      </c>
      <c r="D19483" t="str">
        <f>"08224"</f>
        <v>08224</v>
      </c>
      <c r="E19483" t="s">
        <v>6</v>
      </c>
    </row>
    <row r="19484" spans="1:5" x14ac:dyDescent="0.2">
      <c r="A19484" t="str">
        <f>"08225"</f>
        <v>08225</v>
      </c>
      <c r="B19484" t="s">
        <v>37</v>
      </c>
      <c r="C19484">
        <v>8225</v>
      </c>
      <c r="D19484" t="str">
        <f>"08225"</f>
        <v>08225</v>
      </c>
      <c r="E19484">
        <v>75.11</v>
      </c>
    </row>
    <row r="19485" spans="1:5" x14ac:dyDescent="0.2">
      <c r="A19485" t="str">
        <f>"08226"</f>
        <v>08226</v>
      </c>
      <c r="B19485" t="s">
        <v>37</v>
      </c>
      <c r="C19485">
        <v>8226</v>
      </c>
      <c r="D19485" t="str">
        <f>"08226"</f>
        <v>08226</v>
      </c>
      <c r="E19485">
        <v>75.45</v>
      </c>
    </row>
    <row r="19486" spans="1:5" x14ac:dyDescent="0.2">
      <c r="A19486" t="str">
        <f>"08230"</f>
        <v>08230</v>
      </c>
      <c r="B19486" t="s">
        <v>37</v>
      </c>
      <c r="C19486">
        <v>8230</v>
      </c>
      <c r="D19486" t="str">
        <f>"08230"</f>
        <v>08230</v>
      </c>
      <c r="E19486">
        <v>76.97</v>
      </c>
    </row>
    <row r="19487" spans="1:5" x14ac:dyDescent="0.2">
      <c r="A19487" t="str">
        <f>"08232"</f>
        <v>08232</v>
      </c>
      <c r="B19487" t="s">
        <v>37</v>
      </c>
      <c r="C19487">
        <v>8232</v>
      </c>
      <c r="D19487" t="str">
        <f>"08232"</f>
        <v>08232</v>
      </c>
      <c r="E19487">
        <v>54</v>
      </c>
    </row>
    <row r="19488" spans="1:5" x14ac:dyDescent="0.2">
      <c r="A19488" t="str">
        <f>"08234"</f>
        <v>08234</v>
      </c>
      <c r="B19488" t="s">
        <v>37</v>
      </c>
      <c r="C19488">
        <v>8234</v>
      </c>
      <c r="D19488" t="str">
        <f>"08234"</f>
        <v>08234</v>
      </c>
      <c r="E19488">
        <v>70.650000000000006</v>
      </c>
    </row>
    <row r="19489" spans="1:5" x14ac:dyDescent="0.2">
      <c r="A19489" t="str">
        <f>"08240"</f>
        <v>08240</v>
      </c>
      <c r="B19489" t="s">
        <v>37</v>
      </c>
      <c r="C19489">
        <v>8240</v>
      </c>
      <c r="D19489" t="str">
        <f>"08240"</f>
        <v>08240</v>
      </c>
      <c r="E19489" t="s">
        <v>6</v>
      </c>
    </row>
    <row r="19490" spans="1:5" x14ac:dyDescent="0.2">
      <c r="A19490" t="str">
        <f>"08241"</f>
        <v>08241</v>
      </c>
      <c r="B19490" t="s">
        <v>37</v>
      </c>
      <c r="C19490">
        <v>8241</v>
      </c>
      <c r="D19490" t="str">
        <f>"08241"</f>
        <v>08241</v>
      </c>
      <c r="E19490">
        <v>77.05</v>
      </c>
    </row>
    <row r="19491" spans="1:5" x14ac:dyDescent="0.2">
      <c r="A19491" t="str">
        <f>"08242"</f>
        <v>08242</v>
      </c>
      <c r="B19491" t="s">
        <v>37</v>
      </c>
      <c r="C19491">
        <v>8242</v>
      </c>
      <c r="D19491" t="str">
        <f>"08242"</f>
        <v>08242</v>
      </c>
      <c r="E19491">
        <v>66.67</v>
      </c>
    </row>
    <row r="19492" spans="1:5" x14ac:dyDescent="0.2">
      <c r="A19492" t="str">
        <f>"08243"</f>
        <v>08243</v>
      </c>
      <c r="B19492" t="s">
        <v>37</v>
      </c>
      <c r="C19492">
        <v>8243</v>
      </c>
      <c r="D19492" t="str">
        <f>"08243"</f>
        <v>08243</v>
      </c>
      <c r="E19492">
        <v>81.25</v>
      </c>
    </row>
    <row r="19493" spans="1:5" x14ac:dyDescent="0.2">
      <c r="A19493" t="str">
        <f>"08244"</f>
        <v>08244</v>
      </c>
      <c r="B19493" t="s">
        <v>37</v>
      </c>
      <c r="C19493">
        <v>8244</v>
      </c>
      <c r="D19493" t="str">
        <f>"08244"</f>
        <v>08244</v>
      </c>
      <c r="E19493">
        <v>72.16</v>
      </c>
    </row>
    <row r="19494" spans="1:5" x14ac:dyDescent="0.2">
      <c r="A19494" t="str">
        <f>"08247"</f>
        <v>08247</v>
      </c>
      <c r="B19494" t="s">
        <v>37</v>
      </c>
      <c r="C19494">
        <v>8247</v>
      </c>
      <c r="D19494" t="str">
        <f>"08247"</f>
        <v>08247</v>
      </c>
      <c r="E19494">
        <v>75.510000000000005</v>
      </c>
    </row>
    <row r="19495" spans="1:5" x14ac:dyDescent="0.2">
      <c r="A19495" t="str">
        <f>"08248"</f>
        <v>08248</v>
      </c>
      <c r="B19495" t="s">
        <v>37</v>
      </c>
      <c r="C19495">
        <v>8248</v>
      </c>
      <c r="D19495" t="str">
        <f>"08248"</f>
        <v>08248</v>
      </c>
      <c r="E19495" t="s">
        <v>6</v>
      </c>
    </row>
    <row r="19496" spans="1:5" x14ac:dyDescent="0.2">
      <c r="A19496" t="str">
        <f>"08251"</f>
        <v>08251</v>
      </c>
      <c r="B19496" t="s">
        <v>37</v>
      </c>
      <c r="C19496">
        <v>8251</v>
      </c>
      <c r="D19496" t="str">
        <f>"08251"</f>
        <v>08251</v>
      </c>
      <c r="E19496">
        <v>70</v>
      </c>
    </row>
    <row r="19497" spans="1:5" x14ac:dyDescent="0.2">
      <c r="A19497" t="str">
        <f>"08260"</f>
        <v>08260</v>
      </c>
      <c r="B19497" t="s">
        <v>37</v>
      </c>
      <c r="C19497">
        <v>8260</v>
      </c>
      <c r="D19497" t="str">
        <f>"08260"</f>
        <v>08260</v>
      </c>
      <c r="E19497">
        <v>63.71</v>
      </c>
    </row>
    <row r="19498" spans="1:5" x14ac:dyDescent="0.2">
      <c r="A19498" t="str">
        <f>"08270"</f>
        <v>08270</v>
      </c>
      <c r="B19498" t="s">
        <v>37</v>
      </c>
      <c r="C19498">
        <v>8270</v>
      </c>
      <c r="D19498" t="str">
        <f>"08270"</f>
        <v>08270</v>
      </c>
      <c r="E19498">
        <v>73.56</v>
      </c>
    </row>
    <row r="19499" spans="1:5" x14ac:dyDescent="0.2">
      <c r="A19499" t="str">
        <f>"08302"</f>
        <v>08302</v>
      </c>
      <c r="B19499" t="s">
        <v>37</v>
      </c>
      <c r="C19499">
        <v>8302</v>
      </c>
      <c r="D19499" t="str">
        <f>"08302"</f>
        <v>08302</v>
      </c>
      <c r="E19499">
        <v>60.9</v>
      </c>
    </row>
    <row r="19500" spans="1:5" x14ac:dyDescent="0.2">
      <c r="A19500" t="str">
        <f>"08310"</f>
        <v>08310</v>
      </c>
      <c r="B19500" t="s">
        <v>37</v>
      </c>
      <c r="C19500">
        <v>8310</v>
      </c>
      <c r="D19500" t="str">
        <f>"08310"</f>
        <v>08310</v>
      </c>
      <c r="E19500">
        <v>71.260000000000005</v>
      </c>
    </row>
    <row r="19501" spans="1:5" x14ac:dyDescent="0.2">
      <c r="A19501" t="str">
        <f>"08311"</f>
        <v>08311</v>
      </c>
      <c r="B19501" t="s">
        <v>37</v>
      </c>
      <c r="C19501">
        <v>8311</v>
      </c>
      <c r="D19501" t="str">
        <f>"08311"</f>
        <v>08311</v>
      </c>
      <c r="E19501">
        <v>71.13</v>
      </c>
    </row>
    <row r="19502" spans="1:5" x14ac:dyDescent="0.2">
      <c r="A19502" t="str">
        <f>"08312"</f>
        <v>08312</v>
      </c>
      <c r="B19502" t="s">
        <v>37</v>
      </c>
      <c r="C19502">
        <v>8312</v>
      </c>
      <c r="D19502" t="str">
        <f>"08312"</f>
        <v>08312</v>
      </c>
      <c r="E19502">
        <v>73.709999999999994</v>
      </c>
    </row>
    <row r="19503" spans="1:5" x14ac:dyDescent="0.2">
      <c r="A19503" t="str">
        <f>"08314"</f>
        <v>08314</v>
      </c>
      <c r="B19503" t="s">
        <v>37</v>
      </c>
      <c r="C19503">
        <v>8314</v>
      </c>
      <c r="D19503" t="str">
        <f>"08314"</f>
        <v>08314</v>
      </c>
      <c r="E19503">
        <v>69.23</v>
      </c>
    </row>
    <row r="19504" spans="1:5" x14ac:dyDescent="0.2">
      <c r="A19504" t="str">
        <f>"08315"</f>
        <v>08315</v>
      </c>
      <c r="B19504" t="s">
        <v>37</v>
      </c>
      <c r="C19504">
        <v>8315</v>
      </c>
      <c r="D19504" t="str">
        <f>"08315"</f>
        <v>08315</v>
      </c>
      <c r="E19504" t="s">
        <v>6</v>
      </c>
    </row>
    <row r="19505" spans="1:5" x14ac:dyDescent="0.2">
      <c r="A19505" t="str">
        <f>"08316"</f>
        <v>08316</v>
      </c>
      <c r="B19505" t="s">
        <v>37</v>
      </c>
      <c r="C19505">
        <v>8316</v>
      </c>
      <c r="D19505" t="str">
        <f>"08316"</f>
        <v>08316</v>
      </c>
      <c r="E19505" t="s">
        <v>6</v>
      </c>
    </row>
    <row r="19506" spans="1:5" x14ac:dyDescent="0.2">
      <c r="A19506" t="str">
        <f>"08317"</f>
        <v>08317</v>
      </c>
      <c r="B19506" t="s">
        <v>37</v>
      </c>
      <c r="C19506">
        <v>8317</v>
      </c>
      <c r="D19506" t="str">
        <f>"08317"</f>
        <v>08317</v>
      </c>
      <c r="E19506">
        <v>75.81</v>
      </c>
    </row>
    <row r="19507" spans="1:5" x14ac:dyDescent="0.2">
      <c r="A19507" t="str">
        <f>"08318"</f>
        <v>08318</v>
      </c>
      <c r="B19507" t="s">
        <v>37</v>
      </c>
      <c r="C19507">
        <v>8318</v>
      </c>
      <c r="D19507" t="str">
        <f>"08318"</f>
        <v>08318</v>
      </c>
      <c r="E19507">
        <v>77.42</v>
      </c>
    </row>
    <row r="19508" spans="1:5" x14ac:dyDescent="0.2">
      <c r="A19508" t="str">
        <f>"08319"</f>
        <v>08319</v>
      </c>
      <c r="B19508" t="s">
        <v>37</v>
      </c>
      <c r="C19508">
        <v>8319</v>
      </c>
      <c r="D19508" t="str">
        <f>"08319"</f>
        <v>08319</v>
      </c>
      <c r="E19508">
        <v>77.27</v>
      </c>
    </row>
    <row r="19509" spans="1:5" x14ac:dyDescent="0.2">
      <c r="A19509" t="str">
        <f>"08320"</f>
        <v>08320</v>
      </c>
      <c r="B19509" t="s">
        <v>37</v>
      </c>
      <c r="C19509">
        <v>8320</v>
      </c>
      <c r="D19509" t="str">
        <f>"08320"</f>
        <v>08320</v>
      </c>
      <c r="E19509" t="s">
        <v>6</v>
      </c>
    </row>
    <row r="19510" spans="1:5" x14ac:dyDescent="0.2">
      <c r="A19510" t="str">
        <f>"08321"</f>
        <v>08321</v>
      </c>
      <c r="B19510" t="s">
        <v>37</v>
      </c>
      <c r="C19510">
        <v>8321</v>
      </c>
      <c r="D19510" t="str">
        <f>"08321"</f>
        <v>08321</v>
      </c>
      <c r="E19510" t="s">
        <v>6</v>
      </c>
    </row>
    <row r="19511" spans="1:5" x14ac:dyDescent="0.2">
      <c r="A19511" t="str">
        <f>"08322"</f>
        <v>08322</v>
      </c>
      <c r="B19511" t="s">
        <v>37</v>
      </c>
      <c r="C19511">
        <v>8322</v>
      </c>
      <c r="D19511" t="str">
        <f>"08322"</f>
        <v>08322</v>
      </c>
      <c r="E19511">
        <v>78.67</v>
      </c>
    </row>
    <row r="19512" spans="1:5" x14ac:dyDescent="0.2">
      <c r="A19512" t="str">
        <f>"08323"</f>
        <v>08323</v>
      </c>
      <c r="B19512" t="s">
        <v>37</v>
      </c>
      <c r="C19512">
        <v>8323</v>
      </c>
      <c r="D19512" t="str">
        <f>"08323"</f>
        <v>08323</v>
      </c>
      <c r="E19512">
        <v>73.680000000000007</v>
      </c>
    </row>
    <row r="19513" spans="1:5" x14ac:dyDescent="0.2">
      <c r="A19513" t="str">
        <f>"08324"</f>
        <v>08324</v>
      </c>
      <c r="B19513" t="s">
        <v>37</v>
      </c>
      <c r="C19513">
        <v>8324</v>
      </c>
      <c r="D19513" t="str">
        <f>"08324"</f>
        <v>08324</v>
      </c>
      <c r="E19513">
        <v>72.22</v>
      </c>
    </row>
    <row r="19514" spans="1:5" x14ac:dyDescent="0.2">
      <c r="A19514" t="str">
        <f>"08326"</f>
        <v>08326</v>
      </c>
      <c r="B19514" t="s">
        <v>37</v>
      </c>
      <c r="C19514">
        <v>8326</v>
      </c>
      <c r="D19514" t="str">
        <f>"08326"</f>
        <v>08326</v>
      </c>
      <c r="E19514">
        <v>69.62</v>
      </c>
    </row>
    <row r="19515" spans="1:5" x14ac:dyDescent="0.2">
      <c r="A19515" t="str">
        <f>"08327"</f>
        <v>08327</v>
      </c>
      <c r="B19515" t="s">
        <v>37</v>
      </c>
      <c r="C19515">
        <v>8327</v>
      </c>
      <c r="D19515" t="str">
        <f>"08327"</f>
        <v>08327</v>
      </c>
      <c r="E19515">
        <v>74.290000000000006</v>
      </c>
    </row>
    <row r="19516" spans="1:5" x14ac:dyDescent="0.2">
      <c r="A19516" t="str">
        <f>"08328"</f>
        <v>08328</v>
      </c>
      <c r="B19516" t="s">
        <v>37</v>
      </c>
      <c r="C19516">
        <v>8328</v>
      </c>
      <c r="D19516" t="str">
        <f>"08328"</f>
        <v>08328</v>
      </c>
      <c r="E19516">
        <v>74.63</v>
      </c>
    </row>
    <row r="19517" spans="1:5" x14ac:dyDescent="0.2">
      <c r="A19517" t="str">
        <f>"08329"</f>
        <v>08329</v>
      </c>
      <c r="B19517" t="s">
        <v>37</v>
      </c>
      <c r="C19517">
        <v>8329</v>
      </c>
      <c r="D19517" t="str">
        <f>"08329"</f>
        <v>08329</v>
      </c>
      <c r="E19517" t="s">
        <v>6</v>
      </c>
    </row>
    <row r="19518" spans="1:5" x14ac:dyDescent="0.2">
      <c r="A19518" t="str">
        <f>"08330"</f>
        <v>08330</v>
      </c>
      <c r="B19518" t="s">
        <v>37</v>
      </c>
      <c r="C19518">
        <v>8330</v>
      </c>
      <c r="D19518" t="str">
        <f>"08330"</f>
        <v>08330</v>
      </c>
      <c r="E19518">
        <v>72.25</v>
      </c>
    </row>
    <row r="19519" spans="1:5" x14ac:dyDescent="0.2">
      <c r="A19519" t="str">
        <f>"08332"</f>
        <v>08332</v>
      </c>
      <c r="B19519" t="s">
        <v>37</v>
      </c>
      <c r="C19519">
        <v>8332</v>
      </c>
      <c r="D19519" t="str">
        <f>"08332"</f>
        <v>08332</v>
      </c>
      <c r="E19519">
        <v>67.099999999999994</v>
      </c>
    </row>
    <row r="19520" spans="1:5" x14ac:dyDescent="0.2">
      <c r="A19520" t="str">
        <f>"08340"</f>
        <v>08340</v>
      </c>
      <c r="B19520" t="s">
        <v>37</v>
      </c>
      <c r="C19520">
        <v>8340</v>
      </c>
      <c r="D19520" t="str">
        <f>"08340"</f>
        <v>08340</v>
      </c>
      <c r="E19520">
        <v>80.430000000000007</v>
      </c>
    </row>
    <row r="19521" spans="1:5" x14ac:dyDescent="0.2">
      <c r="A19521" t="str">
        <f>"08341"</f>
        <v>08341</v>
      </c>
      <c r="B19521" t="s">
        <v>37</v>
      </c>
      <c r="C19521">
        <v>8341</v>
      </c>
      <c r="D19521" t="str">
        <f>"08341"</f>
        <v>08341</v>
      </c>
      <c r="E19521">
        <v>67.95</v>
      </c>
    </row>
    <row r="19522" spans="1:5" x14ac:dyDescent="0.2">
      <c r="A19522" t="str">
        <f>"08343"</f>
        <v>08343</v>
      </c>
      <c r="B19522" t="s">
        <v>37</v>
      </c>
      <c r="C19522">
        <v>8343</v>
      </c>
      <c r="D19522" t="str">
        <f>"08343"</f>
        <v>08343</v>
      </c>
      <c r="E19522">
        <v>79.2</v>
      </c>
    </row>
    <row r="19523" spans="1:5" x14ac:dyDescent="0.2">
      <c r="A19523" t="str">
        <f>"08344"</f>
        <v>08344</v>
      </c>
      <c r="B19523" t="s">
        <v>37</v>
      </c>
      <c r="C19523">
        <v>8344</v>
      </c>
      <c r="D19523" t="str">
        <f>"08344"</f>
        <v>08344</v>
      </c>
      <c r="E19523">
        <v>76.06</v>
      </c>
    </row>
    <row r="19524" spans="1:5" x14ac:dyDescent="0.2">
      <c r="A19524" t="str">
        <f>"08345"</f>
        <v>08345</v>
      </c>
      <c r="B19524" t="s">
        <v>37</v>
      </c>
      <c r="C19524">
        <v>8345</v>
      </c>
      <c r="D19524" t="str">
        <f>"08345"</f>
        <v>08345</v>
      </c>
      <c r="E19524">
        <v>74.290000000000006</v>
      </c>
    </row>
    <row r="19525" spans="1:5" x14ac:dyDescent="0.2">
      <c r="A19525" t="str">
        <f>"08346"</f>
        <v>08346</v>
      </c>
      <c r="B19525" t="s">
        <v>37</v>
      </c>
      <c r="C19525">
        <v>8346</v>
      </c>
      <c r="D19525" t="str">
        <f>"08346"</f>
        <v>08346</v>
      </c>
      <c r="E19525">
        <v>76.92</v>
      </c>
    </row>
    <row r="19526" spans="1:5" x14ac:dyDescent="0.2">
      <c r="A19526" t="str">
        <f>"08347"</f>
        <v>08347</v>
      </c>
      <c r="B19526" t="s">
        <v>37</v>
      </c>
      <c r="C19526">
        <v>8347</v>
      </c>
      <c r="D19526" t="str">
        <f>"08347"</f>
        <v>08347</v>
      </c>
      <c r="E19526" t="s">
        <v>6</v>
      </c>
    </row>
    <row r="19527" spans="1:5" x14ac:dyDescent="0.2">
      <c r="A19527" t="str">
        <f>"08348"</f>
        <v>08348</v>
      </c>
      <c r="B19527" t="s">
        <v>37</v>
      </c>
      <c r="C19527">
        <v>8348</v>
      </c>
      <c r="D19527" t="str">
        <f>"08348"</f>
        <v>08348</v>
      </c>
      <c r="E19527">
        <v>80</v>
      </c>
    </row>
    <row r="19528" spans="1:5" x14ac:dyDescent="0.2">
      <c r="A19528" t="str">
        <f>"08349"</f>
        <v>08349</v>
      </c>
      <c r="B19528" t="s">
        <v>37</v>
      </c>
      <c r="C19528">
        <v>8349</v>
      </c>
      <c r="D19528" t="str">
        <f>"08349"</f>
        <v>08349</v>
      </c>
      <c r="E19528">
        <v>68.75</v>
      </c>
    </row>
    <row r="19529" spans="1:5" x14ac:dyDescent="0.2">
      <c r="A19529" t="str">
        <f>"08350"</f>
        <v>08350</v>
      </c>
      <c r="B19529" t="s">
        <v>37</v>
      </c>
      <c r="C19529">
        <v>8350</v>
      </c>
      <c r="D19529" t="str">
        <f>"08350"</f>
        <v>08350</v>
      </c>
      <c r="E19529">
        <v>76.319999999999993</v>
      </c>
    </row>
    <row r="19530" spans="1:5" x14ac:dyDescent="0.2">
      <c r="A19530" t="str">
        <f>"08353"</f>
        <v>08353</v>
      </c>
      <c r="B19530" t="s">
        <v>37</v>
      </c>
      <c r="C19530">
        <v>8353</v>
      </c>
      <c r="D19530" t="str">
        <f>"08353"</f>
        <v>08353</v>
      </c>
      <c r="E19530">
        <v>74.069999999999993</v>
      </c>
    </row>
    <row r="19531" spans="1:5" x14ac:dyDescent="0.2">
      <c r="A19531" t="str">
        <f>"08360"</f>
        <v>08360</v>
      </c>
      <c r="B19531" t="s">
        <v>37</v>
      </c>
      <c r="C19531">
        <v>8360</v>
      </c>
      <c r="D19531" t="str">
        <f>"08360"</f>
        <v>08360</v>
      </c>
      <c r="E19531">
        <v>63.71</v>
      </c>
    </row>
    <row r="19532" spans="1:5" x14ac:dyDescent="0.2">
      <c r="A19532" t="str">
        <f>"08361"</f>
        <v>08361</v>
      </c>
      <c r="B19532" t="s">
        <v>37</v>
      </c>
      <c r="C19532">
        <v>8361</v>
      </c>
      <c r="D19532" t="str">
        <f>"08361"</f>
        <v>08361</v>
      </c>
      <c r="E19532">
        <v>77.290000000000006</v>
      </c>
    </row>
    <row r="19533" spans="1:5" x14ac:dyDescent="0.2">
      <c r="A19533" t="str">
        <f>"08401"</f>
        <v>08401</v>
      </c>
      <c r="B19533" t="s">
        <v>37</v>
      </c>
      <c r="C19533">
        <v>8401</v>
      </c>
      <c r="D19533" t="str">
        <f>"08401"</f>
        <v>08401</v>
      </c>
      <c r="E19533">
        <v>48.87</v>
      </c>
    </row>
    <row r="19534" spans="1:5" x14ac:dyDescent="0.2">
      <c r="A19534" t="str">
        <f>"08402"</f>
        <v>08402</v>
      </c>
      <c r="B19534" t="s">
        <v>37</v>
      </c>
      <c r="C19534">
        <v>8402</v>
      </c>
      <c r="D19534" t="str">
        <f>"08402"</f>
        <v>08402</v>
      </c>
      <c r="E19534">
        <v>78.97</v>
      </c>
    </row>
    <row r="19535" spans="1:5" x14ac:dyDescent="0.2">
      <c r="A19535" t="str">
        <f>"08403"</f>
        <v>08403</v>
      </c>
      <c r="B19535" t="s">
        <v>37</v>
      </c>
      <c r="C19535">
        <v>8403</v>
      </c>
      <c r="D19535" t="str">
        <f>"08403"</f>
        <v>08403</v>
      </c>
      <c r="E19535">
        <v>81.25</v>
      </c>
    </row>
    <row r="19536" spans="1:5" x14ac:dyDescent="0.2">
      <c r="A19536" t="str">
        <f>"08406"</f>
        <v>08406</v>
      </c>
      <c r="B19536" t="s">
        <v>37</v>
      </c>
      <c r="C19536">
        <v>8406</v>
      </c>
      <c r="D19536" t="str">
        <f>"08406"</f>
        <v>08406</v>
      </c>
      <c r="E19536">
        <v>70.06</v>
      </c>
    </row>
    <row r="19537" spans="1:5" x14ac:dyDescent="0.2">
      <c r="A19537" t="str">
        <f>"08501"</f>
        <v>08501</v>
      </c>
      <c r="B19537" t="s">
        <v>37</v>
      </c>
      <c r="C19537">
        <v>8501</v>
      </c>
      <c r="D19537" t="str">
        <f>"08501"</f>
        <v>08501</v>
      </c>
      <c r="E19537">
        <v>82.32</v>
      </c>
    </row>
    <row r="19538" spans="1:5" x14ac:dyDescent="0.2">
      <c r="A19538" t="str">
        <f>"08502"</f>
        <v>08502</v>
      </c>
      <c r="B19538" t="s">
        <v>37</v>
      </c>
      <c r="C19538">
        <v>8502</v>
      </c>
      <c r="D19538" t="str">
        <f>"08502"</f>
        <v>08502</v>
      </c>
      <c r="E19538">
        <v>83.53</v>
      </c>
    </row>
    <row r="19539" spans="1:5" x14ac:dyDescent="0.2">
      <c r="A19539" t="str">
        <f>"08505"</f>
        <v>08505</v>
      </c>
      <c r="B19539" t="s">
        <v>37</v>
      </c>
      <c r="C19539">
        <v>8505</v>
      </c>
      <c r="D19539" t="str">
        <f>"08505"</f>
        <v>08505</v>
      </c>
      <c r="E19539">
        <v>81.66</v>
      </c>
    </row>
    <row r="19540" spans="1:5" x14ac:dyDescent="0.2">
      <c r="A19540" t="str">
        <f>"08510"</f>
        <v>08510</v>
      </c>
      <c r="B19540" t="s">
        <v>37</v>
      </c>
      <c r="C19540">
        <v>8510</v>
      </c>
      <c r="D19540" t="str">
        <f>"08510"</f>
        <v>08510</v>
      </c>
      <c r="E19540">
        <v>80.17</v>
      </c>
    </row>
    <row r="19541" spans="1:5" x14ac:dyDescent="0.2">
      <c r="A19541" t="str">
        <f>"08511"</f>
        <v>08511</v>
      </c>
      <c r="B19541" t="s">
        <v>37</v>
      </c>
      <c r="C19541">
        <v>8511</v>
      </c>
      <c r="D19541" t="str">
        <f>"08511"</f>
        <v>08511</v>
      </c>
      <c r="E19541">
        <v>78</v>
      </c>
    </row>
    <row r="19542" spans="1:5" x14ac:dyDescent="0.2">
      <c r="A19542" t="str">
        <f>"08512"</f>
        <v>08512</v>
      </c>
      <c r="B19542" t="s">
        <v>37</v>
      </c>
      <c r="C19542">
        <v>8512</v>
      </c>
      <c r="D19542" t="str">
        <f>"08512"</f>
        <v>08512</v>
      </c>
      <c r="E19542">
        <v>79.16</v>
      </c>
    </row>
    <row r="19543" spans="1:5" x14ac:dyDescent="0.2">
      <c r="A19543" t="str">
        <f>"08514"</f>
        <v>08514</v>
      </c>
      <c r="B19543" t="s">
        <v>37</v>
      </c>
      <c r="C19543">
        <v>8514</v>
      </c>
      <c r="D19543" t="str">
        <f>"08514"</f>
        <v>08514</v>
      </c>
      <c r="E19543">
        <v>81.03</v>
      </c>
    </row>
    <row r="19544" spans="1:5" x14ac:dyDescent="0.2">
      <c r="A19544" t="str">
        <f>"08515"</f>
        <v>08515</v>
      </c>
      <c r="B19544" t="s">
        <v>37</v>
      </c>
      <c r="C19544">
        <v>8515</v>
      </c>
      <c r="D19544" t="str">
        <f>"08515"</f>
        <v>08515</v>
      </c>
      <c r="E19544">
        <v>84.23</v>
      </c>
    </row>
    <row r="19545" spans="1:5" x14ac:dyDescent="0.2">
      <c r="A19545" t="str">
        <f>"08518"</f>
        <v>08518</v>
      </c>
      <c r="B19545" t="s">
        <v>37</v>
      </c>
      <c r="C19545">
        <v>8518</v>
      </c>
      <c r="D19545" t="str">
        <f>"08518"</f>
        <v>08518</v>
      </c>
      <c r="E19545">
        <v>76.819999999999993</v>
      </c>
    </row>
    <row r="19546" spans="1:5" x14ac:dyDescent="0.2">
      <c r="A19546" t="str">
        <f>"08520"</f>
        <v>08520</v>
      </c>
      <c r="B19546" t="s">
        <v>37</v>
      </c>
      <c r="C19546">
        <v>8520</v>
      </c>
      <c r="D19546" t="str">
        <f>"08520"</f>
        <v>08520</v>
      </c>
      <c r="E19546">
        <v>76.97</v>
      </c>
    </row>
    <row r="19547" spans="1:5" x14ac:dyDescent="0.2">
      <c r="A19547" t="str">
        <f>"08525"</f>
        <v>08525</v>
      </c>
      <c r="B19547" t="s">
        <v>37</v>
      </c>
      <c r="C19547">
        <v>8525</v>
      </c>
      <c r="D19547" t="str">
        <f>"08525"</f>
        <v>08525</v>
      </c>
      <c r="E19547">
        <v>82.4</v>
      </c>
    </row>
    <row r="19548" spans="1:5" x14ac:dyDescent="0.2">
      <c r="A19548" t="str">
        <f>"08527"</f>
        <v>08527</v>
      </c>
      <c r="B19548" t="s">
        <v>37</v>
      </c>
      <c r="C19548">
        <v>8527</v>
      </c>
      <c r="D19548" t="str">
        <f>"08527"</f>
        <v>08527</v>
      </c>
      <c r="E19548">
        <v>76.69</v>
      </c>
    </row>
    <row r="19549" spans="1:5" x14ac:dyDescent="0.2">
      <c r="A19549" t="str">
        <f>"08528"</f>
        <v>08528</v>
      </c>
      <c r="B19549" t="s">
        <v>37</v>
      </c>
      <c r="C19549">
        <v>8528</v>
      </c>
      <c r="D19549" t="str">
        <f>"08528"</f>
        <v>08528</v>
      </c>
      <c r="E19549">
        <v>85.71</v>
      </c>
    </row>
    <row r="19550" spans="1:5" x14ac:dyDescent="0.2">
      <c r="A19550" t="str">
        <f>"08530"</f>
        <v>08530</v>
      </c>
      <c r="B19550" t="s">
        <v>37</v>
      </c>
      <c r="C19550">
        <v>8530</v>
      </c>
      <c r="D19550" t="str">
        <f>"08530"</f>
        <v>08530</v>
      </c>
      <c r="E19550">
        <v>82.07</v>
      </c>
    </row>
    <row r="19551" spans="1:5" x14ac:dyDescent="0.2">
      <c r="A19551" t="str">
        <f>"08533"</f>
        <v>08533</v>
      </c>
      <c r="B19551" t="s">
        <v>37</v>
      </c>
      <c r="C19551">
        <v>8533</v>
      </c>
      <c r="D19551" t="str">
        <f>"08533"</f>
        <v>08533</v>
      </c>
      <c r="E19551">
        <v>79.010000000000005</v>
      </c>
    </row>
    <row r="19552" spans="1:5" x14ac:dyDescent="0.2">
      <c r="A19552" t="str">
        <f>"08534"</f>
        <v>08534</v>
      </c>
      <c r="B19552" t="s">
        <v>37</v>
      </c>
      <c r="C19552">
        <v>8534</v>
      </c>
      <c r="D19552" t="str">
        <f>"08534"</f>
        <v>08534</v>
      </c>
      <c r="E19552">
        <v>83.12</v>
      </c>
    </row>
    <row r="19553" spans="1:5" x14ac:dyDescent="0.2">
      <c r="A19553" t="str">
        <f>"08535"</f>
        <v>08535</v>
      </c>
      <c r="B19553" t="s">
        <v>37</v>
      </c>
      <c r="C19553">
        <v>8535</v>
      </c>
      <c r="D19553" t="str">
        <f>"08535"</f>
        <v>08535</v>
      </c>
      <c r="E19553">
        <v>78.540000000000006</v>
      </c>
    </row>
    <row r="19554" spans="1:5" x14ac:dyDescent="0.2">
      <c r="A19554" t="str">
        <f>"08536"</f>
        <v>08536</v>
      </c>
      <c r="B19554" t="s">
        <v>37</v>
      </c>
      <c r="C19554">
        <v>8536</v>
      </c>
      <c r="D19554" t="str">
        <f>"08536"</f>
        <v>08536</v>
      </c>
      <c r="E19554">
        <v>86.12</v>
      </c>
    </row>
    <row r="19555" spans="1:5" x14ac:dyDescent="0.2">
      <c r="A19555" t="str">
        <f>"08540"</f>
        <v>08540</v>
      </c>
      <c r="B19555" t="s">
        <v>37</v>
      </c>
      <c r="C19555">
        <v>8540</v>
      </c>
      <c r="D19555" t="str">
        <f>"08540"</f>
        <v>08540</v>
      </c>
      <c r="E19555">
        <v>82.78</v>
      </c>
    </row>
    <row r="19556" spans="1:5" x14ac:dyDescent="0.2">
      <c r="A19556" t="str">
        <f>"08542"</f>
        <v>08542</v>
      </c>
      <c r="B19556" t="s">
        <v>37</v>
      </c>
      <c r="C19556">
        <v>8542</v>
      </c>
      <c r="D19556" t="str">
        <f>"08542"</f>
        <v>08542</v>
      </c>
      <c r="E19556">
        <v>78.09</v>
      </c>
    </row>
    <row r="19557" spans="1:5" x14ac:dyDescent="0.2">
      <c r="A19557" t="str">
        <f>"08544"</f>
        <v>08544</v>
      </c>
      <c r="B19557" t="s">
        <v>37</v>
      </c>
      <c r="C19557">
        <v>8544</v>
      </c>
      <c r="D19557" t="str">
        <f>"08544"</f>
        <v>08544</v>
      </c>
      <c r="E19557" t="s">
        <v>6</v>
      </c>
    </row>
    <row r="19558" spans="1:5" x14ac:dyDescent="0.2">
      <c r="A19558" t="str">
        <f>"08550"</f>
        <v>08550</v>
      </c>
      <c r="B19558" t="s">
        <v>37</v>
      </c>
      <c r="C19558">
        <v>8550</v>
      </c>
      <c r="D19558" t="str">
        <f>"08550"</f>
        <v>08550</v>
      </c>
      <c r="E19558">
        <v>83.57</v>
      </c>
    </row>
    <row r="19559" spans="1:5" x14ac:dyDescent="0.2">
      <c r="A19559" t="str">
        <f>"08551"</f>
        <v>08551</v>
      </c>
      <c r="B19559" t="s">
        <v>37</v>
      </c>
      <c r="C19559">
        <v>8551</v>
      </c>
      <c r="D19559" t="str">
        <f>"08551"</f>
        <v>08551</v>
      </c>
      <c r="E19559">
        <v>80.62</v>
      </c>
    </row>
    <row r="19560" spans="1:5" x14ac:dyDescent="0.2">
      <c r="A19560" t="str">
        <f>"08553"</f>
        <v>08553</v>
      </c>
      <c r="B19560" t="s">
        <v>37</v>
      </c>
      <c r="C19560">
        <v>8553</v>
      </c>
      <c r="D19560" t="str">
        <f>"08553"</f>
        <v>08553</v>
      </c>
      <c r="E19560">
        <v>73.17</v>
      </c>
    </row>
    <row r="19561" spans="1:5" x14ac:dyDescent="0.2">
      <c r="A19561" t="str">
        <f>"08554"</f>
        <v>08554</v>
      </c>
      <c r="B19561" t="s">
        <v>37</v>
      </c>
      <c r="C19561">
        <v>8554</v>
      </c>
      <c r="D19561" t="str">
        <f>"08554"</f>
        <v>08554</v>
      </c>
      <c r="E19561">
        <v>76.47</v>
      </c>
    </row>
    <row r="19562" spans="1:5" x14ac:dyDescent="0.2">
      <c r="A19562" t="str">
        <f>"08555"</f>
        <v>08555</v>
      </c>
      <c r="B19562" t="s">
        <v>37</v>
      </c>
      <c r="C19562">
        <v>8555</v>
      </c>
      <c r="D19562" t="str">
        <f>"08555"</f>
        <v>08555</v>
      </c>
      <c r="E19562" t="s">
        <v>6</v>
      </c>
    </row>
    <row r="19563" spans="1:5" x14ac:dyDescent="0.2">
      <c r="A19563" t="str">
        <f>"08558"</f>
        <v>08558</v>
      </c>
      <c r="B19563" t="s">
        <v>37</v>
      </c>
      <c r="C19563">
        <v>8558</v>
      </c>
      <c r="D19563" t="str">
        <f>"08558"</f>
        <v>08558</v>
      </c>
      <c r="E19563">
        <v>82.34</v>
      </c>
    </row>
    <row r="19564" spans="1:5" x14ac:dyDescent="0.2">
      <c r="A19564" t="str">
        <f>"08559"</f>
        <v>08559</v>
      </c>
      <c r="B19564" t="s">
        <v>37</v>
      </c>
      <c r="C19564">
        <v>8559</v>
      </c>
      <c r="D19564" t="str">
        <f>"08559"</f>
        <v>08559</v>
      </c>
      <c r="E19564">
        <v>82.72</v>
      </c>
    </row>
    <row r="19565" spans="1:5" x14ac:dyDescent="0.2">
      <c r="A19565" t="str">
        <f>"08560"</f>
        <v>08560</v>
      </c>
      <c r="B19565" t="s">
        <v>37</v>
      </c>
      <c r="C19565">
        <v>8560</v>
      </c>
      <c r="D19565" t="str">
        <f>"08560"</f>
        <v>08560</v>
      </c>
      <c r="E19565">
        <v>82.49</v>
      </c>
    </row>
    <row r="19566" spans="1:5" x14ac:dyDescent="0.2">
      <c r="A19566" t="str">
        <f>"08561"</f>
        <v>08561</v>
      </c>
      <c r="B19566" t="s">
        <v>37</v>
      </c>
      <c r="C19566">
        <v>8561</v>
      </c>
      <c r="D19566" t="str">
        <f>"08561"</f>
        <v>08561</v>
      </c>
      <c r="E19566" t="s">
        <v>6</v>
      </c>
    </row>
    <row r="19567" spans="1:5" x14ac:dyDescent="0.2">
      <c r="A19567" t="str">
        <f>"08562"</f>
        <v>08562</v>
      </c>
      <c r="B19567" t="s">
        <v>37</v>
      </c>
      <c r="C19567">
        <v>8562</v>
      </c>
      <c r="D19567" t="str">
        <f>"08562"</f>
        <v>08562</v>
      </c>
      <c r="E19567">
        <v>74.19</v>
      </c>
    </row>
    <row r="19568" spans="1:5" x14ac:dyDescent="0.2">
      <c r="A19568" t="str">
        <f>"08607"</f>
        <v>08607</v>
      </c>
      <c r="B19568" t="s">
        <v>37</v>
      </c>
      <c r="C19568">
        <v>8607</v>
      </c>
      <c r="D19568" t="str">
        <f>"08607"</f>
        <v>08607</v>
      </c>
      <c r="E19568" t="s">
        <v>6</v>
      </c>
    </row>
    <row r="19569" spans="1:5" x14ac:dyDescent="0.2">
      <c r="A19569" t="str">
        <f>"08608"</f>
        <v>08608</v>
      </c>
      <c r="B19569" t="s">
        <v>37</v>
      </c>
      <c r="C19569">
        <v>8608</v>
      </c>
      <c r="D19569" t="str">
        <f>"08608"</f>
        <v>08608</v>
      </c>
      <c r="E19569">
        <v>56.41</v>
      </c>
    </row>
    <row r="19570" spans="1:5" x14ac:dyDescent="0.2">
      <c r="A19570" t="str">
        <f>"08609"</f>
        <v>08609</v>
      </c>
      <c r="B19570" t="s">
        <v>37</v>
      </c>
      <c r="C19570">
        <v>8609</v>
      </c>
      <c r="D19570" t="str">
        <f>"08609"</f>
        <v>08609</v>
      </c>
      <c r="E19570">
        <v>50.76</v>
      </c>
    </row>
    <row r="19571" spans="1:5" x14ac:dyDescent="0.2">
      <c r="A19571" t="str">
        <f>"08610"</f>
        <v>08610</v>
      </c>
      <c r="B19571" t="s">
        <v>37</v>
      </c>
      <c r="C19571">
        <v>8610</v>
      </c>
      <c r="D19571" t="str">
        <f>"08610"</f>
        <v>08610</v>
      </c>
      <c r="E19571">
        <v>72.099999999999994</v>
      </c>
    </row>
    <row r="19572" spans="1:5" x14ac:dyDescent="0.2">
      <c r="A19572" t="str">
        <f>"08611"</f>
        <v>08611</v>
      </c>
      <c r="B19572" t="s">
        <v>37</v>
      </c>
      <c r="C19572">
        <v>8611</v>
      </c>
      <c r="D19572" t="str">
        <f>"08611"</f>
        <v>08611</v>
      </c>
      <c r="E19572">
        <v>49.24</v>
      </c>
    </row>
    <row r="19573" spans="1:5" x14ac:dyDescent="0.2">
      <c r="A19573" t="str">
        <f>"08618"</f>
        <v>08618</v>
      </c>
      <c r="B19573" t="s">
        <v>37</v>
      </c>
      <c r="C19573">
        <v>8618</v>
      </c>
      <c r="D19573" t="str">
        <f>"08618"</f>
        <v>08618</v>
      </c>
      <c r="E19573">
        <v>62.86</v>
      </c>
    </row>
    <row r="19574" spans="1:5" x14ac:dyDescent="0.2">
      <c r="A19574" t="str">
        <f>"08619"</f>
        <v>08619</v>
      </c>
      <c r="B19574" t="s">
        <v>37</v>
      </c>
      <c r="C19574">
        <v>8619</v>
      </c>
      <c r="D19574" t="str">
        <f>"08619"</f>
        <v>08619</v>
      </c>
      <c r="E19574">
        <v>80.66</v>
      </c>
    </row>
    <row r="19575" spans="1:5" x14ac:dyDescent="0.2">
      <c r="A19575" t="str">
        <f>"08620"</f>
        <v>08620</v>
      </c>
      <c r="B19575" t="s">
        <v>37</v>
      </c>
      <c r="C19575">
        <v>8620</v>
      </c>
      <c r="D19575" t="str">
        <f>"08620"</f>
        <v>08620</v>
      </c>
      <c r="E19575">
        <v>82.13</v>
      </c>
    </row>
    <row r="19576" spans="1:5" x14ac:dyDescent="0.2">
      <c r="A19576" t="str">
        <f>"08628"</f>
        <v>08628</v>
      </c>
      <c r="B19576" t="s">
        <v>37</v>
      </c>
      <c r="C19576">
        <v>8628</v>
      </c>
      <c r="D19576" t="str">
        <f>"08628"</f>
        <v>08628</v>
      </c>
      <c r="E19576">
        <v>84.38</v>
      </c>
    </row>
    <row r="19577" spans="1:5" x14ac:dyDescent="0.2">
      <c r="A19577" t="str">
        <f>"08629"</f>
        <v>08629</v>
      </c>
      <c r="B19577" t="s">
        <v>37</v>
      </c>
      <c r="C19577">
        <v>8629</v>
      </c>
      <c r="D19577" t="str">
        <f>"08629"</f>
        <v>08629</v>
      </c>
      <c r="E19577">
        <v>59.9</v>
      </c>
    </row>
    <row r="19578" spans="1:5" x14ac:dyDescent="0.2">
      <c r="A19578" t="str">
        <f>"08638"</f>
        <v>08638</v>
      </c>
      <c r="B19578" t="s">
        <v>37</v>
      </c>
      <c r="C19578">
        <v>8638</v>
      </c>
      <c r="D19578" t="str">
        <f>"08638"</f>
        <v>08638</v>
      </c>
      <c r="E19578">
        <v>66.73</v>
      </c>
    </row>
    <row r="19579" spans="1:5" x14ac:dyDescent="0.2">
      <c r="A19579" t="str">
        <f>"08640"</f>
        <v>08640</v>
      </c>
      <c r="B19579" t="s">
        <v>37</v>
      </c>
      <c r="C19579">
        <v>8640</v>
      </c>
      <c r="D19579" t="str">
        <f>"08640"</f>
        <v>08640</v>
      </c>
      <c r="E19579">
        <v>68.89</v>
      </c>
    </row>
    <row r="19580" spans="1:5" x14ac:dyDescent="0.2">
      <c r="A19580" t="str">
        <f>"08641"</f>
        <v>08641</v>
      </c>
      <c r="B19580" t="s">
        <v>37</v>
      </c>
      <c r="C19580">
        <v>8641</v>
      </c>
      <c r="D19580" t="str">
        <f>"08641"</f>
        <v>08641</v>
      </c>
      <c r="E19580">
        <v>68.819999999999993</v>
      </c>
    </row>
    <row r="19581" spans="1:5" x14ac:dyDescent="0.2">
      <c r="A19581" t="str">
        <f>"08648"</f>
        <v>08648</v>
      </c>
      <c r="B19581" t="s">
        <v>37</v>
      </c>
      <c r="C19581">
        <v>8648</v>
      </c>
      <c r="D19581" t="str">
        <f>"08648"</f>
        <v>08648</v>
      </c>
      <c r="E19581">
        <v>79.459999999999994</v>
      </c>
    </row>
    <row r="19582" spans="1:5" x14ac:dyDescent="0.2">
      <c r="A19582" t="str">
        <f>"08690"</f>
        <v>08690</v>
      </c>
      <c r="B19582" t="s">
        <v>37</v>
      </c>
      <c r="C19582">
        <v>8690</v>
      </c>
      <c r="D19582" t="str">
        <f>"08690"</f>
        <v>08690</v>
      </c>
      <c r="E19582">
        <v>83.43</v>
      </c>
    </row>
    <row r="19583" spans="1:5" x14ac:dyDescent="0.2">
      <c r="A19583" t="str">
        <f>"08691"</f>
        <v>08691</v>
      </c>
      <c r="B19583" t="s">
        <v>37</v>
      </c>
      <c r="C19583">
        <v>8691</v>
      </c>
      <c r="D19583" t="str">
        <f>"08691"</f>
        <v>08691</v>
      </c>
      <c r="E19583">
        <v>83.94</v>
      </c>
    </row>
    <row r="19584" spans="1:5" x14ac:dyDescent="0.2">
      <c r="A19584" t="str">
        <f>"08701"</f>
        <v>08701</v>
      </c>
      <c r="B19584" t="s">
        <v>37</v>
      </c>
      <c r="C19584">
        <v>8701</v>
      </c>
      <c r="D19584" t="str">
        <f>"08701"</f>
        <v>08701</v>
      </c>
      <c r="E19584">
        <v>50.88</v>
      </c>
    </row>
    <row r="19585" spans="1:5" x14ac:dyDescent="0.2">
      <c r="A19585" t="str">
        <f>"08720"</f>
        <v>08720</v>
      </c>
      <c r="B19585" t="s">
        <v>37</v>
      </c>
      <c r="C19585">
        <v>8720</v>
      </c>
      <c r="D19585" t="str">
        <f>"08720"</f>
        <v>08720</v>
      </c>
      <c r="E19585" t="s">
        <v>6</v>
      </c>
    </row>
    <row r="19586" spans="1:5" x14ac:dyDescent="0.2">
      <c r="A19586" t="str">
        <f>"08721"</f>
        <v>08721</v>
      </c>
      <c r="B19586" t="s">
        <v>37</v>
      </c>
      <c r="C19586">
        <v>8721</v>
      </c>
      <c r="D19586" t="str">
        <f>"08721"</f>
        <v>08721</v>
      </c>
      <c r="E19586">
        <v>77.59</v>
      </c>
    </row>
    <row r="19587" spans="1:5" x14ac:dyDescent="0.2">
      <c r="A19587" t="str">
        <f>"08722"</f>
        <v>08722</v>
      </c>
      <c r="B19587" t="s">
        <v>37</v>
      </c>
      <c r="C19587">
        <v>8722</v>
      </c>
      <c r="D19587" t="str">
        <f>"08722"</f>
        <v>08722</v>
      </c>
      <c r="E19587">
        <v>77.19</v>
      </c>
    </row>
    <row r="19588" spans="1:5" x14ac:dyDescent="0.2">
      <c r="A19588" t="str">
        <f>"08723"</f>
        <v>08723</v>
      </c>
      <c r="B19588" t="s">
        <v>37</v>
      </c>
      <c r="C19588">
        <v>8723</v>
      </c>
      <c r="D19588" t="str">
        <f>"08723"</f>
        <v>08723</v>
      </c>
      <c r="E19588">
        <v>76.510000000000005</v>
      </c>
    </row>
    <row r="19589" spans="1:5" x14ac:dyDescent="0.2">
      <c r="A19589" t="str">
        <f>"08724"</f>
        <v>08724</v>
      </c>
      <c r="B19589" t="s">
        <v>37</v>
      </c>
      <c r="C19589">
        <v>8724</v>
      </c>
      <c r="D19589" t="str">
        <f>"08724"</f>
        <v>08724</v>
      </c>
      <c r="E19589">
        <v>77.760000000000005</v>
      </c>
    </row>
    <row r="19590" spans="1:5" x14ac:dyDescent="0.2">
      <c r="A19590" t="str">
        <f>"08730"</f>
        <v>08730</v>
      </c>
      <c r="B19590" t="s">
        <v>37</v>
      </c>
      <c r="C19590">
        <v>8730</v>
      </c>
      <c r="D19590" t="str">
        <f>"08730"</f>
        <v>08730</v>
      </c>
      <c r="E19590">
        <v>76.53</v>
      </c>
    </row>
    <row r="19591" spans="1:5" x14ac:dyDescent="0.2">
      <c r="A19591" t="str">
        <f>"08731"</f>
        <v>08731</v>
      </c>
      <c r="B19591" t="s">
        <v>37</v>
      </c>
      <c r="C19591">
        <v>8731</v>
      </c>
      <c r="D19591" t="str">
        <f>"08731"</f>
        <v>08731</v>
      </c>
      <c r="E19591">
        <v>78.62</v>
      </c>
    </row>
    <row r="19592" spans="1:5" x14ac:dyDescent="0.2">
      <c r="A19592" t="str">
        <f>"08732"</f>
        <v>08732</v>
      </c>
      <c r="B19592" t="s">
        <v>37</v>
      </c>
      <c r="C19592">
        <v>8732</v>
      </c>
      <c r="D19592" t="str">
        <f>"08732"</f>
        <v>08732</v>
      </c>
      <c r="E19592" t="s">
        <v>6</v>
      </c>
    </row>
    <row r="19593" spans="1:5" x14ac:dyDescent="0.2">
      <c r="A19593" t="str">
        <f>"08733"</f>
        <v>08733</v>
      </c>
      <c r="B19593" t="s">
        <v>37</v>
      </c>
      <c r="C19593">
        <v>8733</v>
      </c>
      <c r="D19593" t="str">
        <f>"08733"</f>
        <v>08733</v>
      </c>
      <c r="E19593">
        <v>71.94</v>
      </c>
    </row>
    <row r="19594" spans="1:5" x14ac:dyDescent="0.2">
      <c r="A19594" t="str">
        <f>"08734"</f>
        <v>08734</v>
      </c>
      <c r="B19594" t="s">
        <v>37</v>
      </c>
      <c r="C19594">
        <v>8734</v>
      </c>
      <c r="D19594" t="str">
        <f>"08734"</f>
        <v>08734</v>
      </c>
      <c r="E19594">
        <v>79.95</v>
      </c>
    </row>
    <row r="19595" spans="1:5" x14ac:dyDescent="0.2">
      <c r="A19595" t="str">
        <f>"08735"</f>
        <v>08735</v>
      </c>
      <c r="B19595" t="s">
        <v>37</v>
      </c>
      <c r="C19595">
        <v>8735</v>
      </c>
      <c r="D19595" t="str">
        <f>"08735"</f>
        <v>08735</v>
      </c>
      <c r="E19595">
        <v>80</v>
      </c>
    </row>
    <row r="19596" spans="1:5" x14ac:dyDescent="0.2">
      <c r="A19596" t="str">
        <f>"08736"</f>
        <v>08736</v>
      </c>
      <c r="B19596" t="s">
        <v>37</v>
      </c>
      <c r="C19596">
        <v>8736</v>
      </c>
      <c r="D19596" t="str">
        <f>"08736"</f>
        <v>08736</v>
      </c>
      <c r="E19596">
        <v>79.73</v>
      </c>
    </row>
    <row r="19597" spans="1:5" x14ac:dyDescent="0.2">
      <c r="A19597" t="str">
        <f>"08738"</f>
        <v>08738</v>
      </c>
      <c r="B19597" t="s">
        <v>37</v>
      </c>
      <c r="C19597">
        <v>8738</v>
      </c>
      <c r="D19597" t="str">
        <f>"08738"</f>
        <v>08738</v>
      </c>
      <c r="E19597">
        <v>81.400000000000006</v>
      </c>
    </row>
    <row r="19598" spans="1:5" x14ac:dyDescent="0.2">
      <c r="A19598" t="str">
        <f>"08739"</f>
        <v>08739</v>
      </c>
      <c r="B19598" t="s">
        <v>37</v>
      </c>
      <c r="C19598">
        <v>8739</v>
      </c>
      <c r="D19598" t="str">
        <f>"08739"</f>
        <v>08739</v>
      </c>
      <c r="E19598" t="s">
        <v>6</v>
      </c>
    </row>
    <row r="19599" spans="1:5" x14ac:dyDescent="0.2">
      <c r="A19599" t="str">
        <f>"08740"</f>
        <v>08740</v>
      </c>
      <c r="B19599" t="s">
        <v>37</v>
      </c>
      <c r="C19599">
        <v>8740</v>
      </c>
      <c r="D19599" t="str">
        <f>"08740"</f>
        <v>08740</v>
      </c>
      <c r="E19599" t="s">
        <v>6</v>
      </c>
    </row>
    <row r="19600" spans="1:5" x14ac:dyDescent="0.2">
      <c r="A19600" t="str">
        <f>"08741"</f>
        <v>08741</v>
      </c>
      <c r="B19600" t="s">
        <v>37</v>
      </c>
      <c r="C19600">
        <v>8741</v>
      </c>
      <c r="D19600" t="str">
        <f>"08741"</f>
        <v>08741</v>
      </c>
      <c r="E19600">
        <v>80.14</v>
      </c>
    </row>
    <row r="19601" spans="1:5" x14ac:dyDescent="0.2">
      <c r="A19601" t="str">
        <f>"08742"</f>
        <v>08742</v>
      </c>
      <c r="B19601" t="s">
        <v>37</v>
      </c>
      <c r="C19601">
        <v>8742</v>
      </c>
      <c r="D19601" t="str">
        <f>"08742"</f>
        <v>08742</v>
      </c>
      <c r="E19601">
        <v>79.05</v>
      </c>
    </row>
    <row r="19602" spans="1:5" x14ac:dyDescent="0.2">
      <c r="A19602" t="str">
        <f>"08750"</f>
        <v>08750</v>
      </c>
      <c r="B19602" t="s">
        <v>37</v>
      </c>
      <c r="C19602">
        <v>8750</v>
      </c>
      <c r="D19602" t="str">
        <f>"08750"</f>
        <v>08750</v>
      </c>
      <c r="E19602">
        <v>79.7</v>
      </c>
    </row>
    <row r="19603" spans="1:5" x14ac:dyDescent="0.2">
      <c r="A19603" t="str">
        <f>"08751"</f>
        <v>08751</v>
      </c>
      <c r="B19603" t="s">
        <v>37</v>
      </c>
      <c r="C19603">
        <v>8751</v>
      </c>
      <c r="D19603" t="str">
        <f>"08751"</f>
        <v>08751</v>
      </c>
      <c r="E19603">
        <v>67.72</v>
      </c>
    </row>
    <row r="19604" spans="1:5" x14ac:dyDescent="0.2">
      <c r="A19604" t="str">
        <f>"08752"</f>
        <v>08752</v>
      </c>
      <c r="B19604" t="s">
        <v>37</v>
      </c>
      <c r="C19604">
        <v>8752</v>
      </c>
      <c r="D19604" t="str">
        <f>"08752"</f>
        <v>08752</v>
      </c>
      <c r="E19604">
        <v>78.989999999999995</v>
      </c>
    </row>
    <row r="19605" spans="1:5" x14ac:dyDescent="0.2">
      <c r="A19605" t="str">
        <f>"08753"</f>
        <v>08753</v>
      </c>
      <c r="B19605" t="s">
        <v>37</v>
      </c>
      <c r="C19605">
        <v>8753</v>
      </c>
      <c r="D19605" t="str">
        <f>"08753"</f>
        <v>08753</v>
      </c>
      <c r="E19605">
        <v>76.86</v>
      </c>
    </row>
    <row r="19606" spans="1:5" x14ac:dyDescent="0.2">
      <c r="A19606" t="str">
        <f>"08754"</f>
        <v>08754</v>
      </c>
      <c r="B19606" t="s">
        <v>37</v>
      </c>
      <c r="C19606">
        <v>8754</v>
      </c>
      <c r="D19606" t="str">
        <f>"08754"</f>
        <v>08754</v>
      </c>
      <c r="E19606" t="s">
        <v>6</v>
      </c>
    </row>
    <row r="19607" spans="1:5" x14ac:dyDescent="0.2">
      <c r="A19607" t="str">
        <f>"08755"</f>
        <v>08755</v>
      </c>
      <c r="B19607" t="s">
        <v>37</v>
      </c>
      <c r="C19607">
        <v>8755</v>
      </c>
      <c r="D19607" t="str">
        <f>"08755"</f>
        <v>08755</v>
      </c>
      <c r="E19607">
        <v>75.430000000000007</v>
      </c>
    </row>
    <row r="19608" spans="1:5" x14ac:dyDescent="0.2">
      <c r="A19608" t="str">
        <f>"08757"</f>
        <v>08757</v>
      </c>
      <c r="B19608" t="s">
        <v>37</v>
      </c>
      <c r="C19608">
        <v>8757</v>
      </c>
      <c r="D19608" t="str">
        <f>"08757"</f>
        <v>08757</v>
      </c>
      <c r="E19608">
        <v>73.16</v>
      </c>
    </row>
    <row r="19609" spans="1:5" x14ac:dyDescent="0.2">
      <c r="A19609" t="str">
        <f>"08758"</f>
        <v>08758</v>
      </c>
      <c r="B19609" t="s">
        <v>37</v>
      </c>
      <c r="C19609">
        <v>8758</v>
      </c>
      <c r="D19609" t="str">
        <f>"08758"</f>
        <v>08758</v>
      </c>
      <c r="E19609">
        <v>80.239999999999995</v>
      </c>
    </row>
    <row r="19610" spans="1:5" x14ac:dyDescent="0.2">
      <c r="A19610" t="str">
        <f>"08759"</f>
        <v>08759</v>
      </c>
      <c r="B19610" t="s">
        <v>37</v>
      </c>
      <c r="C19610">
        <v>8759</v>
      </c>
      <c r="D19610" t="str">
        <f>"08759"</f>
        <v>08759</v>
      </c>
      <c r="E19610">
        <v>74.180000000000007</v>
      </c>
    </row>
    <row r="19611" spans="1:5" x14ac:dyDescent="0.2">
      <c r="A19611" t="str">
        <f>"08801"</f>
        <v>08801</v>
      </c>
      <c r="B19611" t="s">
        <v>37</v>
      </c>
      <c r="C19611">
        <v>8801</v>
      </c>
      <c r="D19611" t="str">
        <f>"08801"</f>
        <v>08801</v>
      </c>
      <c r="E19611">
        <v>82.55</v>
      </c>
    </row>
    <row r="19612" spans="1:5" x14ac:dyDescent="0.2">
      <c r="A19612" t="str">
        <f>"08802"</f>
        <v>08802</v>
      </c>
      <c r="B19612" t="s">
        <v>37</v>
      </c>
      <c r="C19612">
        <v>8802</v>
      </c>
      <c r="D19612" t="str">
        <f>"08802"</f>
        <v>08802</v>
      </c>
      <c r="E19612">
        <v>80.5</v>
      </c>
    </row>
    <row r="19613" spans="1:5" x14ac:dyDescent="0.2">
      <c r="A19613" t="str">
        <f>"08804"</f>
        <v>08804</v>
      </c>
      <c r="B19613" t="s">
        <v>37</v>
      </c>
      <c r="C19613">
        <v>8804</v>
      </c>
      <c r="D19613" t="str">
        <f>"08804"</f>
        <v>08804</v>
      </c>
      <c r="E19613">
        <v>81.33</v>
      </c>
    </row>
    <row r="19614" spans="1:5" x14ac:dyDescent="0.2">
      <c r="A19614" t="str">
        <f>"08805"</f>
        <v>08805</v>
      </c>
      <c r="B19614" t="s">
        <v>37</v>
      </c>
      <c r="C19614">
        <v>8805</v>
      </c>
      <c r="D19614" t="str">
        <f>"08805"</f>
        <v>08805</v>
      </c>
      <c r="E19614">
        <v>71.91</v>
      </c>
    </row>
    <row r="19615" spans="1:5" x14ac:dyDescent="0.2">
      <c r="A19615" t="str">
        <f>"08807"</f>
        <v>08807</v>
      </c>
      <c r="B19615" t="s">
        <v>37</v>
      </c>
      <c r="C19615">
        <v>8807</v>
      </c>
      <c r="D19615" t="str">
        <f>"08807"</f>
        <v>08807</v>
      </c>
      <c r="E19615">
        <v>82.06</v>
      </c>
    </row>
    <row r="19616" spans="1:5" x14ac:dyDescent="0.2">
      <c r="A19616" t="str">
        <f>"08809"</f>
        <v>08809</v>
      </c>
      <c r="B19616" t="s">
        <v>37</v>
      </c>
      <c r="C19616">
        <v>8809</v>
      </c>
      <c r="D19616" t="str">
        <f>"08809"</f>
        <v>08809</v>
      </c>
      <c r="E19616">
        <v>82.17</v>
      </c>
    </row>
    <row r="19617" spans="1:5" x14ac:dyDescent="0.2">
      <c r="A19617" t="str">
        <f>"08810"</f>
        <v>08810</v>
      </c>
      <c r="B19617" t="s">
        <v>37</v>
      </c>
      <c r="C19617">
        <v>8810</v>
      </c>
      <c r="D19617" t="str">
        <f>"08810"</f>
        <v>08810</v>
      </c>
      <c r="E19617">
        <v>80.61</v>
      </c>
    </row>
    <row r="19618" spans="1:5" x14ac:dyDescent="0.2">
      <c r="A19618" t="str">
        <f>"08812"</f>
        <v>08812</v>
      </c>
      <c r="B19618" t="s">
        <v>37</v>
      </c>
      <c r="C19618">
        <v>8812</v>
      </c>
      <c r="D19618" t="str">
        <f>"08812"</f>
        <v>08812</v>
      </c>
      <c r="E19618">
        <v>77.62</v>
      </c>
    </row>
    <row r="19619" spans="1:5" x14ac:dyDescent="0.2">
      <c r="A19619" t="str">
        <f>"08816"</f>
        <v>08816</v>
      </c>
      <c r="B19619" t="s">
        <v>37</v>
      </c>
      <c r="C19619">
        <v>8816</v>
      </c>
      <c r="D19619" t="str">
        <f>"08816"</f>
        <v>08816</v>
      </c>
      <c r="E19619">
        <v>79.17</v>
      </c>
    </row>
    <row r="19620" spans="1:5" x14ac:dyDescent="0.2">
      <c r="A19620" t="str">
        <f>"08817"</f>
        <v>08817</v>
      </c>
      <c r="B19620" t="s">
        <v>37</v>
      </c>
      <c r="C19620">
        <v>8817</v>
      </c>
      <c r="D19620" t="str">
        <f>"08817"</f>
        <v>08817</v>
      </c>
      <c r="E19620">
        <v>78.239999999999995</v>
      </c>
    </row>
    <row r="19621" spans="1:5" x14ac:dyDescent="0.2">
      <c r="A19621" t="str">
        <f>"08820"</f>
        <v>08820</v>
      </c>
      <c r="B19621" t="s">
        <v>37</v>
      </c>
      <c r="C19621">
        <v>8820</v>
      </c>
      <c r="D19621" t="str">
        <f>"08820"</f>
        <v>08820</v>
      </c>
      <c r="E19621">
        <v>81.489999999999995</v>
      </c>
    </row>
    <row r="19622" spans="1:5" x14ac:dyDescent="0.2">
      <c r="A19622" t="str">
        <f>"08821"</f>
        <v>08821</v>
      </c>
      <c r="B19622" t="s">
        <v>37</v>
      </c>
      <c r="C19622">
        <v>8821</v>
      </c>
      <c r="D19622" t="str">
        <f>"08821"</f>
        <v>08821</v>
      </c>
      <c r="E19622" t="s">
        <v>6</v>
      </c>
    </row>
    <row r="19623" spans="1:5" x14ac:dyDescent="0.2">
      <c r="A19623" t="str">
        <f>"08822"</f>
        <v>08822</v>
      </c>
      <c r="B19623" t="s">
        <v>37</v>
      </c>
      <c r="C19623">
        <v>8822</v>
      </c>
      <c r="D19623" t="str">
        <f>"08822"</f>
        <v>08822</v>
      </c>
      <c r="E19623">
        <v>79.83</v>
      </c>
    </row>
    <row r="19624" spans="1:5" x14ac:dyDescent="0.2">
      <c r="A19624" t="str">
        <f>"08823"</f>
        <v>08823</v>
      </c>
      <c r="B19624" t="s">
        <v>37</v>
      </c>
      <c r="C19624">
        <v>8823</v>
      </c>
      <c r="D19624" t="str">
        <f>"08823"</f>
        <v>08823</v>
      </c>
      <c r="E19624">
        <v>83.54</v>
      </c>
    </row>
    <row r="19625" spans="1:5" x14ac:dyDescent="0.2">
      <c r="A19625" t="str">
        <f>"08824"</f>
        <v>08824</v>
      </c>
      <c r="B19625" t="s">
        <v>37</v>
      </c>
      <c r="C19625">
        <v>8824</v>
      </c>
      <c r="D19625" t="str">
        <f>"08824"</f>
        <v>08824</v>
      </c>
      <c r="E19625">
        <v>81.86</v>
      </c>
    </row>
    <row r="19626" spans="1:5" x14ac:dyDescent="0.2">
      <c r="A19626" t="str">
        <f>"08825"</f>
        <v>08825</v>
      </c>
      <c r="B19626" t="s">
        <v>37</v>
      </c>
      <c r="C19626">
        <v>8825</v>
      </c>
      <c r="D19626" t="str">
        <f>"08825"</f>
        <v>08825</v>
      </c>
      <c r="E19626">
        <v>80</v>
      </c>
    </row>
    <row r="19627" spans="1:5" x14ac:dyDescent="0.2">
      <c r="A19627" t="str">
        <f>"08826"</f>
        <v>08826</v>
      </c>
      <c r="B19627" t="s">
        <v>37</v>
      </c>
      <c r="C19627">
        <v>8826</v>
      </c>
      <c r="D19627" t="str">
        <f>"08826"</f>
        <v>08826</v>
      </c>
      <c r="E19627">
        <v>81.55</v>
      </c>
    </row>
    <row r="19628" spans="1:5" x14ac:dyDescent="0.2">
      <c r="A19628" t="str">
        <f>"08827"</f>
        <v>08827</v>
      </c>
      <c r="B19628" t="s">
        <v>37</v>
      </c>
      <c r="C19628">
        <v>8827</v>
      </c>
      <c r="D19628" t="str">
        <f>"08827"</f>
        <v>08827</v>
      </c>
      <c r="E19628">
        <v>80.09</v>
      </c>
    </row>
    <row r="19629" spans="1:5" x14ac:dyDescent="0.2">
      <c r="A19629" t="str">
        <f>"08828"</f>
        <v>08828</v>
      </c>
      <c r="B19629" t="s">
        <v>37</v>
      </c>
      <c r="C19629">
        <v>8828</v>
      </c>
      <c r="D19629" t="str">
        <f>"08828"</f>
        <v>08828</v>
      </c>
      <c r="E19629">
        <v>84.96</v>
      </c>
    </row>
    <row r="19630" spans="1:5" x14ac:dyDescent="0.2">
      <c r="A19630" t="str">
        <f>"08829"</f>
        <v>08829</v>
      </c>
      <c r="B19630" t="s">
        <v>37</v>
      </c>
      <c r="C19630">
        <v>8829</v>
      </c>
      <c r="D19630" t="str">
        <f>"08829"</f>
        <v>08829</v>
      </c>
      <c r="E19630">
        <v>83.15</v>
      </c>
    </row>
    <row r="19631" spans="1:5" x14ac:dyDescent="0.2">
      <c r="A19631" t="str">
        <f>"08830"</f>
        <v>08830</v>
      </c>
      <c r="B19631" t="s">
        <v>37</v>
      </c>
      <c r="C19631">
        <v>8830</v>
      </c>
      <c r="D19631" t="str">
        <f>"08830"</f>
        <v>08830</v>
      </c>
      <c r="E19631">
        <v>77.06</v>
      </c>
    </row>
    <row r="19632" spans="1:5" x14ac:dyDescent="0.2">
      <c r="A19632" t="str">
        <f>"08831"</f>
        <v>08831</v>
      </c>
      <c r="B19632" t="s">
        <v>37</v>
      </c>
      <c r="C19632">
        <v>8831</v>
      </c>
      <c r="D19632" t="str">
        <f>"08831"</f>
        <v>08831</v>
      </c>
      <c r="E19632">
        <v>79.67</v>
      </c>
    </row>
    <row r="19633" spans="1:5" x14ac:dyDescent="0.2">
      <c r="A19633" t="str">
        <f>"08832"</f>
        <v>08832</v>
      </c>
      <c r="B19633" t="s">
        <v>37</v>
      </c>
      <c r="C19633">
        <v>8832</v>
      </c>
      <c r="D19633" t="str">
        <f>"08832"</f>
        <v>08832</v>
      </c>
      <c r="E19633">
        <v>64.97</v>
      </c>
    </row>
    <row r="19634" spans="1:5" x14ac:dyDescent="0.2">
      <c r="A19634" t="str">
        <f>"08833"</f>
        <v>08833</v>
      </c>
      <c r="B19634" t="s">
        <v>37</v>
      </c>
      <c r="C19634">
        <v>8833</v>
      </c>
      <c r="D19634" t="str">
        <f>"08833"</f>
        <v>08833</v>
      </c>
      <c r="E19634">
        <v>81.44</v>
      </c>
    </row>
    <row r="19635" spans="1:5" x14ac:dyDescent="0.2">
      <c r="A19635" t="str">
        <f>"08835"</f>
        <v>08835</v>
      </c>
      <c r="B19635" t="s">
        <v>37</v>
      </c>
      <c r="C19635">
        <v>8835</v>
      </c>
      <c r="D19635" t="str">
        <f>"08835"</f>
        <v>08835</v>
      </c>
      <c r="E19635">
        <v>74.400000000000006</v>
      </c>
    </row>
    <row r="19636" spans="1:5" x14ac:dyDescent="0.2">
      <c r="A19636" t="str">
        <f>"08836"</f>
        <v>08836</v>
      </c>
      <c r="B19636" t="s">
        <v>37</v>
      </c>
      <c r="C19636">
        <v>8836</v>
      </c>
      <c r="D19636" t="str">
        <f>"08836"</f>
        <v>08836</v>
      </c>
      <c r="E19636">
        <v>82.67</v>
      </c>
    </row>
    <row r="19637" spans="1:5" x14ac:dyDescent="0.2">
      <c r="A19637" t="str">
        <f>"08837"</f>
        <v>08837</v>
      </c>
      <c r="B19637" t="s">
        <v>37</v>
      </c>
      <c r="C19637">
        <v>8837</v>
      </c>
      <c r="D19637" t="str">
        <f>"08837"</f>
        <v>08837</v>
      </c>
      <c r="E19637">
        <v>80.84</v>
      </c>
    </row>
    <row r="19638" spans="1:5" x14ac:dyDescent="0.2">
      <c r="A19638" t="str">
        <f>"08840"</f>
        <v>08840</v>
      </c>
      <c r="B19638" t="s">
        <v>37</v>
      </c>
      <c r="C19638">
        <v>8840</v>
      </c>
      <c r="D19638" t="str">
        <f>"08840"</f>
        <v>08840</v>
      </c>
      <c r="E19638">
        <v>83.06</v>
      </c>
    </row>
    <row r="19639" spans="1:5" x14ac:dyDescent="0.2">
      <c r="A19639" t="str">
        <f>"08844"</f>
        <v>08844</v>
      </c>
      <c r="B19639" t="s">
        <v>37</v>
      </c>
      <c r="C19639">
        <v>8844</v>
      </c>
      <c r="D19639" t="str">
        <f>"08844"</f>
        <v>08844</v>
      </c>
      <c r="E19639">
        <v>81.72</v>
      </c>
    </row>
    <row r="19640" spans="1:5" x14ac:dyDescent="0.2">
      <c r="A19640" t="str">
        <f>"08846"</f>
        <v>08846</v>
      </c>
      <c r="B19640" t="s">
        <v>37</v>
      </c>
      <c r="C19640">
        <v>8846</v>
      </c>
      <c r="D19640" t="str">
        <f>"08846"</f>
        <v>08846</v>
      </c>
      <c r="E19640">
        <v>77.959999999999994</v>
      </c>
    </row>
    <row r="19641" spans="1:5" x14ac:dyDescent="0.2">
      <c r="A19641" t="str">
        <f>"08848"</f>
        <v>08848</v>
      </c>
      <c r="B19641" t="s">
        <v>37</v>
      </c>
      <c r="C19641">
        <v>8848</v>
      </c>
      <c r="D19641" t="str">
        <f>"08848"</f>
        <v>08848</v>
      </c>
      <c r="E19641">
        <v>80.569999999999993</v>
      </c>
    </row>
    <row r="19642" spans="1:5" x14ac:dyDescent="0.2">
      <c r="A19642" t="str">
        <f>"08850"</f>
        <v>08850</v>
      </c>
      <c r="B19642" t="s">
        <v>37</v>
      </c>
      <c r="C19642">
        <v>8850</v>
      </c>
      <c r="D19642" t="str">
        <f>"08850"</f>
        <v>08850</v>
      </c>
      <c r="E19642">
        <v>81.459999999999994</v>
      </c>
    </row>
    <row r="19643" spans="1:5" x14ac:dyDescent="0.2">
      <c r="A19643" t="str">
        <f>"08852"</f>
        <v>08852</v>
      </c>
      <c r="B19643" t="s">
        <v>37</v>
      </c>
      <c r="C19643">
        <v>8852</v>
      </c>
      <c r="D19643" t="str">
        <f>"08852"</f>
        <v>08852</v>
      </c>
      <c r="E19643">
        <v>81.239999999999995</v>
      </c>
    </row>
    <row r="19644" spans="1:5" x14ac:dyDescent="0.2">
      <c r="A19644" t="str">
        <f>"08853"</f>
        <v>08853</v>
      </c>
      <c r="B19644" t="s">
        <v>37</v>
      </c>
      <c r="C19644">
        <v>8853</v>
      </c>
      <c r="D19644" t="str">
        <f>"08853"</f>
        <v>08853</v>
      </c>
      <c r="E19644">
        <v>83.02</v>
      </c>
    </row>
    <row r="19645" spans="1:5" x14ac:dyDescent="0.2">
      <c r="A19645" t="str">
        <f>"08854"</f>
        <v>08854</v>
      </c>
      <c r="B19645" t="s">
        <v>37</v>
      </c>
      <c r="C19645">
        <v>8854</v>
      </c>
      <c r="D19645" t="str">
        <f>"08854"</f>
        <v>08854</v>
      </c>
      <c r="E19645">
        <v>78.45</v>
      </c>
    </row>
    <row r="19646" spans="1:5" x14ac:dyDescent="0.2">
      <c r="A19646" t="str">
        <f>"08857"</f>
        <v>08857</v>
      </c>
      <c r="B19646" t="s">
        <v>37</v>
      </c>
      <c r="C19646">
        <v>8857</v>
      </c>
      <c r="D19646" t="str">
        <f>"08857"</f>
        <v>08857</v>
      </c>
      <c r="E19646">
        <v>80.62</v>
      </c>
    </row>
    <row r="19647" spans="1:5" x14ac:dyDescent="0.2">
      <c r="A19647" t="str">
        <f>"08858"</f>
        <v>08858</v>
      </c>
      <c r="B19647" t="s">
        <v>37</v>
      </c>
      <c r="C19647">
        <v>8858</v>
      </c>
      <c r="D19647" t="str">
        <f>"08858"</f>
        <v>08858</v>
      </c>
      <c r="E19647" t="s">
        <v>6</v>
      </c>
    </row>
    <row r="19648" spans="1:5" x14ac:dyDescent="0.2">
      <c r="A19648" t="str">
        <f>"08859"</f>
        <v>08859</v>
      </c>
      <c r="B19648" t="s">
        <v>37</v>
      </c>
      <c r="C19648">
        <v>8859</v>
      </c>
      <c r="D19648" t="str">
        <f>"08859"</f>
        <v>08859</v>
      </c>
      <c r="E19648">
        <v>77.5</v>
      </c>
    </row>
    <row r="19649" spans="1:5" x14ac:dyDescent="0.2">
      <c r="A19649" t="str">
        <f>"08861"</f>
        <v>08861</v>
      </c>
      <c r="B19649" t="s">
        <v>37</v>
      </c>
      <c r="C19649">
        <v>8861</v>
      </c>
      <c r="D19649" t="str">
        <f>"08861"</f>
        <v>08861</v>
      </c>
      <c r="E19649">
        <v>59.14</v>
      </c>
    </row>
    <row r="19650" spans="1:5" x14ac:dyDescent="0.2">
      <c r="A19650" t="str">
        <f>"08863"</f>
        <v>08863</v>
      </c>
      <c r="B19650" t="s">
        <v>37</v>
      </c>
      <c r="C19650">
        <v>8863</v>
      </c>
      <c r="D19650" t="str">
        <f>"08863"</f>
        <v>08863</v>
      </c>
      <c r="E19650">
        <v>77.849999999999994</v>
      </c>
    </row>
    <row r="19651" spans="1:5" x14ac:dyDescent="0.2">
      <c r="A19651" t="str">
        <f>"08865"</f>
        <v>08865</v>
      </c>
      <c r="B19651" t="s">
        <v>37</v>
      </c>
      <c r="C19651">
        <v>8865</v>
      </c>
      <c r="D19651" t="str">
        <f>"08865"</f>
        <v>08865</v>
      </c>
      <c r="E19651">
        <v>74.010000000000005</v>
      </c>
    </row>
    <row r="19652" spans="1:5" x14ac:dyDescent="0.2">
      <c r="A19652" t="str">
        <f>"08867"</f>
        <v>08867</v>
      </c>
      <c r="B19652" t="s">
        <v>37</v>
      </c>
      <c r="C19652">
        <v>8867</v>
      </c>
      <c r="D19652" t="str">
        <f>"08867"</f>
        <v>08867</v>
      </c>
      <c r="E19652">
        <v>80.31</v>
      </c>
    </row>
    <row r="19653" spans="1:5" x14ac:dyDescent="0.2">
      <c r="A19653" t="str">
        <f>"08869"</f>
        <v>08869</v>
      </c>
      <c r="B19653" t="s">
        <v>37</v>
      </c>
      <c r="C19653">
        <v>8869</v>
      </c>
      <c r="D19653" t="str">
        <f>"08869"</f>
        <v>08869</v>
      </c>
      <c r="E19653">
        <v>77.81</v>
      </c>
    </row>
    <row r="19654" spans="1:5" x14ac:dyDescent="0.2">
      <c r="A19654" t="str">
        <f>"08872"</f>
        <v>08872</v>
      </c>
      <c r="B19654" t="s">
        <v>37</v>
      </c>
      <c r="C19654">
        <v>8872</v>
      </c>
      <c r="D19654" t="str">
        <f>"08872"</f>
        <v>08872</v>
      </c>
      <c r="E19654">
        <v>77.23</v>
      </c>
    </row>
    <row r="19655" spans="1:5" x14ac:dyDescent="0.2">
      <c r="A19655" t="str">
        <f>"08873"</f>
        <v>08873</v>
      </c>
      <c r="B19655" t="s">
        <v>37</v>
      </c>
      <c r="C19655">
        <v>8873</v>
      </c>
      <c r="D19655" t="str">
        <f>"08873"</f>
        <v>08873</v>
      </c>
      <c r="E19655">
        <v>77.67</v>
      </c>
    </row>
    <row r="19656" spans="1:5" x14ac:dyDescent="0.2">
      <c r="A19656" t="str">
        <f>"08876"</f>
        <v>08876</v>
      </c>
      <c r="B19656" t="s">
        <v>37</v>
      </c>
      <c r="C19656">
        <v>8876</v>
      </c>
      <c r="D19656" t="str">
        <f>"08876"</f>
        <v>08876</v>
      </c>
      <c r="E19656">
        <v>80.89</v>
      </c>
    </row>
    <row r="19657" spans="1:5" x14ac:dyDescent="0.2">
      <c r="A19657" t="str">
        <f>"08879"</f>
        <v>08879</v>
      </c>
      <c r="B19657" t="s">
        <v>37</v>
      </c>
      <c r="C19657">
        <v>8879</v>
      </c>
      <c r="D19657" t="str">
        <f>"08879"</f>
        <v>08879</v>
      </c>
      <c r="E19657">
        <v>78.61</v>
      </c>
    </row>
    <row r="19658" spans="1:5" x14ac:dyDescent="0.2">
      <c r="A19658" t="str">
        <f>"08880"</f>
        <v>08880</v>
      </c>
      <c r="B19658" t="s">
        <v>37</v>
      </c>
      <c r="C19658">
        <v>8880</v>
      </c>
      <c r="D19658" t="str">
        <f>"08880"</f>
        <v>08880</v>
      </c>
      <c r="E19658">
        <v>76.73</v>
      </c>
    </row>
    <row r="19659" spans="1:5" x14ac:dyDescent="0.2">
      <c r="A19659" t="str">
        <f>"08882"</f>
        <v>08882</v>
      </c>
      <c r="B19659" t="s">
        <v>37</v>
      </c>
      <c r="C19659">
        <v>8882</v>
      </c>
      <c r="D19659" t="str">
        <f>"08882"</f>
        <v>08882</v>
      </c>
      <c r="E19659">
        <v>74.349999999999994</v>
      </c>
    </row>
    <row r="19660" spans="1:5" x14ac:dyDescent="0.2">
      <c r="A19660" t="str">
        <f>"08884"</f>
        <v>08884</v>
      </c>
      <c r="B19660" t="s">
        <v>37</v>
      </c>
      <c r="C19660">
        <v>8884</v>
      </c>
      <c r="D19660" t="str">
        <f>"08884"</f>
        <v>08884</v>
      </c>
      <c r="E19660">
        <v>79.28</v>
      </c>
    </row>
    <row r="19661" spans="1:5" x14ac:dyDescent="0.2">
      <c r="A19661" t="str">
        <f>"08886"</f>
        <v>08886</v>
      </c>
      <c r="B19661" t="s">
        <v>37</v>
      </c>
      <c r="C19661">
        <v>8886</v>
      </c>
      <c r="D19661" t="str">
        <f>"08886"</f>
        <v>08886</v>
      </c>
      <c r="E19661">
        <v>78.44</v>
      </c>
    </row>
    <row r="19662" spans="1:5" x14ac:dyDescent="0.2">
      <c r="A19662" t="str">
        <f>"08887"</f>
        <v>08887</v>
      </c>
      <c r="B19662" t="s">
        <v>37</v>
      </c>
      <c r="C19662">
        <v>8887</v>
      </c>
      <c r="D19662" t="str">
        <f>"08887"</f>
        <v>08887</v>
      </c>
      <c r="E19662">
        <v>85.25</v>
      </c>
    </row>
    <row r="19663" spans="1:5" x14ac:dyDescent="0.2">
      <c r="A19663" t="str">
        <f>"08888"</f>
        <v>08888</v>
      </c>
      <c r="B19663" t="s">
        <v>37</v>
      </c>
      <c r="C19663">
        <v>8888</v>
      </c>
      <c r="D19663" t="str">
        <f>"08888"</f>
        <v>08888</v>
      </c>
      <c r="E19663" t="s">
        <v>6</v>
      </c>
    </row>
    <row r="19664" spans="1:5" x14ac:dyDescent="0.2">
      <c r="A19664" t="str">
        <f>"08889"</f>
        <v>08889</v>
      </c>
      <c r="B19664" t="s">
        <v>37</v>
      </c>
      <c r="C19664">
        <v>8889</v>
      </c>
      <c r="D19664" t="str">
        <f>"08889"</f>
        <v>08889</v>
      </c>
      <c r="E19664">
        <v>82.39</v>
      </c>
    </row>
    <row r="19665" spans="1:5" x14ac:dyDescent="0.2">
      <c r="A19665" t="str">
        <f>"08899"</f>
        <v>08899</v>
      </c>
      <c r="B19665" t="s">
        <v>37</v>
      </c>
      <c r="C19665">
        <v>8899</v>
      </c>
      <c r="D19665" t="str">
        <f>"08899"</f>
        <v>08899</v>
      </c>
      <c r="E19665" t="s">
        <v>6</v>
      </c>
    </row>
    <row r="19666" spans="1:5" x14ac:dyDescent="0.2">
      <c r="A19666" t="str">
        <f>"08901"</f>
        <v>08901</v>
      </c>
      <c r="B19666" t="s">
        <v>37</v>
      </c>
      <c r="C19666">
        <v>8901</v>
      </c>
      <c r="D19666" t="str">
        <f>"08901"</f>
        <v>08901</v>
      </c>
      <c r="E19666">
        <v>55.47</v>
      </c>
    </row>
    <row r="19667" spans="1:5" x14ac:dyDescent="0.2">
      <c r="A19667" t="str">
        <f>"08902"</f>
        <v>08902</v>
      </c>
      <c r="B19667" t="s">
        <v>37</v>
      </c>
      <c r="C19667">
        <v>8902</v>
      </c>
      <c r="D19667" t="str">
        <f>"08902"</f>
        <v>08902</v>
      </c>
      <c r="E19667">
        <v>75.75</v>
      </c>
    </row>
    <row r="19668" spans="1:5" x14ac:dyDescent="0.2">
      <c r="A19668" t="str">
        <f>"08904"</f>
        <v>08904</v>
      </c>
      <c r="B19668" t="s">
        <v>37</v>
      </c>
      <c r="C19668">
        <v>8904</v>
      </c>
      <c r="D19668" t="str">
        <f>"08904"</f>
        <v>08904</v>
      </c>
      <c r="E19668">
        <v>78.37</v>
      </c>
    </row>
    <row r="19669" spans="1:5" x14ac:dyDescent="0.2">
      <c r="A19669">
        <v>87001</v>
      </c>
      <c r="B19669" t="s">
        <v>38</v>
      </c>
      <c r="C19669">
        <v>87001</v>
      </c>
      <c r="D19669" t="str">
        <f>"87001"</f>
        <v>87001</v>
      </c>
      <c r="E19669">
        <v>49.36</v>
      </c>
    </row>
    <row r="19670" spans="1:5" x14ac:dyDescent="0.2">
      <c r="A19670">
        <v>87002</v>
      </c>
      <c r="B19670" t="s">
        <v>38</v>
      </c>
      <c r="C19670">
        <v>87002</v>
      </c>
      <c r="D19670" t="str">
        <f>"87002"</f>
        <v>87002</v>
      </c>
      <c r="E19670">
        <v>61.22</v>
      </c>
    </row>
    <row r="19671" spans="1:5" x14ac:dyDescent="0.2">
      <c r="A19671">
        <v>87004</v>
      </c>
      <c r="B19671" t="s">
        <v>38</v>
      </c>
      <c r="C19671">
        <v>87004</v>
      </c>
      <c r="D19671" t="str">
        <f>"87004"</f>
        <v>87004</v>
      </c>
      <c r="E19671">
        <v>66.02</v>
      </c>
    </row>
    <row r="19672" spans="1:5" x14ac:dyDescent="0.2">
      <c r="A19672">
        <v>87005</v>
      </c>
      <c r="B19672" t="s">
        <v>38</v>
      </c>
      <c r="C19672">
        <v>87005</v>
      </c>
      <c r="D19672" t="str">
        <f>"87005"</f>
        <v>87005</v>
      </c>
      <c r="E19672">
        <v>59.26</v>
      </c>
    </row>
    <row r="19673" spans="1:5" x14ac:dyDescent="0.2">
      <c r="A19673">
        <v>87006</v>
      </c>
      <c r="B19673" t="s">
        <v>38</v>
      </c>
      <c r="C19673">
        <v>87006</v>
      </c>
      <c r="D19673" t="str">
        <f>"87006"</f>
        <v>87006</v>
      </c>
      <c r="E19673">
        <v>66.67</v>
      </c>
    </row>
    <row r="19674" spans="1:5" x14ac:dyDescent="0.2">
      <c r="A19674">
        <v>87007</v>
      </c>
      <c r="B19674" t="s">
        <v>38</v>
      </c>
      <c r="C19674">
        <v>87007</v>
      </c>
      <c r="D19674" t="str">
        <f>"87007"</f>
        <v>87007</v>
      </c>
      <c r="E19674" t="s">
        <v>6</v>
      </c>
    </row>
    <row r="19675" spans="1:5" x14ac:dyDescent="0.2">
      <c r="A19675">
        <v>87008</v>
      </c>
      <c r="B19675" t="s">
        <v>38</v>
      </c>
      <c r="C19675">
        <v>87008</v>
      </c>
      <c r="D19675" t="str">
        <f>"87008"</f>
        <v>87008</v>
      </c>
      <c r="E19675">
        <v>78.91</v>
      </c>
    </row>
    <row r="19676" spans="1:5" x14ac:dyDescent="0.2">
      <c r="A19676">
        <v>87010</v>
      </c>
      <c r="B19676" t="s">
        <v>38</v>
      </c>
      <c r="C19676">
        <v>87010</v>
      </c>
      <c r="D19676" t="str">
        <f>"87010"</f>
        <v>87010</v>
      </c>
      <c r="E19676">
        <v>64.709999999999994</v>
      </c>
    </row>
    <row r="19677" spans="1:5" x14ac:dyDescent="0.2">
      <c r="A19677">
        <v>87011</v>
      </c>
      <c r="B19677" t="s">
        <v>38</v>
      </c>
      <c r="C19677">
        <v>87011</v>
      </c>
      <c r="D19677" t="str">
        <f>"87011"</f>
        <v>87011</v>
      </c>
      <c r="E19677" t="s">
        <v>6</v>
      </c>
    </row>
    <row r="19678" spans="1:5" x14ac:dyDescent="0.2">
      <c r="A19678">
        <v>87012</v>
      </c>
      <c r="B19678" t="s">
        <v>38</v>
      </c>
      <c r="C19678">
        <v>87012</v>
      </c>
      <c r="D19678" t="str">
        <f>"87012"</f>
        <v>87012</v>
      </c>
      <c r="E19678" t="s">
        <v>6</v>
      </c>
    </row>
    <row r="19679" spans="1:5" x14ac:dyDescent="0.2">
      <c r="A19679">
        <v>87013</v>
      </c>
      <c r="B19679" t="s">
        <v>38</v>
      </c>
      <c r="C19679">
        <v>87013</v>
      </c>
      <c r="D19679" t="str">
        <f>"87013"</f>
        <v>87013</v>
      </c>
      <c r="E19679">
        <v>44.71</v>
      </c>
    </row>
    <row r="19680" spans="1:5" x14ac:dyDescent="0.2">
      <c r="A19680">
        <v>87014</v>
      </c>
      <c r="B19680" t="s">
        <v>38</v>
      </c>
      <c r="C19680">
        <v>87014</v>
      </c>
      <c r="D19680" t="str">
        <f>"87014"</f>
        <v>87014</v>
      </c>
      <c r="E19680">
        <v>64.290000000000006</v>
      </c>
    </row>
    <row r="19681" spans="1:5" x14ac:dyDescent="0.2">
      <c r="A19681">
        <v>87015</v>
      </c>
      <c r="B19681" t="s">
        <v>38</v>
      </c>
      <c r="C19681">
        <v>87015</v>
      </c>
      <c r="D19681" t="str">
        <f>"87015"</f>
        <v>87015</v>
      </c>
      <c r="E19681">
        <v>72.62</v>
      </c>
    </row>
    <row r="19682" spans="1:5" x14ac:dyDescent="0.2">
      <c r="A19682">
        <v>87016</v>
      </c>
      <c r="B19682" t="s">
        <v>38</v>
      </c>
      <c r="C19682">
        <v>87016</v>
      </c>
      <c r="D19682" t="str">
        <f>"87016"</f>
        <v>87016</v>
      </c>
      <c r="E19682">
        <v>58.59</v>
      </c>
    </row>
    <row r="19683" spans="1:5" x14ac:dyDescent="0.2">
      <c r="A19683">
        <v>87017</v>
      </c>
      <c r="B19683" t="s">
        <v>38</v>
      </c>
      <c r="C19683">
        <v>87017</v>
      </c>
      <c r="D19683" t="str">
        <f>"87017"</f>
        <v>87017</v>
      </c>
      <c r="E19683">
        <v>47.06</v>
      </c>
    </row>
    <row r="19684" spans="1:5" x14ac:dyDescent="0.2">
      <c r="A19684">
        <v>87018</v>
      </c>
      <c r="B19684" t="s">
        <v>38</v>
      </c>
      <c r="C19684">
        <v>87018</v>
      </c>
      <c r="D19684" t="str">
        <f>"87018"</f>
        <v>87018</v>
      </c>
      <c r="E19684" t="s">
        <v>6</v>
      </c>
    </row>
    <row r="19685" spans="1:5" x14ac:dyDescent="0.2">
      <c r="A19685">
        <v>87020</v>
      </c>
      <c r="B19685" t="s">
        <v>38</v>
      </c>
      <c r="C19685">
        <v>87020</v>
      </c>
      <c r="D19685" t="str">
        <f>"87020"</f>
        <v>87020</v>
      </c>
      <c r="E19685">
        <v>63.1</v>
      </c>
    </row>
    <row r="19686" spans="1:5" x14ac:dyDescent="0.2">
      <c r="A19686">
        <v>87021</v>
      </c>
      <c r="B19686" t="s">
        <v>38</v>
      </c>
      <c r="C19686">
        <v>87021</v>
      </c>
      <c r="D19686" t="str">
        <f>"87021"</f>
        <v>87021</v>
      </c>
      <c r="E19686" t="s">
        <v>6</v>
      </c>
    </row>
    <row r="19687" spans="1:5" x14ac:dyDescent="0.2">
      <c r="A19687">
        <v>87022</v>
      </c>
      <c r="B19687" t="s">
        <v>38</v>
      </c>
      <c r="C19687">
        <v>87022</v>
      </c>
      <c r="D19687" t="str">
        <f>"87022"</f>
        <v>87022</v>
      </c>
      <c r="E19687" t="s">
        <v>6</v>
      </c>
    </row>
    <row r="19688" spans="1:5" x14ac:dyDescent="0.2">
      <c r="A19688">
        <v>87023</v>
      </c>
      <c r="B19688" t="s">
        <v>38</v>
      </c>
      <c r="C19688">
        <v>87023</v>
      </c>
      <c r="D19688" t="str">
        <f>"87023"</f>
        <v>87023</v>
      </c>
      <c r="E19688">
        <v>69.44</v>
      </c>
    </row>
    <row r="19689" spans="1:5" x14ac:dyDescent="0.2">
      <c r="A19689">
        <v>87024</v>
      </c>
      <c r="B19689" t="s">
        <v>38</v>
      </c>
      <c r="C19689">
        <v>87024</v>
      </c>
      <c r="D19689" t="str">
        <f>"87024"</f>
        <v>87024</v>
      </c>
      <c r="E19689">
        <v>53.57</v>
      </c>
    </row>
    <row r="19690" spans="1:5" x14ac:dyDescent="0.2">
      <c r="A19690">
        <v>87025</v>
      </c>
      <c r="B19690" t="s">
        <v>38</v>
      </c>
      <c r="C19690">
        <v>87025</v>
      </c>
      <c r="D19690" t="str">
        <f>"87025"</f>
        <v>87025</v>
      </c>
      <c r="E19690">
        <v>75</v>
      </c>
    </row>
    <row r="19691" spans="1:5" x14ac:dyDescent="0.2">
      <c r="A19691">
        <v>87026</v>
      </c>
      <c r="B19691" t="s">
        <v>38</v>
      </c>
      <c r="C19691">
        <v>87026</v>
      </c>
      <c r="D19691" t="str">
        <f>"87026"</f>
        <v>87026</v>
      </c>
      <c r="E19691">
        <v>49.66</v>
      </c>
    </row>
    <row r="19692" spans="1:5" x14ac:dyDescent="0.2">
      <c r="A19692">
        <v>87027</v>
      </c>
      <c r="B19692" t="s">
        <v>38</v>
      </c>
      <c r="C19692">
        <v>87027</v>
      </c>
      <c r="D19692" t="str">
        <f>"87027"</f>
        <v>87027</v>
      </c>
      <c r="E19692">
        <v>54.55</v>
      </c>
    </row>
    <row r="19693" spans="1:5" x14ac:dyDescent="0.2">
      <c r="A19693">
        <v>87028</v>
      </c>
      <c r="B19693" t="s">
        <v>38</v>
      </c>
      <c r="C19693">
        <v>87028</v>
      </c>
      <c r="D19693" t="str">
        <f>"87028"</f>
        <v>87028</v>
      </c>
      <c r="E19693" t="s">
        <v>6</v>
      </c>
    </row>
    <row r="19694" spans="1:5" x14ac:dyDescent="0.2">
      <c r="A19694">
        <v>87029</v>
      </c>
      <c r="B19694" t="s">
        <v>38</v>
      </c>
      <c r="C19694">
        <v>87029</v>
      </c>
      <c r="D19694" t="str">
        <f>"87029"</f>
        <v>87029</v>
      </c>
      <c r="E19694" t="s">
        <v>6</v>
      </c>
    </row>
    <row r="19695" spans="1:5" x14ac:dyDescent="0.2">
      <c r="A19695">
        <v>87031</v>
      </c>
      <c r="B19695" t="s">
        <v>38</v>
      </c>
      <c r="C19695">
        <v>87031</v>
      </c>
      <c r="D19695" t="str">
        <f>"87031"</f>
        <v>87031</v>
      </c>
      <c r="E19695">
        <v>63.42</v>
      </c>
    </row>
    <row r="19696" spans="1:5" x14ac:dyDescent="0.2">
      <c r="A19696">
        <v>87032</v>
      </c>
      <c r="B19696" t="s">
        <v>38</v>
      </c>
      <c r="C19696">
        <v>87032</v>
      </c>
      <c r="D19696" t="str">
        <f>"87032"</f>
        <v>87032</v>
      </c>
      <c r="E19696" t="s">
        <v>6</v>
      </c>
    </row>
    <row r="19697" spans="1:5" x14ac:dyDescent="0.2">
      <c r="A19697">
        <v>87034</v>
      </c>
      <c r="B19697" t="s">
        <v>38</v>
      </c>
      <c r="C19697">
        <v>87034</v>
      </c>
      <c r="D19697" t="str">
        <f>"87034"</f>
        <v>87034</v>
      </c>
      <c r="E19697" t="s">
        <v>6</v>
      </c>
    </row>
    <row r="19698" spans="1:5" x14ac:dyDescent="0.2">
      <c r="A19698">
        <v>87035</v>
      </c>
      <c r="B19698" t="s">
        <v>38</v>
      </c>
      <c r="C19698">
        <v>87035</v>
      </c>
      <c r="D19698" t="str">
        <f>"87035"</f>
        <v>87035</v>
      </c>
      <c r="E19698">
        <v>59.19</v>
      </c>
    </row>
    <row r="19699" spans="1:5" x14ac:dyDescent="0.2">
      <c r="A19699">
        <v>87036</v>
      </c>
      <c r="B19699" t="s">
        <v>38</v>
      </c>
      <c r="C19699">
        <v>87036</v>
      </c>
      <c r="D19699" t="str">
        <f>"87036"</f>
        <v>87036</v>
      </c>
      <c r="E19699">
        <v>56.58</v>
      </c>
    </row>
    <row r="19700" spans="1:5" x14ac:dyDescent="0.2">
      <c r="A19700">
        <v>87037</v>
      </c>
      <c r="B19700" t="s">
        <v>38</v>
      </c>
      <c r="C19700">
        <v>87037</v>
      </c>
      <c r="D19700" t="str">
        <f>"87037"</f>
        <v>87037</v>
      </c>
      <c r="E19700" t="s">
        <v>6</v>
      </c>
    </row>
    <row r="19701" spans="1:5" x14ac:dyDescent="0.2">
      <c r="A19701">
        <v>87038</v>
      </c>
      <c r="B19701" t="s">
        <v>38</v>
      </c>
      <c r="C19701">
        <v>87038</v>
      </c>
      <c r="D19701" t="str">
        <f>"87038"</f>
        <v>87038</v>
      </c>
      <c r="E19701" t="s">
        <v>6</v>
      </c>
    </row>
    <row r="19702" spans="1:5" x14ac:dyDescent="0.2">
      <c r="A19702">
        <v>87040</v>
      </c>
      <c r="B19702" t="s">
        <v>38</v>
      </c>
      <c r="C19702">
        <v>87040</v>
      </c>
      <c r="D19702" t="str">
        <f>"87040"</f>
        <v>87040</v>
      </c>
      <c r="E19702" t="s">
        <v>6</v>
      </c>
    </row>
    <row r="19703" spans="1:5" x14ac:dyDescent="0.2">
      <c r="A19703">
        <v>87041</v>
      </c>
      <c r="B19703" t="s">
        <v>38</v>
      </c>
      <c r="C19703">
        <v>87041</v>
      </c>
      <c r="D19703" t="str">
        <f>"87041"</f>
        <v>87041</v>
      </c>
      <c r="E19703">
        <v>56.41</v>
      </c>
    </row>
    <row r="19704" spans="1:5" x14ac:dyDescent="0.2">
      <c r="A19704">
        <v>87042</v>
      </c>
      <c r="B19704" t="s">
        <v>38</v>
      </c>
      <c r="C19704">
        <v>87042</v>
      </c>
      <c r="D19704" t="str">
        <f>"87042"</f>
        <v>87042</v>
      </c>
      <c r="E19704">
        <v>69.41</v>
      </c>
    </row>
    <row r="19705" spans="1:5" x14ac:dyDescent="0.2">
      <c r="A19705">
        <v>87043</v>
      </c>
      <c r="B19705" t="s">
        <v>38</v>
      </c>
      <c r="C19705">
        <v>87043</v>
      </c>
      <c r="D19705" t="str">
        <f>"87043"</f>
        <v>87043</v>
      </c>
      <c r="E19705">
        <v>83.02</v>
      </c>
    </row>
    <row r="19706" spans="1:5" x14ac:dyDescent="0.2">
      <c r="A19706">
        <v>87044</v>
      </c>
      <c r="B19706" t="s">
        <v>38</v>
      </c>
      <c r="C19706">
        <v>87044</v>
      </c>
      <c r="D19706" t="str">
        <f>"87044"</f>
        <v>87044</v>
      </c>
      <c r="E19706">
        <v>71.430000000000007</v>
      </c>
    </row>
    <row r="19707" spans="1:5" x14ac:dyDescent="0.2">
      <c r="A19707">
        <v>87045</v>
      </c>
      <c r="B19707" t="s">
        <v>38</v>
      </c>
      <c r="C19707">
        <v>87045</v>
      </c>
      <c r="D19707" t="str">
        <f>"87045"</f>
        <v>87045</v>
      </c>
      <c r="E19707">
        <v>41.94</v>
      </c>
    </row>
    <row r="19708" spans="1:5" x14ac:dyDescent="0.2">
      <c r="A19708">
        <v>87046</v>
      </c>
      <c r="B19708" t="s">
        <v>38</v>
      </c>
      <c r="C19708">
        <v>87046</v>
      </c>
      <c r="D19708" t="str">
        <f>"87046"</f>
        <v>87046</v>
      </c>
      <c r="E19708" t="s">
        <v>6</v>
      </c>
    </row>
    <row r="19709" spans="1:5" x14ac:dyDescent="0.2">
      <c r="A19709">
        <v>87047</v>
      </c>
      <c r="B19709" t="s">
        <v>38</v>
      </c>
      <c r="C19709">
        <v>87047</v>
      </c>
      <c r="D19709" t="str">
        <f>"87047"</f>
        <v>87047</v>
      </c>
      <c r="E19709">
        <v>78.23</v>
      </c>
    </row>
    <row r="19710" spans="1:5" x14ac:dyDescent="0.2">
      <c r="A19710">
        <v>87048</v>
      </c>
      <c r="B19710" t="s">
        <v>38</v>
      </c>
      <c r="C19710">
        <v>87048</v>
      </c>
      <c r="D19710" t="str">
        <f>"87048"</f>
        <v>87048</v>
      </c>
      <c r="E19710">
        <v>79.13</v>
      </c>
    </row>
    <row r="19711" spans="1:5" x14ac:dyDescent="0.2">
      <c r="A19711">
        <v>87049</v>
      </c>
      <c r="B19711" t="s">
        <v>38</v>
      </c>
      <c r="C19711">
        <v>87049</v>
      </c>
      <c r="D19711" t="str">
        <f>"87049"</f>
        <v>87049</v>
      </c>
      <c r="E19711" t="s">
        <v>6</v>
      </c>
    </row>
    <row r="19712" spans="1:5" x14ac:dyDescent="0.2">
      <c r="A19712">
        <v>87051</v>
      </c>
      <c r="B19712" t="s">
        <v>38</v>
      </c>
      <c r="C19712">
        <v>87051</v>
      </c>
      <c r="D19712" t="str">
        <f>"87051"</f>
        <v>87051</v>
      </c>
      <c r="E19712" t="s">
        <v>6</v>
      </c>
    </row>
    <row r="19713" spans="1:5" x14ac:dyDescent="0.2">
      <c r="A19713">
        <v>87052</v>
      </c>
      <c r="B19713" t="s">
        <v>38</v>
      </c>
      <c r="C19713">
        <v>87052</v>
      </c>
      <c r="D19713" t="str">
        <f>"87052"</f>
        <v>87052</v>
      </c>
      <c r="E19713">
        <v>40.98</v>
      </c>
    </row>
    <row r="19714" spans="1:5" x14ac:dyDescent="0.2">
      <c r="A19714">
        <v>87053</v>
      </c>
      <c r="B19714" t="s">
        <v>38</v>
      </c>
      <c r="C19714">
        <v>87053</v>
      </c>
      <c r="D19714" t="str">
        <f>"87053"</f>
        <v>87053</v>
      </c>
      <c r="E19714">
        <v>50</v>
      </c>
    </row>
    <row r="19715" spans="1:5" x14ac:dyDescent="0.2">
      <c r="A19715">
        <v>87056</v>
      </c>
      <c r="B19715" t="s">
        <v>38</v>
      </c>
      <c r="C19715">
        <v>87056</v>
      </c>
      <c r="D19715" t="str">
        <f>"87056"</f>
        <v>87056</v>
      </c>
      <c r="E19715">
        <v>71.430000000000007</v>
      </c>
    </row>
    <row r="19716" spans="1:5" x14ac:dyDescent="0.2">
      <c r="A19716">
        <v>87059</v>
      </c>
      <c r="B19716" t="s">
        <v>38</v>
      </c>
      <c r="C19716">
        <v>87059</v>
      </c>
      <c r="D19716" t="str">
        <f>"87059"</f>
        <v>87059</v>
      </c>
      <c r="E19716">
        <v>76.14</v>
      </c>
    </row>
    <row r="19717" spans="1:5" x14ac:dyDescent="0.2">
      <c r="A19717">
        <v>87061</v>
      </c>
      <c r="B19717" t="s">
        <v>38</v>
      </c>
      <c r="C19717">
        <v>87061</v>
      </c>
      <c r="D19717" t="str">
        <f>"87061"</f>
        <v>87061</v>
      </c>
      <c r="E19717" t="s">
        <v>6</v>
      </c>
    </row>
    <row r="19718" spans="1:5" x14ac:dyDescent="0.2">
      <c r="A19718">
        <v>87062</v>
      </c>
      <c r="B19718" t="s">
        <v>38</v>
      </c>
      <c r="C19718">
        <v>87062</v>
      </c>
      <c r="D19718" t="str">
        <f>"87062"</f>
        <v>87062</v>
      </c>
      <c r="E19718">
        <v>51.61</v>
      </c>
    </row>
    <row r="19719" spans="1:5" x14ac:dyDescent="0.2">
      <c r="A19719">
        <v>87063</v>
      </c>
      <c r="B19719" t="s">
        <v>38</v>
      </c>
      <c r="C19719">
        <v>87063</v>
      </c>
      <c r="D19719" t="str">
        <f>"87063"</f>
        <v>87063</v>
      </c>
      <c r="E19719">
        <v>45.45</v>
      </c>
    </row>
    <row r="19720" spans="1:5" x14ac:dyDescent="0.2">
      <c r="A19720">
        <v>87064</v>
      </c>
      <c r="B19720" t="s">
        <v>38</v>
      </c>
      <c r="C19720">
        <v>87064</v>
      </c>
      <c r="D19720" t="str">
        <f>"87064"</f>
        <v>87064</v>
      </c>
      <c r="E19720" t="s">
        <v>6</v>
      </c>
    </row>
    <row r="19721" spans="1:5" x14ac:dyDescent="0.2">
      <c r="A19721">
        <v>87068</v>
      </c>
      <c r="B19721" t="s">
        <v>38</v>
      </c>
      <c r="C19721">
        <v>87068</v>
      </c>
      <c r="D19721" t="str">
        <f>"87068"</f>
        <v>87068</v>
      </c>
      <c r="E19721">
        <v>72.510000000000005</v>
      </c>
    </row>
    <row r="19722" spans="1:5" x14ac:dyDescent="0.2">
      <c r="A19722">
        <v>87070</v>
      </c>
      <c r="B19722" t="s">
        <v>38</v>
      </c>
      <c r="C19722">
        <v>87070</v>
      </c>
      <c r="D19722" t="str">
        <f>"87070"</f>
        <v>87070</v>
      </c>
      <c r="E19722" t="s">
        <v>6</v>
      </c>
    </row>
    <row r="19723" spans="1:5" x14ac:dyDescent="0.2">
      <c r="A19723">
        <v>87072</v>
      </c>
      <c r="B19723" t="s">
        <v>38</v>
      </c>
      <c r="C19723">
        <v>87072</v>
      </c>
      <c r="D19723" t="str">
        <f>"87072"</f>
        <v>87072</v>
      </c>
      <c r="E19723" t="s">
        <v>6</v>
      </c>
    </row>
    <row r="19724" spans="1:5" x14ac:dyDescent="0.2">
      <c r="A19724">
        <v>87083</v>
      </c>
      <c r="B19724" t="s">
        <v>38</v>
      </c>
      <c r="C19724">
        <v>87083</v>
      </c>
      <c r="D19724" t="str">
        <f>"87083"</f>
        <v>87083</v>
      </c>
      <c r="E19724">
        <v>77.27</v>
      </c>
    </row>
    <row r="19725" spans="1:5" x14ac:dyDescent="0.2">
      <c r="A19725">
        <v>87102</v>
      </c>
      <c r="B19725" t="s">
        <v>38</v>
      </c>
      <c r="C19725">
        <v>87102</v>
      </c>
      <c r="D19725" t="str">
        <f>"87102"</f>
        <v>87102</v>
      </c>
      <c r="E19725">
        <v>59.91</v>
      </c>
    </row>
    <row r="19726" spans="1:5" x14ac:dyDescent="0.2">
      <c r="A19726">
        <v>87104</v>
      </c>
      <c r="B19726" t="s">
        <v>38</v>
      </c>
      <c r="C19726">
        <v>87104</v>
      </c>
      <c r="D19726" t="str">
        <f>"87104"</f>
        <v>87104</v>
      </c>
      <c r="E19726">
        <v>69.19</v>
      </c>
    </row>
    <row r="19727" spans="1:5" x14ac:dyDescent="0.2">
      <c r="A19727">
        <v>87105</v>
      </c>
      <c r="B19727" t="s">
        <v>38</v>
      </c>
      <c r="C19727">
        <v>87105</v>
      </c>
      <c r="D19727" t="str">
        <f>"87105"</f>
        <v>87105</v>
      </c>
      <c r="E19727">
        <v>57.91</v>
      </c>
    </row>
    <row r="19728" spans="1:5" x14ac:dyDescent="0.2">
      <c r="A19728">
        <v>87106</v>
      </c>
      <c r="B19728" t="s">
        <v>38</v>
      </c>
      <c r="C19728">
        <v>87106</v>
      </c>
      <c r="D19728" t="str">
        <f>"87106"</f>
        <v>87106</v>
      </c>
      <c r="E19728">
        <v>69.09</v>
      </c>
    </row>
    <row r="19729" spans="1:5" x14ac:dyDescent="0.2">
      <c r="A19729">
        <v>87107</v>
      </c>
      <c r="B19729" t="s">
        <v>38</v>
      </c>
      <c r="C19729">
        <v>87107</v>
      </c>
      <c r="D19729" t="str">
        <f>"87107"</f>
        <v>87107</v>
      </c>
      <c r="E19729">
        <v>67.92</v>
      </c>
    </row>
    <row r="19730" spans="1:5" x14ac:dyDescent="0.2">
      <c r="A19730">
        <v>87108</v>
      </c>
      <c r="B19730" t="s">
        <v>38</v>
      </c>
      <c r="C19730">
        <v>87108</v>
      </c>
      <c r="D19730" t="str">
        <f>"87108"</f>
        <v>87108</v>
      </c>
      <c r="E19730">
        <v>58.03</v>
      </c>
    </row>
    <row r="19731" spans="1:5" x14ac:dyDescent="0.2">
      <c r="A19731">
        <v>87109</v>
      </c>
      <c r="B19731" t="s">
        <v>38</v>
      </c>
      <c r="C19731">
        <v>87109</v>
      </c>
      <c r="D19731" t="str">
        <f>"87109"</f>
        <v>87109</v>
      </c>
      <c r="E19731">
        <v>72.569999999999993</v>
      </c>
    </row>
    <row r="19732" spans="1:5" x14ac:dyDescent="0.2">
      <c r="A19732">
        <v>87110</v>
      </c>
      <c r="B19732" t="s">
        <v>38</v>
      </c>
      <c r="C19732">
        <v>87110</v>
      </c>
      <c r="D19732" t="str">
        <f>"87110"</f>
        <v>87110</v>
      </c>
      <c r="E19732">
        <v>72.58</v>
      </c>
    </row>
    <row r="19733" spans="1:5" x14ac:dyDescent="0.2">
      <c r="A19733">
        <v>87111</v>
      </c>
      <c r="B19733" t="s">
        <v>38</v>
      </c>
      <c r="C19733">
        <v>87111</v>
      </c>
      <c r="D19733" t="str">
        <f>"87111"</f>
        <v>87111</v>
      </c>
      <c r="E19733">
        <v>79.89</v>
      </c>
    </row>
    <row r="19734" spans="1:5" x14ac:dyDescent="0.2">
      <c r="A19734">
        <v>87112</v>
      </c>
      <c r="B19734" t="s">
        <v>38</v>
      </c>
      <c r="C19734">
        <v>87112</v>
      </c>
      <c r="D19734" t="str">
        <f>"87112"</f>
        <v>87112</v>
      </c>
      <c r="E19734">
        <v>71</v>
      </c>
    </row>
    <row r="19735" spans="1:5" x14ac:dyDescent="0.2">
      <c r="A19735">
        <v>87113</v>
      </c>
      <c r="B19735" t="s">
        <v>38</v>
      </c>
      <c r="C19735">
        <v>87113</v>
      </c>
      <c r="D19735" t="str">
        <f>"87113"</f>
        <v>87113</v>
      </c>
      <c r="E19735">
        <v>76.67</v>
      </c>
    </row>
    <row r="19736" spans="1:5" x14ac:dyDescent="0.2">
      <c r="A19736">
        <v>87114</v>
      </c>
      <c r="B19736" t="s">
        <v>38</v>
      </c>
      <c r="C19736">
        <v>87114</v>
      </c>
      <c r="D19736" t="str">
        <f>"87114"</f>
        <v>87114</v>
      </c>
      <c r="E19736">
        <v>75.010000000000005</v>
      </c>
    </row>
    <row r="19737" spans="1:5" x14ac:dyDescent="0.2">
      <c r="A19737">
        <v>87116</v>
      </c>
      <c r="B19737" t="s">
        <v>38</v>
      </c>
      <c r="C19737">
        <v>87116</v>
      </c>
      <c r="D19737" t="str">
        <f>"87116"</f>
        <v>87116</v>
      </c>
      <c r="E19737">
        <v>75.8</v>
      </c>
    </row>
    <row r="19738" spans="1:5" x14ac:dyDescent="0.2">
      <c r="A19738">
        <v>87119</v>
      </c>
      <c r="B19738" t="s">
        <v>38</v>
      </c>
      <c r="C19738">
        <v>87119</v>
      </c>
      <c r="D19738" t="str">
        <f>"87119"</f>
        <v>87119</v>
      </c>
      <c r="E19738" t="s">
        <v>6</v>
      </c>
    </row>
    <row r="19739" spans="1:5" x14ac:dyDescent="0.2">
      <c r="A19739">
        <v>87120</v>
      </c>
      <c r="B19739" t="s">
        <v>38</v>
      </c>
      <c r="C19739">
        <v>87120</v>
      </c>
      <c r="D19739" t="str">
        <f>"87120"</f>
        <v>87120</v>
      </c>
      <c r="E19739">
        <v>76.11</v>
      </c>
    </row>
    <row r="19740" spans="1:5" x14ac:dyDescent="0.2">
      <c r="A19740">
        <v>87121</v>
      </c>
      <c r="B19740" t="s">
        <v>38</v>
      </c>
      <c r="C19740">
        <v>87121</v>
      </c>
      <c r="D19740" t="str">
        <f>"87121"</f>
        <v>87121</v>
      </c>
      <c r="E19740">
        <v>56.88</v>
      </c>
    </row>
    <row r="19741" spans="1:5" x14ac:dyDescent="0.2">
      <c r="A19741">
        <v>87122</v>
      </c>
      <c r="B19741" t="s">
        <v>38</v>
      </c>
      <c r="C19741">
        <v>87122</v>
      </c>
      <c r="D19741" t="str">
        <f>"87122"</f>
        <v>87122</v>
      </c>
      <c r="E19741">
        <v>84.46</v>
      </c>
    </row>
    <row r="19742" spans="1:5" x14ac:dyDescent="0.2">
      <c r="A19742">
        <v>87123</v>
      </c>
      <c r="B19742" t="s">
        <v>38</v>
      </c>
      <c r="C19742">
        <v>87123</v>
      </c>
      <c r="D19742" t="str">
        <f>"87123"</f>
        <v>87123</v>
      </c>
      <c r="E19742">
        <v>66.319999999999993</v>
      </c>
    </row>
    <row r="19743" spans="1:5" x14ac:dyDescent="0.2">
      <c r="A19743">
        <v>87124</v>
      </c>
      <c r="B19743" t="s">
        <v>38</v>
      </c>
      <c r="C19743">
        <v>87124</v>
      </c>
      <c r="D19743" t="str">
        <f>"87124"</f>
        <v>87124</v>
      </c>
      <c r="E19743">
        <v>72.25</v>
      </c>
    </row>
    <row r="19744" spans="1:5" x14ac:dyDescent="0.2">
      <c r="A19744">
        <v>87144</v>
      </c>
      <c r="B19744" t="s">
        <v>38</v>
      </c>
      <c r="C19744">
        <v>87144</v>
      </c>
      <c r="D19744" t="str">
        <f>"87144"</f>
        <v>87144</v>
      </c>
      <c r="E19744">
        <v>73.75</v>
      </c>
    </row>
    <row r="19745" spans="1:5" x14ac:dyDescent="0.2">
      <c r="A19745">
        <v>87151</v>
      </c>
      <c r="B19745" t="s">
        <v>38</v>
      </c>
      <c r="C19745">
        <v>87151</v>
      </c>
      <c r="D19745" t="str">
        <f>"87151"</f>
        <v>87151</v>
      </c>
      <c r="E19745" t="s">
        <v>6</v>
      </c>
    </row>
    <row r="19746" spans="1:5" x14ac:dyDescent="0.2">
      <c r="A19746">
        <v>87301</v>
      </c>
      <c r="B19746" t="s">
        <v>38</v>
      </c>
      <c r="C19746">
        <v>87301</v>
      </c>
      <c r="D19746" t="str">
        <f>"87301"</f>
        <v>87301</v>
      </c>
      <c r="E19746">
        <v>56.63</v>
      </c>
    </row>
    <row r="19747" spans="1:5" x14ac:dyDescent="0.2">
      <c r="A19747">
        <v>87305</v>
      </c>
      <c r="B19747" t="s">
        <v>38</v>
      </c>
      <c r="C19747">
        <v>87305</v>
      </c>
      <c r="D19747" t="str">
        <f>"87305"</f>
        <v>87305</v>
      </c>
      <c r="E19747" t="s">
        <v>6</v>
      </c>
    </row>
    <row r="19748" spans="1:5" x14ac:dyDescent="0.2">
      <c r="A19748">
        <v>87310</v>
      </c>
      <c r="B19748" t="s">
        <v>38</v>
      </c>
      <c r="C19748">
        <v>87310</v>
      </c>
      <c r="D19748" t="str">
        <f>"87310"</f>
        <v>87310</v>
      </c>
      <c r="E19748" t="s">
        <v>6</v>
      </c>
    </row>
    <row r="19749" spans="1:5" x14ac:dyDescent="0.2">
      <c r="A19749">
        <v>87311</v>
      </c>
      <c r="B19749" t="s">
        <v>38</v>
      </c>
      <c r="C19749">
        <v>87311</v>
      </c>
      <c r="D19749" t="str">
        <f>"87311"</f>
        <v>87311</v>
      </c>
      <c r="E19749" t="s">
        <v>6</v>
      </c>
    </row>
    <row r="19750" spans="1:5" x14ac:dyDescent="0.2">
      <c r="A19750">
        <v>87312</v>
      </c>
      <c r="B19750" t="s">
        <v>38</v>
      </c>
      <c r="C19750">
        <v>87312</v>
      </c>
      <c r="D19750" t="str">
        <f>"87312"</f>
        <v>87312</v>
      </c>
      <c r="E19750">
        <v>55</v>
      </c>
    </row>
    <row r="19751" spans="1:5" x14ac:dyDescent="0.2">
      <c r="A19751">
        <v>87313</v>
      </c>
      <c r="B19751" t="s">
        <v>38</v>
      </c>
      <c r="C19751">
        <v>87313</v>
      </c>
      <c r="D19751" t="str">
        <f>"87313"</f>
        <v>87313</v>
      </c>
      <c r="E19751" t="s">
        <v>6</v>
      </c>
    </row>
    <row r="19752" spans="1:5" x14ac:dyDescent="0.2">
      <c r="A19752">
        <v>87315</v>
      </c>
      <c r="B19752" t="s">
        <v>38</v>
      </c>
      <c r="C19752">
        <v>87315</v>
      </c>
      <c r="D19752" t="str">
        <f>"87315"</f>
        <v>87315</v>
      </c>
      <c r="E19752" t="s">
        <v>6</v>
      </c>
    </row>
    <row r="19753" spans="1:5" x14ac:dyDescent="0.2">
      <c r="A19753">
        <v>87316</v>
      </c>
      <c r="B19753" t="s">
        <v>38</v>
      </c>
      <c r="C19753">
        <v>87316</v>
      </c>
      <c r="D19753" t="str">
        <f>"87316"</f>
        <v>87316</v>
      </c>
      <c r="E19753" t="s">
        <v>6</v>
      </c>
    </row>
    <row r="19754" spans="1:5" x14ac:dyDescent="0.2">
      <c r="A19754">
        <v>87317</v>
      </c>
      <c r="B19754" t="s">
        <v>38</v>
      </c>
      <c r="C19754">
        <v>87317</v>
      </c>
      <c r="D19754" t="str">
        <f>"87317"</f>
        <v>87317</v>
      </c>
      <c r="E19754">
        <v>40.17</v>
      </c>
    </row>
    <row r="19755" spans="1:5" x14ac:dyDescent="0.2">
      <c r="A19755">
        <v>87319</v>
      </c>
      <c r="B19755" t="s">
        <v>38</v>
      </c>
      <c r="C19755">
        <v>87319</v>
      </c>
      <c r="D19755" t="str">
        <f>"87319"</f>
        <v>87319</v>
      </c>
      <c r="E19755" t="s">
        <v>6</v>
      </c>
    </row>
    <row r="19756" spans="1:5" x14ac:dyDescent="0.2">
      <c r="A19756">
        <v>87320</v>
      </c>
      <c r="B19756" t="s">
        <v>38</v>
      </c>
      <c r="C19756">
        <v>87320</v>
      </c>
      <c r="D19756" t="str">
        <f>"87320"</f>
        <v>87320</v>
      </c>
      <c r="E19756" t="s">
        <v>6</v>
      </c>
    </row>
    <row r="19757" spans="1:5" x14ac:dyDescent="0.2">
      <c r="A19757">
        <v>87321</v>
      </c>
      <c r="B19757" t="s">
        <v>38</v>
      </c>
      <c r="C19757">
        <v>87321</v>
      </c>
      <c r="D19757" t="str">
        <f>"87321"</f>
        <v>87321</v>
      </c>
      <c r="E19757">
        <v>51.28</v>
      </c>
    </row>
    <row r="19758" spans="1:5" x14ac:dyDescent="0.2">
      <c r="A19758">
        <v>87322</v>
      </c>
      <c r="B19758" t="s">
        <v>38</v>
      </c>
      <c r="C19758">
        <v>87322</v>
      </c>
      <c r="D19758" t="str">
        <f>"87322"</f>
        <v>87322</v>
      </c>
      <c r="E19758" t="s">
        <v>6</v>
      </c>
    </row>
    <row r="19759" spans="1:5" x14ac:dyDescent="0.2">
      <c r="A19759">
        <v>87323</v>
      </c>
      <c r="B19759" t="s">
        <v>38</v>
      </c>
      <c r="C19759">
        <v>87323</v>
      </c>
      <c r="D19759" t="str">
        <f>"87323"</f>
        <v>87323</v>
      </c>
      <c r="E19759">
        <v>50.88</v>
      </c>
    </row>
    <row r="19760" spans="1:5" x14ac:dyDescent="0.2">
      <c r="A19760">
        <v>87325</v>
      </c>
      <c r="B19760" t="s">
        <v>38</v>
      </c>
      <c r="C19760">
        <v>87325</v>
      </c>
      <c r="D19760" t="str">
        <f>"87325"</f>
        <v>87325</v>
      </c>
      <c r="E19760" t="s">
        <v>6</v>
      </c>
    </row>
    <row r="19761" spans="1:5" x14ac:dyDescent="0.2">
      <c r="A19761">
        <v>87326</v>
      </c>
      <c r="B19761" t="s">
        <v>38</v>
      </c>
      <c r="C19761">
        <v>87326</v>
      </c>
      <c r="D19761" t="str">
        <f>"87326"</f>
        <v>87326</v>
      </c>
      <c r="E19761" t="s">
        <v>6</v>
      </c>
    </row>
    <row r="19762" spans="1:5" x14ac:dyDescent="0.2">
      <c r="A19762">
        <v>87327</v>
      </c>
      <c r="B19762" t="s">
        <v>38</v>
      </c>
      <c r="C19762">
        <v>87327</v>
      </c>
      <c r="D19762" t="str">
        <f>"87327"</f>
        <v>87327</v>
      </c>
      <c r="E19762" t="s">
        <v>6</v>
      </c>
    </row>
    <row r="19763" spans="1:5" x14ac:dyDescent="0.2">
      <c r="A19763">
        <v>87328</v>
      </c>
      <c r="B19763" t="s">
        <v>38</v>
      </c>
      <c r="C19763">
        <v>87328</v>
      </c>
      <c r="D19763" t="str">
        <f>"87328"</f>
        <v>87328</v>
      </c>
      <c r="E19763" t="s">
        <v>6</v>
      </c>
    </row>
    <row r="19764" spans="1:5" x14ac:dyDescent="0.2">
      <c r="A19764">
        <v>87347</v>
      </c>
      <c r="B19764" t="s">
        <v>38</v>
      </c>
      <c r="C19764">
        <v>87347</v>
      </c>
      <c r="D19764" t="str">
        <f>"87347"</f>
        <v>87347</v>
      </c>
      <c r="E19764" t="s">
        <v>6</v>
      </c>
    </row>
    <row r="19765" spans="1:5" x14ac:dyDescent="0.2">
      <c r="A19765">
        <v>87357</v>
      </c>
      <c r="B19765" t="s">
        <v>38</v>
      </c>
      <c r="C19765">
        <v>87357</v>
      </c>
      <c r="D19765" t="str">
        <f>"87357"</f>
        <v>87357</v>
      </c>
      <c r="E19765" t="s">
        <v>6</v>
      </c>
    </row>
    <row r="19766" spans="1:5" x14ac:dyDescent="0.2">
      <c r="A19766">
        <v>87364</v>
      </c>
      <c r="B19766" t="s">
        <v>38</v>
      </c>
      <c r="C19766">
        <v>87364</v>
      </c>
      <c r="D19766" t="str">
        <f>"87364"</f>
        <v>87364</v>
      </c>
      <c r="E19766" t="s">
        <v>6</v>
      </c>
    </row>
    <row r="19767" spans="1:5" x14ac:dyDescent="0.2">
      <c r="A19767">
        <v>87365</v>
      </c>
      <c r="B19767" t="s">
        <v>38</v>
      </c>
      <c r="C19767">
        <v>87365</v>
      </c>
      <c r="D19767" t="str">
        <f>"87365"</f>
        <v>87365</v>
      </c>
      <c r="E19767" t="s">
        <v>6</v>
      </c>
    </row>
    <row r="19768" spans="1:5" x14ac:dyDescent="0.2">
      <c r="A19768">
        <v>87375</v>
      </c>
      <c r="B19768" t="s">
        <v>38</v>
      </c>
      <c r="C19768">
        <v>87375</v>
      </c>
      <c r="D19768" t="str">
        <f>"87375"</f>
        <v>87375</v>
      </c>
      <c r="E19768" t="s">
        <v>6</v>
      </c>
    </row>
    <row r="19769" spans="1:5" x14ac:dyDescent="0.2">
      <c r="A19769">
        <v>87401</v>
      </c>
      <c r="B19769" t="s">
        <v>38</v>
      </c>
      <c r="C19769">
        <v>87401</v>
      </c>
      <c r="D19769" t="str">
        <f>"87401"</f>
        <v>87401</v>
      </c>
      <c r="E19769">
        <v>64.67</v>
      </c>
    </row>
    <row r="19770" spans="1:5" x14ac:dyDescent="0.2">
      <c r="A19770">
        <v>87402</v>
      </c>
      <c r="B19770" t="s">
        <v>38</v>
      </c>
      <c r="C19770">
        <v>87402</v>
      </c>
      <c r="D19770" t="str">
        <f>"87402"</f>
        <v>87402</v>
      </c>
      <c r="E19770">
        <v>75.38</v>
      </c>
    </row>
    <row r="19771" spans="1:5" x14ac:dyDescent="0.2">
      <c r="A19771">
        <v>87410</v>
      </c>
      <c r="B19771" t="s">
        <v>38</v>
      </c>
      <c r="C19771">
        <v>87410</v>
      </c>
      <c r="D19771" t="str">
        <f>"87410"</f>
        <v>87410</v>
      </c>
      <c r="E19771">
        <v>69.239999999999995</v>
      </c>
    </row>
    <row r="19772" spans="1:5" x14ac:dyDescent="0.2">
      <c r="A19772">
        <v>87412</v>
      </c>
      <c r="B19772" t="s">
        <v>38</v>
      </c>
      <c r="C19772">
        <v>87412</v>
      </c>
      <c r="D19772" t="str">
        <f>"87412"</f>
        <v>87412</v>
      </c>
      <c r="E19772">
        <v>64.290000000000006</v>
      </c>
    </row>
    <row r="19773" spans="1:5" x14ac:dyDescent="0.2">
      <c r="A19773">
        <v>87413</v>
      </c>
      <c r="B19773" t="s">
        <v>38</v>
      </c>
      <c r="C19773">
        <v>87413</v>
      </c>
      <c r="D19773" t="str">
        <f>"87413"</f>
        <v>87413</v>
      </c>
      <c r="E19773">
        <v>65.36</v>
      </c>
    </row>
    <row r="19774" spans="1:5" x14ac:dyDescent="0.2">
      <c r="A19774">
        <v>87415</v>
      </c>
      <c r="B19774" t="s">
        <v>38</v>
      </c>
      <c r="C19774">
        <v>87415</v>
      </c>
      <c r="D19774" t="str">
        <f>"87415"</f>
        <v>87415</v>
      </c>
      <c r="E19774">
        <v>72.900000000000006</v>
      </c>
    </row>
    <row r="19775" spans="1:5" x14ac:dyDescent="0.2">
      <c r="A19775">
        <v>87416</v>
      </c>
      <c r="B19775" t="s">
        <v>38</v>
      </c>
      <c r="C19775">
        <v>87416</v>
      </c>
      <c r="D19775" t="str">
        <f>"87416"</f>
        <v>87416</v>
      </c>
      <c r="E19775">
        <v>61.84</v>
      </c>
    </row>
    <row r="19776" spans="1:5" x14ac:dyDescent="0.2">
      <c r="A19776">
        <v>87417</v>
      </c>
      <c r="B19776" t="s">
        <v>38</v>
      </c>
      <c r="C19776">
        <v>87417</v>
      </c>
      <c r="D19776" t="str">
        <f>"87417"</f>
        <v>87417</v>
      </c>
      <c r="E19776">
        <v>64.83</v>
      </c>
    </row>
    <row r="19777" spans="1:5" x14ac:dyDescent="0.2">
      <c r="A19777">
        <v>87418</v>
      </c>
      <c r="B19777" t="s">
        <v>38</v>
      </c>
      <c r="C19777">
        <v>87418</v>
      </c>
      <c r="D19777" t="str">
        <f>"87418"</f>
        <v>87418</v>
      </c>
      <c r="E19777">
        <v>69.05</v>
      </c>
    </row>
    <row r="19778" spans="1:5" x14ac:dyDescent="0.2">
      <c r="A19778">
        <v>87419</v>
      </c>
      <c r="B19778" t="s">
        <v>38</v>
      </c>
      <c r="C19778">
        <v>87419</v>
      </c>
      <c r="D19778" t="str">
        <f>"87419"</f>
        <v>87419</v>
      </c>
      <c r="E19778">
        <v>66.67</v>
      </c>
    </row>
    <row r="19779" spans="1:5" x14ac:dyDescent="0.2">
      <c r="A19779">
        <v>87420</v>
      </c>
      <c r="B19779" t="s">
        <v>38</v>
      </c>
      <c r="C19779">
        <v>87420</v>
      </c>
      <c r="D19779" t="str">
        <f>"87420"</f>
        <v>87420</v>
      </c>
      <c r="E19779">
        <v>59.65</v>
      </c>
    </row>
    <row r="19780" spans="1:5" x14ac:dyDescent="0.2">
      <c r="A19780">
        <v>87421</v>
      </c>
      <c r="B19780" t="s">
        <v>38</v>
      </c>
      <c r="C19780">
        <v>87421</v>
      </c>
      <c r="D19780" t="str">
        <f>"87421"</f>
        <v>87421</v>
      </c>
      <c r="E19780">
        <v>64.94</v>
      </c>
    </row>
    <row r="19781" spans="1:5" x14ac:dyDescent="0.2">
      <c r="A19781">
        <v>87455</v>
      </c>
      <c r="B19781" t="s">
        <v>38</v>
      </c>
      <c r="C19781">
        <v>87455</v>
      </c>
      <c r="D19781" t="str">
        <f>"87455"</f>
        <v>87455</v>
      </c>
      <c r="E19781" t="s">
        <v>6</v>
      </c>
    </row>
    <row r="19782" spans="1:5" x14ac:dyDescent="0.2">
      <c r="A19782">
        <v>87461</v>
      </c>
      <c r="B19782" t="s">
        <v>38</v>
      </c>
      <c r="C19782">
        <v>87461</v>
      </c>
      <c r="D19782" t="str">
        <f>"87461"</f>
        <v>87461</v>
      </c>
      <c r="E19782" t="s">
        <v>6</v>
      </c>
    </row>
    <row r="19783" spans="1:5" x14ac:dyDescent="0.2">
      <c r="A19783">
        <v>87499</v>
      </c>
      <c r="B19783" t="s">
        <v>38</v>
      </c>
      <c r="C19783">
        <v>87499</v>
      </c>
      <c r="D19783" t="str">
        <f>"87499"</f>
        <v>87499</v>
      </c>
      <c r="E19783" t="s">
        <v>6</v>
      </c>
    </row>
    <row r="19784" spans="1:5" x14ac:dyDescent="0.2">
      <c r="A19784">
        <v>87501</v>
      </c>
      <c r="B19784" t="s">
        <v>38</v>
      </c>
      <c r="C19784">
        <v>87501</v>
      </c>
      <c r="D19784" t="str">
        <f>"87501"</f>
        <v>87501</v>
      </c>
      <c r="E19784">
        <v>76.069999999999993</v>
      </c>
    </row>
    <row r="19785" spans="1:5" x14ac:dyDescent="0.2">
      <c r="A19785">
        <v>87505</v>
      </c>
      <c r="B19785" t="s">
        <v>38</v>
      </c>
      <c r="C19785">
        <v>87505</v>
      </c>
      <c r="D19785" t="str">
        <f>"87505"</f>
        <v>87505</v>
      </c>
      <c r="E19785">
        <v>73.489999999999995</v>
      </c>
    </row>
    <row r="19786" spans="1:5" x14ac:dyDescent="0.2">
      <c r="A19786">
        <v>87506</v>
      </c>
      <c r="B19786" t="s">
        <v>38</v>
      </c>
      <c r="C19786">
        <v>87506</v>
      </c>
      <c r="D19786" t="str">
        <f>"87506"</f>
        <v>87506</v>
      </c>
      <c r="E19786">
        <v>75.73</v>
      </c>
    </row>
    <row r="19787" spans="1:5" x14ac:dyDescent="0.2">
      <c r="A19787">
        <v>87507</v>
      </c>
      <c r="B19787" t="s">
        <v>38</v>
      </c>
      <c r="C19787">
        <v>87507</v>
      </c>
      <c r="D19787" t="str">
        <f>"87507"</f>
        <v>87507</v>
      </c>
      <c r="E19787">
        <v>64.69</v>
      </c>
    </row>
    <row r="19788" spans="1:5" x14ac:dyDescent="0.2">
      <c r="A19788">
        <v>87508</v>
      </c>
      <c r="B19788" t="s">
        <v>38</v>
      </c>
      <c r="C19788">
        <v>87508</v>
      </c>
      <c r="D19788" t="str">
        <f>"87508"</f>
        <v>87508</v>
      </c>
      <c r="E19788">
        <v>75.2</v>
      </c>
    </row>
    <row r="19789" spans="1:5" x14ac:dyDescent="0.2">
      <c r="A19789">
        <v>87510</v>
      </c>
      <c r="B19789" t="s">
        <v>38</v>
      </c>
      <c r="C19789">
        <v>87510</v>
      </c>
      <c r="D19789" t="str">
        <f>"87510"</f>
        <v>87510</v>
      </c>
      <c r="E19789">
        <v>62.5</v>
      </c>
    </row>
    <row r="19790" spans="1:5" x14ac:dyDescent="0.2">
      <c r="A19790">
        <v>87511</v>
      </c>
      <c r="B19790" t="s">
        <v>38</v>
      </c>
      <c r="C19790">
        <v>87511</v>
      </c>
      <c r="D19790" t="str">
        <f>"87511"</f>
        <v>87511</v>
      </c>
      <c r="E19790" t="s">
        <v>6</v>
      </c>
    </row>
    <row r="19791" spans="1:5" x14ac:dyDescent="0.2">
      <c r="A19791">
        <v>87512</v>
      </c>
      <c r="B19791" t="s">
        <v>38</v>
      </c>
      <c r="C19791">
        <v>87512</v>
      </c>
      <c r="D19791" t="str">
        <f>"87512"</f>
        <v>87512</v>
      </c>
      <c r="E19791" t="s">
        <v>6</v>
      </c>
    </row>
    <row r="19792" spans="1:5" x14ac:dyDescent="0.2">
      <c r="A19792">
        <v>87513</v>
      </c>
      <c r="B19792" t="s">
        <v>38</v>
      </c>
      <c r="C19792">
        <v>87513</v>
      </c>
      <c r="D19792" t="str">
        <f>"87513"</f>
        <v>87513</v>
      </c>
      <c r="E19792" t="s">
        <v>6</v>
      </c>
    </row>
    <row r="19793" spans="1:5" x14ac:dyDescent="0.2">
      <c r="A19793">
        <v>87514</v>
      </c>
      <c r="B19793" t="s">
        <v>38</v>
      </c>
      <c r="C19793">
        <v>87514</v>
      </c>
      <c r="D19793" t="str">
        <f>"87514"</f>
        <v>87514</v>
      </c>
      <c r="E19793" t="s">
        <v>6</v>
      </c>
    </row>
    <row r="19794" spans="1:5" x14ac:dyDescent="0.2">
      <c r="A19794">
        <v>87515</v>
      </c>
      <c r="B19794" t="s">
        <v>38</v>
      </c>
      <c r="C19794">
        <v>87515</v>
      </c>
      <c r="D19794" t="str">
        <f>"87515"</f>
        <v>87515</v>
      </c>
      <c r="E19794" t="s">
        <v>6</v>
      </c>
    </row>
    <row r="19795" spans="1:5" x14ac:dyDescent="0.2">
      <c r="A19795">
        <v>87516</v>
      </c>
      <c r="B19795" t="s">
        <v>38</v>
      </c>
      <c r="C19795">
        <v>87516</v>
      </c>
      <c r="D19795" t="str">
        <f>"87516"</f>
        <v>87516</v>
      </c>
      <c r="E19795" t="s">
        <v>6</v>
      </c>
    </row>
    <row r="19796" spans="1:5" x14ac:dyDescent="0.2">
      <c r="A19796">
        <v>87517</v>
      </c>
      <c r="B19796" t="s">
        <v>38</v>
      </c>
      <c r="C19796">
        <v>87517</v>
      </c>
      <c r="D19796" t="str">
        <f>"87517"</f>
        <v>87517</v>
      </c>
      <c r="E19796" t="s">
        <v>6</v>
      </c>
    </row>
    <row r="19797" spans="1:5" x14ac:dyDescent="0.2">
      <c r="A19797">
        <v>87518</v>
      </c>
      <c r="B19797" t="s">
        <v>38</v>
      </c>
      <c r="C19797">
        <v>87518</v>
      </c>
      <c r="D19797" t="str">
        <f>"87518"</f>
        <v>87518</v>
      </c>
      <c r="E19797" t="s">
        <v>6</v>
      </c>
    </row>
    <row r="19798" spans="1:5" x14ac:dyDescent="0.2">
      <c r="A19798">
        <v>87519</v>
      </c>
      <c r="B19798" t="s">
        <v>38</v>
      </c>
      <c r="C19798">
        <v>87519</v>
      </c>
      <c r="D19798" t="str">
        <f>"87519"</f>
        <v>87519</v>
      </c>
      <c r="E19798" t="s">
        <v>6</v>
      </c>
    </row>
    <row r="19799" spans="1:5" x14ac:dyDescent="0.2">
      <c r="A19799">
        <v>87520</v>
      </c>
      <c r="B19799" t="s">
        <v>38</v>
      </c>
      <c r="C19799">
        <v>87520</v>
      </c>
      <c r="D19799" t="str">
        <f>"87520"</f>
        <v>87520</v>
      </c>
      <c r="E19799">
        <v>61.76</v>
      </c>
    </row>
    <row r="19800" spans="1:5" x14ac:dyDescent="0.2">
      <c r="A19800">
        <v>87521</v>
      </c>
      <c r="B19800" t="s">
        <v>38</v>
      </c>
      <c r="C19800">
        <v>87521</v>
      </c>
      <c r="D19800" t="str">
        <f>"87521"</f>
        <v>87521</v>
      </c>
      <c r="E19800">
        <v>62.5</v>
      </c>
    </row>
    <row r="19801" spans="1:5" x14ac:dyDescent="0.2">
      <c r="A19801">
        <v>87522</v>
      </c>
      <c r="B19801" t="s">
        <v>38</v>
      </c>
      <c r="C19801">
        <v>87522</v>
      </c>
      <c r="D19801" t="str">
        <f>"87522"</f>
        <v>87522</v>
      </c>
      <c r="E19801">
        <v>69.11</v>
      </c>
    </row>
    <row r="19802" spans="1:5" x14ac:dyDescent="0.2">
      <c r="A19802">
        <v>87523</v>
      </c>
      <c r="B19802" t="s">
        <v>38</v>
      </c>
      <c r="C19802">
        <v>87523</v>
      </c>
      <c r="D19802" t="str">
        <f>"87523"</f>
        <v>87523</v>
      </c>
      <c r="E19802" t="s">
        <v>6</v>
      </c>
    </row>
    <row r="19803" spans="1:5" x14ac:dyDescent="0.2">
      <c r="A19803">
        <v>87524</v>
      </c>
      <c r="B19803" t="s">
        <v>38</v>
      </c>
      <c r="C19803">
        <v>87524</v>
      </c>
      <c r="D19803" t="str">
        <f>"87524"</f>
        <v>87524</v>
      </c>
      <c r="E19803" t="s">
        <v>6</v>
      </c>
    </row>
    <row r="19804" spans="1:5" x14ac:dyDescent="0.2">
      <c r="A19804">
        <v>87525</v>
      </c>
      <c r="B19804" t="s">
        <v>38</v>
      </c>
      <c r="C19804">
        <v>87525</v>
      </c>
      <c r="D19804" t="str">
        <f>"87525"</f>
        <v>87525</v>
      </c>
      <c r="E19804" t="s">
        <v>6</v>
      </c>
    </row>
    <row r="19805" spans="1:5" x14ac:dyDescent="0.2">
      <c r="A19805">
        <v>87527</v>
      </c>
      <c r="B19805" t="s">
        <v>38</v>
      </c>
      <c r="C19805">
        <v>87527</v>
      </c>
      <c r="D19805" t="str">
        <f>"87527"</f>
        <v>87527</v>
      </c>
      <c r="E19805" t="s">
        <v>6</v>
      </c>
    </row>
    <row r="19806" spans="1:5" x14ac:dyDescent="0.2">
      <c r="A19806">
        <v>87528</v>
      </c>
      <c r="B19806" t="s">
        <v>38</v>
      </c>
      <c r="C19806">
        <v>87528</v>
      </c>
      <c r="D19806" t="str">
        <f>"87528"</f>
        <v>87528</v>
      </c>
      <c r="E19806">
        <v>57.25</v>
      </c>
    </row>
    <row r="19807" spans="1:5" x14ac:dyDescent="0.2">
      <c r="A19807">
        <v>87529</v>
      </c>
      <c r="B19807" t="s">
        <v>38</v>
      </c>
      <c r="C19807">
        <v>87529</v>
      </c>
      <c r="D19807" t="str">
        <f>"87529"</f>
        <v>87529</v>
      </c>
      <c r="E19807">
        <v>64.040000000000006</v>
      </c>
    </row>
    <row r="19808" spans="1:5" x14ac:dyDescent="0.2">
      <c r="A19808">
        <v>87530</v>
      </c>
      <c r="B19808" t="s">
        <v>38</v>
      </c>
      <c r="C19808">
        <v>87530</v>
      </c>
      <c r="D19808" t="str">
        <f>"87530"</f>
        <v>87530</v>
      </c>
      <c r="E19808">
        <v>71.430000000000007</v>
      </c>
    </row>
    <row r="19809" spans="1:5" x14ac:dyDescent="0.2">
      <c r="A19809">
        <v>87531</v>
      </c>
      <c r="B19809" t="s">
        <v>38</v>
      </c>
      <c r="C19809">
        <v>87531</v>
      </c>
      <c r="D19809" t="str">
        <f>"87531"</f>
        <v>87531</v>
      </c>
      <c r="E19809">
        <v>58.33</v>
      </c>
    </row>
    <row r="19810" spans="1:5" x14ac:dyDescent="0.2">
      <c r="A19810">
        <v>87532</v>
      </c>
      <c r="B19810" t="s">
        <v>38</v>
      </c>
      <c r="C19810">
        <v>87532</v>
      </c>
      <c r="D19810" t="str">
        <f>"87532"</f>
        <v>87532</v>
      </c>
      <c r="E19810">
        <v>66.36</v>
      </c>
    </row>
    <row r="19811" spans="1:5" x14ac:dyDescent="0.2">
      <c r="A19811">
        <v>87535</v>
      </c>
      <c r="B19811" t="s">
        <v>38</v>
      </c>
      <c r="C19811">
        <v>87535</v>
      </c>
      <c r="D19811" t="str">
        <f>"87535"</f>
        <v>87535</v>
      </c>
      <c r="E19811">
        <v>67.61</v>
      </c>
    </row>
    <row r="19812" spans="1:5" x14ac:dyDescent="0.2">
      <c r="A19812">
        <v>87537</v>
      </c>
      <c r="B19812" t="s">
        <v>38</v>
      </c>
      <c r="C19812">
        <v>87537</v>
      </c>
      <c r="D19812" t="str">
        <f>"87537"</f>
        <v>87537</v>
      </c>
      <c r="E19812">
        <v>64.290000000000006</v>
      </c>
    </row>
    <row r="19813" spans="1:5" x14ac:dyDescent="0.2">
      <c r="A19813">
        <v>87538</v>
      </c>
      <c r="B19813" t="s">
        <v>38</v>
      </c>
      <c r="C19813">
        <v>87538</v>
      </c>
      <c r="D19813" t="str">
        <f>"87538"</f>
        <v>87538</v>
      </c>
      <c r="E19813" t="s">
        <v>6</v>
      </c>
    </row>
    <row r="19814" spans="1:5" x14ac:dyDescent="0.2">
      <c r="A19814">
        <v>87539</v>
      </c>
      <c r="B19814" t="s">
        <v>38</v>
      </c>
      <c r="C19814">
        <v>87539</v>
      </c>
      <c r="D19814" t="str">
        <f>"87539"</f>
        <v>87539</v>
      </c>
      <c r="E19814">
        <v>63.64</v>
      </c>
    </row>
    <row r="19815" spans="1:5" x14ac:dyDescent="0.2">
      <c r="A19815">
        <v>87540</v>
      </c>
      <c r="B19815" t="s">
        <v>38</v>
      </c>
      <c r="C19815">
        <v>87540</v>
      </c>
      <c r="D19815" t="str">
        <f>"87540"</f>
        <v>87540</v>
      </c>
      <c r="E19815">
        <v>72.73</v>
      </c>
    </row>
    <row r="19816" spans="1:5" x14ac:dyDescent="0.2">
      <c r="A19816">
        <v>87543</v>
      </c>
      <c r="B19816" t="s">
        <v>38</v>
      </c>
      <c r="C19816">
        <v>87543</v>
      </c>
      <c r="D19816" t="str">
        <f>"87543"</f>
        <v>87543</v>
      </c>
      <c r="E19816" t="s">
        <v>6</v>
      </c>
    </row>
    <row r="19817" spans="1:5" x14ac:dyDescent="0.2">
      <c r="A19817">
        <v>87544</v>
      </c>
      <c r="B19817" t="s">
        <v>38</v>
      </c>
      <c r="C19817">
        <v>87544</v>
      </c>
      <c r="D19817" t="str">
        <f>"87544"</f>
        <v>87544</v>
      </c>
      <c r="E19817">
        <v>85.17</v>
      </c>
    </row>
    <row r="19818" spans="1:5" x14ac:dyDescent="0.2">
      <c r="A19818">
        <v>87547</v>
      </c>
      <c r="B19818" t="s">
        <v>38</v>
      </c>
      <c r="C19818">
        <v>87547</v>
      </c>
      <c r="D19818" t="str">
        <f>"87547"</f>
        <v>87547</v>
      </c>
      <c r="E19818" t="s">
        <v>6</v>
      </c>
    </row>
    <row r="19819" spans="1:5" x14ac:dyDescent="0.2">
      <c r="A19819">
        <v>87548</v>
      </c>
      <c r="B19819" t="s">
        <v>38</v>
      </c>
      <c r="C19819">
        <v>87548</v>
      </c>
      <c r="D19819" t="str">
        <f>"87548"</f>
        <v>87548</v>
      </c>
      <c r="E19819" t="s">
        <v>6</v>
      </c>
    </row>
    <row r="19820" spans="1:5" x14ac:dyDescent="0.2">
      <c r="A19820">
        <v>87549</v>
      </c>
      <c r="B19820" t="s">
        <v>38</v>
      </c>
      <c r="C19820">
        <v>87549</v>
      </c>
      <c r="D19820" t="str">
        <f>"87549"</f>
        <v>87549</v>
      </c>
      <c r="E19820">
        <v>76.47</v>
      </c>
    </row>
    <row r="19821" spans="1:5" x14ac:dyDescent="0.2">
      <c r="A19821">
        <v>87551</v>
      </c>
      <c r="B19821" t="s">
        <v>38</v>
      </c>
      <c r="C19821">
        <v>87551</v>
      </c>
      <c r="D19821" t="str">
        <f>"87551"</f>
        <v>87551</v>
      </c>
      <c r="E19821">
        <v>72.22</v>
      </c>
    </row>
    <row r="19822" spans="1:5" x14ac:dyDescent="0.2">
      <c r="A19822">
        <v>87552</v>
      </c>
      <c r="B19822" t="s">
        <v>38</v>
      </c>
      <c r="C19822">
        <v>87552</v>
      </c>
      <c r="D19822" t="str">
        <f>"87552"</f>
        <v>87552</v>
      </c>
      <c r="E19822">
        <v>65.650000000000006</v>
      </c>
    </row>
    <row r="19823" spans="1:5" x14ac:dyDescent="0.2">
      <c r="A19823">
        <v>87553</v>
      </c>
      <c r="B19823" t="s">
        <v>38</v>
      </c>
      <c r="C19823">
        <v>87553</v>
      </c>
      <c r="D19823" t="str">
        <f>"87553"</f>
        <v>87553</v>
      </c>
      <c r="E19823">
        <v>60</v>
      </c>
    </row>
    <row r="19824" spans="1:5" x14ac:dyDescent="0.2">
      <c r="A19824">
        <v>87554</v>
      </c>
      <c r="B19824" t="s">
        <v>38</v>
      </c>
      <c r="C19824">
        <v>87554</v>
      </c>
      <c r="D19824" t="str">
        <f>"87554"</f>
        <v>87554</v>
      </c>
      <c r="E19824" t="s">
        <v>6</v>
      </c>
    </row>
    <row r="19825" spans="1:5" x14ac:dyDescent="0.2">
      <c r="A19825">
        <v>87556</v>
      </c>
      <c r="B19825" t="s">
        <v>38</v>
      </c>
      <c r="C19825">
        <v>87556</v>
      </c>
      <c r="D19825" t="str">
        <f>"87556"</f>
        <v>87556</v>
      </c>
      <c r="E19825">
        <v>58.24</v>
      </c>
    </row>
    <row r="19826" spans="1:5" x14ac:dyDescent="0.2">
      <c r="A19826">
        <v>87557</v>
      </c>
      <c r="B19826" t="s">
        <v>38</v>
      </c>
      <c r="C19826">
        <v>87557</v>
      </c>
      <c r="D19826" t="str">
        <f>"87557"</f>
        <v>87557</v>
      </c>
      <c r="E19826">
        <v>59.94</v>
      </c>
    </row>
    <row r="19827" spans="1:5" x14ac:dyDescent="0.2">
      <c r="A19827">
        <v>87558</v>
      </c>
      <c r="B19827" t="s">
        <v>38</v>
      </c>
      <c r="C19827">
        <v>87558</v>
      </c>
      <c r="D19827" t="str">
        <f>"87558"</f>
        <v>87558</v>
      </c>
      <c r="E19827" t="s">
        <v>6</v>
      </c>
    </row>
    <row r="19828" spans="1:5" x14ac:dyDescent="0.2">
      <c r="A19828">
        <v>87560</v>
      </c>
      <c r="B19828" t="s">
        <v>38</v>
      </c>
      <c r="C19828">
        <v>87560</v>
      </c>
      <c r="D19828" t="str">
        <f>"87560"</f>
        <v>87560</v>
      </c>
      <c r="E19828">
        <v>54</v>
      </c>
    </row>
    <row r="19829" spans="1:5" x14ac:dyDescent="0.2">
      <c r="A19829">
        <v>87562</v>
      </c>
      <c r="B19829" t="s">
        <v>38</v>
      </c>
      <c r="C19829">
        <v>87562</v>
      </c>
      <c r="D19829" t="str">
        <f>"87562"</f>
        <v>87562</v>
      </c>
      <c r="E19829" t="s">
        <v>6</v>
      </c>
    </row>
    <row r="19830" spans="1:5" x14ac:dyDescent="0.2">
      <c r="A19830">
        <v>87564</v>
      </c>
      <c r="B19830" t="s">
        <v>38</v>
      </c>
      <c r="C19830">
        <v>87564</v>
      </c>
      <c r="D19830" t="str">
        <f>"87564"</f>
        <v>87564</v>
      </c>
      <c r="E19830" t="s">
        <v>6</v>
      </c>
    </row>
    <row r="19831" spans="1:5" x14ac:dyDescent="0.2">
      <c r="A19831">
        <v>87565</v>
      </c>
      <c r="B19831" t="s">
        <v>38</v>
      </c>
      <c r="C19831">
        <v>87565</v>
      </c>
      <c r="D19831" t="str">
        <f>"87565"</f>
        <v>87565</v>
      </c>
      <c r="E19831">
        <v>60</v>
      </c>
    </row>
    <row r="19832" spans="1:5" x14ac:dyDescent="0.2">
      <c r="A19832">
        <v>87566</v>
      </c>
      <c r="B19832" t="s">
        <v>38</v>
      </c>
      <c r="C19832">
        <v>87566</v>
      </c>
      <c r="D19832" t="str">
        <f>"87566"</f>
        <v>87566</v>
      </c>
      <c r="E19832">
        <v>61.29</v>
      </c>
    </row>
    <row r="19833" spans="1:5" x14ac:dyDescent="0.2">
      <c r="A19833">
        <v>87567</v>
      </c>
      <c r="B19833" t="s">
        <v>38</v>
      </c>
      <c r="C19833">
        <v>87567</v>
      </c>
      <c r="D19833" t="str">
        <f>"87567"</f>
        <v>87567</v>
      </c>
      <c r="E19833">
        <v>60.19</v>
      </c>
    </row>
    <row r="19834" spans="1:5" x14ac:dyDescent="0.2">
      <c r="A19834">
        <v>87569</v>
      </c>
      <c r="B19834" t="s">
        <v>38</v>
      </c>
      <c r="C19834">
        <v>87569</v>
      </c>
      <c r="D19834" t="str">
        <f>"87569"</f>
        <v>87569</v>
      </c>
      <c r="E19834" t="s">
        <v>6</v>
      </c>
    </row>
    <row r="19835" spans="1:5" x14ac:dyDescent="0.2">
      <c r="A19835">
        <v>87571</v>
      </c>
      <c r="B19835" t="s">
        <v>38</v>
      </c>
      <c r="C19835">
        <v>87571</v>
      </c>
      <c r="D19835" t="str">
        <f>"87571"</f>
        <v>87571</v>
      </c>
      <c r="E19835">
        <v>62.1</v>
      </c>
    </row>
    <row r="19836" spans="1:5" x14ac:dyDescent="0.2">
      <c r="A19836">
        <v>87573</v>
      </c>
      <c r="B19836" t="s">
        <v>38</v>
      </c>
      <c r="C19836">
        <v>87573</v>
      </c>
      <c r="D19836" t="str">
        <f>"87573"</f>
        <v>87573</v>
      </c>
      <c r="E19836" t="s">
        <v>6</v>
      </c>
    </row>
    <row r="19837" spans="1:5" x14ac:dyDescent="0.2">
      <c r="A19837">
        <v>87575</v>
      </c>
      <c r="B19837" t="s">
        <v>38</v>
      </c>
      <c r="C19837">
        <v>87575</v>
      </c>
      <c r="D19837" t="str">
        <f>"87575"</f>
        <v>87575</v>
      </c>
      <c r="E19837">
        <v>67.739999999999995</v>
      </c>
    </row>
    <row r="19838" spans="1:5" x14ac:dyDescent="0.2">
      <c r="A19838">
        <v>87577</v>
      </c>
      <c r="B19838" t="s">
        <v>38</v>
      </c>
      <c r="C19838">
        <v>87577</v>
      </c>
      <c r="D19838" t="str">
        <f>"87577"</f>
        <v>87577</v>
      </c>
      <c r="E19838" t="s">
        <v>6</v>
      </c>
    </row>
    <row r="19839" spans="1:5" x14ac:dyDescent="0.2">
      <c r="A19839">
        <v>87578</v>
      </c>
      <c r="B19839" t="s">
        <v>38</v>
      </c>
      <c r="C19839">
        <v>87578</v>
      </c>
      <c r="D19839" t="str">
        <f>"87578"</f>
        <v>87578</v>
      </c>
      <c r="E19839" t="s">
        <v>6</v>
      </c>
    </row>
    <row r="19840" spans="1:5" x14ac:dyDescent="0.2">
      <c r="A19840">
        <v>87579</v>
      </c>
      <c r="B19840" t="s">
        <v>38</v>
      </c>
      <c r="C19840">
        <v>87579</v>
      </c>
      <c r="D19840" t="str">
        <f>"87579"</f>
        <v>87579</v>
      </c>
      <c r="E19840">
        <v>60.71</v>
      </c>
    </row>
    <row r="19841" spans="1:5" x14ac:dyDescent="0.2">
      <c r="A19841">
        <v>87580</v>
      </c>
      <c r="B19841" t="s">
        <v>38</v>
      </c>
      <c r="C19841">
        <v>87580</v>
      </c>
      <c r="D19841" t="str">
        <f>"87580"</f>
        <v>87580</v>
      </c>
      <c r="E19841" t="s">
        <v>6</v>
      </c>
    </row>
    <row r="19842" spans="1:5" x14ac:dyDescent="0.2">
      <c r="A19842">
        <v>87581</v>
      </c>
      <c r="B19842" t="s">
        <v>38</v>
      </c>
      <c r="C19842">
        <v>87581</v>
      </c>
      <c r="D19842" t="str">
        <f>"87581"</f>
        <v>87581</v>
      </c>
      <c r="E19842" t="s">
        <v>6</v>
      </c>
    </row>
    <row r="19843" spans="1:5" x14ac:dyDescent="0.2">
      <c r="A19843">
        <v>87582</v>
      </c>
      <c r="B19843" t="s">
        <v>38</v>
      </c>
      <c r="C19843">
        <v>87582</v>
      </c>
      <c r="D19843" t="str">
        <f>"87582"</f>
        <v>87582</v>
      </c>
      <c r="E19843" t="s">
        <v>6</v>
      </c>
    </row>
    <row r="19844" spans="1:5" x14ac:dyDescent="0.2">
      <c r="A19844">
        <v>87583</v>
      </c>
      <c r="B19844" t="s">
        <v>38</v>
      </c>
      <c r="C19844">
        <v>87583</v>
      </c>
      <c r="D19844" t="str">
        <f>"87583"</f>
        <v>87583</v>
      </c>
      <c r="E19844" t="s">
        <v>6</v>
      </c>
    </row>
    <row r="19845" spans="1:5" x14ac:dyDescent="0.2">
      <c r="A19845">
        <v>87701</v>
      </c>
      <c r="B19845" t="s">
        <v>38</v>
      </c>
      <c r="C19845">
        <v>87701</v>
      </c>
      <c r="D19845" t="str">
        <f>"87701"</f>
        <v>87701</v>
      </c>
      <c r="E19845">
        <v>57.16</v>
      </c>
    </row>
    <row r="19846" spans="1:5" x14ac:dyDescent="0.2">
      <c r="A19846">
        <v>87710</v>
      </c>
      <c r="B19846" t="s">
        <v>38</v>
      </c>
      <c r="C19846">
        <v>87710</v>
      </c>
      <c r="D19846" t="str">
        <f>"87710"</f>
        <v>87710</v>
      </c>
      <c r="E19846" t="s">
        <v>6</v>
      </c>
    </row>
    <row r="19847" spans="1:5" x14ac:dyDescent="0.2">
      <c r="A19847">
        <v>87711</v>
      </c>
      <c r="B19847" t="s">
        <v>38</v>
      </c>
      <c r="C19847">
        <v>87711</v>
      </c>
      <c r="D19847" t="str">
        <f>"87711"</f>
        <v>87711</v>
      </c>
      <c r="E19847">
        <v>44</v>
      </c>
    </row>
    <row r="19848" spans="1:5" x14ac:dyDescent="0.2">
      <c r="A19848">
        <v>87712</v>
      </c>
      <c r="B19848" t="s">
        <v>38</v>
      </c>
      <c r="C19848">
        <v>87712</v>
      </c>
      <c r="D19848" t="str">
        <f>"87712"</f>
        <v>87712</v>
      </c>
      <c r="E19848" t="s">
        <v>6</v>
      </c>
    </row>
    <row r="19849" spans="1:5" x14ac:dyDescent="0.2">
      <c r="A19849">
        <v>87713</v>
      </c>
      <c r="B19849" t="s">
        <v>38</v>
      </c>
      <c r="C19849">
        <v>87713</v>
      </c>
      <c r="D19849" t="str">
        <f>"87713"</f>
        <v>87713</v>
      </c>
      <c r="E19849" t="s">
        <v>6</v>
      </c>
    </row>
    <row r="19850" spans="1:5" x14ac:dyDescent="0.2">
      <c r="A19850">
        <v>87714</v>
      </c>
      <c r="B19850" t="s">
        <v>38</v>
      </c>
      <c r="C19850">
        <v>87714</v>
      </c>
      <c r="D19850" t="str">
        <f>"87714"</f>
        <v>87714</v>
      </c>
      <c r="E19850">
        <v>63.64</v>
      </c>
    </row>
    <row r="19851" spans="1:5" x14ac:dyDescent="0.2">
      <c r="A19851">
        <v>87715</v>
      </c>
      <c r="B19851" t="s">
        <v>38</v>
      </c>
      <c r="C19851">
        <v>87715</v>
      </c>
      <c r="D19851" t="str">
        <f>"87715"</f>
        <v>87715</v>
      </c>
      <c r="E19851">
        <v>45.45</v>
      </c>
    </row>
    <row r="19852" spans="1:5" x14ac:dyDescent="0.2">
      <c r="A19852">
        <v>87718</v>
      </c>
      <c r="B19852" t="s">
        <v>38</v>
      </c>
      <c r="C19852">
        <v>87718</v>
      </c>
      <c r="D19852" t="str">
        <f>"87718"</f>
        <v>87718</v>
      </c>
      <c r="E19852">
        <v>64</v>
      </c>
    </row>
    <row r="19853" spans="1:5" x14ac:dyDescent="0.2">
      <c r="A19853">
        <v>87722</v>
      </c>
      <c r="B19853" t="s">
        <v>38</v>
      </c>
      <c r="C19853">
        <v>87722</v>
      </c>
      <c r="D19853" t="str">
        <f>"87722"</f>
        <v>87722</v>
      </c>
      <c r="E19853">
        <v>57.14</v>
      </c>
    </row>
    <row r="19854" spans="1:5" x14ac:dyDescent="0.2">
      <c r="A19854">
        <v>87723</v>
      </c>
      <c r="B19854" t="s">
        <v>38</v>
      </c>
      <c r="C19854">
        <v>87723</v>
      </c>
      <c r="D19854" t="str">
        <f>"87723"</f>
        <v>87723</v>
      </c>
      <c r="E19854">
        <v>53.85</v>
      </c>
    </row>
    <row r="19855" spans="1:5" x14ac:dyDescent="0.2">
      <c r="A19855">
        <v>87724</v>
      </c>
      <c r="B19855" t="s">
        <v>38</v>
      </c>
      <c r="C19855">
        <v>87724</v>
      </c>
      <c r="D19855" t="str">
        <f>"87724"</f>
        <v>87724</v>
      </c>
      <c r="E19855" t="s">
        <v>6</v>
      </c>
    </row>
    <row r="19856" spans="1:5" x14ac:dyDescent="0.2">
      <c r="A19856">
        <v>87728</v>
      </c>
      <c r="B19856" t="s">
        <v>38</v>
      </c>
      <c r="C19856">
        <v>87728</v>
      </c>
      <c r="D19856" t="str">
        <f>"87728"</f>
        <v>87728</v>
      </c>
      <c r="E19856">
        <v>60</v>
      </c>
    </row>
    <row r="19857" spans="1:5" x14ac:dyDescent="0.2">
      <c r="A19857">
        <v>87729</v>
      </c>
      <c r="B19857" t="s">
        <v>38</v>
      </c>
      <c r="C19857">
        <v>87729</v>
      </c>
      <c r="D19857" t="str">
        <f>"87729"</f>
        <v>87729</v>
      </c>
      <c r="E19857" t="s">
        <v>6</v>
      </c>
    </row>
    <row r="19858" spans="1:5" x14ac:dyDescent="0.2">
      <c r="A19858">
        <v>87730</v>
      </c>
      <c r="B19858" t="s">
        <v>38</v>
      </c>
      <c r="C19858">
        <v>87730</v>
      </c>
      <c r="D19858" t="str">
        <f>"87730"</f>
        <v>87730</v>
      </c>
      <c r="E19858" t="s">
        <v>6</v>
      </c>
    </row>
    <row r="19859" spans="1:5" x14ac:dyDescent="0.2">
      <c r="A19859">
        <v>87731</v>
      </c>
      <c r="B19859" t="s">
        <v>38</v>
      </c>
      <c r="C19859">
        <v>87731</v>
      </c>
      <c r="D19859" t="str">
        <f>"87731"</f>
        <v>87731</v>
      </c>
      <c r="E19859">
        <v>66.67</v>
      </c>
    </row>
    <row r="19860" spans="1:5" x14ac:dyDescent="0.2">
      <c r="A19860">
        <v>87732</v>
      </c>
      <c r="B19860" t="s">
        <v>38</v>
      </c>
      <c r="C19860">
        <v>87732</v>
      </c>
      <c r="D19860" t="str">
        <f>"87732"</f>
        <v>87732</v>
      </c>
      <c r="E19860">
        <v>56.92</v>
      </c>
    </row>
    <row r="19861" spans="1:5" x14ac:dyDescent="0.2">
      <c r="A19861">
        <v>87733</v>
      </c>
      <c r="B19861" t="s">
        <v>38</v>
      </c>
      <c r="C19861">
        <v>87733</v>
      </c>
      <c r="D19861" t="str">
        <f>"87733"</f>
        <v>87733</v>
      </c>
      <c r="E19861" t="s">
        <v>6</v>
      </c>
    </row>
    <row r="19862" spans="1:5" x14ac:dyDescent="0.2">
      <c r="A19862">
        <v>87734</v>
      </c>
      <c r="B19862" t="s">
        <v>38</v>
      </c>
      <c r="C19862">
        <v>87734</v>
      </c>
      <c r="D19862" t="str">
        <f>"87734"</f>
        <v>87734</v>
      </c>
      <c r="E19862">
        <v>60</v>
      </c>
    </row>
    <row r="19863" spans="1:5" x14ac:dyDescent="0.2">
      <c r="A19863">
        <v>87735</v>
      </c>
      <c r="B19863" t="s">
        <v>38</v>
      </c>
      <c r="C19863">
        <v>87735</v>
      </c>
      <c r="D19863" t="str">
        <f>"87735"</f>
        <v>87735</v>
      </c>
      <c r="E19863" t="s">
        <v>6</v>
      </c>
    </row>
    <row r="19864" spans="1:5" x14ac:dyDescent="0.2">
      <c r="A19864">
        <v>87736</v>
      </c>
      <c r="B19864" t="s">
        <v>38</v>
      </c>
      <c r="C19864">
        <v>87736</v>
      </c>
      <c r="D19864" t="str">
        <f>"87736"</f>
        <v>87736</v>
      </c>
      <c r="E19864" t="s">
        <v>6</v>
      </c>
    </row>
    <row r="19865" spans="1:5" x14ac:dyDescent="0.2">
      <c r="A19865">
        <v>87740</v>
      </c>
      <c r="B19865" t="s">
        <v>38</v>
      </c>
      <c r="C19865">
        <v>87740</v>
      </c>
      <c r="D19865" t="str">
        <f>"87740"</f>
        <v>87740</v>
      </c>
      <c r="E19865">
        <v>62.84</v>
      </c>
    </row>
    <row r="19866" spans="1:5" x14ac:dyDescent="0.2">
      <c r="A19866">
        <v>87742</v>
      </c>
      <c r="B19866" t="s">
        <v>38</v>
      </c>
      <c r="C19866">
        <v>87742</v>
      </c>
      <c r="D19866" t="str">
        <f>"87742"</f>
        <v>87742</v>
      </c>
      <c r="E19866">
        <v>65.22</v>
      </c>
    </row>
    <row r="19867" spans="1:5" x14ac:dyDescent="0.2">
      <c r="A19867">
        <v>87743</v>
      </c>
      <c r="B19867" t="s">
        <v>38</v>
      </c>
      <c r="C19867">
        <v>87743</v>
      </c>
      <c r="D19867" t="str">
        <f>"87743"</f>
        <v>87743</v>
      </c>
      <c r="E19867">
        <v>60</v>
      </c>
    </row>
    <row r="19868" spans="1:5" x14ac:dyDescent="0.2">
      <c r="A19868">
        <v>87745</v>
      </c>
      <c r="B19868" t="s">
        <v>38</v>
      </c>
      <c r="C19868">
        <v>87745</v>
      </c>
      <c r="D19868" t="str">
        <f>"87745"</f>
        <v>87745</v>
      </c>
      <c r="E19868">
        <v>60</v>
      </c>
    </row>
    <row r="19869" spans="1:5" x14ac:dyDescent="0.2">
      <c r="A19869">
        <v>87746</v>
      </c>
      <c r="B19869" t="s">
        <v>38</v>
      </c>
      <c r="C19869">
        <v>87746</v>
      </c>
      <c r="D19869" t="str">
        <f>"87746"</f>
        <v>87746</v>
      </c>
      <c r="E19869" t="s">
        <v>6</v>
      </c>
    </row>
    <row r="19870" spans="1:5" x14ac:dyDescent="0.2">
      <c r="A19870">
        <v>87747</v>
      </c>
      <c r="B19870" t="s">
        <v>38</v>
      </c>
      <c r="C19870">
        <v>87747</v>
      </c>
      <c r="D19870" t="str">
        <f>"87747"</f>
        <v>87747</v>
      </c>
      <c r="E19870">
        <v>67.31</v>
      </c>
    </row>
    <row r="19871" spans="1:5" x14ac:dyDescent="0.2">
      <c r="A19871">
        <v>87749</v>
      </c>
      <c r="B19871" t="s">
        <v>38</v>
      </c>
      <c r="C19871">
        <v>87749</v>
      </c>
      <c r="D19871" t="str">
        <f>"87749"</f>
        <v>87749</v>
      </c>
      <c r="E19871" t="s">
        <v>6</v>
      </c>
    </row>
    <row r="19872" spans="1:5" x14ac:dyDescent="0.2">
      <c r="A19872">
        <v>87752</v>
      </c>
      <c r="B19872" t="s">
        <v>38</v>
      </c>
      <c r="C19872">
        <v>87752</v>
      </c>
      <c r="D19872" t="str">
        <f>"87752"</f>
        <v>87752</v>
      </c>
      <c r="E19872">
        <v>52.94</v>
      </c>
    </row>
    <row r="19873" spans="1:5" x14ac:dyDescent="0.2">
      <c r="A19873">
        <v>87753</v>
      </c>
      <c r="B19873" t="s">
        <v>38</v>
      </c>
      <c r="C19873">
        <v>87753</v>
      </c>
      <c r="D19873" t="str">
        <f>"87753"</f>
        <v>87753</v>
      </c>
      <c r="E19873" t="s">
        <v>6</v>
      </c>
    </row>
    <row r="19874" spans="1:5" x14ac:dyDescent="0.2">
      <c r="A19874">
        <v>87801</v>
      </c>
      <c r="B19874" t="s">
        <v>38</v>
      </c>
      <c r="C19874">
        <v>87801</v>
      </c>
      <c r="D19874" t="str">
        <f>"87801"</f>
        <v>87801</v>
      </c>
      <c r="E19874">
        <v>60.26</v>
      </c>
    </row>
    <row r="19875" spans="1:5" x14ac:dyDescent="0.2">
      <c r="A19875">
        <v>87820</v>
      </c>
      <c r="B19875" t="s">
        <v>38</v>
      </c>
      <c r="C19875">
        <v>87820</v>
      </c>
      <c r="D19875" t="str">
        <f>"87820"</f>
        <v>87820</v>
      </c>
      <c r="E19875" t="s">
        <v>6</v>
      </c>
    </row>
    <row r="19876" spans="1:5" x14ac:dyDescent="0.2">
      <c r="A19876">
        <v>87821</v>
      </c>
      <c r="B19876" t="s">
        <v>38</v>
      </c>
      <c r="C19876">
        <v>87821</v>
      </c>
      <c r="D19876" t="str">
        <f>"87821"</f>
        <v>87821</v>
      </c>
      <c r="E19876">
        <v>57.14</v>
      </c>
    </row>
    <row r="19877" spans="1:5" x14ac:dyDescent="0.2">
      <c r="A19877">
        <v>87823</v>
      </c>
      <c r="B19877" t="s">
        <v>38</v>
      </c>
      <c r="C19877">
        <v>87823</v>
      </c>
      <c r="D19877" t="str">
        <f>"87823"</f>
        <v>87823</v>
      </c>
      <c r="E19877">
        <v>58.06</v>
      </c>
    </row>
    <row r="19878" spans="1:5" x14ac:dyDescent="0.2">
      <c r="A19878">
        <v>87824</v>
      </c>
      <c r="B19878" t="s">
        <v>38</v>
      </c>
      <c r="C19878">
        <v>87824</v>
      </c>
      <c r="D19878" t="str">
        <f>"87824"</f>
        <v>87824</v>
      </c>
      <c r="E19878" t="s">
        <v>6</v>
      </c>
    </row>
    <row r="19879" spans="1:5" x14ac:dyDescent="0.2">
      <c r="A19879">
        <v>87825</v>
      </c>
      <c r="B19879" t="s">
        <v>38</v>
      </c>
      <c r="C19879">
        <v>87825</v>
      </c>
      <c r="D19879" t="str">
        <f>"87825"</f>
        <v>87825</v>
      </c>
      <c r="E19879">
        <v>45.13</v>
      </c>
    </row>
    <row r="19880" spans="1:5" x14ac:dyDescent="0.2">
      <c r="A19880">
        <v>87827</v>
      </c>
      <c r="B19880" t="s">
        <v>38</v>
      </c>
      <c r="C19880">
        <v>87827</v>
      </c>
      <c r="D19880" t="str">
        <f>"87827"</f>
        <v>87827</v>
      </c>
      <c r="E19880">
        <v>58.33</v>
      </c>
    </row>
    <row r="19881" spans="1:5" x14ac:dyDescent="0.2">
      <c r="A19881">
        <v>87828</v>
      </c>
      <c r="B19881" t="s">
        <v>38</v>
      </c>
      <c r="C19881">
        <v>87828</v>
      </c>
      <c r="D19881" t="str">
        <f>"87828"</f>
        <v>87828</v>
      </c>
      <c r="E19881">
        <v>66.67</v>
      </c>
    </row>
    <row r="19882" spans="1:5" x14ac:dyDescent="0.2">
      <c r="A19882">
        <v>87829</v>
      </c>
      <c r="B19882" t="s">
        <v>38</v>
      </c>
      <c r="C19882">
        <v>87829</v>
      </c>
      <c r="D19882" t="str">
        <f>"87829"</f>
        <v>87829</v>
      </c>
      <c r="E19882">
        <v>64.52</v>
      </c>
    </row>
    <row r="19883" spans="1:5" x14ac:dyDescent="0.2">
      <c r="A19883">
        <v>87830</v>
      </c>
      <c r="B19883" t="s">
        <v>38</v>
      </c>
      <c r="C19883">
        <v>87830</v>
      </c>
      <c r="D19883" t="str">
        <f>"87830"</f>
        <v>87830</v>
      </c>
      <c r="E19883">
        <v>60</v>
      </c>
    </row>
    <row r="19884" spans="1:5" x14ac:dyDescent="0.2">
      <c r="A19884">
        <v>87831</v>
      </c>
      <c r="B19884" t="s">
        <v>38</v>
      </c>
      <c r="C19884">
        <v>87831</v>
      </c>
      <c r="D19884" t="str">
        <f>"87831"</f>
        <v>87831</v>
      </c>
      <c r="E19884" t="s">
        <v>6</v>
      </c>
    </row>
    <row r="19885" spans="1:5" x14ac:dyDescent="0.2">
      <c r="A19885">
        <v>87832</v>
      </c>
      <c r="B19885" t="s">
        <v>38</v>
      </c>
      <c r="C19885">
        <v>87832</v>
      </c>
      <c r="D19885" t="str">
        <f>"87832"</f>
        <v>87832</v>
      </c>
      <c r="E19885">
        <v>71.88</v>
      </c>
    </row>
    <row r="19886" spans="1:5" x14ac:dyDescent="0.2">
      <c r="A19886">
        <v>87901</v>
      </c>
      <c r="B19886" t="s">
        <v>38</v>
      </c>
      <c r="C19886">
        <v>87901</v>
      </c>
      <c r="D19886" t="str">
        <f>"87901"</f>
        <v>87901</v>
      </c>
      <c r="E19886">
        <v>54.55</v>
      </c>
    </row>
    <row r="19887" spans="1:5" x14ac:dyDescent="0.2">
      <c r="A19887">
        <v>87930</v>
      </c>
      <c r="B19887" t="s">
        <v>38</v>
      </c>
      <c r="C19887">
        <v>87930</v>
      </c>
      <c r="D19887" t="str">
        <f>"87930"</f>
        <v>87930</v>
      </c>
      <c r="E19887">
        <v>50</v>
      </c>
    </row>
    <row r="19888" spans="1:5" x14ac:dyDescent="0.2">
      <c r="A19888">
        <v>87931</v>
      </c>
      <c r="B19888" t="s">
        <v>38</v>
      </c>
      <c r="C19888">
        <v>87931</v>
      </c>
      <c r="D19888" t="str">
        <f>"87931"</f>
        <v>87931</v>
      </c>
      <c r="E19888">
        <v>68.180000000000007</v>
      </c>
    </row>
    <row r="19889" spans="1:5" x14ac:dyDescent="0.2">
      <c r="A19889">
        <v>87933</v>
      </c>
      <c r="B19889" t="s">
        <v>38</v>
      </c>
      <c r="C19889">
        <v>87933</v>
      </c>
      <c r="D19889" t="str">
        <f>"87933"</f>
        <v>87933</v>
      </c>
      <c r="E19889" t="s">
        <v>6</v>
      </c>
    </row>
    <row r="19890" spans="1:5" x14ac:dyDescent="0.2">
      <c r="A19890">
        <v>87935</v>
      </c>
      <c r="B19890" t="s">
        <v>38</v>
      </c>
      <c r="C19890">
        <v>87935</v>
      </c>
      <c r="D19890" t="str">
        <f>"87935"</f>
        <v>87935</v>
      </c>
      <c r="E19890" t="s">
        <v>6</v>
      </c>
    </row>
    <row r="19891" spans="1:5" x14ac:dyDescent="0.2">
      <c r="A19891">
        <v>87936</v>
      </c>
      <c r="B19891" t="s">
        <v>38</v>
      </c>
      <c r="C19891">
        <v>87936</v>
      </c>
      <c r="D19891" t="str">
        <f>"87936"</f>
        <v>87936</v>
      </c>
      <c r="E19891">
        <v>53.33</v>
      </c>
    </row>
    <row r="19892" spans="1:5" x14ac:dyDescent="0.2">
      <c r="A19892">
        <v>87937</v>
      </c>
      <c r="B19892" t="s">
        <v>38</v>
      </c>
      <c r="C19892">
        <v>87937</v>
      </c>
      <c r="D19892" t="str">
        <f>"87937"</f>
        <v>87937</v>
      </c>
      <c r="E19892">
        <v>47.52</v>
      </c>
    </row>
    <row r="19893" spans="1:5" x14ac:dyDescent="0.2">
      <c r="A19893">
        <v>87939</v>
      </c>
      <c r="B19893" t="s">
        <v>38</v>
      </c>
      <c r="C19893">
        <v>87939</v>
      </c>
      <c r="D19893" t="str">
        <f>"87939"</f>
        <v>87939</v>
      </c>
      <c r="E19893" t="s">
        <v>6</v>
      </c>
    </row>
    <row r="19894" spans="1:5" x14ac:dyDescent="0.2">
      <c r="A19894">
        <v>87940</v>
      </c>
      <c r="B19894" t="s">
        <v>38</v>
      </c>
      <c r="C19894">
        <v>87940</v>
      </c>
      <c r="D19894" t="str">
        <f>"87940"</f>
        <v>87940</v>
      </c>
      <c r="E19894">
        <v>47.37</v>
      </c>
    </row>
    <row r="19895" spans="1:5" x14ac:dyDescent="0.2">
      <c r="A19895">
        <v>87941</v>
      </c>
      <c r="B19895" t="s">
        <v>38</v>
      </c>
      <c r="C19895">
        <v>87941</v>
      </c>
      <c r="D19895" t="str">
        <f>"87941"</f>
        <v>87941</v>
      </c>
      <c r="E19895">
        <v>38.89</v>
      </c>
    </row>
    <row r="19896" spans="1:5" x14ac:dyDescent="0.2">
      <c r="A19896">
        <v>87942</v>
      </c>
      <c r="B19896" t="s">
        <v>38</v>
      </c>
      <c r="C19896">
        <v>87942</v>
      </c>
      <c r="D19896" t="str">
        <f>"87942"</f>
        <v>87942</v>
      </c>
      <c r="E19896">
        <v>60.87</v>
      </c>
    </row>
    <row r="19897" spans="1:5" x14ac:dyDescent="0.2">
      <c r="A19897">
        <v>87943</v>
      </c>
      <c r="B19897" t="s">
        <v>38</v>
      </c>
      <c r="C19897">
        <v>87943</v>
      </c>
      <c r="D19897" t="str">
        <f>"87943"</f>
        <v>87943</v>
      </c>
      <c r="E19897" t="s">
        <v>6</v>
      </c>
    </row>
    <row r="19898" spans="1:5" x14ac:dyDescent="0.2">
      <c r="A19898">
        <v>88001</v>
      </c>
      <c r="B19898" t="s">
        <v>38</v>
      </c>
      <c r="C19898">
        <v>88001</v>
      </c>
      <c r="D19898" t="str">
        <f>"88001"</f>
        <v>88001</v>
      </c>
      <c r="E19898">
        <v>53.27</v>
      </c>
    </row>
    <row r="19899" spans="1:5" x14ac:dyDescent="0.2">
      <c r="A19899">
        <v>88002</v>
      </c>
      <c r="B19899" t="s">
        <v>38</v>
      </c>
      <c r="C19899">
        <v>88002</v>
      </c>
      <c r="D19899" t="str">
        <f>"88002"</f>
        <v>88002</v>
      </c>
      <c r="E19899">
        <v>74.290000000000006</v>
      </c>
    </row>
    <row r="19900" spans="1:5" x14ac:dyDescent="0.2">
      <c r="A19900">
        <v>88003</v>
      </c>
      <c r="B19900" t="s">
        <v>38</v>
      </c>
      <c r="C19900">
        <v>88003</v>
      </c>
      <c r="D19900" t="str">
        <f>"88003"</f>
        <v>88003</v>
      </c>
      <c r="E19900" t="s">
        <v>6</v>
      </c>
    </row>
    <row r="19901" spans="1:5" x14ac:dyDescent="0.2">
      <c r="A19901">
        <v>88005</v>
      </c>
      <c r="B19901" t="s">
        <v>38</v>
      </c>
      <c r="C19901">
        <v>88005</v>
      </c>
      <c r="D19901" t="str">
        <f>"88005"</f>
        <v>88005</v>
      </c>
      <c r="E19901">
        <v>62.39</v>
      </c>
    </row>
    <row r="19902" spans="1:5" x14ac:dyDescent="0.2">
      <c r="A19902">
        <v>88007</v>
      </c>
      <c r="B19902" t="s">
        <v>38</v>
      </c>
      <c r="C19902">
        <v>88007</v>
      </c>
      <c r="D19902" t="str">
        <f>"88007"</f>
        <v>88007</v>
      </c>
      <c r="E19902">
        <v>63.63</v>
      </c>
    </row>
    <row r="19903" spans="1:5" x14ac:dyDescent="0.2">
      <c r="A19903">
        <v>88008</v>
      </c>
      <c r="B19903" t="s">
        <v>38</v>
      </c>
      <c r="C19903">
        <v>88008</v>
      </c>
      <c r="D19903" t="str">
        <f>"88008"</f>
        <v>88008</v>
      </c>
      <c r="E19903">
        <v>60.98</v>
      </c>
    </row>
    <row r="19904" spans="1:5" x14ac:dyDescent="0.2">
      <c r="A19904">
        <v>88009</v>
      </c>
      <c r="B19904" t="s">
        <v>38</v>
      </c>
      <c r="C19904">
        <v>88009</v>
      </c>
      <c r="D19904" t="str">
        <f>"88009"</f>
        <v>88009</v>
      </c>
      <c r="E19904" t="s">
        <v>6</v>
      </c>
    </row>
    <row r="19905" spans="1:5" x14ac:dyDescent="0.2">
      <c r="A19905">
        <v>88011</v>
      </c>
      <c r="B19905" t="s">
        <v>38</v>
      </c>
      <c r="C19905">
        <v>88011</v>
      </c>
      <c r="D19905" t="str">
        <f>"88011"</f>
        <v>88011</v>
      </c>
      <c r="E19905">
        <v>74.02</v>
      </c>
    </row>
    <row r="19906" spans="1:5" x14ac:dyDescent="0.2">
      <c r="A19906">
        <v>88012</v>
      </c>
      <c r="B19906" t="s">
        <v>38</v>
      </c>
      <c r="C19906">
        <v>88012</v>
      </c>
      <c r="D19906" t="str">
        <f>"88012"</f>
        <v>88012</v>
      </c>
      <c r="E19906">
        <v>63.61</v>
      </c>
    </row>
    <row r="19907" spans="1:5" x14ac:dyDescent="0.2">
      <c r="A19907">
        <v>88020</v>
      </c>
      <c r="B19907" t="s">
        <v>38</v>
      </c>
      <c r="C19907">
        <v>88020</v>
      </c>
      <c r="D19907" t="str">
        <f>"88020"</f>
        <v>88020</v>
      </c>
      <c r="E19907">
        <v>58.06</v>
      </c>
    </row>
    <row r="19908" spans="1:5" x14ac:dyDescent="0.2">
      <c r="A19908">
        <v>88021</v>
      </c>
      <c r="B19908" t="s">
        <v>38</v>
      </c>
      <c r="C19908">
        <v>88021</v>
      </c>
      <c r="D19908" t="str">
        <f>"88021"</f>
        <v>88021</v>
      </c>
      <c r="E19908">
        <v>45.89</v>
      </c>
    </row>
    <row r="19909" spans="1:5" x14ac:dyDescent="0.2">
      <c r="A19909">
        <v>88022</v>
      </c>
      <c r="B19909" t="s">
        <v>38</v>
      </c>
      <c r="C19909">
        <v>88022</v>
      </c>
      <c r="D19909" t="str">
        <f>"88022"</f>
        <v>88022</v>
      </c>
      <c r="E19909">
        <v>59.26</v>
      </c>
    </row>
    <row r="19910" spans="1:5" x14ac:dyDescent="0.2">
      <c r="A19910">
        <v>88023</v>
      </c>
      <c r="B19910" t="s">
        <v>38</v>
      </c>
      <c r="C19910">
        <v>88023</v>
      </c>
      <c r="D19910" t="str">
        <f>"88023"</f>
        <v>88023</v>
      </c>
      <c r="E19910">
        <v>61.32</v>
      </c>
    </row>
    <row r="19911" spans="1:5" x14ac:dyDescent="0.2">
      <c r="A19911">
        <v>88024</v>
      </c>
      <c r="B19911" t="s">
        <v>38</v>
      </c>
      <c r="C19911">
        <v>88024</v>
      </c>
      <c r="D19911" t="str">
        <f>"88024"</f>
        <v>88024</v>
      </c>
      <c r="E19911">
        <v>41.94</v>
      </c>
    </row>
    <row r="19912" spans="1:5" x14ac:dyDescent="0.2">
      <c r="A19912">
        <v>88025</v>
      </c>
      <c r="B19912" t="s">
        <v>38</v>
      </c>
      <c r="C19912">
        <v>88025</v>
      </c>
      <c r="D19912" t="str">
        <f>"88025"</f>
        <v>88025</v>
      </c>
      <c r="E19912" t="s">
        <v>6</v>
      </c>
    </row>
    <row r="19913" spans="1:5" x14ac:dyDescent="0.2">
      <c r="A19913">
        <v>88026</v>
      </c>
      <c r="B19913" t="s">
        <v>38</v>
      </c>
      <c r="C19913">
        <v>88026</v>
      </c>
      <c r="D19913" t="str">
        <f>"88026"</f>
        <v>88026</v>
      </c>
      <c r="E19913" t="s">
        <v>6</v>
      </c>
    </row>
    <row r="19914" spans="1:5" x14ac:dyDescent="0.2">
      <c r="A19914">
        <v>88027</v>
      </c>
      <c r="B19914" t="s">
        <v>38</v>
      </c>
      <c r="C19914">
        <v>88027</v>
      </c>
      <c r="D19914" t="str">
        <f>"88027"</f>
        <v>88027</v>
      </c>
      <c r="E19914" t="s">
        <v>6</v>
      </c>
    </row>
    <row r="19915" spans="1:5" x14ac:dyDescent="0.2">
      <c r="A19915">
        <v>88028</v>
      </c>
      <c r="B19915" t="s">
        <v>38</v>
      </c>
      <c r="C19915">
        <v>88028</v>
      </c>
      <c r="D19915" t="str">
        <f>"88028"</f>
        <v>88028</v>
      </c>
      <c r="E19915" t="s">
        <v>6</v>
      </c>
    </row>
    <row r="19916" spans="1:5" x14ac:dyDescent="0.2">
      <c r="A19916">
        <v>88029</v>
      </c>
      <c r="B19916" t="s">
        <v>38</v>
      </c>
      <c r="C19916">
        <v>88029</v>
      </c>
      <c r="D19916" t="str">
        <f>"88029"</f>
        <v>88029</v>
      </c>
      <c r="E19916" t="s">
        <v>6</v>
      </c>
    </row>
    <row r="19917" spans="1:5" x14ac:dyDescent="0.2">
      <c r="A19917">
        <v>88030</v>
      </c>
      <c r="B19917" t="s">
        <v>38</v>
      </c>
      <c r="C19917">
        <v>88030</v>
      </c>
      <c r="D19917" t="str">
        <f>"88030"</f>
        <v>88030</v>
      </c>
      <c r="E19917">
        <v>51.04</v>
      </c>
    </row>
    <row r="19918" spans="1:5" x14ac:dyDescent="0.2">
      <c r="A19918">
        <v>88032</v>
      </c>
      <c r="B19918" t="s">
        <v>38</v>
      </c>
      <c r="C19918">
        <v>88032</v>
      </c>
      <c r="D19918" t="str">
        <f>"88032"</f>
        <v>88032</v>
      </c>
      <c r="E19918" t="s">
        <v>6</v>
      </c>
    </row>
    <row r="19919" spans="1:5" x14ac:dyDescent="0.2">
      <c r="A19919">
        <v>88033</v>
      </c>
      <c r="B19919" t="s">
        <v>38</v>
      </c>
      <c r="C19919">
        <v>88033</v>
      </c>
      <c r="D19919" t="str">
        <f>"88033"</f>
        <v>88033</v>
      </c>
      <c r="E19919" t="s">
        <v>6</v>
      </c>
    </row>
    <row r="19920" spans="1:5" x14ac:dyDescent="0.2">
      <c r="A19920">
        <v>88034</v>
      </c>
      <c r="B19920" t="s">
        <v>38</v>
      </c>
      <c r="C19920">
        <v>88034</v>
      </c>
      <c r="D19920" t="str">
        <f>"88034"</f>
        <v>88034</v>
      </c>
      <c r="E19920" t="s">
        <v>6</v>
      </c>
    </row>
    <row r="19921" spans="1:5" x14ac:dyDescent="0.2">
      <c r="A19921">
        <v>88038</v>
      </c>
      <c r="B19921" t="s">
        <v>38</v>
      </c>
      <c r="C19921">
        <v>88038</v>
      </c>
      <c r="D19921" t="str">
        <f>"88038"</f>
        <v>88038</v>
      </c>
      <c r="E19921" t="s">
        <v>6</v>
      </c>
    </row>
    <row r="19922" spans="1:5" x14ac:dyDescent="0.2">
      <c r="A19922">
        <v>88039</v>
      </c>
      <c r="B19922" t="s">
        <v>38</v>
      </c>
      <c r="C19922">
        <v>88039</v>
      </c>
      <c r="D19922" t="str">
        <f>"88039"</f>
        <v>88039</v>
      </c>
      <c r="E19922">
        <v>60</v>
      </c>
    </row>
    <row r="19923" spans="1:5" x14ac:dyDescent="0.2">
      <c r="A19923">
        <v>88040</v>
      </c>
      <c r="B19923" t="s">
        <v>38</v>
      </c>
      <c r="C19923">
        <v>88040</v>
      </c>
      <c r="D19923" t="str">
        <f>"88040"</f>
        <v>88040</v>
      </c>
      <c r="E19923" t="s">
        <v>6</v>
      </c>
    </row>
    <row r="19924" spans="1:5" x14ac:dyDescent="0.2">
      <c r="A19924">
        <v>88041</v>
      </c>
      <c r="B19924" t="s">
        <v>38</v>
      </c>
      <c r="C19924">
        <v>88041</v>
      </c>
      <c r="D19924" t="str">
        <f>"88041"</f>
        <v>88041</v>
      </c>
      <c r="E19924">
        <v>59.26</v>
      </c>
    </row>
    <row r="19925" spans="1:5" x14ac:dyDescent="0.2">
      <c r="A19925">
        <v>88042</v>
      </c>
      <c r="B19925" t="s">
        <v>38</v>
      </c>
      <c r="C19925">
        <v>88042</v>
      </c>
      <c r="D19925" t="str">
        <f>"88042"</f>
        <v>88042</v>
      </c>
      <c r="E19925">
        <v>58.33</v>
      </c>
    </row>
    <row r="19926" spans="1:5" x14ac:dyDescent="0.2">
      <c r="A19926">
        <v>88043</v>
      </c>
      <c r="B19926" t="s">
        <v>38</v>
      </c>
      <c r="C19926">
        <v>88043</v>
      </c>
      <c r="D19926" t="str">
        <f>"88043"</f>
        <v>88043</v>
      </c>
      <c r="E19926">
        <v>58.18</v>
      </c>
    </row>
    <row r="19927" spans="1:5" x14ac:dyDescent="0.2">
      <c r="A19927">
        <v>88044</v>
      </c>
      <c r="B19927" t="s">
        <v>38</v>
      </c>
      <c r="C19927">
        <v>88044</v>
      </c>
      <c r="D19927" t="str">
        <f>"88044"</f>
        <v>88044</v>
      </c>
      <c r="E19927">
        <v>59.12</v>
      </c>
    </row>
    <row r="19928" spans="1:5" x14ac:dyDescent="0.2">
      <c r="A19928">
        <v>88045</v>
      </c>
      <c r="B19928" t="s">
        <v>38</v>
      </c>
      <c r="C19928">
        <v>88045</v>
      </c>
      <c r="D19928" t="str">
        <f>"88045"</f>
        <v>88045</v>
      </c>
      <c r="E19928">
        <v>59.06</v>
      </c>
    </row>
    <row r="19929" spans="1:5" x14ac:dyDescent="0.2">
      <c r="A19929">
        <v>88046</v>
      </c>
      <c r="B19929" t="s">
        <v>38</v>
      </c>
      <c r="C19929">
        <v>88046</v>
      </c>
      <c r="D19929" t="str">
        <f>"88046"</f>
        <v>88046</v>
      </c>
      <c r="E19929" t="s">
        <v>6</v>
      </c>
    </row>
    <row r="19930" spans="1:5" x14ac:dyDescent="0.2">
      <c r="A19930">
        <v>88047</v>
      </c>
      <c r="B19930" t="s">
        <v>38</v>
      </c>
      <c r="C19930">
        <v>88047</v>
      </c>
      <c r="D19930" t="str">
        <f>"88047"</f>
        <v>88047</v>
      </c>
      <c r="E19930">
        <v>59.42</v>
      </c>
    </row>
    <row r="19931" spans="1:5" x14ac:dyDescent="0.2">
      <c r="A19931">
        <v>88048</v>
      </c>
      <c r="B19931" t="s">
        <v>38</v>
      </c>
      <c r="C19931">
        <v>88048</v>
      </c>
      <c r="D19931" t="str">
        <f>"88048"</f>
        <v>88048</v>
      </c>
      <c r="E19931">
        <v>45.83</v>
      </c>
    </row>
    <row r="19932" spans="1:5" x14ac:dyDescent="0.2">
      <c r="A19932">
        <v>88049</v>
      </c>
      <c r="B19932" t="s">
        <v>38</v>
      </c>
      <c r="C19932">
        <v>88049</v>
      </c>
      <c r="D19932" t="str">
        <f>"88049"</f>
        <v>88049</v>
      </c>
      <c r="E19932">
        <v>65.91</v>
      </c>
    </row>
    <row r="19933" spans="1:5" x14ac:dyDescent="0.2">
      <c r="A19933">
        <v>88051</v>
      </c>
      <c r="B19933" t="s">
        <v>38</v>
      </c>
      <c r="C19933">
        <v>88051</v>
      </c>
      <c r="D19933" t="str">
        <f>"88051"</f>
        <v>88051</v>
      </c>
      <c r="E19933" t="s">
        <v>6</v>
      </c>
    </row>
    <row r="19934" spans="1:5" x14ac:dyDescent="0.2">
      <c r="A19934">
        <v>88052</v>
      </c>
      <c r="B19934" t="s">
        <v>38</v>
      </c>
      <c r="C19934">
        <v>88052</v>
      </c>
      <c r="D19934" t="str">
        <f>"88052"</f>
        <v>88052</v>
      </c>
      <c r="E19934" t="s">
        <v>6</v>
      </c>
    </row>
    <row r="19935" spans="1:5" x14ac:dyDescent="0.2">
      <c r="A19935">
        <v>88053</v>
      </c>
      <c r="B19935" t="s">
        <v>38</v>
      </c>
      <c r="C19935">
        <v>88053</v>
      </c>
      <c r="D19935" t="str">
        <f>"88053"</f>
        <v>88053</v>
      </c>
      <c r="E19935" t="s">
        <v>6</v>
      </c>
    </row>
    <row r="19936" spans="1:5" x14ac:dyDescent="0.2">
      <c r="A19936">
        <v>88055</v>
      </c>
      <c r="B19936" t="s">
        <v>38</v>
      </c>
      <c r="C19936">
        <v>88055</v>
      </c>
      <c r="D19936" t="str">
        <f>"88055"</f>
        <v>88055</v>
      </c>
      <c r="E19936" t="s">
        <v>6</v>
      </c>
    </row>
    <row r="19937" spans="1:5" x14ac:dyDescent="0.2">
      <c r="A19937">
        <v>88056</v>
      </c>
      <c r="B19937" t="s">
        <v>38</v>
      </c>
      <c r="C19937">
        <v>88056</v>
      </c>
      <c r="D19937" t="str">
        <f>"88056"</f>
        <v>88056</v>
      </c>
      <c r="E19937" t="s">
        <v>6</v>
      </c>
    </row>
    <row r="19938" spans="1:5" x14ac:dyDescent="0.2">
      <c r="A19938">
        <v>88061</v>
      </c>
      <c r="B19938" t="s">
        <v>38</v>
      </c>
      <c r="C19938">
        <v>88061</v>
      </c>
      <c r="D19938" t="str">
        <f>"88061"</f>
        <v>88061</v>
      </c>
      <c r="E19938">
        <v>64.05</v>
      </c>
    </row>
    <row r="19939" spans="1:5" x14ac:dyDescent="0.2">
      <c r="A19939">
        <v>88063</v>
      </c>
      <c r="B19939" t="s">
        <v>38</v>
      </c>
      <c r="C19939">
        <v>88063</v>
      </c>
      <c r="D19939" t="str">
        <f>"88063"</f>
        <v>88063</v>
      </c>
      <c r="E19939">
        <v>38.1</v>
      </c>
    </row>
    <row r="19940" spans="1:5" x14ac:dyDescent="0.2">
      <c r="A19940">
        <v>88065</v>
      </c>
      <c r="B19940" t="s">
        <v>38</v>
      </c>
      <c r="C19940">
        <v>88065</v>
      </c>
      <c r="D19940" t="str">
        <f>"88065"</f>
        <v>88065</v>
      </c>
      <c r="E19940" t="s">
        <v>6</v>
      </c>
    </row>
    <row r="19941" spans="1:5" x14ac:dyDescent="0.2">
      <c r="A19941">
        <v>88072</v>
      </c>
      <c r="B19941" t="s">
        <v>38</v>
      </c>
      <c r="C19941">
        <v>88072</v>
      </c>
      <c r="D19941" t="str">
        <f>"88072"</f>
        <v>88072</v>
      </c>
      <c r="E19941">
        <v>46.67</v>
      </c>
    </row>
    <row r="19942" spans="1:5" x14ac:dyDescent="0.2">
      <c r="A19942">
        <v>88081</v>
      </c>
      <c r="B19942" t="s">
        <v>38</v>
      </c>
      <c r="C19942">
        <v>88081</v>
      </c>
      <c r="D19942" t="str">
        <f>"88081"</f>
        <v>88081</v>
      </c>
      <c r="E19942">
        <v>39.15</v>
      </c>
    </row>
    <row r="19943" spans="1:5" x14ac:dyDescent="0.2">
      <c r="A19943">
        <v>88101</v>
      </c>
      <c r="B19943" t="s">
        <v>38</v>
      </c>
      <c r="C19943">
        <v>88101</v>
      </c>
      <c r="D19943" t="str">
        <f>"88101"</f>
        <v>88101</v>
      </c>
      <c r="E19943">
        <v>64.040000000000006</v>
      </c>
    </row>
    <row r="19944" spans="1:5" x14ac:dyDescent="0.2">
      <c r="A19944">
        <v>88103</v>
      </c>
      <c r="B19944" t="s">
        <v>38</v>
      </c>
      <c r="C19944">
        <v>88103</v>
      </c>
      <c r="D19944" t="str">
        <f>"88103"</f>
        <v>88103</v>
      </c>
      <c r="E19944" t="s">
        <v>6</v>
      </c>
    </row>
    <row r="19945" spans="1:5" x14ac:dyDescent="0.2">
      <c r="A19945">
        <v>88112</v>
      </c>
      <c r="B19945" t="s">
        <v>38</v>
      </c>
      <c r="C19945">
        <v>88112</v>
      </c>
      <c r="D19945" t="str">
        <f>"88112"</f>
        <v>88112</v>
      </c>
      <c r="E19945" t="s">
        <v>6</v>
      </c>
    </row>
    <row r="19946" spans="1:5" x14ac:dyDescent="0.2">
      <c r="A19946">
        <v>88113</v>
      </c>
      <c r="B19946" t="s">
        <v>38</v>
      </c>
      <c r="C19946">
        <v>88113</v>
      </c>
      <c r="D19946" t="str">
        <f>"88113"</f>
        <v>88113</v>
      </c>
      <c r="E19946" t="s">
        <v>6</v>
      </c>
    </row>
    <row r="19947" spans="1:5" x14ac:dyDescent="0.2">
      <c r="A19947">
        <v>88114</v>
      </c>
      <c r="B19947" t="s">
        <v>38</v>
      </c>
      <c r="C19947">
        <v>88114</v>
      </c>
      <c r="D19947" t="str">
        <f>"88114"</f>
        <v>88114</v>
      </c>
      <c r="E19947" t="s">
        <v>6</v>
      </c>
    </row>
    <row r="19948" spans="1:5" x14ac:dyDescent="0.2">
      <c r="A19948">
        <v>88115</v>
      </c>
      <c r="B19948" t="s">
        <v>38</v>
      </c>
      <c r="C19948">
        <v>88115</v>
      </c>
      <c r="D19948" t="str">
        <f>"88115"</f>
        <v>88115</v>
      </c>
      <c r="E19948" t="s">
        <v>6</v>
      </c>
    </row>
    <row r="19949" spans="1:5" x14ac:dyDescent="0.2">
      <c r="A19949">
        <v>88116</v>
      </c>
      <c r="B19949" t="s">
        <v>38</v>
      </c>
      <c r="C19949">
        <v>88116</v>
      </c>
      <c r="D19949" t="str">
        <f>"88116"</f>
        <v>88116</v>
      </c>
      <c r="E19949">
        <v>62.5</v>
      </c>
    </row>
    <row r="19950" spans="1:5" x14ac:dyDescent="0.2">
      <c r="A19950">
        <v>88118</v>
      </c>
      <c r="B19950" t="s">
        <v>38</v>
      </c>
      <c r="C19950">
        <v>88118</v>
      </c>
      <c r="D19950" t="str">
        <f>"88118"</f>
        <v>88118</v>
      </c>
      <c r="E19950" t="s">
        <v>6</v>
      </c>
    </row>
    <row r="19951" spans="1:5" x14ac:dyDescent="0.2">
      <c r="A19951">
        <v>88119</v>
      </c>
      <c r="B19951" t="s">
        <v>38</v>
      </c>
      <c r="C19951">
        <v>88119</v>
      </c>
      <c r="D19951" t="str">
        <f>"88119"</f>
        <v>88119</v>
      </c>
      <c r="E19951">
        <v>57.35</v>
      </c>
    </row>
    <row r="19952" spans="1:5" x14ac:dyDescent="0.2">
      <c r="A19952">
        <v>88120</v>
      </c>
      <c r="B19952" t="s">
        <v>38</v>
      </c>
      <c r="C19952">
        <v>88120</v>
      </c>
      <c r="D19952" t="str">
        <f>"88120"</f>
        <v>88120</v>
      </c>
      <c r="E19952" t="s">
        <v>6</v>
      </c>
    </row>
    <row r="19953" spans="1:5" x14ac:dyDescent="0.2">
      <c r="A19953">
        <v>88121</v>
      </c>
      <c r="B19953" t="s">
        <v>38</v>
      </c>
      <c r="C19953">
        <v>88121</v>
      </c>
      <c r="D19953" t="str">
        <f>"88121"</f>
        <v>88121</v>
      </c>
      <c r="E19953" t="s">
        <v>6</v>
      </c>
    </row>
    <row r="19954" spans="1:5" x14ac:dyDescent="0.2">
      <c r="A19954">
        <v>88122</v>
      </c>
      <c r="B19954" t="s">
        <v>38</v>
      </c>
      <c r="C19954">
        <v>88122</v>
      </c>
      <c r="D19954" t="str">
        <f>"88122"</f>
        <v>88122</v>
      </c>
      <c r="E19954" t="s">
        <v>6</v>
      </c>
    </row>
    <row r="19955" spans="1:5" x14ac:dyDescent="0.2">
      <c r="A19955">
        <v>88123</v>
      </c>
      <c r="B19955" t="s">
        <v>38</v>
      </c>
      <c r="C19955">
        <v>88123</v>
      </c>
      <c r="D19955" t="str">
        <f>"88123"</f>
        <v>88123</v>
      </c>
      <c r="E19955" t="s">
        <v>6</v>
      </c>
    </row>
    <row r="19956" spans="1:5" x14ac:dyDescent="0.2">
      <c r="A19956">
        <v>88124</v>
      </c>
      <c r="B19956" t="s">
        <v>38</v>
      </c>
      <c r="C19956">
        <v>88124</v>
      </c>
      <c r="D19956" t="str">
        <f>"88124"</f>
        <v>88124</v>
      </c>
      <c r="E19956">
        <v>71.05</v>
      </c>
    </row>
    <row r="19957" spans="1:5" x14ac:dyDescent="0.2">
      <c r="A19957">
        <v>88125</v>
      </c>
      <c r="B19957" t="s">
        <v>38</v>
      </c>
      <c r="C19957">
        <v>88125</v>
      </c>
      <c r="D19957" t="str">
        <f>"88125"</f>
        <v>88125</v>
      </c>
      <c r="E19957" t="s">
        <v>6</v>
      </c>
    </row>
    <row r="19958" spans="1:5" x14ac:dyDescent="0.2">
      <c r="A19958">
        <v>88126</v>
      </c>
      <c r="B19958" t="s">
        <v>38</v>
      </c>
      <c r="C19958">
        <v>88126</v>
      </c>
      <c r="D19958" t="str">
        <f>"88126"</f>
        <v>88126</v>
      </c>
      <c r="E19958" t="s">
        <v>6</v>
      </c>
    </row>
    <row r="19959" spans="1:5" x14ac:dyDescent="0.2">
      <c r="A19959">
        <v>88130</v>
      </c>
      <c r="B19959" t="s">
        <v>38</v>
      </c>
      <c r="C19959">
        <v>88130</v>
      </c>
      <c r="D19959" t="str">
        <f>"88130"</f>
        <v>88130</v>
      </c>
      <c r="E19959">
        <v>59.91</v>
      </c>
    </row>
    <row r="19960" spans="1:5" x14ac:dyDescent="0.2">
      <c r="A19960">
        <v>88132</v>
      </c>
      <c r="B19960" t="s">
        <v>38</v>
      </c>
      <c r="C19960">
        <v>88132</v>
      </c>
      <c r="D19960" t="str">
        <f>"88132"</f>
        <v>88132</v>
      </c>
      <c r="E19960" t="s">
        <v>6</v>
      </c>
    </row>
    <row r="19961" spans="1:5" x14ac:dyDescent="0.2">
      <c r="A19961">
        <v>88133</v>
      </c>
      <c r="B19961" t="s">
        <v>38</v>
      </c>
      <c r="C19961">
        <v>88133</v>
      </c>
      <c r="D19961" t="str">
        <f>"88133"</f>
        <v>88133</v>
      </c>
      <c r="E19961" t="s">
        <v>6</v>
      </c>
    </row>
    <row r="19962" spans="1:5" x14ac:dyDescent="0.2">
      <c r="A19962">
        <v>88134</v>
      </c>
      <c r="B19962" t="s">
        <v>38</v>
      </c>
      <c r="C19962">
        <v>88134</v>
      </c>
      <c r="D19962" t="str">
        <f>"88134"</f>
        <v>88134</v>
      </c>
      <c r="E19962" t="s">
        <v>6</v>
      </c>
    </row>
    <row r="19963" spans="1:5" x14ac:dyDescent="0.2">
      <c r="A19963">
        <v>88135</v>
      </c>
      <c r="B19963" t="s">
        <v>38</v>
      </c>
      <c r="C19963">
        <v>88135</v>
      </c>
      <c r="D19963" t="str">
        <f>"88135"</f>
        <v>88135</v>
      </c>
      <c r="E19963">
        <v>61.67</v>
      </c>
    </row>
    <row r="19964" spans="1:5" x14ac:dyDescent="0.2">
      <c r="A19964">
        <v>88136</v>
      </c>
      <c r="B19964" t="s">
        <v>38</v>
      </c>
      <c r="C19964">
        <v>88136</v>
      </c>
      <c r="D19964" t="str">
        <f>"88136"</f>
        <v>88136</v>
      </c>
      <c r="E19964" t="s">
        <v>6</v>
      </c>
    </row>
    <row r="19965" spans="1:5" x14ac:dyDescent="0.2">
      <c r="A19965">
        <v>88201</v>
      </c>
      <c r="B19965" t="s">
        <v>38</v>
      </c>
      <c r="C19965">
        <v>88201</v>
      </c>
      <c r="D19965" t="str">
        <f>"88201"</f>
        <v>88201</v>
      </c>
      <c r="E19965">
        <v>67.19</v>
      </c>
    </row>
    <row r="19966" spans="1:5" x14ac:dyDescent="0.2">
      <c r="A19966">
        <v>88203</v>
      </c>
      <c r="B19966" t="s">
        <v>38</v>
      </c>
      <c r="C19966">
        <v>88203</v>
      </c>
      <c r="D19966" t="str">
        <f>"88203"</f>
        <v>88203</v>
      </c>
      <c r="E19966">
        <v>54.6</v>
      </c>
    </row>
    <row r="19967" spans="1:5" x14ac:dyDescent="0.2">
      <c r="A19967">
        <v>88210</v>
      </c>
      <c r="B19967" t="s">
        <v>38</v>
      </c>
      <c r="C19967">
        <v>88210</v>
      </c>
      <c r="D19967" t="str">
        <f>"88210"</f>
        <v>88210</v>
      </c>
      <c r="E19967">
        <v>71.099999999999994</v>
      </c>
    </row>
    <row r="19968" spans="1:5" x14ac:dyDescent="0.2">
      <c r="A19968">
        <v>88213</v>
      </c>
      <c r="B19968" t="s">
        <v>38</v>
      </c>
      <c r="C19968">
        <v>88213</v>
      </c>
      <c r="D19968" t="str">
        <f>"88213"</f>
        <v>88213</v>
      </c>
      <c r="E19968" t="s">
        <v>6</v>
      </c>
    </row>
    <row r="19969" spans="1:5" x14ac:dyDescent="0.2">
      <c r="A19969">
        <v>88220</v>
      </c>
      <c r="B19969" t="s">
        <v>38</v>
      </c>
      <c r="C19969">
        <v>88220</v>
      </c>
      <c r="D19969" t="str">
        <f>"88220"</f>
        <v>88220</v>
      </c>
      <c r="E19969">
        <v>71.989999999999995</v>
      </c>
    </row>
    <row r="19970" spans="1:5" x14ac:dyDescent="0.2">
      <c r="A19970">
        <v>88230</v>
      </c>
      <c r="B19970" t="s">
        <v>38</v>
      </c>
      <c r="C19970">
        <v>88230</v>
      </c>
      <c r="D19970" t="str">
        <f>"88230"</f>
        <v>88230</v>
      </c>
      <c r="E19970">
        <v>58.82</v>
      </c>
    </row>
    <row r="19971" spans="1:5" x14ac:dyDescent="0.2">
      <c r="A19971">
        <v>88231</v>
      </c>
      <c r="B19971" t="s">
        <v>38</v>
      </c>
      <c r="C19971">
        <v>88231</v>
      </c>
      <c r="D19971" t="str">
        <f>"88231"</f>
        <v>88231</v>
      </c>
      <c r="E19971" t="s">
        <v>6</v>
      </c>
    </row>
    <row r="19972" spans="1:5" x14ac:dyDescent="0.2">
      <c r="A19972">
        <v>88232</v>
      </c>
      <c r="B19972" t="s">
        <v>38</v>
      </c>
      <c r="C19972">
        <v>88232</v>
      </c>
      <c r="D19972" t="str">
        <f>"88232"</f>
        <v>88232</v>
      </c>
      <c r="E19972">
        <v>63.29</v>
      </c>
    </row>
    <row r="19973" spans="1:5" x14ac:dyDescent="0.2">
      <c r="A19973">
        <v>88240</v>
      </c>
      <c r="B19973" t="s">
        <v>38</v>
      </c>
      <c r="C19973">
        <v>88240</v>
      </c>
      <c r="D19973" t="str">
        <f>"88240"</f>
        <v>88240</v>
      </c>
      <c r="E19973">
        <v>64.040000000000006</v>
      </c>
    </row>
    <row r="19974" spans="1:5" x14ac:dyDescent="0.2">
      <c r="A19974">
        <v>88242</v>
      </c>
      <c r="B19974" t="s">
        <v>38</v>
      </c>
      <c r="C19974">
        <v>88242</v>
      </c>
      <c r="D19974" t="str">
        <f>"88242"</f>
        <v>88242</v>
      </c>
      <c r="E19974">
        <v>71.38</v>
      </c>
    </row>
    <row r="19975" spans="1:5" x14ac:dyDescent="0.2">
      <c r="A19975">
        <v>88250</v>
      </c>
      <c r="B19975" t="s">
        <v>38</v>
      </c>
      <c r="C19975">
        <v>88250</v>
      </c>
      <c r="D19975" t="str">
        <f>"88250"</f>
        <v>88250</v>
      </c>
      <c r="E19975" t="s">
        <v>6</v>
      </c>
    </row>
    <row r="19976" spans="1:5" x14ac:dyDescent="0.2">
      <c r="A19976">
        <v>88252</v>
      </c>
      <c r="B19976" t="s">
        <v>38</v>
      </c>
      <c r="C19976">
        <v>88252</v>
      </c>
      <c r="D19976" t="str">
        <f>"88252"</f>
        <v>88252</v>
      </c>
      <c r="E19976">
        <v>72.41</v>
      </c>
    </row>
    <row r="19977" spans="1:5" x14ac:dyDescent="0.2">
      <c r="A19977">
        <v>88253</v>
      </c>
      <c r="B19977" t="s">
        <v>38</v>
      </c>
      <c r="C19977">
        <v>88253</v>
      </c>
      <c r="D19977" t="str">
        <f>"88253"</f>
        <v>88253</v>
      </c>
      <c r="E19977">
        <v>70.27</v>
      </c>
    </row>
    <row r="19978" spans="1:5" x14ac:dyDescent="0.2">
      <c r="A19978">
        <v>88254</v>
      </c>
      <c r="B19978" t="s">
        <v>38</v>
      </c>
      <c r="C19978">
        <v>88254</v>
      </c>
      <c r="D19978" t="str">
        <f>"88254"</f>
        <v>88254</v>
      </c>
      <c r="E19978" t="s">
        <v>6</v>
      </c>
    </row>
    <row r="19979" spans="1:5" x14ac:dyDescent="0.2">
      <c r="A19979">
        <v>88255</v>
      </c>
      <c r="B19979" t="s">
        <v>38</v>
      </c>
      <c r="C19979">
        <v>88255</v>
      </c>
      <c r="D19979" t="str">
        <f>"88255"</f>
        <v>88255</v>
      </c>
      <c r="E19979" t="s">
        <v>6</v>
      </c>
    </row>
    <row r="19980" spans="1:5" x14ac:dyDescent="0.2">
      <c r="A19980">
        <v>88256</v>
      </c>
      <c r="B19980" t="s">
        <v>38</v>
      </c>
      <c r="C19980">
        <v>88256</v>
      </c>
      <c r="D19980" t="str">
        <f>"88256"</f>
        <v>88256</v>
      </c>
      <c r="E19980">
        <v>69.86</v>
      </c>
    </row>
    <row r="19981" spans="1:5" x14ac:dyDescent="0.2">
      <c r="A19981">
        <v>88260</v>
      </c>
      <c r="B19981" t="s">
        <v>38</v>
      </c>
      <c r="C19981">
        <v>88260</v>
      </c>
      <c r="D19981" t="str">
        <f>"88260"</f>
        <v>88260</v>
      </c>
      <c r="E19981">
        <v>65.319999999999993</v>
      </c>
    </row>
    <row r="19982" spans="1:5" x14ac:dyDescent="0.2">
      <c r="A19982">
        <v>88262</v>
      </c>
      <c r="B19982" t="s">
        <v>38</v>
      </c>
      <c r="C19982">
        <v>88262</v>
      </c>
      <c r="D19982" t="str">
        <f>"88262"</f>
        <v>88262</v>
      </c>
      <c r="E19982" t="s">
        <v>6</v>
      </c>
    </row>
    <row r="19983" spans="1:5" x14ac:dyDescent="0.2">
      <c r="A19983">
        <v>88263</v>
      </c>
      <c r="B19983" t="s">
        <v>38</v>
      </c>
      <c r="C19983">
        <v>88263</v>
      </c>
      <c r="D19983" t="str">
        <f>"88263"</f>
        <v>88263</v>
      </c>
      <c r="E19983" t="s">
        <v>6</v>
      </c>
    </row>
    <row r="19984" spans="1:5" x14ac:dyDescent="0.2">
      <c r="A19984">
        <v>88264</v>
      </c>
      <c r="B19984" t="s">
        <v>38</v>
      </c>
      <c r="C19984">
        <v>88264</v>
      </c>
      <c r="D19984" t="str">
        <f>"88264"</f>
        <v>88264</v>
      </c>
      <c r="E19984" t="s">
        <v>6</v>
      </c>
    </row>
    <row r="19985" spans="1:5" x14ac:dyDescent="0.2">
      <c r="A19985">
        <v>88265</v>
      </c>
      <c r="B19985" t="s">
        <v>38</v>
      </c>
      <c r="C19985">
        <v>88265</v>
      </c>
      <c r="D19985" t="str">
        <f>"88265"</f>
        <v>88265</v>
      </c>
      <c r="E19985">
        <v>66.67</v>
      </c>
    </row>
    <row r="19986" spans="1:5" x14ac:dyDescent="0.2">
      <c r="A19986">
        <v>88267</v>
      </c>
      <c r="B19986" t="s">
        <v>38</v>
      </c>
      <c r="C19986">
        <v>88267</v>
      </c>
      <c r="D19986" t="str">
        <f>"88267"</f>
        <v>88267</v>
      </c>
      <c r="E19986">
        <v>68.180000000000007</v>
      </c>
    </row>
    <row r="19987" spans="1:5" x14ac:dyDescent="0.2">
      <c r="A19987">
        <v>88268</v>
      </c>
      <c r="B19987" t="s">
        <v>38</v>
      </c>
      <c r="C19987">
        <v>88268</v>
      </c>
      <c r="D19987" t="str">
        <f>"88268"</f>
        <v>88268</v>
      </c>
      <c r="E19987" t="s">
        <v>6</v>
      </c>
    </row>
    <row r="19988" spans="1:5" x14ac:dyDescent="0.2">
      <c r="A19988">
        <v>88301</v>
      </c>
      <c r="B19988" t="s">
        <v>38</v>
      </c>
      <c r="C19988">
        <v>88301</v>
      </c>
      <c r="D19988" t="str">
        <f>"88301"</f>
        <v>88301</v>
      </c>
      <c r="E19988">
        <v>65.38</v>
      </c>
    </row>
    <row r="19989" spans="1:5" x14ac:dyDescent="0.2">
      <c r="A19989">
        <v>88310</v>
      </c>
      <c r="B19989" t="s">
        <v>38</v>
      </c>
      <c r="C19989">
        <v>88310</v>
      </c>
      <c r="D19989" t="str">
        <f>"88310"</f>
        <v>88310</v>
      </c>
      <c r="E19989">
        <v>66.44</v>
      </c>
    </row>
    <row r="19990" spans="1:5" x14ac:dyDescent="0.2">
      <c r="A19990">
        <v>88312</v>
      </c>
      <c r="B19990" t="s">
        <v>38</v>
      </c>
      <c r="C19990">
        <v>88312</v>
      </c>
      <c r="D19990" t="str">
        <f>"88312"</f>
        <v>88312</v>
      </c>
      <c r="E19990">
        <v>75.22</v>
      </c>
    </row>
    <row r="19991" spans="1:5" x14ac:dyDescent="0.2">
      <c r="A19991">
        <v>88314</v>
      </c>
      <c r="B19991" t="s">
        <v>38</v>
      </c>
      <c r="C19991">
        <v>88314</v>
      </c>
      <c r="D19991" t="str">
        <f>"88314"</f>
        <v>88314</v>
      </c>
      <c r="E19991" t="s">
        <v>6</v>
      </c>
    </row>
    <row r="19992" spans="1:5" x14ac:dyDescent="0.2">
      <c r="A19992">
        <v>88316</v>
      </c>
      <c r="B19992" t="s">
        <v>38</v>
      </c>
      <c r="C19992">
        <v>88316</v>
      </c>
      <c r="D19992" t="str">
        <f>"88316"</f>
        <v>88316</v>
      </c>
      <c r="E19992">
        <v>62.5</v>
      </c>
    </row>
    <row r="19993" spans="1:5" x14ac:dyDescent="0.2">
      <c r="A19993">
        <v>88317</v>
      </c>
      <c r="B19993" t="s">
        <v>38</v>
      </c>
      <c r="C19993">
        <v>88317</v>
      </c>
      <c r="D19993" t="str">
        <f>"88317"</f>
        <v>88317</v>
      </c>
      <c r="E19993">
        <v>70.59</v>
      </c>
    </row>
    <row r="19994" spans="1:5" x14ac:dyDescent="0.2">
      <c r="A19994">
        <v>88318</v>
      </c>
      <c r="B19994" t="s">
        <v>38</v>
      </c>
      <c r="C19994">
        <v>88318</v>
      </c>
      <c r="D19994" t="str">
        <f>"88318"</f>
        <v>88318</v>
      </c>
      <c r="E19994">
        <v>62.5</v>
      </c>
    </row>
    <row r="19995" spans="1:5" x14ac:dyDescent="0.2">
      <c r="A19995">
        <v>88321</v>
      </c>
      <c r="B19995" t="s">
        <v>38</v>
      </c>
      <c r="C19995">
        <v>88321</v>
      </c>
      <c r="D19995" t="str">
        <f>"88321"</f>
        <v>88321</v>
      </c>
      <c r="E19995" t="s">
        <v>6</v>
      </c>
    </row>
    <row r="19996" spans="1:5" x14ac:dyDescent="0.2">
      <c r="A19996">
        <v>88323</v>
      </c>
      <c r="B19996" t="s">
        <v>38</v>
      </c>
      <c r="C19996">
        <v>88323</v>
      </c>
      <c r="D19996" t="str">
        <f>"88323"</f>
        <v>88323</v>
      </c>
      <c r="E19996" t="s">
        <v>6</v>
      </c>
    </row>
    <row r="19997" spans="1:5" x14ac:dyDescent="0.2">
      <c r="A19997">
        <v>88324</v>
      </c>
      <c r="B19997" t="s">
        <v>38</v>
      </c>
      <c r="C19997">
        <v>88324</v>
      </c>
      <c r="D19997" t="str">
        <f>"88324"</f>
        <v>88324</v>
      </c>
      <c r="E19997" t="s">
        <v>6</v>
      </c>
    </row>
    <row r="19998" spans="1:5" x14ac:dyDescent="0.2">
      <c r="A19998">
        <v>88325</v>
      </c>
      <c r="B19998" t="s">
        <v>38</v>
      </c>
      <c r="C19998">
        <v>88325</v>
      </c>
      <c r="D19998" t="str">
        <f>"88325"</f>
        <v>88325</v>
      </c>
      <c r="E19998" t="s">
        <v>6</v>
      </c>
    </row>
    <row r="19999" spans="1:5" x14ac:dyDescent="0.2">
      <c r="A19999">
        <v>88330</v>
      </c>
      <c r="B19999" t="s">
        <v>38</v>
      </c>
      <c r="C19999">
        <v>88330</v>
      </c>
      <c r="D19999" t="str">
        <f>"88330"</f>
        <v>88330</v>
      </c>
      <c r="E19999">
        <v>72.260000000000005</v>
      </c>
    </row>
    <row r="20000" spans="1:5" x14ac:dyDescent="0.2">
      <c r="A20000">
        <v>88336</v>
      </c>
      <c r="B20000" t="s">
        <v>38</v>
      </c>
      <c r="C20000">
        <v>88336</v>
      </c>
      <c r="D20000" t="str">
        <f>"88336"</f>
        <v>88336</v>
      </c>
      <c r="E20000">
        <v>50</v>
      </c>
    </row>
    <row r="20001" spans="1:5" x14ac:dyDescent="0.2">
      <c r="A20001">
        <v>88337</v>
      </c>
      <c r="B20001" t="s">
        <v>38</v>
      </c>
      <c r="C20001">
        <v>88337</v>
      </c>
      <c r="D20001" t="str">
        <f>"88337"</f>
        <v>88337</v>
      </c>
      <c r="E20001">
        <v>69.37</v>
      </c>
    </row>
    <row r="20002" spans="1:5" x14ac:dyDescent="0.2">
      <c r="A20002">
        <v>88338</v>
      </c>
      <c r="B20002" t="s">
        <v>38</v>
      </c>
      <c r="C20002">
        <v>88338</v>
      </c>
      <c r="D20002" t="str">
        <f>"88338"</f>
        <v>88338</v>
      </c>
      <c r="E20002" t="s">
        <v>6</v>
      </c>
    </row>
    <row r="20003" spans="1:5" x14ac:dyDescent="0.2">
      <c r="A20003">
        <v>88339</v>
      </c>
      <c r="B20003" t="s">
        <v>38</v>
      </c>
      <c r="C20003">
        <v>88339</v>
      </c>
      <c r="D20003" t="str">
        <f>"88339"</f>
        <v>88339</v>
      </c>
      <c r="E20003">
        <v>72</v>
      </c>
    </row>
    <row r="20004" spans="1:5" x14ac:dyDescent="0.2">
      <c r="A20004">
        <v>88340</v>
      </c>
      <c r="B20004" t="s">
        <v>38</v>
      </c>
      <c r="C20004">
        <v>88340</v>
      </c>
      <c r="D20004" t="str">
        <f>"88340"</f>
        <v>88340</v>
      </c>
      <c r="E20004">
        <v>50.97</v>
      </c>
    </row>
    <row r="20005" spans="1:5" x14ac:dyDescent="0.2">
      <c r="A20005">
        <v>88341</v>
      </c>
      <c r="B20005" t="s">
        <v>38</v>
      </c>
      <c r="C20005">
        <v>88341</v>
      </c>
      <c r="D20005" t="str">
        <f>"88341"</f>
        <v>88341</v>
      </c>
      <c r="E20005">
        <v>66.67</v>
      </c>
    </row>
    <row r="20006" spans="1:5" x14ac:dyDescent="0.2">
      <c r="A20006">
        <v>88342</v>
      </c>
      <c r="B20006" t="s">
        <v>38</v>
      </c>
      <c r="C20006">
        <v>88342</v>
      </c>
      <c r="D20006" t="str">
        <f>"88342"</f>
        <v>88342</v>
      </c>
      <c r="E20006" t="s">
        <v>6</v>
      </c>
    </row>
    <row r="20007" spans="1:5" x14ac:dyDescent="0.2">
      <c r="A20007">
        <v>88343</v>
      </c>
      <c r="B20007" t="s">
        <v>38</v>
      </c>
      <c r="C20007">
        <v>88343</v>
      </c>
      <c r="D20007" t="str">
        <f>"88343"</f>
        <v>88343</v>
      </c>
      <c r="E20007" t="s">
        <v>6</v>
      </c>
    </row>
    <row r="20008" spans="1:5" x14ac:dyDescent="0.2">
      <c r="A20008">
        <v>88344</v>
      </c>
      <c r="B20008" t="s">
        <v>38</v>
      </c>
      <c r="C20008">
        <v>88344</v>
      </c>
      <c r="D20008" t="str">
        <f>"88344"</f>
        <v>88344</v>
      </c>
      <c r="E20008" t="s">
        <v>6</v>
      </c>
    </row>
    <row r="20009" spans="1:5" x14ac:dyDescent="0.2">
      <c r="A20009">
        <v>88345</v>
      </c>
      <c r="B20009" t="s">
        <v>38</v>
      </c>
      <c r="C20009">
        <v>88345</v>
      </c>
      <c r="D20009" t="str">
        <f>"88345"</f>
        <v>88345</v>
      </c>
      <c r="E20009">
        <v>65.819999999999993</v>
      </c>
    </row>
    <row r="20010" spans="1:5" x14ac:dyDescent="0.2">
      <c r="A20010">
        <v>88346</v>
      </c>
      <c r="B20010" t="s">
        <v>38</v>
      </c>
      <c r="C20010">
        <v>88346</v>
      </c>
      <c r="D20010" t="str">
        <f>"88346"</f>
        <v>88346</v>
      </c>
      <c r="E20010">
        <v>53.38</v>
      </c>
    </row>
    <row r="20011" spans="1:5" x14ac:dyDescent="0.2">
      <c r="A20011">
        <v>88347</v>
      </c>
      <c r="B20011" t="s">
        <v>38</v>
      </c>
      <c r="C20011">
        <v>88347</v>
      </c>
      <c r="D20011" t="str">
        <f>"88347"</f>
        <v>88347</v>
      </c>
      <c r="E20011" t="s">
        <v>6</v>
      </c>
    </row>
    <row r="20012" spans="1:5" x14ac:dyDescent="0.2">
      <c r="A20012">
        <v>88348</v>
      </c>
      <c r="B20012" t="s">
        <v>38</v>
      </c>
      <c r="C20012">
        <v>88348</v>
      </c>
      <c r="D20012" t="str">
        <f>"88348"</f>
        <v>88348</v>
      </c>
      <c r="E20012">
        <v>60</v>
      </c>
    </row>
    <row r="20013" spans="1:5" x14ac:dyDescent="0.2">
      <c r="A20013">
        <v>88349</v>
      </c>
      <c r="B20013" t="s">
        <v>38</v>
      </c>
      <c r="C20013">
        <v>88349</v>
      </c>
      <c r="D20013" t="str">
        <f>"88349"</f>
        <v>88349</v>
      </c>
      <c r="E20013" t="s">
        <v>6</v>
      </c>
    </row>
    <row r="20014" spans="1:5" x14ac:dyDescent="0.2">
      <c r="A20014">
        <v>88350</v>
      </c>
      <c r="B20014" t="s">
        <v>38</v>
      </c>
      <c r="C20014">
        <v>88350</v>
      </c>
      <c r="D20014" t="str">
        <f>"88350"</f>
        <v>88350</v>
      </c>
      <c r="E20014" t="s">
        <v>6</v>
      </c>
    </row>
    <row r="20015" spans="1:5" x14ac:dyDescent="0.2">
      <c r="A20015">
        <v>88351</v>
      </c>
      <c r="B20015" t="s">
        <v>38</v>
      </c>
      <c r="C20015">
        <v>88351</v>
      </c>
      <c r="D20015" t="str">
        <f>"88351"</f>
        <v>88351</v>
      </c>
      <c r="E20015" t="s">
        <v>6</v>
      </c>
    </row>
    <row r="20016" spans="1:5" x14ac:dyDescent="0.2">
      <c r="A20016">
        <v>88352</v>
      </c>
      <c r="B20016" t="s">
        <v>38</v>
      </c>
      <c r="C20016">
        <v>88352</v>
      </c>
      <c r="D20016" t="str">
        <f>"88352"</f>
        <v>88352</v>
      </c>
      <c r="E20016">
        <v>62.05</v>
      </c>
    </row>
    <row r="20017" spans="1:5" x14ac:dyDescent="0.2">
      <c r="A20017">
        <v>88353</v>
      </c>
      <c r="B20017" t="s">
        <v>38</v>
      </c>
      <c r="C20017">
        <v>88353</v>
      </c>
      <c r="D20017" t="str">
        <f>"88353"</f>
        <v>88353</v>
      </c>
      <c r="E20017" t="s">
        <v>6</v>
      </c>
    </row>
    <row r="20018" spans="1:5" x14ac:dyDescent="0.2">
      <c r="A20018">
        <v>88354</v>
      </c>
      <c r="B20018" t="s">
        <v>38</v>
      </c>
      <c r="C20018">
        <v>88354</v>
      </c>
      <c r="D20018" t="str">
        <f>"88354"</f>
        <v>88354</v>
      </c>
      <c r="E20018" t="s">
        <v>6</v>
      </c>
    </row>
    <row r="20019" spans="1:5" x14ac:dyDescent="0.2">
      <c r="A20019">
        <v>88401</v>
      </c>
      <c r="B20019" t="s">
        <v>38</v>
      </c>
      <c r="C20019">
        <v>88401</v>
      </c>
      <c r="D20019" t="str">
        <f>"88401"</f>
        <v>88401</v>
      </c>
      <c r="E20019">
        <v>54.76</v>
      </c>
    </row>
    <row r="20020" spans="1:5" x14ac:dyDescent="0.2">
      <c r="A20020">
        <v>88410</v>
      </c>
      <c r="B20020" t="s">
        <v>38</v>
      </c>
      <c r="C20020">
        <v>88410</v>
      </c>
      <c r="D20020" t="str">
        <f>"88410"</f>
        <v>88410</v>
      </c>
      <c r="E20020" t="s">
        <v>6</v>
      </c>
    </row>
    <row r="20021" spans="1:5" x14ac:dyDescent="0.2">
      <c r="A20021">
        <v>88411</v>
      </c>
      <c r="B20021" t="s">
        <v>38</v>
      </c>
      <c r="C20021">
        <v>88411</v>
      </c>
      <c r="D20021" t="str">
        <f>"88411"</f>
        <v>88411</v>
      </c>
      <c r="E20021" t="s">
        <v>6</v>
      </c>
    </row>
    <row r="20022" spans="1:5" x14ac:dyDescent="0.2">
      <c r="A20022">
        <v>88414</v>
      </c>
      <c r="B20022" t="s">
        <v>38</v>
      </c>
      <c r="C20022">
        <v>88414</v>
      </c>
      <c r="D20022" t="str">
        <f>"88414"</f>
        <v>88414</v>
      </c>
      <c r="E20022" t="s">
        <v>6</v>
      </c>
    </row>
    <row r="20023" spans="1:5" x14ac:dyDescent="0.2">
      <c r="A20023">
        <v>88415</v>
      </c>
      <c r="B20023" t="s">
        <v>38</v>
      </c>
      <c r="C20023">
        <v>88415</v>
      </c>
      <c r="D20023" t="str">
        <f>"88415"</f>
        <v>88415</v>
      </c>
      <c r="E20023">
        <v>67.569999999999993</v>
      </c>
    </row>
    <row r="20024" spans="1:5" x14ac:dyDescent="0.2">
      <c r="A20024">
        <v>88416</v>
      </c>
      <c r="B20024" t="s">
        <v>38</v>
      </c>
      <c r="C20024">
        <v>88416</v>
      </c>
      <c r="D20024" t="str">
        <f>"88416"</f>
        <v>88416</v>
      </c>
      <c r="E20024" t="s">
        <v>6</v>
      </c>
    </row>
    <row r="20025" spans="1:5" x14ac:dyDescent="0.2">
      <c r="A20025">
        <v>88417</v>
      </c>
      <c r="B20025" t="s">
        <v>38</v>
      </c>
      <c r="C20025">
        <v>88417</v>
      </c>
      <c r="D20025" t="str">
        <f>"88417"</f>
        <v>88417</v>
      </c>
      <c r="E20025" t="s">
        <v>6</v>
      </c>
    </row>
    <row r="20026" spans="1:5" x14ac:dyDescent="0.2">
      <c r="A20026">
        <v>88418</v>
      </c>
      <c r="B20026" t="s">
        <v>38</v>
      </c>
      <c r="C20026">
        <v>88418</v>
      </c>
      <c r="D20026" t="str">
        <f>"88418"</f>
        <v>88418</v>
      </c>
      <c r="E20026">
        <v>61.54</v>
      </c>
    </row>
    <row r="20027" spans="1:5" x14ac:dyDescent="0.2">
      <c r="A20027">
        <v>88419</v>
      </c>
      <c r="B20027" t="s">
        <v>38</v>
      </c>
      <c r="C20027">
        <v>88419</v>
      </c>
      <c r="D20027" t="str">
        <f>"88419"</f>
        <v>88419</v>
      </c>
      <c r="E20027" t="s">
        <v>6</v>
      </c>
    </row>
    <row r="20028" spans="1:5" x14ac:dyDescent="0.2">
      <c r="A20028">
        <v>88421</v>
      </c>
      <c r="B20028" t="s">
        <v>38</v>
      </c>
      <c r="C20028">
        <v>88421</v>
      </c>
      <c r="D20028" t="str">
        <f>"88421"</f>
        <v>88421</v>
      </c>
      <c r="E20028" t="s">
        <v>6</v>
      </c>
    </row>
    <row r="20029" spans="1:5" x14ac:dyDescent="0.2">
      <c r="A20029">
        <v>88422</v>
      </c>
      <c r="B20029" t="s">
        <v>38</v>
      </c>
      <c r="C20029">
        <v>88422</v>
      </c>
      <c r="D20029" t="str">
        <f>"88422"</f>
        <v>88422</v>
      </c>
      <c r="E20029" t="s">
        <v>6</v>
      </c>
    </row>
    <row r="20030" spans="1:5" x14ac:dyDescent="0.2">
      <c r="A20030">
        <v>88424</v>
      </c>
      <c r="B20030" t="s">
        <v>38</v>
      </c>
      <c r="C20030">
        <v>88424</v>
      </c>
      <c r="D20030" t="str">
        <f>"88424"</f>
        <v>88424</v>
      </c>
      <c r="E20030" t="s">
        <v>6</v>
      </c>
    </row>
    <row r="20031" spans="1:5" x14ac:dyDescent="0.2">
      <c r="A20031">
        <v>88426</v>
      </c>
      <c r="B20031" t="s">
        <v>38</v>
      </c>
      <c r="C20031">
        <v>88426</v>
      </c>
      <c r="D20031" t="str">
        <f>"88426"</f>
        <v>88426</v>
      </c>
      <c r="E20031">
        <v>64.709999999999994</v>
      </c>
    </row>
    <row r="20032" spans="1:5" x14ac:dyDescent="0.2">
      <c r="A20032">
        <v>88427</v>
      </c>
      <c r="B20032" t="s">
        <v>38</v>
      </c>
      <c r="C20032">
        <v>88427</v>
      </c>
      <c r="D20032" t="str">
        <f>"88427"</f>
        <v>88427</v>
      </c>
      <c r="E20032" t="s">
        <v>6</v>
      </c>
    </row>
    <row r="20033" spans="1:5" x14ac:dyDescent="0.2">
      <c r="A20033">
        <v>88430</v>
      </c>
      <c r="B20033" t="s">
        <v>38</v>
      </c>
      <c r="C20033">
        <v>88430</v>
      </c>
      <c r="D20033" t="str">
        <f>"88430"</f>
        <v>88430</v>
      </c>
      <c r="E20033" t="s">
        <v>6</v>
      </c>
    </row>
    <row r="20034" spans="1:5" x14ac:dyDescent="0.2">
      <c r="A20034">
        <v>88431</v>
      </c>
      <c r="B20034" t="s">
        <v>38</v>
      </c>
      <c r="C20034">
        <v>88431</v>
      </c>
      <c r="D20034" t="str">
        <f>"88431"</f>
        <v>88431</v>
      </c>
      <c r="E20034" t="s">
        <v>6</v>
      </c>
    </row>
    <row r="20035" spans="1:5" x14ac:dyDescent="0.2">
      <c r="A20035">
        <v>88434</v>
      </c>
      <c r="B20035" t="s">
        <v>38</v>
      </c>
      <c r="C20035">
        <v>88434</v>
      </c>
      <c r="D20035" t="str">
        <f>"88434"</f>
        <v>88434</v>
      </c>
      <c r="E20035">
        <v>60</v>
      </c>
    </row>
    <row r="20036" spans="1:5" x14ac:dyDescent="0.2">
      <c r="A20036">
        <v>88435</v>
      </c>
      <c r="B20036" t="s">
        <v>38</v>
      </c>
      <c r="C20036">
        <v>88435</v>
      </c>
      <c r="D20036" t="str">
        <f>"88435"</f>
        <v>88435</v>
      </c>
      <c r="E20036">
        <v>57.69</v>
      </c>
    </row>
    <row r="20037" spans="1:5" x14ac:dyDescent="0.2">
      <c r="A20037">
        <v>88436</v>
      </c>
      <c r="B20037" t="s">
        <v>38</v>
      </c>
      <c r="C20037">
        <v>88436</v>
      </c>
      <c r="D20037" t="str">
        <f>"88436"</f>
        <v>88436</v>
      </c>
      <c r="E20037" t="s">
        <v>6</v>
      </c>
    </row>
    <row r="20038" spans="1:5" x14ac:dyDescent="0.2">
      <c r="A20038">
        <v>88439</v>
      </c>
      <c r="B20038" t="s">
        <v>38</v>
      </c>
      <c r="C20038">
        <v>88439</v>
      </c>
      <c r="D20038" t="str">
        <f>"88439"</f>
        <v>88439</v>
      </c>
      <c r="E20038" t="s">
        <v>6</v>
      </c>
    </row>
    <row r="20039" spans="1:5" x14ac:dyDescent="0.2">
      <c r="A20039">
        <v>89001</v>
      </c>
      <c r="B20039" t="s">
        <v>39</v>
      </c>
      <c r="C20039">
        <v>89001</v>
      </c>
      <c r="D20039" t="str">
        <f>"89001"</f>
        <v>89001</v>
      </c>
      <c r="E20039">
        <v>68.290000000000006</v>
      </c>
    </row>
    <row r="20040" spans="1:5" x14ac:dyDescent="0.2">
      <c r="A20040">
        <v>89002</v>
      </c>
      <c r="B20040" t="s">
        <v>39</v>
      </c>
      <c r="C20040">
        <v>89002</v>
      </c>
      <c r="D20040" t="str">
        <f>"89002"</f>
        <v>89002</v>
      </c>
      <c r="E20040">
        <v>78.88</v>
      </c>
    </row>
    <row r="20041" spans="1:5" x14ac:dyDescent="0.2">
      <c r="A20041">
        <v>89003</v>
      </c>
      <c r="B20041" t="s">
        <v>39</v>
      </c>
      <c r="C20041">
        <v>89003</v>
      </c>
      <c r="D20041" t="str">
        <f>"89003"</f>
        <v>89003</v>
      </c>
      <c r="E20041" t="s">
        <v>6</v>
      </c>
    </row>
    <row r="20042" spans="1:5" x14ac:dyDescent="0.2">
      <c r="A20042">
        <v>89004</v>
      </c>
      <c r="B20042" t="s">
        <v>39</v>
      </c>
      <c r="C20042">
        <v>89004</v>
      </c>
      <c r="D20042" t="str">
        <f>"89004"</f>
        <v>89004</v>
      </c>
      <c r="E20042" t="s">
        <v>6</v>
      </c>
    </row>
    <row r="20043" spans="1:5" x14ac:dyDescent="0.2">
      <c r="A20043">
        <v>89005</v>
      </c>
      <c r="B20043" t="s">
        <v>39</v>
      </c>
      <c r="C20043">
        <v>89005</v>
      </c>
      <c r="D20043" t="str">
        <f>"89005"</f>
        <v>89005</v>
      </c>
      <c r="E20043">
        <v>78.42</v>
      </c>
    </row>
    <row r="20044" spans="1:5" x14ac:dyDescent="0.2">
      <c r="A20044">
        <v>89007</v>
      </c>
      <c r="B20044" t="s">
        <v>39</v>
      </c>
      <c r="C20044">
        <v>89007</v>
      </c>
      <c r="D20044" t="str">
        <f>"89007"</f>
        <v>89007</v>
      </c>
      <c r="E20044" t="s">
        <v>6</v>
      </c>
    </row>
    <row r="20045" spans="1:5" x14ac:dyDescent="0.2">
      <c r="A20045">
        <v>89008</v>
      </c>
      <c r="B20045" t="s">
        <v>39</v>
      </c>
      <c r="C20045">
        <v>89008</v>
      </c>
      <c r="D20045" t="str">
        <f>"89008"</f>
        <v>89008</v>
      </c>
      <c r="E20045">
        <v>75.56</v>
      </c>
    </row>
    <row r="20046" spans="1:5" x14ac:dyDescent="0.2">
      <c r="A20046">
        <v>89010</v>
      </c>
      <c r="B20046" t="s">
        <v>39</v>
      </c>
      <c r="C20046">
        <v>89010</v>
      </c>
      <c r="D20046" t="str">
        <f>"89010"</f>
        <v>89010</v>
      </c>
      <c r="E20046">
        <v>75</v>
      </c>
    </row>
    <row r="20047" spans="1:5" x14ac:dyDescent="0.2">
      <c r="A20047">
        <v>89011</v>
      </c>
      <c r="B20047" t="s">
        <v>39</v>
      </c>
      <c r="C20047">
        <v>89011</v>
      </c>
      <c r="D20047" t="str">
        <f>"89011"</f>
        <v>89011</v>
      </c>
      <c r="E20047">
        <v>76.48</v>
      </c>
    </row>
    <row r="20048" spans="1:5" x14ac:dyDescent="0.2">
      <c r="A20048">
        <v>89012</v>
      </c>
      <c r="B20048" t="s">
        <v>39</v>
      </c>
      <c r="C20048">
        <v>89012</v>
      </c>
      <c r="D20048" t="str">
        <f>"89012"</f>
        <v>89012</v>
      </c>
      <c r="E20048">
        <v>81.040000000000006</v>
      </c>
    </row>
    <row r="20049" spans="1:5" x14ac:dyDescent="0.2">
      <c r="A20049">
        <v>89013</v>
      </c>
      <c r="B20049" t="s">
        <v>39</v>
      </c>
      <c r="C20049">
        <v>89013</v>
      </c>
      <c r="D20049" t="str">
        <f>"89013"</f>
        <v>89013</v>
      </c>
      <c r="E20049">
        <v>66.67</v>
      </c>
    </row>
    <row r="20050" spans="1:5" x14ac:dyDescent="0.2">
      <c r="A20050">
        <v>89014</v>
      </c>
      <c r="B20050" t="s">
        <v>39</v>
      </c>
      <c r="C20050">
        <v>89014</v>
      </c>
      <c r="D20050" t="str">
        <f>"89014"</f>
        <v>89014</v>
      </c>
      <c r="E20050">
        <v>73.239999999999995</v>
      </c>
    </row>
    <row r="20051" spans="1:5" x14ac:dyDescent="0.2">
      <c r="A20051">
        <v>89015</v>
      </c>
      <c r="B20051" t="s">
        <v>39</v>
      </c>
      <c r="C20051">
        <v>89015</v>
      </c>
      <c r="D20051" t="str">
        <f>"89015"</f>
        <v>89015</v>
      </c>
      <c r="E20051">
        <v>71.55</v>
      </c>
    </row>
    <row r="20052" spans="1:5" x14ac:dyDescent="0.2">
      <c r="A20052">
        <v>89017</v>
      </c>
      <c r="B20052" t="s">
        <v>39</v>
      </c>
      <c r="C20052">
        <v>89017</v>
      </c>
      <c r="D20052" t="str">
        <f>"89017"</f>
        <v>89017</v>
      </c>
      <c r="E20052" t="s">
        <v>6</v>
      </c>
    </row>
    <row r="20053" spans="1:5" x14ac:dyDescent="0.2">
      <c r="A20053">
        <v>89018</v>
      </c>
      <c r="B20053" t="s">
        <v>39</v>
      </c>
      <c r="C20053">
        <v>89018</v>
      </c>
      <c r="D20053" t="str">
        <f>"89018"</f>
        <v>89018</v>
      </c>
      <c r="E20053" t="s">
        <v>6</v>
      </c>
    </row>
    <row r="20054" spans="1:5" x14ac:dyDescent="0.2">
      <c r="A20054">
        <v>89019</v>
      </c>
      <c r="B20054" t="s">
        <v>39</v>
      </c>
      <c r="C20054">
        <v>89019</v>
      </c>
      <c r="D20054" t="str">
        <f>"89019"</f>
        <v>89019</v>
      </c>
      <c r="E20054">
        <v>67.59</v>
      </c>
    </row>
    <row r="20055" spans="1:5" x14ac:dyDescent="0.2">
      <c r="A20055">
        <v>89020</v>
      </c>
      <c r="B20055" t="s">
        <v>39</v>
      </c>
      <c r="C20055">
        <v>89020</v>
      </c>
      <c r="D20055" t="str">
        <f>"89020"</f>
        <v>89020</v>
      </c>
      <c r="E20055">
        <v>61.9</v>
      </c>
    </row>
    <row r="20056" spans="1:5" x14ac:dyDescent="0.2">
      <c r="A20056">
        <v>89021</v>
      </c>
      <c r="B20056" t="s">
        <v>39</v>
      </c>
      <c r="C20056">
        <v>89021</v>
      </c>
      <c r="D20056" t="str">
        <f>"89021"</f>
        <v>89021</v>
      </c>
      <c r="E20056" t="s">
        <v>6</v>
      </c>
    </row>
    <row r="20057" spans="1:5" x14ac:dyDescent="0.2">
      <c r="A20057">
        <v>89022</v>
      </c>
      <c r="B20057" t="s">
        <v>39</v>
      </c>
      <c r="C20057">
        <v>89022</v>
      </c>
      <c r="D20057" t="str">
        <f>"89022"</f>
        <v>89022</v>
      </c>
      <c r="E20057" t="s">
        <v>6</v>
      </c>
    </row>
    <row r="20058" spans="1:5" x14ac:dyDescent="0.2">
      <c r="A20058">
        <v>89023</v>
      </c>
      <c r="B20058" t="s">
        <v>39</v>
      </c>
      <c r="C20058">
        <v>89023</v>
      </c>
      <c r="D20058" t="str">
        <f>"89023"</f>
        <v>89023</v>
      </c>
      <c r="E20058" t="s">
        <v>6</v>
      </c>
    </row>
    <row r="20059" spans="1:5" x14ac:dyDescent="0.2">
      <c r="A20059">
        <v>89025</v>
      </c>
      <c r="B20059" t="s">
        <v>39</v>
      </c>
      <c r="C20059">
        <v>89025</v>
      </c>
      <c r="D20059" t="str">
        <f>"89025"</f>
        <v>89025</v>
      </c>
      <c r="E20059" t="s">
        <v>6</v>
      </c>
    </row>
    <row r="20060" spans="1:5" x14ac:dyDescent="0.2">
      <c r="A20060">
        <v>89027</v>
      </c>
      <c r="B20060" t="s">
        <v>39</v>
      </c>
      <c r="C20060">
        <v>89027</v>
      </c>
      <c r="D20060" t="str">
        <f>"89027"</f>
        <v>89027</v>
      </c>
      <c r="E20060">
        <v>72.989999999999995</v>
      </c>
    </row>
    <row r="20061" spans="1:5" x14ac:dyDescent="0.2">
      <c r="A20061">
        <v>89029</v>
      </c>
      <c r="B20061" t="s">
        <v>39</v>
      </c>
      <c r="C20061">
        <v>89029</v>
      </c>
      <c r="D20061" t="str">
        <f>"89029"</f>
        <v>89029</v>
      </c>
      <c r="E20061">
        <v>71.19</v>
      </c>
    </row>
    <row r="20062" spans="1:5" x14ac:dyDescent="0.2">
      <c r="A20062">
        <v>89030</v>
      </c>
      <c r="B20062" t="s">
        <v>39</v>
      </c>
      <c r="C20062">
        <v>89030</v>
      </c>
      <c r="D20062" t="str">
        <f>"89030"</f>
        <v>89030</v>
      </c>
      <c r="E20062">
        <v>45.35</v>
      </c>
    </row>
    <row r="20063" spans="1:5" x14ac:dyDescent="0.2">
      <c r="A20063">
        <v>89031</v>
      </c>
      <c r="B20063" t="s">
        <v>39</v>
      </c>
      <c r="C20063">
        <v>89031</v>
      </c>
      <c r="D20063" t="str">
        <f>"89031"</f>
        <v>89031</v>
      </c>
      <c r="E20063">
        <v>70.16</v>
      </c>
    </row>
    <row r="20064" spans="1:5" x14ac:dyDescent="0.2">
      <c r="A20064">
        <v>89032</v>
      </c>
      <c r="B20064" t="s">
        <v>39</v>
      </c>
      <c r="C20064">
        <v>89032</v>
      </c>
      <c r="D20064" t="str">
        <f>"89032"</f>
        <v>89032</v>
      </c>
      <c r="E20064">
        <v>63.92</v>
      </c>
    </row>
    <row r="20065" spans="1:5" x14ac:dyDescent="0.2">
      <c r="A20065">
        <v>89034</v>
      </c>
      <c r="B20065" t="s">
        <v>39</v>
      </c>
      <c r="C20065">
        <v>89034</v>
      </c>
      <c r="D20065" t="str">
        <f>"89034"</f>
        <v>89034</v>
      </c>
      <c r="E20065" t="s">
        <v>6</v>
      </c>
    </row>
    <row r="20066" spans="1:5" x14ac:dyDescent="0.2">
      <c r="A20066">
        <v>89039</v>
      </c>
      <c r="B20066" t="s">
        <v>39</v>
      </c>
      <c r="C20066">
        <v>89039</v>
      </c>
      <c r="D20066" t="str">
        <f>"89039"</f>
        <v>89039</v>
      </c>
      <c r="E20066" t="s">
        <v>6</v>
      </c>
    </row>
    <row r="20067" spans="1:5" x14ac:dyDescent="0.2">
      <c r="A20067">
        <v>89040</v>
      </c>
      <c r="B20067" t="s">
        <v>39</v>
      </c>
      <c r="C20067">
        <v>89040</v>
      </c>
      <c r="D20067" t="str">
        <f>"89040"</f>
        <v>89040</v>
      </c>
      <c r="E20067">
        <v>74.17</v>
      </c>
    </row>
    <row r="20068" spans="1:5" x14ac:dyDescent="0.2">
      <c r="A20068">
        <v>89042</v>
      </c>
      <c r="B20068" t="s">
        <v>39</v>
      </c>
      <c r="C20068">
        <v>89042</v>
      </c>
      <c r="D20068" t="str">
        <f>"89042"</f>
        <v>89042</v>
      </c>
      <c r="E20068" t="s">
        <v>6</v>
      </c>
    </row>
    <row r="20069" spans="1:5" x14ac:dyDescent="0.2">
      <c r="A20069">
        <v>89043</v>
      </c>
      <c r="B20069" t="s">
        <v>39</v>
      </c>
      <c r="C20069">
        <v>89043</v>
      </c>
      <c r="D20069" t="str">
        <f>"89043"</f>
        <v>89043</v>
      </c>
      <c r="E20069">
        <v>76.739999999999995</v>
      </c>
    </row>
    <row r="20070" spans="1:5" x14ac:dyDescent="0.2">
      <c r="A20070">
        <v>89044</v>
      </c>
      <c r="B20070" t="s">
        <v>39</v>
      </c>
      <c r="C20070">
        <v>89044</v>
      </c>
      <c r="D20070" t="str">
        <f>"89044"</f>
        <v>89044</v>
      </c>
      <c r="E20070">
        <v>83.57</v>
      </c>
    </row>
    <row r="20071" spans="1:5" x14ac:dyDescent="0.2">
      <c r="A20071">
        <v>89045</v>
      </c>
      <c r="B20071" t="s">
        <v>39</v>
      </c>
      <c r="C20071">
        <v>89045</v>
      </c>
      <c r="D20071" t="str">
        <f>"89045"</f>
        <v>89045</v>
      </c>
      <c r="E20071">
        <v>85.29</v>
      </c>
    </row>
    <row r="20072" spans="1:5" x14ac:dyDescent="0.2">
      <c r="A20072">
        <v>89046</v>
      </c>
      <c r="B20072" t="s">
        <v>39</v>
      </c>
      <c r="C20072">
        <v>89046</v>
      </c>
      <c r="D20072" t="str">
        <f>"89046"</f>
        <v>89046</v>
      </c>
      <c r="E20072">
        <v>66.67</v>
      </c>
    </row>
    <row r="20073" spans="1:5" x14ac:dyDescent="0.2">
      <c r="A20073">
        <v>89047</v>
      </c>
      <c r="B20073" t="s">
        <v>39</v>
      </c>
      <c r="C20073">
        <v>89047</v>
      </c>
      <c r="D20073" t="str">
        <f>"89047"</f>
        <v>89047</v>
      </c>
      <c r="E20073" t="s">
        <v>6</v>
      </c>
    </row>
    <row r="20074" spans="1:5" x14ac:dyDescent="0.2">
      <c r="A20074">
        <v>89048</v>
      </c>
      <c r="B20074" t="s">
        <v>39</v>
      </c>
      <c r="C20074">
        <v>89048</v>
      </c>
      <c r="D20074" t="str">
        <f>"89048"</f>
        <v>89048</v>
      </c>
      <c r="E20074">
        <v>66.87</v>
      </c>
    </row>
    <row r="20075" spans="1:5" x14ac:dyDescent="0.2">
      <c r="A20075">
        <v>89049</v>
      </c>
      <c r="B20075" t="s">
        <v>39</v>
      </c>
      <c r="C20075">
        <v>89049</v>
      </c>
      <c r="D20075" t="str">
        <f>"89049"</f>
        <v>89049</v>
      </c>
      <c r="E20075">
        <v>76.64</v>
      </c>
    </row>
    <row r="20076" spans="1:5" x14ac:dyDescent="0.2">
      <c r="A20076">
        <v>89052</v>
      </c>
      <c r="B20076" t="s">
        <v>39</v>
      </c>
      <c r="C20076">
        <v>89052</v>
      </c>
      <c r="D20076" t="str">
        <f>"89052"</f>
        <v>89052</v>
      </c>
      <c r="E20076">
        <v>80.48</v>
      </c>
    </row>
    <row r="20077" spans="1:5" x14ac:dyDescent="0.2">
      <c r="A20077">
        <v>89054</v>
      </c>
      <c r="B20077" t="s">
        <v>39</v>
      </c>
      <c r="C20077">
        <v>89054</v>
      </c>
      <c r="D20077" t="str">
        <f>"89054"</f>
        <v>89054</v>
      </c>
      <c r="E20077" t="s">
        <v>6</v>
      </c>
    </row>
    <row r="20078" spans="1:5" x14ac:dyDescent="0.2">
      <c r="A20078">
        <v>89060</v>
      </c>
      <c r="B20078" t="s">
        <v>39</v>
      </c>
      <c r="C20078">
        <v>89060</v>
      </c>
      <c r="D20078" t="str">
        <f>"89060"</f>
        <v>89060</v>
      </c>
      <c r="E20078">
        <v>67.349999999999994</v>
      </c>
    </row>
    <row r="20079" spans="1:5" x14ac:dyDescent="0.2">
      <c r="A20079">
        <v>89061</v>
      </c>
      <c r="B20079" t="s">
        <v>39</v>
      </c>
      <c r="C20079">
        <v>89061</v>
      </c>
      <c r="D20079" t="str">
        <f>"89061"</f>
        <v>89061</v>
      </c>
      <c r="E20079">
        <v>73.08</v>
      </c>
    </row>
    <row r="20080" spans="1:5" x14ac:dyDescent="0.2">
      <c r="A20080">
        <v>89074</v>
      </c>
      <c r="B20080" t="s">
        <v>39</v>
      </c>
      <c r="C20080">
        <v>89074</v>
      </c>
      <c r="D20080" t="str">
        <f>"89074"</f>
        <v>89074</v>
      </c>
      <c r="E20080">
        <v>78.2</v>
      </c>
    </row>
    <row r="20081" spans="1:5" x14ac:dyDescent="0.2">
      <c r="A20081">
        <v>89081</v>
      </c>
      <c r="B20081" t="s">
        <v>39</v>
      </c>
      <c r="C20081">
        <v>89081</v>
      </c>
      <c r="D20081" t="str">
        <f>"89081"</f>
        <v>89081</v>
      </c>
      <c r="E20081">
        <v>67.7</v>
      </c>
    </row>
    <row r="20082" spans="1:5" x14ac:dyDescent="0.2">
      <c r="A20082">
        <v>89084</v>
      </c>
      <c r="B20082" t="s">
        <v>39</v>
      </c>
      <c r="C20082">
        <v>89084</v>
      </c>
      <c r="D20082" t="str">
        <f>"89084"</f>
        <v>89084</v>
      </c>
      <c r="E20082">
        <v>76.900000000000006</v>
      </c>
    </row>
    <row r="20083" spans="1:5" x14ac:dyDescent="0.2">
      <c r="A20083">
        <v>89085</v>
      </c>
      <c r="B20083" t="s">
        <v>39</v>
      </c>
      <c r="C20083">
        <v>89085</v>
      </c>
      <c r="D20083" t="str">
        <f>"89085"</f>
        <v>89085</v>
      </c>
      <c r="E20083">
        <v>81.03</v>
      </c>
    </row>
    <row r="20084" spans="1:5" x14ac:dyDescent="0.2">
      <c r="A20084">
        <v>89086</v>
      </c>
      <c r="B20084" t="s">
        <v>39</v>
      </c>
      <c r="C20084">
        <v>89086</v>
      </c>
      <c r="D20084" t="str">
        <f>"89086"</f>
        <v>89086</v>
      </c>
      <c r="E20084">
        <v>66.41</v>
      </c>
    </row>
    <row r="20085" spans="1:5" x14ac:dyDescent="0.2">
      <c r="A20085">
        <v>89101</v>
      </c>
      <c r="B20085" t="s">
        <v>39</v>
      </c>
      <c r="C20085">
        <v>89101</v>
      </c>
      <c r="D20085" t="str">
        <f>"89101"</f>
        <v>89101</v>
      </c>
      <c r="E20085">
        <v>48.94</v>
      </c>
    </row>
    <row r="20086" spans="1:5" x14ac:dyDescent="0.2">
      <c r="A20086">
        <v>89102</v>
      </c>
      <c r="B20086" t="s">
        <v>39</v>
      </c>
      <c r="C20086">
        <v>89102</v>
      </c>
      <c r="D20086" t="str">
        <f>"89102"</f>
        <v>89102</v>
      </c>
      <c r="E20086">
        <v>56.23</v>
      </c>
    </row>
    <row r="20087" spans="1:5" x14ac:dyDescent="0.2">
      <c r="A20087">
        <v>89103</v>
      </c>
      <c r="B20087" t="s">
        <v>39</v>
      </c>
      <c r="C20087">
        <v>89103</v>
      </c>
      <c r="D20087" t="str">
        <f>"89103"</f>
        <v>89103</v>
      </c>
      <c r="E20087">
        <v>63.96</v>
      </c>
    </row>
    <row r="20088" spans="1:5" x14ac:dyDescent="0.2">
      <c r="A20088">
        <v>89104</v>
      </c>
      <c r="B20088" t="s">
        <v>39</v>
      </c>
      <c r="C20088">
        <v>89104</v>
      </c>
      <c r="D20088" t="str">
        <f>"89104"</f>
        <v>89104</v>
      </c>
      <c r="E20088">
        <v>56.83</v>
      </c>
    </row>
    <row r="20089" spans="1:5" x14ac:dyDescent="0.2">
      <c r="A20089">
        <v>89106</v>
      </c>
      <c r="B20089" t="s">
        <v>39</v>
      </c>
      <c r="C20089">
        <v>89106</v>
      </c>
      <c r="D20089" t="str">
        <f>"89106"</f>
        <v>89106</v>
      </c>
      <c r="E20089">
        <v>48.81</v>
      </c>
    </row>
    <row r="20090" spans="1:5" x14ac:dyDescent="0.2">
      <c r="A20090">
        <v>89107</v>
      </c>
      <c r="B20090" t="s">
        <v>39</v>
      </c>
      <c r="C20090">
        <v>89107</v>
      </c>
      <c r="D20090" t="str">
        <f>"89107"</f>
        <v>89107</v>
      </c>
      <c r="E20090">
        <v>59.76</v>
      </c>
    </row>
    <row r="20091" spans="1:5" x14ac:dyDescent="0.2">
      <c r="A20091">
        <v>89108</v>
      </c>
      <c r="B20091" t="s">
        <v>39</v>
      </c>
      <c r="C20091">
        <v>89108</v>
      </c>
      <c r="D20091" t="str">
        <f>"89108"</f>
        <v>89108</v>
      </c>
      <c r="E20091">
        <v>61.36</v>
      </c>
    </row>
    <row r="20092" spans="1:5" x14ac:dyDescent="0.2">
      <c r="A20092">
        <v>89109</v>
      </c>
      <c r="B20092" t="s">
        <v>39</v>
      </c>
      <c r="C20092">
        <v>89109</v>
      </c>
      <c r="D20092" t="str">
        <f>"89109"</f>
        <v>89109</v>
      </c>
      <c r="E20092">
        <v>70.23</v>
      </c>
    </row>
    <row r="20093" spans="1:5" x14ac:dyDescent="0.2">
      <c r="A20093">
        <v>89110</v>
      </c>
      <c r="B20093" t="s">
        <v>39</v>
      </c>
      <c r="C20093">
        <v>89110</v>
      </c>
      <c r="D20093" t="str">
        <f>"89110"</f>
        <v>89110</v>
      </c>
      <c r="E20093">
        <v>56.11</v>
      </c>
    </row>
    <row r="20094" spans="1:5" x14ac:dyDescent="0.2">
      <c r="A20094">
        <v>89113</v>
      </c>
      <c r="B20094" t="s">
        <v>39</v>
      </c>
      <c r="C20094">
        <v>89113</v>
      </c>
      <c r="D20094" t="str">
        <f>"89113"</f>
        <v>89113</v>
      </c>
      <c r="E20094">
        <v>76.64</v>
      </c>
    </row>
    <row r="20095" spans="1:5" x14ac:dyDescent="0.2">
      <c r="A20095">
        <v>89115</v>
      </c>
      <c r="B20095" t="s">
        <v>39</v>
      </c>
      <c r="C20095">
        <v>89115</v>
      </c>
      <c r="D20095" t="str">
        <f>"89115"</f>
        <v>89115</v>
      </c>
      <c r="E20095">
        <v>48.39</v>
      </c>
    </row>
    <row r="20096" spans="1:5" x14ac:dyDescent="0.2">
      <c r="A20096">
        <v>89117</v>
      </c>
      <c r="B20096" t="s">
        <v>39</v>
      </c>
      <c r="C20096">
        <v>89117</v>
      </c>
      <c r="D20096" t="str">
        <f>"89117"</f>
        <v>89117</v>
      </c>
      <c r="E20096">
        <v>75.09</v>
      </c>
    </row>
    <row r="20097" spans="1:5" x14ac:dyDescent="0.2">
      <c r="A20097">
        <v>89118</v>
      </c>
      <c r="B20097" t="s">
        <v>39</v>
      </c>
      <c r="C20097">
        <v>89118</v>
      </c>
      <c r="D20097" t="str">
        <f>"89118"</f>
        <v>89118</v>
      </c>
      <c r="E20097">
        <v>71.349999999999994</v>
      </c>
    </row>
    <row r="20098" spans="1:5" x14ac:dyDescent="0.2">
      <c r="A20098">
        <v>89119</v>
      </c>
      <c r="B20098" t="s">
        <v>39</v>
      </c>
      <c r="C20098">
        <v>89119</v>
      </c>
      <c r="D20098" t="str">
        <f>"89119"</f>
        <v>89119</v>
      </c>
      <c r="E20098">
        <v>59.62</v>
      </c>
    </row>
    <row r="20099" spans="1:5" x14ac:dyDescent="0.2">
      <c r="A20099">
        <v>89120</v>
      </c>
      <c r="B20099" t="s">
        <v>39</v>
      </c>
      <c r="C20099">
        <v>89120</v>
      </c>
      <c r="D20099" t="str">
        <f>"89120"</f>
        <v>89120</v>
      </c>
      <c r="E20099">
        <v>69.34</v>
      </c>
    </row>
    <row r="20100" spans="1:5" x14ac:dyDescent="0.2">
      <c r="A20100">
        <v>89121</v>
      </c>
      <c r="B20100" t="s">
        <v>39</v>
      </c>
      <c r="C20100">
        <v>89121</v>
      </c>
      <c r="D20100" t="str">
        <f>"89121"</f>
        <v>89121</v>
      </c>
      <c r="E20100">
        <v>59.99</v>
      </c>
    </row>
    <row r="20101" spans="1:5" x14ac:dyDescent="0.2">
      <c r="A20101">
        <v>89122</v>
      </c>
      <c r="B20101" t="s">
        <v>39</v>
      </c>
      <c r="C20101">
        <v>89122</v>
      </c>
      <c r="D20101" t="str">
        <f>"89122"</f>
        <v>89122</v>
      </c>
      <c r="E20101">
        <v>64.56</v>
      </c>
    </row>
    <row r="20102" spans="1:5" x14ac:dyDescent="0.2">
      <c r="A20102">
        <v>89123</v>
      </c>
      <c r="B20102" t="s">
        <v>39</v>
      </c>
      <c r="C20102">
        <v>89123</v>
      </c>
      <c r="D20102" t="str">
        <f>"89123"</f>
        <v>89123</v>
      </c>
      <c r="E20102">
        <v>76.64</v>
      </c>
    </row>
    <row r="20103" spans="1:5" x14ac:dyDescent="0.2">
      <c r="A20103">
        <v>89124</v>
      </c>
      <c r="B20103" t="s">
        <v>39</v>
      </c>
      <c r="C20103">
        <v>89124</v>
      </c>
      <c r="D20103" t="str">
        <f>"89124"</f>
        <v>89124</v>
      </c>
      <c r="E20103">
        <v>86.67</v>
      </c>
    </row>
    <row r="20104" spans="1:5" x14ac:dyDescent="0.2">
      <c r="A20104">
        <v>89128</v>
      </c>
      <c r="B20104" t="s">
        <v>39</v>
      </c>
      <c r="C20104">
        <v>89128</v>
      </c>
      <c r="D20104" t="str">
        <f>"89128"</f>
        <v>89128</v>
      </c>
      <c r="E20104">
        <v>71.64</v>
      </c>
    </row>
    <row r="20105" spans="1:5" x14ac:dyDescent="0.2">
      <c r="A20105">
        <v>89129</v>
      </c>
      <c r="B20105" t="s">
        <v>39</v>
      </c>
      <c r="C20105">
        <v>89129</v>
      </c>
      <c r="D20105" t="str">
        <f>"89129"</f>
        <v>89129</v>
      </c>
      <c r="E20105">
        <v>76.11</v>
      </c>
    </row>
    <row r="20106" spans="1:5" x14ac:dyDescent="0.2">
      <c r="A20106">
        <v>89130</v>
      </c>
      <c r="B20106" t="s">
        <v>39</v>
      </c>
      <c r="C20106">
        <v>89130</v>
      </c>
      <c r="D20106" t="str">
        <f>"89130"</f>
        <v>89130</v>
      </c>
      <c r="E20106">
        <v>74.59</v>
      </c>
    </row>
    <row r="20107" spans="1:5" x14ac:dyDescent="0.2">
      <c r="A20107">
        <v>89131</v>
      </c>
      <c r="B20107" t="s">
        <v>39</v>
      </c>
      <c r="C20107">
        <v>89131</v>
      </c>
      <c r="D20107" t="str">
        <f>"89131"</f>
        <v>89131</v>
      </c>
      <c r="E20107">
        <v>79.709999999999994</v>
      </c>
    </row>
    <row r="20108" spans="1:5" x14ac:dyDescent="0.2">
      <c r="A20108">
        <v>89134</v>
      </c>
      <c r="B20108" t="s">
        <v>39</v>
      </c>
      <c r="C20108">
        <v>89134</v>
      </c>
      <c r="D20108" t="str">
        <f>"89134"</f>
        <v>89134</v>
      </c>
      <c r="E20108">
        <v>80.48</v>
      </c>
    </row>
    <row r="20109" spans="1:5" x14ac:dyDescent="0.2">
      <c r="A20109">
        <v>89135</v>
      </c>
      <c r="B20109" t="s">
        <v>39</v>
      </c>
      <c r="C20109">
        <v>89135</v>
      </c>
      <c r="D20109" t="str">
        <f>"89135"</f>
        <v>89135</v>
      </c>
      <c r="E20109">
        <v>82.43</v>
      </c>
    </row>
    <row r="20110" spans="1:5" x14ac:dyDescent="0.2">
      <c r="A20110">
        <v>89138</v>
      </c>
      <c r="B20110" t="s">
        <v>39</v>
      </c>
      <c r="C20110">
        <v>89138</v>
      </c>
      <c r="D20110" t="str">
        <f>"89138"</f>
        <v>89138</v>
      </c>
      <c r="E20110">
        <v>83.64</v>
      </c>
    </row>
    <row r="20111" spans="1:5" x14ac:dyDescent="0.2">
      <c r="A20111">
        <v>89139</v>
      </c>
      <c r="B20111" t="s">
        <v>39</v>
      </c>
      <c r="C20111">
        <v>89139</v>
      </c>
      <c r="D20111" t="str">
        <f>"89139"</f>
        <v>89139</v>
      </c>
      <c r="E20111">
        <v>73.680000000000007</v>
      </c>
    </row>
    <row r="20112" spans="1:5" x14ac:dyDescent="0.2">
      <c r="A20112">
        <v>89141</v>
      </c>
      <c r="B20112" t="s">
        <v>39</v>
      </c>
      <c r="C20112">
        <v>89141</v>
      </c>
      <c r="D20112" t="str">
        <f>"89141"</f>
        <v>89141</v>
      </c>
      <c r="E20112">
        <v>78.7</v>
      </c>
    </row>
    <row r="20113" spans="1:5" x14ac:dyDescent="0.2">
      <c r="A20113">
        <v>89142</v>
      </c>
      <c r="B20113" t="s">
        <v>39</v>
      </c>
      <c r="C20113">
        <v>89142</v>
      </c>
      <c r="D20113" t="str">
        <f>"89142"</f>
        <v>89142</v>
      </c>
      <c r="E20113">
        <v>61.74</v>
      </c>
    </row>
    <row r="20114" spans="1:5" x14ac:dyDescent="0.2">
      <c r="A20114">
        <v>89143</v>
      </c>
      <c r="B20114" t="s">
        <v>39</v>
      </c>
      <c r="C20114">
        <v>89143</v>
      </c>
      <c r="D20114" t="str">
        <f>"89143"</f>
        <v>89143</v>
      </c>
      <c r="E20114">
        <v>76.72</v>
      </c>
    </row>
    <row r="20115" spans="1:5" x14ac:dyDescent="0.2">
      <c r="A20115">
        <v>89144</v>
      </c>
      <c r="B20115" t="s">
        <v>39</v>
      </c>
      <c r="C20115">
        <v>89144</v>
      </c>
      <c r="D20115" t="str">
        <f>"89144"</f>
        <v>89144</v>
      </c>
      <c r="E20115">
        <v>79.540000000000006</v>
      </c>
    </row>
    <row r="20116" spans="1:5" x14ac:dyDescent="0.2">
      <c r="A20116">
        <v>89145</v>
      </c>
      <c r="B20116" t="s">
        <v>39</v>
      </c>
      <c r="C20116">
        <v>89145</v>
      </c>
      <c r="D20116" t="str">
        <f>"89145"</f>
        <v>89145</v>
      </c>
      <c r="E20116">
        <v>72.37</v>
      </c>
    </row>
    <row r="20117" spans="1:5" x14ac:dyDescent="0.2">
      <c r="A20117">
        <v>89146</v>
      </c>
      <c r="B20117" t="s">
        <v>39</v>
      </c>
      <c r="C20117">
        <v>89146</v>
      </c>
      <c r="D20117" t="str">
        <f>"89146"</f>
        <v>89146</v>
      </c>
      <c r="E20117">
        <v>64.44</v>
      </c>
    </row>
    <row r="20118" spans="1:5" x14ac:dyDescent="0.2">
      <c r="A20118">
        <v>89147</v>
      </c>
      <c r="B20118" t="s">
        <v>39</v>
      </c>
      <c r="C20118">
        <v>89147</v>
      </c>
      <c r="D20118" t="str">
        <f>"89147"</f>
        <v>89147</v>
      </c>
      <c r="E20118">
        <v>71.36</v>
      </c>
    </row>
    <row r="20119" spans="1:5" x14ac:dyDescent="0.2">
      <c r="A20119">
        <v>89148</v>
      </c>
      <c r="B20119" t="s">
        <v>39</v>
      </c>
      <c r="C20119">
        <v>89148</v>
      </c>
      <c r="D20119" t="str">
        <f>"89148"</f>
        <v>89148</v>
      </c>
      <c r="E20119">
        <v>75.56</v>
      </c>
    </row>
    <row r="20120" spans="1:5" x14ac:dyDescent="0.2">
      <c r="A20120">
        <v>89149</v>
      </c>
      <c r="B20120" t="s">
        <v>39</v>
      </c>
      <c r="C20120">
        <v>89149</v>
      </c>
      <c r="D20120" t="str">
        <f>"89149"</f>
        <v>89149</v>
      </c>
      <c r="E20120">
        <v>78.67</v>
      </c>
    </row>
    <row r="20121" spans="1:5" x14ac:dyDescent="0.2">
      <c r="A20121">
        <v>89156</v>
      </c>
      <c r="B20121" t="s">
        <v>39</v>
      </c>
      <c r="C20121">
        <v>89156</v>
      </c>
      <c r="D20121" t="str">
        <f>"89156"</f>
        <v>89156</v>
      </c>
      <c r="E20121">
        <v>59.13</v>
      </c>
    </row>
    <row r="20122" spans="1:5" x14ac:dyDescent="0.2">
      <c r="A20122">
        <v>89158</v>
      </c>
      <c r="B20122" t="s">
        <v>39</v>
      </c>
      <c r="C20122">
        <v>89158</v>
      </c>
      <c r="D20122" t="str">
        <f>"89158"</f>
        <v>89158</v>
      </c>
      <c r="E20122" t="s">
        <v>6</v>
      </c>
    </row>
    <row r="20123" spans="1:5" x14ac:dyDescent="0.2">
      <c r="A20123">
        <v>89161</v>
      </c>
      <c r="B20123" t="s">
        <v>39</v>
      </c>
      <c r="C20123">
        <v>89161</v>
      </c>
      <c r="D20123" t="str">
        <f>"89161"</f>
        <v>89161</v>
      </c>
      <c r="E20123">
        <v>70.59</v>
      </c>
    </row>
    <row r="20124" spans="1:5" x14ac:dyDescent="0.2">
      <c r="A20124">
        <v>89165</v>
      </c>
      <c r="B20124" t="s">
        <v>39</v>
      </c>
      <c r="C20124">
        <v>89165</v>
      </c>
      <c r="D20124" t="str">
        <f>"89165"</f>
        <v>89165</v>
      </c>
      <c r="E20124" t="s">
        <v>6</v>
      </c>
    </row>
    <row r="20125" spans="1:5" x14ac:dyDescent="0.2">
      <c r="A20125">
        <v>89166</v>
      </c>
      <c r="B20125" t="s">
        <v>39</v>
      </c>
      <c r="C20125">
        <v>89166</v>
      </c>
      <c r="D20125" t="str">
        <f>"89166"</f>
        <v>89166</v>
      </c>
      <c r="E20125">
        <v>81.48</v>
      </c>
    </row>
    <row r="20126" spans="1:5" x14ac:dyDescent="0.2">
      <c r="A20126">
        <v>89169</v>
      </c>
      <c r="B20126" t="s">
        <v>39</v>
      </c>
      <c r="C20126">
        <v>89169</v>
      </c>
      <c r="D20126" t="str">
        <f>"89169"</f>
        <v>89169</v>
      </c>
      <c r="E20126">
        <v>53.55</v>
      </c>
    </row>
    <row r="20127" spans="1:5" x14ac:dyDescent="0.2">
      <c r="A20127">
        <v>89178</v>
      </c>
      <c r="B20127" t="s">
        <v>39</v>
      </c>
      <c r="C20127">
        <v>89178</v>
      </c>
      <c r="D20127" t="str">
        <f>"89178"</f>
        <v>89178</v>
      </c>
      <c r="E20127">
        <v>78.680000000000007</v>
      </c>
    </row>
    <row r="20128" spans="1:5" x14ac:dyDescent="0.2">
      <c r="A20128">
        <v>89179</v>
      </c>
      <c r="B20128" t="s">
        <v>39</v>
      </c>
      <c r="C20128">
        <v>89179</v>
      </c>
      <c r="D20128" t="str">
        <f>"89179"</f>
        <v>89179</v>
      </c>
      <c r="E20128">
        <v>81.73</v>
      </c>
    </row>
    <row r="20129" spans="1:5" x14ac:dyDescent="0.2">
      <c r="A20129">
        <v>89183</v>
      </c>
      <c r="B20129" t="s">
        <v>39</v>
      </c>
      <c r="C20129">
        <v>89183</v>
      </c>
      <c r="D20129" t="str">
        <f>"89183"</f>
        <v>89183</v>
      </c>
      <c r="E20129">
        <v>74.069999999999993</v>
      </c>
    </row>
    <row r="20130" spans="1:5" x14ac:dyDescent="0.2">
      <c r="A20130">
        <v>89191</v>
      </c>
      <c r="B20130" t="s">
        <v>39</v>
      </c>
      <c r="C20130">
        <v>89191</v>
      </c>
      <c r="D20130" t="str">
        <f>"89191"</f>
        <v>89191</v>
      </c>
      <c r="E20130" t="s">
        <v>6</v>
      </c>
    </row>
    <row r="20131" spans="1:5" x14ac:dyDescent="0.2">
      <c r="A20131">
        <v>89301</v>
      </c>
      <c r="B20131" t="s">
        <v>39</v>
      </c>
      <c r="C20131">
        <v>89301</v>
      </c>
      <c r="D20131" t="str">
        <f>"89301"</f>
        <v>89301</v>
      </c>
      <c r="E20131">
        <v>76.319999999999993</v>
      </c>
    </row>
    <row r="20132" spans="1:5" x14ac:dyDescent="0.2">
      <c r="A20132">
        <v>89310</v>
      </c>
      <c r="B20132" t="s">
        <v>39</v>
      </c>
      <c r="C20132">
        <v>89310</v>
      </c>
      <c r="D20132" t="str">
        <f>"89310"</f>
        <v>89310</v>
      </c>
      <c r="E20132">
        <v>69.569999999999993</v>
      </c>
    </row>
    <row r="20133" spans="1:5" x14ac:dyDescent="0.2">
      <c r="A20133">
        <v>89311</v>
      </c>
      <c r="B20133" t="s">
        <v>39</v>
      </c>
      <c r="C20133">
        <v>89311</v>
      </c>
      <c r="D20133" t="str">
        <f>"89311"</f>
        <v>89311</v>
      </c>
      <c r="E20133" t="s">
        <v>6</v>
      </c>
    </row>
    <row r="20134" spans="1:5" x14ac:dyDescent="0.2">
      <c r="A20134">
        <v>89314</v>
      </c>
      <c r="B20134" t="s">
        <v>39</v>
      </c>
      <c r="C20134">
        <v>89314</v>
      </c>
      <c r="D20134" t="str">
        <f>"89314"</f>
        <v>89314</v>
      </c>
      <c r="E20134" t="s">
        <v>6</v>
      </c>
    </row>
    <row r="20135" spans="1:5" x14ac:dyDescent="0.2">
      <c r="A20135">
        <v>89316</v>
      </c>
      <c r="B20135" t="s">
        <v>39</v>
      </c>
      <c r="C20135">
        <v>89316</v>
      </c>
      <c r="D20135" t="str">
        <f>"89316"</f>
        <v>89316</v>
      </c>
      <c r="E20135">
        <v>74.510000000000005</v>
      </c>
    </row>
    <row r="20136" spans="1:5" x14ac:dyDescent="0.2">
      <c r="A20136">
        <v>89317</v>
      </c>
      <c r="B20136" t="s">
        <v>39</v>
      </c>
      <c r="C20136">
        <v>89317</v>
      </c>
      <c r="D20136" t="str">
        <f>"89317"</f>
        <v>89317</v>
      </c>
      <c r="E20136" t="s">
        <v>6</v>
      </c>
    </row>
    <row r="20137" spans="1:5" x14ac:dyDescent="0.2">
      <c r="A20137">
        <v>89318</v>
      </c>
      <c r="B20137" t="s">
        <v>39</v>
      </c>
      <c r="C20137">
        <v>89318</v>
      </c>
      <c r="D20137" t="str">
        <f>"89318"</f>
        <v>89318</v>
      </c>
      <c r="E20137" t="s">
        <v>6</v>
      </c>
    </row>
    <row r="20138" spans="1:5" x14ac:dyDescent="0.2">
      <c r="A20138">
        <v>89319</v>
      </c>
      <c r="B20138" t="s">
        <v>39</v>
      </c>
      <c r="C20138">
        <v>89319</v>
      </c>
      <c r="D20138" t="str">
        <f>"89319"</f>
        <v>89319</v>
      </c>
      <c r="E20138" t="s">
        <v>6</v>
      </c>
    </row>
    <row r="20139" spans="1:5" x14ac:dyDescent="0.2">
      <c r="A20139">
        <v>89402</v>
      </c>
      <c r="B20139" t="s">
        <v>39</v>
      </c>
      <c r="C20139">
        <v>89402</v>
      </c>
      <c r="D20139" t="str">
        <f>"89402"</f>
        <v>89402</v>
      </c>
      <c r="E20139" t="s">
        <v>6</v>
      </c>
    </row>
    <row r="20140" spans="1:5" x14ac:dyDescent="0.2">
      <c r="A20140">
        <v>89403</v>
      </c>
      <c r="B20140" t="s">
        <v>39</v>
      </c>
      <c r="C20140">
        <v>89403</v>
      </c>
      <c r="D20140" t="str">
        <f>"89403"</f>
        <v>89403</v>
      </c>
      <c r="E20140">
        <v>76.88</v>
      </c>
    </row>
    <row r="20141" spans="1:5" x14ac:dyDescent="0.2">
      <c r="A20141">
        <v>89404</v>
      </c>
      <c r="B20141" t="s">
        <v>39</v>
      </c>
      <c r="C20141">
        <v>89404</v>
      </c>
      <c r="D20141" t="str">
        <f>"89404"</f>
        <v>89404</v>
      </c>
      <c r="E20141" t="s">
        <v>6</v>
      </c>
    </row>
    <row r="20142" spans="1:5" x14ac:dyDescent="0.2">
      <c r="A20142">
        <v>89405</v>
      </c>
      <c r="B20142" t="s">
        <v>39</v>
      </c>
      <c r="C20142">
        <v>89405</v>
      </c>
      <c r="D20142" t="str">
        <f>"89405"</f>
        <v>89405</v>
      </c>
      <c r="E20142" t="s">
        <v>6</v>
      </c>
    </row>
    <row r="20143" spans="1:5" x14ac:dyDescent="0.2">
      <c r="A20143">
        <v>89406</v>
      </c>
      <c r="B20143" t="s">
        <v>39</v>
      </c>
      <c r="C20143">
        <v>89406</v>
      </c>
      <c r="D20143" t="str">
        <f>"89406"</f>
        <v>89406</v>
      </c>
      <c r="E20143">
        <v>72.63</v>
      </c>
    </row>
    <row r="20144" spans="1:5" x14ac:dyDescent="0.2">
      <c r="A20144">
        <v>89408</v>
      </c>
      <c r="B20144" t="s">
        <v>39</v>
      </c>
      <c r="C20144">
        <v>89408</v>
      </c>
      <c r="D20144" t="str">
        <f>"89408"</f>
        <v>89408</v>
      </c>
      <c r="E20144">
        <v>73.58</v>
      </c>
    </row>
    <row r="20145" spans="1:5" x14ac:dyDescent="0.2">
      <c r="A20145">
        <v>89409</v>
      </c>
      <c r="B20145" t="s">
        <v>39</v>
      </c>
      <c r="C20145">
        <v>89409</v>
      </c>
      <c r="D20145" t="str">
        <f>"89409"</f>
        <v>89409</v>
      </c>
      <c r="E20145" t="s">
        <v>6</v>
      </c>
    </row>
    <row r="20146" spans="1:5" x14ac:dyDescent="0.2">
      <c r="A20146">
        <v>89410</v>
      </c>
      <c r="B20146" t="s">
        <v>39</v>
      </c>
      <c r="C20146">
        <v>89410</v>
      </c>
      <c r="D20146" t="str">
        <f>"89410"</f>
        <v>89410</v>
      </c>
      <c r="E20146">
        <v>76.03</v>
      </c>
    </row>
    <row r="20147" spans="1:5" x14ac:dyDescent="0.2">
      <c r="A20147">
        <v>89411</v>
      </c>
      <c r="B20147" t="s">
        <v>39</v>
      </c>
      <c r="C20147">
        <v>89411</v>
      </c>
      <c r="D20147" t="str">
        <f>"89411"</f>
        <v>89411</v>
      </c>
      <c r="E20147" t="s">
        <v>6</v>
      </c>
    </row>
    <row r="20148" spans="1:5" x14ac:dyDescent="0.2">
      <c r="A20148">
        <v>89412</v>
      </c>
      <c r="B20148" t="s">
        <v>39</v>
      </c>
      <c r="C20148">
        <v>89412</v>
      </c>
      <c r="D20148" t="str">
        <f>"89412"</f>
        <v>89412</v>
      </c>
      <c r="E20148" t="s">
        <v>6</v>
      </c>
    </row>
    <row r="20149" spans="1:5" x14ac:dyDescent="0.2">
      <c r="A20149">
        <v>89413</v>
      </c>
      <c r="B20149" t="s">
        <v>39</v>
      </c>
      <c r="C20149">
        <v>89413</v>
      </c>
      <c r="D20149" t="str">
        <f>"89413"</f>
        <v>89413</v>
      </c>
      <c r="E20149">
        <v>76.19</v>
      </c>
    </row>
    <row r="20150" spans="1:5" x14ac:dyDescent="0.2">
      <c r="A20150">
        <v>89414</v>
      </c>
      <c r="B20150" t="s">
        <v>39</v>
      </c>
      <c r="C20150">
        <v>89414</v>
      </c>
      <c r="D20150" t="str">
        <f>"89414"</f>
        <v>89414</v>
      </c>
      <c r="E20150">
        <v>75</v>
      </c>
    </row>
    <row r="20151" spans="1:5" x14ac:dyDescent="0.2">
      <c r="A20151">
        <v>89415</v>
      </c>
      <c r="B20151" t="s">
        <v>39</v>
      </c>
      <c r="C20151">
        <v>89415</v>
      </c>
      <c r="D20151" t="str">
        <f>"89415"</f>
        <v>89415</v>
      </c>
      <c r="E20151">
        <v>73.510000000000005</v>
      </c>
    </row>
    <row r="20152" spans="1:5" x14ac:dyDescent="0.2">
      <c r="A20152">
        <v>89418</v>
      </c>
      <c r="B20152" t="s">
        <v>39</v>
      </c>
      <c r="C20152">
        <v>89418</v>
      </c>
      <c r="D20152" t="str">
        <f>"89418"</f>
        <v>89418</v>
      </c>
      <c r="E20152">
        <v>69.23</v>
      </c>
    </row>
    <row r="20153" spans="1:5" x14ac:dyDescent="0.2">
      <c r="A20153">
        <v>89419</v>
      </c>
      <c r="B20153" t="s">
        <v>39</v>
      </c>
      <c r="C20153">
        <v>89419</v>
      </c>
      <c r="D20153" t="str">
        <f>"89419"</f>
        <v>89419</v>
      </c>
      <c r="E20153">
        <v>71.14</v>
      </c>
    </row>
    <row r="20154" spans="1:5" x14ac:dyDescent="0.2">
      <c r="A20154">
        <v>89420</v>
      </c>
      <c r="B20154" t="s">
        <v>39</v>
      </c>
      <c r="C20154">
        <v>89420</v>
      </c>
      <c r="D20154" t="str">
        <f>"89420"</f>
        <v>89420</v>
      </c>
      <c r="E20154" t="s">
        <v>6</v>
      </c>
    </row>
    <row r="20155" spans="1:5" x14ac:dyDescent="0.2">
      <c r="A20155">
        <v>89421</v>
      </c>
      <c r="B20155" t="s">
        <v>39</v>
      </c>
      <c r="C20155">
        <v>89421</v>
      </c>
      <c r="D20155" t="str">
        <f>"89421"</f>
        <v>89421</v>
      </c>
      <c r="E20155" t="s">
        <v>6</v>
      </c>
    </row>
    <row r="20156" spans="1:5" x14ac:dyDescent="0.2">
      <c r="A20156">
        <v>89422</v>
      </c>
      <c r="B20156" t="s">
        <v>39</v>
      </c>
      <c r="C20156">
        <v>89422</v>
      </c>
      <c r="D20156" t="str">
        <f>"89422"</f>
        <v>89422</v>
      </c>
      <c r="E20156" t="s">
        <v>6</v>
      </c>
    </row>
    <row r="20157" spans="1:5" x14ac:dyDescent="0.2">
      <c r="A20157">
        <v>89423</v>
      </c>
      <c r="B20157" t="s">
        <v>39</v>
      </c>
      <c r="C20157">
        <v>89423</v>
      </c>
      <c r="D20157" t="str">
        <f>"89423"</f>
        <v>89423</v>
      </c>
      <c r="E20157">
        <v>80.59</v>
      </c>
    </row>
    <row r="20158" spans="1:5" x14ac:dyDescent="0.2">
      <c r="A20158">
        <v>89424</v>
      </c>
      <c r="B20158" t="s">
        <v>39</v>
      </c>
      <c r="C20158">
        <v>89424</v>
      </c>
      <c r="D20158" t="str">
        <f>"89424"</f>
        <v>89424</v>
      </c>
      <c r="E20158" t="s">
        <v>6</v>
      </c>
    </row>
    <row r="20159" spans="1:5" x14ac:dyDescent="0.2">
      <c r="A20159">
        <v>89425</v>
      </c>
      <c r="B20159" t="s">
        <v>39</v>
      </c>
      <c r="C20159">
        <v>89425</v>
      </c>
      <c r="D20159" t="str">
        <f>"89425"</f>
        <v>89425</v>
      </c>
      <c r="E20159">
        <v>63.16</v>
      </c>
    </row>
    <row r="20160" spans="1:5" x14ac:dyDescent="0.2">
      <c r="A20160">
        <v>89426</v>
      </c>
      <c r="B20160" t="s">
        <v>39</v>
      </c>
      <c r="C20160">
        <v>89426</v>
      </c>
      <c r="D20160" t="str">
        <f>"89426"</f>
        <v>89426</v>
      </c>
      <c r="E20160" t="s">
        <v>6</v>
      </c>
    </row>
    <row r="20161" spans="1:5" x14ac:dyDescent="0.2">
      <c r="A20161">
        <v>89427</v>
      </c>
      <c r="B20161" t="s">
        <v>39</v>
      </c>
      <c r="C20161">
        <v>89427</v>
      </c>
      <c r="D20161" t="str">
        <f>"89427"</f>
        <v>89427</v>
      </c>
      <c r="E20161" t="s">
        <v>6</v>
      </c>
    </row>
    <row r="20162" spans="1:5" x14ac:dyDescent="0.2">
      <c r="A20162">
        <v>89428</v>
      </c>
      <c r="B20162" t="s">
        <v>39</v>
      </c>
      <c r="C20162">
        <v>89428</v>
      </c>
      <c r="D20162" t="str">
        <f>"89428"</f>
        <v>89428</v>
      </c>
      <c r="E20162" t="s">
        <v>6</v>
      </c>
    </row>
    <row r="20163" spans="1:5" x14ac:dyDescent="0.2">
      <c r="A20163">
        <v>89429</v>
      </c>
      <c r="B20163" t="s">
        <v>39</v>
      </c>
      <c r="C20163">
        <v>89429</v>
      </c>
      <c r="D20163" t="str">
        <f>"89429"</f>
        <v>89429</v>
      </c>
      <c r="E20163">
        <v>67.77</v>
      </c>
    </row>
    <row r="20164" spans="1:5" x14ac:dyDescent="0.2">
      <c r="A20164">
        <v>89430</v>
      </c>
      <c r="B20164" t="s">
        <v>39</v>
      </c>
      <c r="C20164">
        <v>89430</v>
      </c>
      <c r="D20164" t="str">
        <f>"89430"</f>
        <v>89430</v>
      </c>
      <c r="E20164">
        <v>75</v>
      </c>
    </row>
    <row r="20165" spans="1:5" x14ac:dyDescent="0.2">
      <c r="A20165">
        <v>89431</v>
      </c>
      <c r="B20165" t="s">
        <v>39</v>
      </c>
      <c r="C20165">
        <v>89431</v>
      </c>
      <c r="D20165" t="str">
        <f>"89431"</f>
        <v>89431</v>
      </c>
      <c r="E20165">
        <v>67.59</v>
      </c>
    </row>
    <row r="20166" spans="1:5" x14ac:dyDescent="0.2">
      <c r="A20166">
        <v>89433</v>
      </c>
      <c r="B20166" t="s">
        <v>39</v>
      </c>
      <c r="C20166">
        <v>89433</v>
      </c>
      <c r="D20166" t="str">
        <f>"89433"</f>
        <v>89433</v>
      </c>
      <c r="E20166">
        <v>64.959999999999994</v>
      </c>
    </row>
    <row r="20167" spans="1:5" x14ac:dyDescent="0.2">
      <c r="A20167">
        <v>89434</v>
      </c>
      <c r="B20167" t="s">
        <v>39</v>
      </c>
      <c r="C20167">
        <v>89434</v>
      </c>
      <c r="D20167" t="str">
        <f>"89434"</f>
        <v>89434</v>
      </c>
      <c r="E20167">
        <v>78.42</v>
      </c>
    </row>
    <row r="20168" spans="1:5" x14ac:dyDescent="0.2">
      <c r="A20168">
        <v>89436</v>
      </c>
      <c r="B20168" t="s">
        <v>39</v>
      </c>
      <c r="C20168">
        <v>89436</v>
      </c>
      <c r="D20168" t="str">
        <f>"89436"</f>
        <v>89436</v>
      </c>
      <c r="E20168">
        <v>82.59</v>
      </c>
    </row>
    <row r="20169" spans="1:5" x14ac:dyDescent="0.2">
      <c r="A20169">
        <v>89437</v>
      </c>
      <c r="B20169" t="s">
        <v>39</v>
      </c>
      <c r="C20169">
        <v>89437</v>
      </c>
      <c r="D20169" t="str">
        <f>"89437"</f>
        <v>89437</v>
      </c>
      <c r="E20169" t="s">
        <v>6</v>
      </c>
    </row>
    <row r="20170" spans="1:5" x14ac:dyDescent="0.2">
      <c r="A20170">
        <v>89438</v>
      </c>
      <c r="B20170" t="s">
        <v>39</v>
      </c>
      <c r="C20170">
        <v>89438</v>
      </c>
      <c r="D20170" t="str">
        <f>"89438"</f>
        <v>89438</v>
      </c>
      <c r="E20170" t="s">
        <v>6</v>
      </c>
    </row>
    <row r="20171" spans="1:5" x14ac:dyDescent="0.2">
      <c r="A20171">
        <v>89439</v>
      </c>
      <c r="B20171" t="s">
        <v>39</v>
      </c>
      <c r="C20171">
        <v>89439</v>
      </c>
      <c r="D20171" t="str">
        <f>"89439"</f>
        <v>89439</v>
      </c>
      <c r="E20171" t="s">
        <v>6</v>
      </c>
    </row>
    <row r="20172" spans="1:5" x14ac:dyDescent="0.2">
      <c r="A20172">
        <v>89440</v>
      </c>
      <c r="B20172" t="s">
        <v>39</v>
      </c>
      <c r="C20172">
        <v>89440</v>
      </c>
      <c r="D20172" t="str">
        <f>"89440"</f>
        <v>89440</v>
      </c>
      <c r="E20172" t="s">
        <v>6</v>
      </c>
    </row>
    <row r="20173" spans="1:5" x14ac:dyDescent="0.2">
      <c r="A20173">
        <v>89441</v>
      </c>
      <c r="B20173" t="s">
        <v>39</v>
      </c>
      <c r="C20173">
        <v>89441</v>
      </c>
      <c r="D20173" t="str">
        <f>"89441"</f>
        <v>89441</v>
      </c>
      <c r="E20173">
        <v>82.8</v>
      </c>
    </row>
    <row r="20174" spans="1:5" x14ac:dyDescent="0.2">
      <c r="A20174">
        <v>89442</v>
      </c>
      <c r="B20174" t="s">
        <v>39</v>
      </c>
      <c r="C20174">
        <v>89442</v>
      </c>
      <c r="D20174" t="str">
        <f>"89442"</f>
        <v>89442</v>
      </c>
      <c r="E20174" t="s">
        <v>6</v>
      </c>
    </row>
    <row r="20175" spans="1:5" x14ac:dyDescent="0.2">
      <c r="A20175">
        <v>89444</v>
      </c>
      <c r="B20175" t="s">
        <v>39</v>
      </c>
      <c r="C20175">
        <v>89444</v>
      </c>
      <c r="D20175" t="str">
        <f>"89444"</f>
        <v>89444</v>
      </c>
      <c r="E20175">
        <v>74.81</v>
      </c>
    </row>
    <row r="20176" spans="1:5" x14ac:dyDescent="0.2">
      <c r="A20176">
        <v>89445</v>
      </c>
      <c r="B20176" t="s">
        <v>39</v>
      </c>
      <c r="C20176">
        <v>89445</v>
      </c>
      <c r="D20176" t="str">
        <f>"89445"</f>
        <v>89445</v>
      </c>
      <c r="E20176">
        <v>76.34</v>
      </c>
    </row>
    <row r="20177" spans="1:5" x14ac:dyDescent="0.2">
      <c r="A20177">
        <v>89447</v>
      </c>
      <c r="B20177" t="s">
        <v>39</v>
      </c>
      <c r="C20177">
        <v>89447</v>
      </c>
      <c r="D20177" t="str">
        <f>"89447"</f>
        <v>89447</v>
      </c>
      <c r="E20177">
        <v>53.91</v>
      </c>
    </row>
    <row r="20178" spans="1:5" x14ac:dyDescent="0.2">
      <c r="A20178">
        <v>89448</v>
      </c>
      <c r="B20178" t="s">
        <v>39</v>
      </c>
      <c r="C20178">
        <v>89448</v>
      </c>
      <c r="D20178" t="str">
        <f>"89448"</f>
        <v>89448</v>
      </c>
      <c r="E20178" t="s">
        <v>6</v>
      </c>
    </row>
    <row r="20179" spans="1:5" x14ac:dyDescent="0.2">
      <c r="A20179">
        <v>89449</v>
      </c>
      <c r="B20179" t="s">
        <v>39</v>
      </c>
      <c r="C20179">
        <v>89449</v>
      </c>
      <c r="D20179" t="str">
        <f>"89449"</f>
        <v>89449</v>
      </c>
      <c r="E20179" t="s">
        <v>6</v>
      </c>
    </row>
    <row r="20180" spans="1:5" x14ac:dyDescent="0.2">
      <c r="A20180">
        <v>89451</v>
      </c>
      <c r="B20180" t="s">
        <v>39</v>
      </c>
      <c r="C20180">
        <v>89451</v>
      </c>
      <c r="D20180" t="str">
        <f>"89451"</f>
        <v>89451</v>
      </c>
      <c r="E20180">
        <v>82.31</v>
      </c>
    </row>
    <row r="20181" spans="1:5" x14ac:dyDescent="0.2">
      <c r="A20181">
        <v>89460</v>
      </c>
      <c r="B20181" t="s">
        <v>39</v>
      </c>
      <c r="C20181">
        <v>89460</v>
      </c>
      <c r="D20181" t="str">
        <f>"89460"</f>
        <v>89460</v>
      </c>
      <c r="E20181">
        <v>76.94</v>
      </c>
    </row>
    <row r="20182" spans="1:5" x14ac:dyDescent="0.2">
      <c r="A20182">
        <v>89496</v>
      </c>
      <c r="B20182" t="s">
        <v>39</v>
      </c>
      <c r="C20182">
        <v>89496</v>
      </c>
      <c r="D20182" t="str">
        <f>"89496"</f>
        <v>89496</v>
      </c>
      <c r="E20182" t="s">
        <v>6</v>
      </c>
    </row>
    <row r="20183" spans="1:5" x14ac:dyDescent="0.2">
      <c r="A20183">
        <v>89501</v>
      </c>
      <c r="B20183" t="s">
        <v>39</v>
      </c>
      <c r="C20183">
        <v>89501</v>
      </c>
      <c r="D20183" t="str">
        <f>"89501"</f>
        <v>89501</v>
      </c>
      <c r="E20183">
        <v>75.77</v>
      </c>
    </row>
    <row r="20184" spans="1:5" x14ac:dyDescent="0.2">
      <c r="A20184">
        <v>89502</v>
      </c>
      <c r="B20184" t="s">
        <v>39</v>
      </c>
      <c r="C20184">
        <v>89502</v>
      </c>
      <c r="D20184" t="str">
        <f>"89502"</f>
        <v>89502</v>
      </c>
      <c r="E20184">
        <v>68.099999999999994</v>
      </c>
    </row>
    <row r="20185" spans="1:5" x14ac:dyDescent="0.2">
      <c r="A20185">
        <v>89503</v>
      </c>
      <c r="B20185" t="s">
        <v>39</v>
      </c>
      <c r="C20185">
        <v>89503</v>
      </c>
      <c r="D20185" t="str">
        <f>"89503"</f>
        <v>89503</v>
      </c>
      <c r="E20185">
        <v>75.11</v>
      </c>
    </row>
    <row r="20186" spans="1:5" x14ac:dyDescent="0.2">
      <c r="A20186">
        <v>89506</v>
      </c>
      <c r="B20186" t="s">
        <v>39</v>
      </c>
      <c r="C20186">
        <v>89506</v>
      </c>
      <c r="D20186" t="str">
        <f>"89506"</f>
        <v>89506</v>
      </c>
      <c r="E20186">
        <v>73.400000000000006</v>
      </c>
    </row>
    <row r="20187" spans="1:5" x14ac:dyDescent="0.2">
      <c r="A20187">
        <v>89508</v>
      </c>
      <c r="B20187" t="s">
        <v>39</v>
      </c>
      <c r="C20187">
        <v>89508</v>
      </c>
      <c r="D20187" t="str">
        <f>"89508"</f>
        <v>89508</v>
      </c>
      <c r="E20187">
        <v>80.099999999999994</v>
      </c>
    </row>
    <row r="20188" spans="1:5" x14ac:dyDescent="0.2">
      <c r="A20188">
        <v>89509</v>
      </c>
      <c r="B20188" t="s">
        <v>39</v>
      </c>
      <c r="C20188">
        <v>89509</v>
      </c>
      <c r="D20188" t="str">
        <f>"89509"</f>
        <v>89509</v>
      </c>
      <c r="E20188">
        <v>79.94</v>
      </c>
    </row>
    <row r="20189" spans="1:5" x14ac:dyDescent="0.2">
      <c r="A20189">
        <v>89510</v>
      </c>
      <c r="B20189" t="s">
        <v>39</v>
      </c>
      <c r="C20189">
        <v>89510</v>
      </c>
      <c r="D20189" t="str">
        <f>"89510"</f>
        <v>89510</v>
      </c>
      <c r="E20189">
        <v>78.400000000000006</v>
      </c>
    </row>
    <row r="20190" spans="1:5" x14ac:dyDescent="0.2">
      <c r="A20190">
        <v>89511</v>
      </c>
      <c r="B20190" t="s">
        <v>39</v>
      </c>
      <c r="C20190">
        <v>89511</v>
      </c>
      <c r="D20190" t="str">
        <f>"89511"</f>
        <v>89511</v>
      </c>
      <c r="E20190">
        <v>82.98</v>
      </c>
    </row>
    <row r="20191" spans="1:5" x14ac:dyDescent="0.2">
      <c r="A20191">
        <v>89512</v>
      </c>
      <c r="B20191" t="s">
        <v>39</v>
      </c>
      <c r="C20191">
        <v>89512</v>
      </c>
      <c r="D20191" t="str">
        <f>"89512"</f>
        <v>89512</v>
      </c>
      <c r="E20191">
        <v>61.79</v>
      </c>
    </row>
    <row r="20192" spans="1:5" x14ac:dyDescent="0.2">
      <c r="A20192">
        <v>89519</v>
      </c>
      <c r="B20192" t="s">
        <v>39</v>
      </c>
      <c r="C20192">
        <v>89519</v>
      </c>
      <c r="D20192" t="str">
        <f>"89519"</f>
        <v>89519</v>
      </c>
      <c r="E20192">
        <v>84.44</v>
      </c>
    </row>
    <row r="20193" spans="1:5" x14ac:dyDescent="0.2">
      <c r="A20193">
        <v>89521</v>
      </c>
      <c r="B20193" t="s">
        <v>39</v>
      </c>
      <c r="C20193">
        <v>89521</v>
      </c>
      <c r="D20193" t="str">
        <f>"89521"</f>
        <v>89521</v>
      </c>
      <c r="E20193">
        <v>82.63</v>
      </c>
    </row>
    <row r="20194" spans="1:5" x14ac:dyDescent="0.2">
      <c r="A20194">
        <v>89523</v>
      </c>
      <c r="B20194" t="s">
        <v>39</v>
      </c>
      <c r="C20194">
        <v>89523</v>
      </c>
      <c r="D20194" t="str">
        <f>"89523"</f>
        <v>89523</v>
      </c>
      <c r="E20194">
        <v>80.81</v>
      </c>
    </row>
    <row r="20195" spans="1:5" x14ac:dyDescent="0.2">
      <c r="A20195">
        <v>89595</v>
      </c>
      <c r="B20195" t="s">
        <v>39</v>
      </c>
      <c r="C20195">
        <v>89595</v>
      </c>
      <c r="D20195" t="str">
        <f>"89595"</f>
        <v>89595</v>
      </c>
      <c r="E20195" t="s">
        <v>6</v>
      </c>
    </row>
    <row r="20196" spans="1:5" x14ac:dyDescent="0.2">
      <c r="A20196">
        <v>89701</v>
      </c>
      <c r="B20196" t="s">
        <v>39</v>
      </c>
      <c r="C20196">
        <v>89701</v>
      </c>
      <c r="D20196" t="str">
        <f>"89701"</f>
        <v>89701</v>
      </c>
      <c r="E20196">
        <v>74.34</v>
      </c>
    </row>
    <row r="20197" spans="1:5" x14ac:dyDescent="0.2">
      <c r="A20197">
        <v>89703</v>
      </c>
      <c r="B20197" t="s">
        <v>39</v>
      </c>
      <c r="C20197">
        <v>89703</v>
      </c>
      <c r="D20197" t="str">
        <f>"89703"</f>
        <v>89703</v>
      </c>
      <c r="E20197">
        <v>80.75</v>
      </c>
    </row>
    <row r="20198" spans="1:5" x14ac:dyDescent="0.2">
      <c r="A20198">
        <v>89704</v>
      </c>
      <c r="B20198" t="s">
        <v>39</v>
      </c>
      <c r="C20198">
        <v>89704</v>
      </c>
      <c r="D20198" t="str">
        <f>"89704"</f>
        <v>89704</v>
      </c>
      <c r="E20198">
        <v>82.16</v>
      </c>
    </row>
    <row r="20199" spans="1:5" x14ac:dyDescent="0.2">
      <c r="A20199">
        <v>89705</v>
      </c>
      <c r="B20199" t="s">
        <v>39</v>
      </c>
      <c r="C20199">
        <v>89705</v>
      </c>
      <c r="D20199" t="str">
        <f>"89705"</f>
        <v>89705</v>
      </c>
      <c r="E20199">
        <v>77.34</v>
      </c>
    </row>
    <row r="20200" spans="1:5" x14ac:dyDescent="0.2">
      <c r="A20200">
        <v>89706</v>
      </c>
      <c r="B20200" t="s">
        <v>39</v>
      </c>
      <c r="C20200">
        <v>89706</v>
      </c>
      <c r="D20200" t="str">
        <f>"89706"</f>
        <v>89706</v>
      </c>
      <c r="E20200">
        <v>72.150000000000006</v>
      </c>
    </row>
    <row r="20201" spans="1:5" x14ac:dyDescent="0.2">
      <c r="A20201">
        <v>89711</v>
      </c>
      <c r="B20201" t="s">
        <v>39</v>
      </c>
      <c r="C20201">
        <v>89711</v>
      </c>
      <c r="D20201" t="str">
        <f>"89711"</f>
        <v>89711</v>
      </c>
      <c r="E20201" t="s">
        <v>6</v>
      </c>
    </row>
    <row r="20202" spans="1:5" x14ac:dyDescent="0.2">
      <c r="A20202">
        <v>89712</v>
      </c>
      <c r="B20202" t="s">
        <v>39</v>
      </c>
      <c r="C20202">
        <v>89712</v>
      </c>
      <c r="D20202" t="str">
        <f>"89712"</f>
        <v>89712</v>
      </c>
      <c r="E20202" t="s">
        <v>6</v>
      </c>
    </row>
    <row r="20203" spans="1:5" x14ac:dyDescent="0.2">
      <c r="A20203">
        <v>89801</v>
      </c>
      <c r="B20203" t="s">
        <v>39</v>
      </c>
      <c r="C20203">
        <v>89801</v>
      </c>
      <c r="D20203" t="str">
        <f>"89801"</f>
        <v>89801</v>
      </c>
      <c r="E20203">
        <v>77.91</v>
      </c>
    </row>
    <row r="20204" spans="1:5" x14ac:dyDescent="0.2">
      <c r="A20204">
        <v>89815</v>
      </c>
      <c r="B20204" t="s">
        <v>39</v>
      </c>
      <c r="C20204">
        <v>89815</v>
      </c>
      <c r="D20204" t="str">
        <f>"89815"</f>
        <v>89815</v>
      </c>
      <c r="E20204">
        <v>84.66</v>
      </c>
    </row>
    <row r="20205" spans="1:5" x14ac:dyDescent="0.2">
      <c r="A20205">
        <v>89820</v>
      </c>
      <c r="B20205" t="s">
        <v>39</v>
      </c>
      <c r="C20205">
        <v>89820</v>
      </c>
      <c r="D20205" t="str">
        <f>"89820"</f>
        <v>89820</v>
      </c>
      <c r="E20205">
        <v>76.61</v>
      </c>
    </row>
    <row r="20206" spans="1:5" x14ac:dyDescent="0.2">
      <c r="A20206">
        <v>89821</v>
      </c>
      <c r="B20206" t="s">
        <v>39</v>
      </c>
      <c r="C20206">
        <v>89821</v>
      </c>
      <c r="D20206" t="str">
        <f>"89821"</f>
        <v>89821</v>
      </c>
      <c r="E20206">
        <v>81.819999999999993</v>
      </c>
    </row>
    <row r="20207" spans="1:5" x14ac:dyDescent="0.2">
      <c r="A20207">
        <v>89822</v>
      </c>
      <c r="B20207" t="s">
        <v>39</v>
      </c>
      <c r="C20207">
        <v>89822</v>
      </c>
      <c r="D20207" t="str">
        <f>"89822"</f>
        <v>89822</v>
      </c>
      <c r="E20207">
        <v>79.349999999999994</v>
      </c>
    </row>
    <row r="20208" spans="1:5" x14ac:dyDescent="0.2">
      <c r="A20208">
        <v>89823</v>
      </c>
      <c r="B20208" t="s">
        <v>39</v>
      </c>
      <c r="C20208">
        <v>89823</v>
      </c>
      <c r="D20208" t="str">
        <f>"89823"</f>
        <v>89823</v>
      </c>
      <c r="E20208" t="s">
        <v>6</v>
      </c>
    </row>
    <row r="20209" spans="1:5" x14ac:dyDescent="0.2">
      <c r="A20209">
        <v>89825</v>
      </c>
      <c r="B20209" t="s">
        <v>39</v>
      </c>
      <c r="C20209">
        <v>89825</v>
      </c>
      <c r="D20209" t="str">
        <f>"89825"</f>
        <v>89825</v>
      </c>
      <c r="E20209">
        <v>68.180000000000007</v>
      </c>
    </row>
    <row r="20210" spans="1:5" x14ac:dyDescent="0.2">
      <c r="A20210">
        <v>89826</v>
      </c>
      <c r="B20210" t="s">
        <v>39</v>
      </c>
      <c r="C20210">
        <v>89826</v>
      </c>
      <c r="D20210" t="str">
        <f>"89826"</f>
        <v>89826</v>
      </c>
      <c r="E20210" t="s">
        <v>6</v>
      </c>
    </row>
    <row r="20211" spans="1:5" x14ac:dyDescent="0.2">
      <c r="A20211">
        <v>89828</v>
      </c>
      <c r="B20211" t="s">
        <v>39</v>
      </c>
      <c r="C20211">
        <v>89828</v>
      </c>
      <c r="D20211" t="str">
        <f>"89828"</f>
        <v>89828</v>
      </c>
      <c r="E20211">
        <v>79.17</v>
      </c>
    </row>
    <row r="20212" spans="1:5" x14ac:dyDescent="0.2">
      <c r="A20212">
        <v>89830</v>
      </c>
      <c r="B20212" t="s">
        <v>39</v>
      </c>
      <c r="C20212">
        <v>89830</v>
      </c>
      <c r="D20212" t="str">
        <f>"89830"</f>
        <v>89830</v>
      </c>
      <c r="E20212" t="s">
        <v>6</v>
      </c>
    </row>
    <row r="20213" spans="1:5" x14ac:dyDescent="0.2">
      <c r="A20213">
        <v>89831</v>
      </c>
      <c r="B20213" t="s">
        <v>39</v>
      </c>
      <c r="C20213">
        <v>89831</v>
      </c>
      <c r="D20213" t="str">
        <f>"89831"</f>
        <v>89831</v>
      </c>
      <c r="E20213" t="s">
        <v>6</v>
      </c>
    </row>
    <row r="20214" spans="1:5" x14ac:dyDescent="0.2">
      <c r="A20214">
        <v>89832</v>
      </c>
      <c r="B20214" t="s">
        <v>39</v>
      </c>
      <c r="C20214">
        <v>89832</v>
      </c>
      <c r="D20214" t="str">
        <f>"89832"</f>
        <v>89832</v>
      </c>
      <c r="E20214" t="s">
        <v>6</v>
      </c>
    </row>
    <row r="20215" spans="1:5" x14ac:dyDescent="0.2">
      <c r="A20215">
        <v>89833</v>
      </c>
      <c r="B20215" t="s">
        <v>39</v>
      </c>
      <c r="C20215">
        <v>89833</v>
      </c>
      <c r="D20215" t="str">
        <f>"89833"</f>
        <v>89833</v>
      </c>
      <c r="E20215" t="s">
        <v>6</v>
      </c>
    </row>
    <row r="20216" spans="1:5" x14ac:dyDescent="0.2">
      <c r="A20216">
        <v>89834</v>
      </c>
      <c r="B20216" t="s">
        <v>39</v>
      </c>
      <c r="C20216">
        <v>89834</v>
      </c>
      <c r="D20216" t="str">
        <f>"89834"</f>
        <v>89834</v>
      </c>
      <c r="E20216" t="s">
        <v>6</v>
      </c>
    </row>
    <row r="20217" spans="1:5" x14ac:dyDescent="0.2">
      <c r="A20217">
        <v>89835</v>
      </c>
      <c r="B20217" t="s">
        <v>39</v>
      </c>
      <c r="C20217">
        <v>89835</v>
      </c>
      <c r="D20217" t="str">
        <f>"89835"</f>
        <v>89835</v>
      </c>
      <c r="E20217">
        <v>68.83</v>
      </c>
    </row>
    <row r="20218" spans="1:5" x14ac:dyDescent="0.2">
      <c r="A20218">
        <v>89883</v>
      </c>
      <c r="B20218" t="s">
        <v>39</v>
      </c>
      <c r="C20218">
        <v>89883</v>
      </c>
      <c r="D20218" t="str">
        <f>"89883"</f>
        <v>89883</v>
      </c>
      <c r="E20218" t="s">
        <v>6</v>
      </c>
    </row>
    <row r="20219" spans="1:5" x14ac:dyDescent="0.2">
      <c r="A20219" t="str">
        <f>"06390"</f>
        <v>06390</v>
      </c>
      <c r="B20219" t="s">
        <v>40</v>
      </c>
      <c r="C20219">
        <v>6390</v>
      </c>
      <c r="D20219" t="str">
        <f>"06390"</f>
        <v>06390</v>
      </c>
      <c r="E20219" t="s">
        <v>6</v>
      </c>
    </row>
    <row r="20220" spans="1:5" x14ac:dyDescent="0.2">
      <c r="A20220">
        <v>10001</v>
      </c>
      <c r="B20220" t="s">
        <v>40</v>
      </c>
      <c r="C20220">
        <v>10001</v>
      </c>
      <c r="D20220" t="str">
        <f>"10001"</f>
        <v>10001</v>
      </c>
      <c r="E20220">
        <v>82.14</v>
      </c>
    </row>
    <row r="20221" spans="1:5" x14ac:dyDescent="0.2">
      <c r="A20221">
        <v>10002</v>
      </c>
      <c r="B20221" t="s">
        <v>40</v>
      </c>
      <c r="C20221">
        <v>10002</v>
      </c>
      <c r="D20221" t="str">
        <f>"10002"</f>
        <v>10002</v>
      </c>
      <c r="E20221">
        <v>61.76</v>
      </c>
    </row>
    <row r="20222" spans="1:5" x14ac:dyDescent="0.2">
      <c r="A20222">
        <v>10003</v>
      </c>
      <c r="B20222" t="s">
        <v>40</v>
      </c>
      <c r="C20222">
        <v>10003</v>
      </c>
      <c r="D20222" t="str">
        <f>"10003"</f>
        <v>10003</v>
      </c>
      <c r="E20222">
        <v>87.6</v>
      </c>
    </row>
    <row r="20223" spans="1:5" x14ac:dyDescent="0.2">
      <c r="A20223">
        <v>10004</v>
      </c>
      <c r="B20223" t="s">
        <v>40</v>
      </c>
      <c r="C20223">
        <v>10004</v>
      </c>
      <c r="D20223" t="str">
        <f>"10004"</f>
        <v>10004</v>
      </c>
      <c r="E20223">
        <v>90.61</v>
      </c>
    </row>
    <row r="20224" spans="1:5" x14ac:dyDescent="0.2">
      <c r="A20224">
        <v>10005</v>
      </c>
      <c r="B20224" t="s">
        <v>40</v>
      </c>
      <c r="C20224">
        <v>10005</v>
      </c>
      <c r="D20224" t="str">
        <f>"10005"</f>
        <v>10005</v>
      </c>
      <c r="E20224">
        <v>92.57</v>
      </c>
    </row>
    <row r="20225" spans="1:5" x14ac:dyDescent="0.2">
      <c r="A20225">
        <v>10006</v>
      </c>
      <c r="B20225" t="s">
        <v>40</v>
      </c>
      <c r="C20225">
        <v>10006</v>
      </c>
      <c r="D20225" t="str">
        <f>"10006"</f>
        <v>10006</v>
      </c>
      <c r="E20225">
        <v>90.28</v>
      </c>
    </row>
    <row r="20226" spans="1:5" x14ac:dyDescent="0.2">
      <c r="A20226">
        <v>10007</v>
      </c>
      <c r="B20226" t="s">
        <v>40</v>
      </c>
      <c r="C20226">
        <v>10007</v>
      </c>
      <c r="D20226" t="str">
        <f>"10007"</f>
        <v>10007</v>
      </c>
      <c r="E20226">
        <v>89.84</v>
      </c>
    </row>
    <row r="20227" spans="1:5" x14ac:dyDescent="0.2">
      <c r="A20227">
        <v>10009</v>
      </c>
      <c r="B20227" t="s">
        <v>40</v>
      </c>
      <c r="C20227">
        <v>10009</v>
      </c>
      <c r="D20227" t="str">
        <f>"10009"</f>
        <v>10009</v>
      </c>
      <c r="E20227">
        <v>79.900000000000006</v>
      </c>
    </row>
    <row r="20228" spans="1:5" x14ac:dyDescent="0.2">
      <c r="A20228">
        <v>10010</v>
      </c>
      <c r="B20228" t="s">
        <v>40</v>
      </c>
      <c r="C20228">
        <v>10010</v>
      </c>
      <c r="D20228" t="str">
        <f>"10010"</f>
        <v>10010</v>
      </c>
      <c r="E20228">
        <v>88.88</v>
      </c>
    </row>
    <row r="20229" spans="1:5" x14ac:dyDescent="0.2">
      <c r="A20229">
        <v>10011</v>
      </c>
      <c r="B20229" t="s">
        <v>40</v>
      </c>
      <c r="C20229">
        <v>10011</v>
      </c>
      <c r="D20229" t="str">
        <f>"10011"</f>
        <v>10011</v>
      </c>
      <c r="E20229">
        <v>87.64</v>
      </c>
    </row>
    <row r="20230" spans="1:5" x14ac:dyDescent="0.2">
      <c r="A20230">
        <v>10012</v>
      </c>
      <c r="B20230" t="s">
        <v>40</v>
      </c>
      <c r="C20230">
        <v>10012</v>
      </c>
      <c r="D20230" t="str">
        <f>"10012"</f>
        <v>10012</v>
      </c>
      <c r="E20230">
        <v>86.44</v>
      </c>
    </row>
    <row r="20231" spans="1:5" x14ac:dyDescent="0.2">
      <c r="A20231">
        <v>10013</v>
      </c>
      <c r="B20231" t="s">
        <v>40</v>
      </c>
      <c r="C20231">
        <v>10013</v>
      </c>
      <c r="D20231" t="str">
        <f>"10013"</f>
        <v>10013</v>
      </c>
      <c r="E20231">
        <v>77.28</v>
      </c>
    </row>
    <row r="20232" spans="1:5" x14ac:dyDescent="0.2">
      <c r="A20232">
        <v>10014</v>
      </c>
      <c r="B20232" t="s">
        <v>40</v>
      </c>
      <c r="C20232">
        <v>10014</v>
      </c>
      <c r="D20232" t="str">
        <f>"10014"</f>
        <v>10014</v>
      </c>
      <c r="E20232">
        <v>89.16</v>
      </c>
    </row>
    <row r="20233" spans="1:5" x14ac:dyDescent="0.2">
      <c r="A20233">
        <v>10016</v>
      </c>
      <c r="B20233" t="s">
        <v>40</v>
      </c>
      <c r="C20233">
        <v>10016</v>
      </c>
      <c r="D20233" t="str">
        <f>"10016"</f>
        <v>10016</v>
      </c>
      <c r="E20233">
        <v>88.48</v>
      </c>
    </row>
    <row r="20234" spans="1:5" x14ac:dyDescent="0.2">
      <c r="A20234">
        <v>10017</v>
      </c>
      <c r="B20234" t="s">
        <v>40</v>
      </c>
      <c r="C20234">
        <v>10017</v>
      </c>
      <c r="D20234" t="str">
        <f>"10017"</f>
        <v>10017</v>
      </c>
      <c r="E20234">
        <v>87.74</v>
      </c>
    </row>
    <row r="20235" spans="1:5" x14ac:dyDescent="0.2">
      <c r="A20235">
        <v>10018</v>
      </c>
      <c r="B20235" t="s">
        <v>40</v>
      </c>
      <c r="C20235">
        <v>10018</v>
      </c>
      <c r="D20235" t="str">
        <f>"10018"</f>
        <v>10018</v>
      </c>
      <c r="E20235">
        <v>83.46</v>
      </c>
    </row>
    <row r="20236" spans="1:5" x14ac:dyDescent="0.2">
      <c r="A20236">
        <v>10019</v>
      </c>
      <c r="B20236" t="s">
        <v>40</v>
      </c>
      <c r="C20236">
        <v>10019</v>
      </c>
      <c r="D20236" t="str">
        <f>"10019"</f>
        <v>10019</v>
      </c>
      <c r="E20236">
        <v>85.71</v>
      </c>
    </row>
    <row r="20237" spans="1:5" x14ac:dyDescent="0.2">
      <c r="A20237">
        <v>10020</v>
      </c>
      <c r="B20237" t="s">
        <v>40</v>
      </c>
      <c r="C20237">
        <v>10020</v>
      </c>
      <c r="D20237" t="str">
        <f>"10020"</f>
        <v>10020</v>
      </c>
      <c r="E20237" t="s">
        <v>6</v>
      </c>
    </row>
    <row r="20238" spans="1:5" x14ac:dyDescent="0.2">
      <c r="A20238">
        <v>10021</v>
      </c>
      <c r="B20238" t="s">
        <v>40</v>
      </c>
      <c r="C20238">
        <v>10021</v>
      </c>
      <c r="D20238" t="str">
        <f>"10021"</f>
        <v>10021</v>
      </c>
      <c r="E20238">
        <v>88.74</v>
      </c>
    </row>
    <row r="20239" spans="1:5" x14ac:dyDescent="0.2">
      <c r="A20239">
        <v>10022</v>
      </c>
      <c r="B20239" t="s">
        <v>40</v>
      </c>
      <c r="C20239">
        <v>10022</v>
      </c>
      <c r="D20239" t="str">
        <f>"10022"</f>
        <v>10022</v>
      </c>
      <c r="E20239">
        <v>87.79</v>
      </c>
    </row>
    <row r="20240" spans="1:5" x14ac:dyDescent="0.2">
      <c r="A20240">
        <v>10023</v>
      </c>
      <c r="B20240" t="s">
        <v>40</v>
      </c>
      <c r="C20240">
        <v>10023</v>
      </c>
      <c r="D20240" t="str">
        <f>"10023"</f>
        <v>10023</v>
      </c>
      <c r="E20240">
        <v>86.4</v>
      </c>
    </row>
    <row r="20241" spans="1:5" x14ac:dyDescent="0.2">
      <c r="A20241">
        <v>10024</v>
      </c>
      <c r="B20241" t="s">
        <v>40</v>
      </c>
      <c r="C20241">
        <v>10024</v>
      </c>
      <c r="D20241" t="str">
        <f>"10024"</f>
        <v>10024</v>
      </c>
      <c r="E20241">
        <v>85.66</v>
      </c>
    </row>
    <row r="20242" spans="1:5" x14ac:dyDescent="0.2">
      <c r="A20242">
        <v>10025</v>
      </c>
      <c r="B20242" t="s">
        <v>40</v>
      </c>
      <c r="C20242">
        <v>10025</v>
      </c>
      <c r="D20242" t="str">
        <f>"10025"</f>
        <v>10025</v>
      </c>
      <c r="E20242">
        <v>80.41</v>
      </c>
    </row>
    <row r="20243" spans="1:5" x14ac:dyDescent="0.2">
      <c r="A20243">
        <v>10026</v>
      </c>
      <c r="B20243" t="s">
        <v>40</v>
      </c>
      <c r="C20243">
        <v>10026</v>
      </c>
      <c r="D20243" t="str">
        <f>"10026"</f>
        <v>10026</v>
      </c>
      <c r="E20243">
        <v>70.930000000000007</v>
      </c>
    </row>
    <row r="20244" spans="1:5" x14ac:dyDescent="0.2">
      <c r="A20244">
        <v>10027</v>
      </c>
      <c r="B20244" t="s">
        <v>40</v>
      </c>
      <c r="C20244">
        <v>10027</v>
      </c>
      <c r="D20244" t="str">
        <f>"10027"</f>
        <v>10027</v>
      </c>
      <c r="E20244">
        <v>68.19</v>
      </c>
    </row>
    <row r="20245" spans="1:5" x14ac:dyDescent="0.2">
      <c r="A20245">
        <v>10028</v>
      </c>
      <c r="B20245" t="s">
        <v>40</v>
      </c>
      <c r="C20245">
        <v>10028</v>
      </c>
      <c r="D20245" t="str">
        <f>"10028"</f>
        <v>10028</v>
      </c>
      <c r="E20245">
        <v>88.33</v>
      </c>
    </row>
    <row r="20246" spans="1:5" x14ac:dyDescent="0.2">
      <c r="A20246">
        <v>10029</v>
      </c>
      <c r="B20246" t="s">
        <v>40</v>
      </c>
      <c r="C20246">
        <v>10029</v>
      </c>
      <c r="D20246" t="str">
        <f>"10029"</f>
        <v>10029</v>
      </c>
      <c r="E20246">
        <v>63.87</v>
      </c>
    </row>
    <row r="20247" spans="1:5" x14ac:dyDescent="0.2">
      <c r="A20247">
        <v>10030</v>
      </c>
      <c r="B20247" t="s">
        <v>40</v>
      </c>
      <c r="C20247">
        <v>10030</v>
      </c>
      <c r="D20247" t="str">
        <f>"10030"</f>
        <v>10030</v>
      </c>
      <c r="E20247">
        <v>64.53</v>
      </c>
    </row>
    <row r="20248" spans="1:5" x14ac:dyDescent="0.2">
      <c r="A20248">
        <v>10031</v>
      </c>
      <c r="B20248" t="s">
        <v>40</v>
      </c>
      <c r="C20248">
        <v>10031</v>
      </c>
      <c r="D20248" t="str">
        <f>"10031"</f>
        <v>10031</v>
      </c>
      <c r="E20248">
        <v>66.930000000000007</v>
      </c>
    </row>
    <row r="20249" spans="1:5" x14ac:dyDescent="0.2">
      <c r="A20249">
        <v>10032</v>
      </c>
      <c r="B20249" t="s">
        <v>40</v>
      </c>
      <c r="C20249">
        <v>10032</v>
      </c>
      <c r="D20249" t="str">
        <f>"10032"</f>
        <v>10032</v>
      </c>
      <c r="E20249">
        <v>65.16</v>
      </c>
    </row>
    <row r="20250" spans="1:5" x14ac:dyDescent="0.2">
      <c r="A20250">
        <v>10033</v>
      </c>
      <c r="B20250" t="s">
        <v>40</v>
      </c>
      <c r="C20250">
        <v>10033</v>
      </c>
      <c r="D20250" t="str">
        <f>"10033"</f>
        <v>10033</v>
      </c>
      <c r="E20250">
        <v>65.44</v>
      </c>
    </row>
    <row r="20251" spans="1:5" x14ac:dyDescent="0.2">
      <c r="A20251">
        <v>10034</v>
      </c>
      <c r="B20251" t="s">
        <v>40</v>
      </c>
      <c r="C20251">
        <v>10034</v>
      </c>
      <c r="D20251" t="str">
        <f>"10034"</f>
        <v>10034</v>
      </c>
      <c r="E20251">
        <v>65.62</v>
      </c>
    </row>
    <row r="20252" spans="1:5" x14ac:dyDescent="0.2">
      <c r="A20252">
        <v>10035</v>
      </c>
      <c r="B20252" t="s">
        <v>40</v>
      </c>
      <c r="C20252">
        <v>10035</v>
      </c>
      <c r="D20252" t="str">
        <f>"10035"</f>
        <v>10035</v>
      </c>
      <c r="E20252">
        <v>64.66</v>
      </c>
    </row>
    <row r="20253" spans="1:5" x14ac:dyDescent="0.2">
      <c r="A20253">
        <v>10036</v>
      </c>
      <c r="B20253" t="s">
        <v>40</v>
      </c>
      <c r="C20253">
        <v>10036</v>
      </c>
      <c r="D20253" t="str">
        <f>"10036"</f>
        <v>10036</v>
      </c>
      <c r="E20253">
        <v>83.46</v>
      </c>
    </row>
    <row r="20254" spans="1:5" x14ac:dyDescent="0.2">
      <c r="A20254">
        <v>10037</v>
      </c>
      <c r="B20254" t="s">
        <v>40</v>
      </c>
      <c r="C20254">
        <v>10037</v>
      </c>
      <c r="D20254" t="str">
        <f>"10037"</f>
        <v>10037</v>
      </c>
      <c r="E20254">
        <v>72.75</v>
      </c>
    </row>
    <row r="20255" spans="1:5" x14ac:dyDescent="0.2">
      <c r="A20255">
        <v>10038</v>
      </c>
      <c r="B20255" t="s">
        <v>40</v>
      </c>
      <c r="C20255">
        <v>10038</v>
      </c>
      <c r="D20255" t="str">
        <f>"10038"</f>
        <v>10038</v>
      </c>
      <c r="E20255">
        <v>78.98</v>
      </c>
    </row>
    <row r="20256" spans="1:5" x14ac:dyDescent="0.2">
      <c r="A20256">
        <v>10039</v>
      </c>
      <c r="B20256" t="s">
        <v>40</v>
      </c>
      <c r="C20256">
        <v>10039</v>
      </c>
      <c r="D20256" t="str">
        <f>"10039"</f>
        <v>10039</v>
      </c>
      <c r="E20256">
        <v>63.86</v>
      </c>
    </row>
    <row r="20257" spans="1:5" x14ac:dyDescent="0.2">
      <c r="A20257">
        <v>10040</v>
      </c>
      <c r="B20257" t="s">
        <v>40</v>
      </c>
      <c r="C20257">
        <v>10040</v>
      </c>
      <c r="D20257" t="str">
        <f>"10040"</f>
        <v>10040</v>
      </c>
      <c r="E20257">
        <v>65.819999999999993</v>
      </c>
    </row>
    <row r="20258" spans="1:5" x14ac:dyDescent="0.2">
      <c r="A20258">
        <v>10041</v>
      </c>
      <c r="B20258" t="s">
        <v>40</v>
      </c>
      <c r="C20258">
        <v>10041</v>
      </c>
      <c r="D20258" t="str">
        <f>"10041"</f>
        <v>10041</v>
      </c>
      <c r="E20258" t="s">
        <v>6</v>
      </c>
    </row>
    <row r="20259" spans="1:5" x14ac:dyDescent="0.2">
      <c r="A20259">
        <v>10044</v>
      </c>
      <c r="B20259" t="s">
        <v>40</v>
      </c>
      <c r="C20259">
        <v>10044</v>
      </c>
      <c r="D20259" t="str">
        <f>"10044"</f>
        <v>10044</v>
      </c>
      <c r="E20259">
        <v>80.73</v>
      </c>
    </row>
    <row r="20260" spans="1:5" x14ac:dyDescent="0.2">
      <c r="A20260">
        <v>10045</v>
      </c>
      <c r="B20260" t="s">
        <v>40</v>
      </c>
      <c r="C20260">
        <v>10045</v>
      </c>
      <c r="D20260" t="str">
        <f>"10045"</f>
        <v>10045</v>
      </c>
      <c r="E20260" t="s">
        <v>6</v>
      </c>
    </row>
    <row r="20261" spans="1:5" x14ac:dyDescent="0.2">
      <c r="A20261">
        <v>10065</v>
      </c>
      <c r="B20261" t="s">
        <v>40</v>
      </c>
      <c r="C20261">
        <v>10065</v>
      </c>
      <c r="D20261" t="str">
        <f>"10065"</f>
        <v>10065</v>
      </c>
      <c r="E20261">
        <v>88.32</v>
      </c>
    </row>
    <row r="20262" spans="1:5" x14ac:dyDescent="0.2">
      <c r="A20262">
        <v>10069</v>
      </c>
      <c r="B20262" t="s">
        <v>40</v>
      </c>
      <c r="C20262">
        <v>10069</v>
      </c>
      <c r="D20262" t="str">
        <f>"10069"</f>
        <v>10069</v>
      </c>
      <c r="E20262">
        <v>88.52</v>
      </c>
    </row>
    <row r="20263" spans="1:5" x14ac:dyDescent="0.2">
      <c r="A20263">
        <v>10075</v>
      </c>
      <c r="B20263" t="s">
        <v>40</v>
      </c>
      <c r="C20263">
        <v>10075</v>
      </c>
      <c r="D20263" t="str">
        <f>"10075"</f>
        <v>10075</v>
      </c>
      <c r="E20263">
        <v>88.33</v>
      </c>
    </row>
    <row r="20264" spans="1:5" x14ac:dyDescent="0.2">
      <c r="A20264">
        <v>10103</v>
      </c>
      <c r="B20264" t="s">
        <v>40</v>
      </c>
      <c r="C20264">
        <v>10103</v>
      </c>
      <c r="D20264" t="str">
        <f>"10103"</f>
        <v>10103</v>
      </c>
      <c r="E20264" t="s">
        <v>6</v>
      </c>
    </row>
    <row r="20265" spans="1:5" x14ac:dyDescent="0.2">
      <c r="A20265">
        <v>10105</v>
      </c>
      <c r="B20265" t="s">
        <v>40</v>
      </c>
      <c r="C20265">
        <v>10105</v>
      </c>
      <c r="D20265" t="str">
        <f>"10105"</f>
        <v>10105</v>
      </c>
      <c r="E20265" t="s">
        <v>6</v>
      </c>
    </row>
    <row r="20266" spans="1:5" x14ac:dyDescent="0.2">
      <c r="A20266">
        <v>10106</v>
      </c>
      <c r="B20266" t="s">
        <v>40</v>
      </c>
      <c r="C20266">
        <v>10106</v>
      </c>
      <c r="D20266" t="str">
        <f>"10106"</f>
        <v>10106</v>
      </c>
      <c r="E20266" t="s">
        <v>6</v>
      </c>
    </row>
    <row r="20267" spans="1:5" x14ac:dyDescent="0.2">
      <c r="A20267">
        <v>10107</v>
      </c>
      <c r="B20267" t="s">
        <v>40</v>
      </c>
      <c r="C20267">
        <v>10107</v>
      </c>
      <c r="D20267" t="str">
        <f>"10107"</f>
        <v>10107</v>
      </c>
      <c r="E20267" t="s">
        <v>6</v>
      </c>
    </row>
    <row r="20268" spans="1:5" x14ac:dyDescent="0.2">
      <c r="A20268">
        <v>10110</v>
      </c>
      <c r="B20268" t="s">
        <v>40</v>
      </c>
      <c r="C20268">
        <v>10110</v>
      </c>
      <c r="D20268" t="str">
        <f>"10110"</f>
        <v>10110</v>
      </c>
      <c r="E20268" t="s">
        <v>6</v>
      </c>
    </row>
    <row r="20269" spans="1:5" x14ac:dyDescent="0.2">
      <c r="A20269">
        <v>10111</v>
      </c>
      <c r="B20269" t="s">
        <v>40</v>
      </c>
      <c r="C20269">
        <v>10111</v>
      </c>
      <c r="D20269" t="str">
        <f>"10111"</f>
        <v>10111</v>
      </c>
      <c r="E20269" t="s">
        <v>6</v>
      </c>
    </row>
    <row r="20270" spans="1:5" x14ac:dyDescent="0.2">
      <c r="A20270">
        <v>10112</v>
      </c>
      <c r="B20270" t="s">
        <v>40</v>
      </c>
      <c r="C20270">
        <v>10112</v>
      </c>
      <c r="D20270" t="str">
        <f>"10112"</f>
        <v>10112</v>
      </c>
      <c r="E20270" t="s">
        <v>6</v>
      </c>
    </row>
    <row r="20271" spans="1:5" x14ac:dyDescent="0.2">
      <c r="A20271">
        <v>10115</v>
      </c>
      <c r="B20271" t="s">
        <v>40</v>
      </c>
      <c r="C20271">
        <v>10115</v>
      </c>
      <c r="D20271" t="str">
        <f>"10115"</f>
        <v>10115</v>
      </c>
      <c r="E20271" t="s">
        <v>6</v>
      </c>
    </row>
    <row r="20272" spans="1:5" x14ac:dyDescent="0.2">
      <c r="A20272">
        <v>10118</v>
      </c>
      <c r="B20272" t="s">
        <v>40</v>
      </c>
      <c r="C20272">
        <v>10118</v>
      </c>
      <c r="D20272" t="str">
        <f>"10118"</f>
        <v>10118</v>
      </c>
      <c r="E20272" t="s">
        <v>6</v>
      </c>
    </row>
    <row r="20273" spans="1:5" x14ac:dyDescent="0.2">
      <c r="A20273">
        <v>10119</v>
      </c>
      <c r="B20273" t="s">
        <v>40</v>
      </c>
      <c r="C20273">
        <v>10119</v>
      </c>
      <c r="D20273" t="str">
        <f>"10119"</f>
        <v>10119</v>
      </c>
      <c r="E20273" t="s">
        <v>6</v>
      </c>
    </row>
    <row r="20274" spans="1:5" x14ac:dyDescent="0.2">
      <c r="A20274">
        <v>10120</v>
      </c>
      <c r="B20274" t="s">
        <v>40</v>
      </c>
      <c r="C20274">
        <v>10120</v>
      </c>
      <c r="D20274" t="str">
        <f>"10120"</f>
        <v>10120</v>
      </c>
      <c r="E20274" t="s">
        <v>6</v>
      </c>
    </row>
    <row r="20275" spans="1:5" x14ac:dyDescent="0.2">
      <c r="A20275">
        <v>10121</v>
      </c>
      <c r="B20275" t="s">
        <v>40</v>
      </c>
      <c r="C20275">
        <v>10121</v>
      </c>
      <c r="D20275" t="str">
        <f>"10121"</f>
        <v>10121</v>
      </c>
      <c r="E20275" t="s">
        <v>6</v>
      </c>
    </row>
    <row r="20276" spans="1:5" x14ac:dyDescent="0.2">
      <c r="A20276">
        <v>10122</v>
      </c>
      <c r="B20276" t="s">
        <v>40</v>
      </c>
      <c r="C20276">
        <v>10122</v>
      </c>
      <c r="D20276" t="str">
        <f>"10122"</f>
        <v>10122</v>
      </c>
      <c r="E20276" t="s">
        <v>6</v>
      </c>
    </row>
    <row r="20277" spans="1:5" x14ac:dyDescent="0.2">
      <c r="A20277">
        <v>10123</v>
      </c>
      <c r="B20277" t="s">
        <v>40</v>
      </c>
      <c r="C20277">
        <v>10123</v>
      </c>
      <c r="D20277" t="str">
        <f>"10123"</f>
        <v>10123</v>
      </c>
      <c r="E20277" t="s">
        <v>6</v>
      </c>
    </row>
    <row r="20278" spans="1:5" x14ac:dyDescent="0.2">
      <c r="A20278">
        <v>10128</v>
      </c>
      <c r="B20278" t="s">
        <v>40</v>
      </c>
      <c r="C20278">
        <v>10128</v>
      </c>
      <c r="D20278" t="str">
        <f>"10128"</f>
        <v>10128</v>
      </c>
      <c r="E20278">
        <v>87.21</v>
      </c>
    </row>
    <row r="20279" spans="1:5" x14ac:dyDescent="0.2">
      <c r="A20279">
        <v>10152</v>
      </c>
      <c r="B20279" t="s">
        <v>40</v>
      </c>
      <c r="C20279">
        <v>10152</v>
      </c>
      <c r="D20279" t="str">
        <f>"10152"</f>
        <v>10152</v>
      </c>
      <c r="E20279" t="s">
        <v>6</v>
      </c>
    </row>
    <row r="20280" spans="1:5" x14ac:dyDescent="0.2">
      <c r="A20280">
        <v>10153</v>
      </c>
      <c r="B20280" t="s">
        <v>40</v>
      </c>
      <c r="C20280">
        <v>10153</v>
      </c>
      <c r="D20280" t="str">
        <f>"10153"</f>
        <v>10153</v>
      </c>
      <c r="E20280" t="s">
        <v>6</v>
      </c>
    </row>
    <row r="20281" spans="1:5" x14ac:dyDescent="0.2">
      <c r="A20281">
        <v>10154</v>
      </c>
      <c r="B20281" t="s">
        <v>40</v>
      </c>
      <c r="C20281">
        <v>10154</v>
      </c>
      <c r="D20281" t="str">
        <f>"10154"</f>
        <v>10154</v>
      </c>
      <c r="E20281" t="s">
        <v>6</v>
      </c>
    </row>
    <row r="20282" spans="1:5" x14ac:dyDescent="0.2">
      <c r="A20282">
        <v>10155</v>
      </c>
      <c r="B20282" t="s">
        <v>40</v>
      </c>
      <c r="C20282">
        <v>10155</v>
      </c>
      <c r="D20282" t="str">
        <f>"10155"</f>
        <v>10155</v>
      </c>
      <c r="E20282" t="s">
        <v>6</v>
      </c>
    </row>
    <row r="20283" spans="1:5" x14ac:dyDescent="0.2">
      <c r="A20283">
        <v>10162</v>
      </c>
      <c r="B20283" t="s">
        <v>40</v>
      </c>
      <c r="C20283">
        <v>10162</v>
      </c>
      <c r="D20283" t="str">
        <f>"10162"</f>
        <v>10162</v>
      </c>
      <c r="E20283">
        <v>89.33</v>
      </c>
    </row>
    <row r="20284" spans="1:5" x14ac:dyDescent="0.2">
      <c r="A20284">
        <v>10165</v>
      </c>
      <c r="B20284" t="s">
        <v>40</v>
      </c>
      <c r="C20284">
        <v>10165</v>
      </c>
      <c r="D20284" t="str">
        <f>"10165"</f>
        <v>10165</v>
      </c>
      <c r="E20284" t="s">
        <v>6</v>
      </c>
    </row>
    <row r="20285" spans="1:5" x14ac:dyDescent="0.2">
      <c r="A20285">
        <v>10166</v>
      </c>
      <c r="B20285" t="s">
        <v>40</v>
      </c>
      <c r="C20285">
        <v>10166</v>
      </c>
      <c r="D20285" t="str">
        <f>"10166"</f>
        <v>10166</v>
      </c>
      <c r="E20285" t="s">
        <v>6</v>
      </c>
    </row>
    <row r="20286" spans="1:5" x14ac:dyDescent="0.2">
      <c r="A20286">
        <v>10167</v>
      </c>
      <c r="B20286" t="s">
        <v>40</v>
      </c>
      <c r="C20286">
        <v>10167</v>
      </c>
      <c r="D20286" t="str">
        <f>"10167"</f>
        <v>10167</v>
      </c>
      <c r="E20286" t="s">
        <v>6</v>
      </c>
    </row>
    <row r="20287" spans="1:5" x14ac:dyDescent="0.2">
      <c r="A20287">
        <v>10168</v>
      </c>
      <c r="B20287" t="s">
        <v>40</v>
      </c>
      <c r="C20287">
        <v>10168</v>
      </c>
      <c r="D20287" t="str">
        <f>"10168"</f>
        <v>10168</v>
      </c>
      <c r="E20287" t="s">
        <v>6</v>
      </c>
    </row>
    <row r="20288" spans="1:5" x14ac:dyDescent="0.2">
      <c r="A20288">
        <v>10169</v>
      </c>
      <c r="B20288" t="s">
        <v>40</v>
      </c>
      <c r="C20288">
        <v>10169</v>
      </c>
      <c r="D20288" t="str">
        <f>"10169"</f>
        <v>10169</v>
      </c>
      <c r="E20288" t="s">
        <v>6</v>
      </c>
    </row>
    <row r="20289" spans="1:5" x14ac:dyDescent="0.2">
      <c r="A20289">
        <v>10170</v>
      </c>
      <c r="B20289" t="s">
        <v>40</v>
      </c>
      <c r="C20289">
        <v>10170</v>
      </c>
      <c r="D20289" t="str">
        <f>"10170"</f>
        <v>10170</v>
      </c>
      <c r="E20289" t="s">
        <v>6</v>
      </c>
    </row>
    <row r="20290" spans="1:5" x14ac:dyDescent="0.2">
      <c r="A20290">
        <v>10171</v>
      </c>
      <c r="B20290" t="s">
        <v>40</v>
      </c>
      <c r="C20290">
        <v>10171</v>
      </c>
      <c r="D20290" t="str">
        <f>"10171"</f>
        <v>10171</v>
      </c>
      <c r="E20290" t="s">
        <v>6</v>
      </c>
    </row>
    <row r="20291" spans="1:5" x14ac:dyDescent="0.2">
      <c r="A20291">
        <v>10172</v>
      </c>
      <c r="B20291" t="s">
        <v>40</v>
      </c>
      <c r="C20291">
        <v>10172</v>
      </c>
      <c r="D20291" t="str">
        <f>"10172"</f>
        <v>10172</v>
      </c>
      <c r="E20291" t="s">
        <v>6</v>
      </c>
    </row>
    <row r="20292" spans="1:5" x14ac:dyDescent="0.2">
      <c r="A20292">
        <v>10174</v>
      </c>
      <c r="B20292" t="s">
        <v>40</v>
      </c>
      <c r="C20292">
        <v>10174</v>
      </c>
      <c r="D20292" t="str">
        <f>"10174"</f>
        <v>10174</v>
      </c>
      <c r="E20292" t="s">
        <v>6</v>
      </c>
    </row>
    <row r="20293" spans="1:5" x14ac:dyDescent="0.2">
      <c r="A20293">
        <v>10175</v>
      </c>
      <c r="B20293" t="s">
        <v>40</v>
      </c>
      <c r="C20293">
        <v>10175</v>
      </c>
      <c r="D20293" t="str">
        <f>"10175"</f>
        <v>10175</v>
      </c>
      <c r="E20293" t="s">
        <v>6</v>
      </c>
    </row>
    <row r="20294" spans="1:5" x14ac:dyDescent="0.2">
      <c r="A20294">
        <v>10176</v>
      </c>
      <c r="B20294" t="s">
        <v>40</v>
      </c>
      <c r="C20294">
        <v>10176</v>
      </c>
      <c r="D20294" t="str">
        <f>"10176"</f>
        <v>10176</v>
      </c>
      <c r="E20294" t="s">
        <v>6</v>
      </c>
    </row>
    <row r="20295" spans="1:5" x14ac:dyDescent="0.2">
      <c r="A20295">
        <v>10177</v>
      </c>
      <c r="B20295" t="s">
        <v>40</v>
      </c>
      <c r="C20295">
        <v>10177</v>
      </c>
      <c r="D20295" t="str">
        <f>"10177"</f>
        <v>10177</v>
      </c>
      <c r="E20295" t="s">
        <v>6</v>
      </c>
    </row>
    <row r="20296" spans="1:5" x14ac:dyDescent="0.2">
      <c r="A20296">
        <v>10199</v>
      </c>
      <c r="B20296" t="s">
        <v>40</v>
      </c>
      <c r="C20296">
        <v>10199</v>
      </c>
      <c r="D20296" t="str">
        <f>"10199"</f>
        <v>10199</v>
      </c>
      <c r="E20296" t="s">
        <v>6</v>
      </c>
    </row>
    <row r="20297" spans="1:5" x14ac:dyDescent="0.2">
      <c r="A20297">
        <v>10271</v>
      </c>
      <c r="B20297" t="s">
        <v>40</v>
      </c>
      <c r="C20297">
        <v>10271</v>
      </c>
      <c r="D20297" t="str">
        <f>"10271"</f>
        <v>10271</v>
      </c>
      <c r="E20297" t="s">
        <v>6</v>
      </c>
    </row>
    <row r="20298" spans="1:5" x14ac:dyDescent="0.2">
      <c r="A20298">
        <v>10278</v>
      </c>
      <c r="B20298" t="s">
        <v>40</v>
      </c>
      <c r="C20298">
        <v>10278</v>
      </c>
      <c r="D20298" t="str">
        <f>"10278"</f>
        <v>10278</v>
      </c>
      <c r="E20298" t="s">
        <v>6</v>
      </c>
    </row>
    <row r="20299" spans="1:5" x14ac:dyDescent="0.2">
      <c r="A20299">
        <v>10279</v>
      </c>
      <c r="B20299" t="s">
        <v>40</v>
      </c>
      <c r="C20299">
        <v>10279</v>
      </c>
      <c r="D20299" t="str">
        <f>"10279"</f>
        <v>10279</v>
      </c>
      <c r="E20299" t="s">
        <v>6</v>
      </c>
    </row>
    <row r="20300" spans="1:5" x14ac:dyDescent="0.2">
      <c r="A20300">
        <v>10280</v>
      </c>
      <c r="B20300" t="s">
        <v>40</v>
      </c>
      <c r="C20300">
        <v>10280</v>
      </c>
      <c r="D20300" t="str">
        <f>"10280"</f>
        <v>10280</v>
      </c>
      <c r="E20300">
        <v>90.8</v>
      </c>
    </row>
    <row r="20301" spans="1:5" x14ac:dyDescent="0.2">
      <c r="A20301">
        <v>10281</v>
      </c>
      <c r="B20301" t="s">
        <v>40</v>
      </c>
      <c r="C20301">
        <v>10281</v>
      </c>
      <c r="D20301" t="str">
        <f>"10281"</f>
        <v>10281</v>
      </c>
      <c r="E20301" t="s">
        <v>6</v>
      </c>
    </row>
    <row r="20302" spans="1:5" x14ac:dyDescent="0.2">
      <c r="A20302">
        <v>10282</v>
      </c>
      <c r="B20302" t="s">
        <v>40</v>
      </c>
      <c r="C20302">
        <v>10282</v>
      </c>
      <c r="D20302" t="str">
        <f>"10282"</f>
        <v>10282</v>
      </c>
      <c r="E20302">
        <v>91.21</v>
      </c>
    </row>
    <row r="20303" spans="1:5" x14ac:dyDescent="0.2">
      <c r="A20303">
        <v>10301</v>
      </c>
      <c r="B20303" t="s">
        <v>40</v>
      </c>
      <c r="C20303">
        <v>10301</v>
      </c>
      <c r="D20303" t="str">
        <f>"10301"</f>
        <v>10301</v>
      </c>
      <c r="E20303">
        <v>71.42</v>
      </c>
    </row>
    <row r="20304" spans="1:5" x14ac:dyDescent="0.2">
      <c r="A20304">
        <v>10302</v>
      </c>
      <c r="B20304" t="s">
        <v>40</v>
      </c>
      <c r="C20304">
        <v>10302</v>
      </c>
      <c r="D20304" t="str">
        <f>"10302"</f>
        <v>10302</v>
      </c>
      <c r="E20304">
        <v>67.03</v>
      </c>
    </row>
    <row r="20305" spans="1:5" x14ac:dyDescent="0.2">
      <c r="A20305">
        <v>10303</v>
      </c>
      <c r="B20305" t="s">
        <v>40</v>
      </c>
      <c r="C20305">
        <v>10303</v>
      </c>
      <c r="D20305" t="str">
        <f>"10303"</f>
        <v>10303</v>
      </c>
      <c r="E20305">
        <v>65</v>
      </c>
    </row>
    <row r="20306" spans="1:5" x14ac:dyDescent="0.2">
      <c r="A20306">
        <v>10304</v>
      </c>
      <c r="B20306" t="s">
        <v>40</v>
      </c>
      <c r="C20306">
        <v>10304</v>
      </c>
      <c r="D20306" t="str">
        <f>"10304"</f>
        <v>10304</v>
      </c>
      <c r="E20306">
        <v>64.89</v>
      </c>
    </row>
    <row r="20307" spans="1:5" x14ac:dyDescent="0.2">
      <c r="A20307">
        <v>10305</v>
      </c>
      <c r="B20307" t="s">
        <v>40</v>
      </c>
      <c r="C20307">
        <v>10305</v>
      </c>
      <c r="D20307" t="str">
        <f>"10305"</f>
        <v>10305</v>
      </c>
      <c r="E20307">
        <v>71.89</v>
      </c>
    </row>
    <row r="20308" spans="1:5" x14ac:dyDescent="0.2">
      <c r="A20308">
        <v>10306</v>
      </c>
      <c r="B20308" t="s">
        <v>40</v>
      </c>
      <c r="C20308">
        <v>10306</v>
      </c>
      <c r="D20308" t="str">
        <f>"10306"</f>
        <v>10306</v>
      </c>
      <c r="E20308">
        <v>76.510000000000005</v>
      </c>
    </row>
    <row r="20309" spans="1:5" x14ac:dyDescent="0.2">
      <c r="A20309">
        <v>10307</v>
      </c>
      <c r="B20309" t="s">
        <v>40</v>
      </c>
      <c r="C20309">
        <v>10307</v>
      </c>
      <c r="D20309" t="str">
        <f>"10307"</f>
        <v>10307</v>
      </c>
      <c r="E20309">
        <v>79.31</v>
      </c>
    </row>
    <row r="20310" spans="1:5" x14ac:dyDescent="0.2">
      <c r="A20310">
        <v>10308</v>
      </c>
      <c r="B20310" t="s">
        <v>40</v>
      </c>
      <c r="C20310">
        <v>10308</v>
      </c>
      <c r="D20310" t="str">
        <f>"10308"</f>
        <v>10308</v>
      </c>
      <c r="E20310">
        <v>80.069999999999993</v>
      </c>
    </row>
    <row r="20311" spans="1:5" x14ac:dyDescent="0.2">
      <c r="A20311">
        <v>10309</v>
      </c>
      <c r="B20311" t="s">
        <v>40</v>
      </c>
      <c r="C20311">
        <v>10309</v>
      </c>
      <c r="D20311" t="str">
        <f>"10309"</f>
        <v>10309</v>
      </c>
      <c r="E20311">
        <v>79.31</v>
      </c>
    </row>
    <row r="20312" spans="1:5" x14ac:dyDescent="0.2">
      <c r="A20312">
        <v>10310</v>
      </c>
      <c r="B20312" t="s">
        <v>40</v>
      </c>
      <c r="C20312">
        <v>10310</v>
      </c>
      <c r="D20312" t="str">
        <f>"10310"</f>
        <v>10310</v>
      </c>
      <c r="E20312">
        <v>68.709999999999994</v>
      </c>
    </row>
    <row r="20313" spans="1:5" x14ac:dyDescent="0.2">
      <c r="A20313">
        <v>10311</v>
      </c>
      <c r="B20313" t="s">
        <v>40</v>
      </c>
      <c r="C20313">
        <v>10311</v>
      </c>
      <c r="D20313" t="str">
        <f>"10311"</f>
        <v>10311</v>
      </c>
      <c r="E20313" t="s">
        <v>6</v>
      </c>
    </row>
    <row r="20314" spans="1:5" x14ac:dyDescent="0.2">
      <c r="A20314">
        <v>10312</v>
      </c>
      <c r="B20314" t="s">
        <v>40</v>
      </c>
      <c r="C20314">
        <v>10312</v>
      </c>
      <c r="D20314" t="str">
        <f>"10312"</f>
        <v>10312</v>
      </c>
      <c r="E20314">
        <v>79.36</v>
      </c>
    </row>
    <row r="20315" spans="1:5" x14ac:dyDescent="0.2">
      <c r="A20315">
        <v>10314</v>
      </c>
      <c r="B20315" t="s">
        <v>40</v>
      </c>
      <c r="C20315">
        <v>10314</v>
      </c>
      <c r="D20315" t="str">
        <f>"10314"</f>
        <v>10314</v>
      </c>
      <c r="E20315">
        <v>75.260000000000005</v>
      </c>
    </row>
    <row r="20316" spans="1:5" x14ac:dyDescent="0.2">
      <c r="A20316">
        <v>10451</v>
      </c>
      <c r="B20316" t="s">
        <v>40</v>
      </c>
      <c r="C20316">
        <v>10451</v>
      </c>
      <c r="D20316" t="str">
        <f>"10451"</f>
        <v>10451</v>
      </c>
      <c r="E20316">
        <v>57.26</v>
      </c>
    </row>
    <row r="20317" spans="1:5" x14ac:dyDescent="0.2">
      <c r="A20317">
        <v>10452</v>
      </c>
      <c r="B20317" t="s">
        <v>40</v>
      </c>
      <c r="C20317">
        <v>10452</v>
      </c>
      <c r="D20317" t="str">
        <f>"10452"</f>
        <v>10452</v>
      </c>
      <c r="E20317">
        <v>50.84</v>
      </c>
    </row>
    <row r="20318" spans="1:5" x14ac:dyDescent="0.2">
      <c r="A20318">
        <v>10453</v>
      </c>
      <c r="B20318" t="s">
        <v>40</v>
      </c>
      <c r="C20318">
        <v>10453</v>
      </c>
      <c r="D20318" t="str">
        <f>"10453"</f>
        <v>10453</v>
      </c>
      <c r="E20318">
        <v>48.47</v>
      </c>
    </row>
    <row r="20319" spans="1:5" x14ac:dyDescent="0.2">
      <c r="A20319">
        <v>10454</v>
      </c>
      <c r="B20319" t="s">
        <v>40</v>
      </c>
      <c r="C20319">
        <v>10454</v>
      </c>
      <c r="D20319" t="str">
        <f>"10454"</f>
        <v>10454</v>
      </c>
      <c r="E20319">
        <v>49.19</v>
      </c>
    </row>
    <row r="20320" spans="1:5" x14ac:dyDescent="0.2">
      <c r="A20320">
        <v>10455</v>
      </c>
      <c r="B20320" t="s">
        <v>40</v>
      </c>
      <c r="C20320">
        <v>10455</v>
      </c>
      <c r="D20320" t="str">
        <f>"10455"</f>
        <v>10455</v>
      </c>
      <c r="E20320">
        <v>51.55</v>
      </c>
    </row>
    <row r="20321" spans="1:5" x14ac:dyDescent="0.2">
      <c r="A20321">
        <v>10456</v>
      </c>
      <c r="B20321" t="s">
        <v>40</v>
      </c>
      <c r="C20321">
        <v>10456</v>
      </c>
      <c r="D20321" t="str">
        <f>"10456"</f>
        <v>10456</v>
      </c>
      <c r="E20321">
        <v>48.86</v>
      </c>
    </row>
    <row r="20322" spans="1:5" x14ac:dyDescent="0.2">
      <c r="A20322">
        <v>10457</v>
      </c>
      <c r="B20322" t="s">
        <v>40</v>
      </c>
      <c r="C20322">
        <v>10457</v>
      </c>
      <c r="D20322" t="str">
        <f>"10457"</f>
        <v>10457</v>
      </c>
      <c r="E20322">
        <v>48.72</v>
      </c>
    </row>
    <row r="20323" spans="1:5" x14ac:dyDescent="0.2">
      <c r="A20323">
        <v>10458</v>
      </c>
      <c r="B20323" t="s">
        <v>40</v>
      </c>
      <c r="C20323">
        <v>10458</v>
      </c>
      <c r="D20323" t="str">
        <f>"10458"</f>
        <v>10458</v>
      </c>
      <c r="E20323">
        <v>52.11</v>
      </c>
    </row>
    <row r="20324" spans="1:5" x14ac:dyDescent="0.2">
      <c r="A20324">
        <v>10459</v>
      </c>
      <c r="B20324" t="s">
        <v>40</v>
      </c>
      <c r="C20324">
        <v>10459</v>
      </c>
      <c r="D20324" t="str">
        <f>"10459"</f>
        <v>10459</v>
      </c>
      <c r="E20324">
        <v>52.89</v>
      </c>
    </row>
    <row r="20325" spans="1:5" x14ac:dyDescent="0.2">
      <c r="A20325">
        <v>10460</v>
      </c>
      <c r="B20325" t="s">
        <v>40</v>
      </c>
      <c r="C20325">
        <v>10460</v>
      </c>
      <c r="D20325" t="str">
        <f>"10460"</f>
        <v>10460</v>
      </c>
      <c r="E20325">
        <v>51.84</v>
      </c>
    </row>
    <row r="20326" spans="1:5" x14ac:dyDescent="0.2">
      <c r="A20326">
        <v>10461</v>
      </c>
      <c r="B20326" t="s">
        <v>40</v>
      </c>
      <c r="C20326">
        <v>10461</v>
      </c>
      <c r="D20326" t="str">
        <f>"10461"</f>
        <v>10461</v>
      </c>
      <c r="E20326">
        <v>71.48</v>
      </c>
    </row>
    <row r="20327" spans="1:5" x14ac:dyDescent="0.2">
      <c r="A20327">
        <v>10462</v>
      </c>
      <c r="B20327" t="s">
        <v>40</v>
      </c>
      <c r="C20327">
        <v>10462</v>
      </c>
      <c r="D20327" t="str">
        <f>"10462"</f>
        <v>10462</v>
      </c>
      <c r="E20327">
        <v>66.67</v>
      </c>
    </row>
    <row r="20328" spans="1:5" x14ac:dyDescent="0.2">
      <c r="A20328">
        <v>10463</v>
      </c>
      <c r="B20328" t="s">
        <v>40</v>
      </c>
      <c r="C20328">
        <v>10463</v>
      </c>
      <c r="D20328" t="str">
        <f>"10463"</f>
        <v>10463</v>
      </c>
      <c r="E20328">
        <v>71.14</v>
      </c>
    </row>
    <row r="20329" spans="1:5" x14ac:dyDescent="0.2">
      <c r="A20329">
        <v>10464</v>
      </c>
      <c r="B20329" t="s">
        <v>40</v>
      </c>
      <c r="C20329">
        <v>10464</v>
      </c>
      <c r="D20329" t="str">
        <f>"10464"</f>
        <v>10464</v>
      </c>
      <c r="E20329">
        <v>81.19</v>
      </c>
    </row>
    <row r="20330" spans="1:5" x14ac:dyDescent="0.2">
      <c r="A20330">
        <v>10465</v>
      </c>
      <c r="B20330" t="s">
        <v>40</v>
      </c>
      <c r="C20330">
        <v>10465</v>
      </c>
      <c r="D20330" t="str">
        <f>"10465"</f>
        <v>10465</v>
      </c>
      <c r="E20330">
        <v>75.819999999999993</v>
      </c>
    </row>
    <row r="20331" spans="1:5" x14ac:dyDescent="0.2">
      <c r="A20331">
        <v>10466</v>
      </c>
      <c r="B20331" t="s">
        <v>40</v>
      </c>
      <c r="C20331">
        <v>10466</v>
      </c>
      <c r="D20331" t="str">
        <f>"10466"</f>
        <v>10466</v>
      </c>
      <c r="E20331">
        <v>63.77</v>
      </c>
    </row>
    <row r="20332" spans="1:5" x14ac:dyDescent="0.2">
      <c r="A20332">
        <v>10467</v>
      </c>
      <c r="B20332" t="s">
        <v>40</v>
      </c>
      <c r="C20332">
        <v>10467</v>
      </c>
      <c r="D20332" t="str">
        <f>"10467"</f>
        <v>10467</v>
      </c>
      <c r="E20332">
        <v>58.67</v>
      </c>
    </row>
    <row r="20333" spans="1:5" x14ac:dyDescent="0.2">
      <c r="A20333">
        <v>10468</v>
      </c>
      <c r="B20333" t="s">
        <v>40</v>
      </c>
      <c r="C20333">
        <v>10468</v>
      </c>
      <c r="D20333" t="str">
        <f>"10468"</f>
        <v>10468</v>
      </c>
      <c r="E20333">
        <v>53.52</v>
      </c>
    </row>
    <row r="20334" spans="1:5" x14ac:dyDescent="0.2">
      <c r="A20334">
        <v>10469</v>
      </c>
      <c r="B20334" t="s">
        <v>40</v>
      </c>
      <c r="C20334">
        <v>10469</v>
      </c>
      <c r="D20334" t="str">
        <f>"10469"</f>
        <v>10469</v>
      </c>
      <c r="E20334">
        <v>67.14</v>
      </c>
    </row>
    <row r="20335" spans="1:5" x14ac:dyDescent="0.2">
      <c r="A20335">
        <v>10470</v>
      </c>
      <c r="B20335" t="s">
        <v>40</v>
      </c>
      <c r="C20335">
        <v>10470</v>
      </c>
      <c r="D20335" t="str">
        <f>"10470"</f>
        <v>10470</v>
      </c>
      <c r="E20335">
        <v>71.94</v>
      </c>
    </row>
    <row r="20336" spans="1:5" x14ac:dyDescent="0.2">
      <c r="A20336">
        <v>10471</v>
      </c>
      <c r="B20336" t="s">
        <v>40</v>
      </c>
      <c r="C20336">
        <v>10471</v>
      </c>
      <c r="D20336" t="str">
        <f>"10471"</f>
        <v>10471</v>
      </c>
      <c r="E20336">
        <v>82.62</v>
      </c>
    </row>
    <row r="20337" spans="1:5" x14ac:dyDescent="0.2">
      <c r="A20337">
        <v>10472</v>
      </c>
      <c r="B20337" t="s">
        <v>40</v>
      </c>
      <c r="C20337">
        <v>10472</v>
      </c>
      <c r="D20337" t="str">
        <f>"10472"</f>
        <v>10472</v>
      </c>
      <c r="E20337">
        <v>53</v>
      </c>
    </row>
    <row r="20338" spans="1:5" x14ac:dyDescent="0.2">
      <c r="A20338">
        <v>10473</v>
      </c>
      <c r="B20338" t="s">
        <v>40</v>
      </c>
      <c r="C20338">
        <v>10473</v>
      </c>
      <c r="D20338" t="str">
        <f>"10473"</f>
        <v>10473</v>
      </c>
      <c r="E20338">
        <v>64.3</v>
      </c>
    </row>
    <row r="20339" spans="1:5" x14ac:dyDescent="0.2">
      <c r="A20339">
        <v>10474</v>
      </c>
      <c r="B20339" t="s">
        <v>40</v>
      </c>
      <c r="C20339">
        <v>10474</v>
      </c>
      <c r="D20339" t="str">
        <f>"10474"</f>
        <v>10474</v>
      </c>
      <c r="E20339">
        <v>52.09</v>
      </c>
    </row>
    <row r="20340" spans="1:5" x14ac:dyDescent="0.2">
      <c r="A20340">
        <v>10475</v>
      </c>
      <c r="B20340" t="s">
        <v>40</v>
      </c>
      <c r="C20340">
        <v>10475</v>
      </c>
      <c r="D20340" t="str">
        <f>"10475"</f>
        <v>10475</v>
      </c>
      <c r="E20340">
        <v>77.7</v>
      </c>
    </row>
    <row r="20341" spans="1:5" x14ac:dyDescent="0.2">
      <c r="A20341">
        <v>10501</v>
      </c>
      <c r="B20341" t="s">
        <v>40</v>
      </c>
      <c r="C20341">
        <v>10501</v>
      </c>
      <c r="D20341" t="str">
        <f>"10501"</f>
        <v>10501</v>
      </c>
      <c r="E20341">
        <v>83.58</v>
      </c>
    </row>
    <row r="20342" spans="1:5" x14ac:dyDescent="0.2">
      <c r="A20342">
        <v>10502</v>
      </c>
      <c r="B20342" t="s">
        <v>40</v>
      </c>
      <c r="C20342">
        <v>10502</v>
      </c>
      <c r="D20342" t="str">
        <f>"10502"</f>
        <v>10502</v>
      </c>
      <c r="E20342">
        <v>81.88</v>
      </c>
    </row>
    <row r="20343" spans="1:5" x14ac:dyDescent="0.2">
      <c r="A20343">
        <v>10504</v>
      </c>
      <c r="B20343" t="s">
        <v>40</v>
      </c>
      <c r="C20343">
        <v>10504</v>
      </c>
      <c r="D20343" t="str">
        <f>"10504"</f>
        <v>10504</v>
      </c>
      <c r="E20343">
        <v>84.05</v>
      </c>
    </row>
    <row r="20344" spans="1:5" x14ac:dyDescent="0.2">
      <c r="A20344">
        <v>10505</v>
      </c>
      <c r="B20344" t="s">
        <v>40</v>
      </c>
      <c r="C20344">
        <v>10505</v>
      </c>
      <c r="D20344" t="str">
        <f>"10505"</f>
        <v>10505</v>
      </c>
      <c r="E20344">
        <v>79.73</v>
      </c>
    </row>
    <row r="20345" spans="1:5" x14ac:dyDescent="0.2">
      <c r="A20345">
        <v>10506</v>
      </c>
      <c r="B20345" t="s">
        <v>40</v>
      </c>
      <c r="C20345">
        <v>10506</v>
      </c>
      <c r="D20345" t="str">
        <f>"10506"</f>
        <v>10506</v>
      </c>
      <c r="E20345">
        <v>81.650000000000006</v>
      </c>
    </row>
    <row r="20346" spans="1:5" x14ac:dyDescent="0.2">
      <c r="A20346">
        <v>10507</v>
      </c>
      <c r="B20346" t="s">
        <v>40</v>
      </c>
      <c r="C20346">
        <v>10507</v>
      </c>
      <c r="D20346" t="str">
        <f>"10507"</f>
        <v>10507</v>
      </c>
      <c r="E20346">
        <v>73.98</v>
      </c>
    </row>
    <row r="20347" spans="1:5" x14ac:dyDescent="0.2">
      <c r="A20347">
        <v>10509</v>
      </c>
      <c r="B20347" t="s">
        <v>40</v>
      </c>
      <c r="C20347">
        <v>10509</v>
      </c>
      <c r="D20347" t="str">
        <f>"10509"</f>
        <v>10509</v>
      </c>
      <c r="E20347">
        <v>78.36</v>
      </c>
    </row>
    <row r="20348" spans="1:5" x14ac:dyDescent="0.2">
      <c r="A20348">
        <v>10510</v>
      </c>
      <c r="B20348" t="s">
        <v>40</v>
      </c>
      <c r="C20348">
        <v>10510</v>
      </c>
      <c r="D20348" t="str">
        <f>"10510"</f>
        <v>10510</v>
      </c>
      <c r="E20348">
        <v>83.61</v>
      </c>
    </row>
    <row r="20349" spans="1:5" x14ac:dyDescent="0.2">
      <c r="A20349">
        <v>10511</v>
      </c>
      <c r="B20349" t="s">
        <v>40</v>
      </c>
      <c r="C20349">
        <v>10511</v>
      </c>
      <c r="D20349" t="str">
        <f>"10511"</f>
        <v>10511</v>
      </c>
      <c r="E20349">
        <v>79.489999999999995</v>
      </c>
    </row>
    <row r="20350" spans="1:5" x14ac:dyDescent="0.2">
      <c r="A20350">
        <v>10512</v>
      </c>
      <c r="B20350" t="s">
        <v>40</v>
      </c>
      <c r="C20350">
        <v>10512</v>
      </c>
      <c r="D20350" t="str">
        <f>"10512"</f>
        <v>10512</v>
      </c>
      <c r="E20350">
        <v>80.16</v>
      </c>
    </row>
    <row r="20351" spans="1:5" x14ac:dyDescent="0.2">
      <c r="A20351">
        <v>10514</v>
      </c>
      <c r="B20351" t="s">
        <v>40</v>
      </c>
      <c r="C20351">
        <v>10514</v>
      </c>
      <c r="D20351" t="str">
        <f>"10514"</f>
        <v>10514</v>
      </c>
      <c r="E20351">
        <v>83.76</v>
      </c>
    </row>
    <row r="20352" spans="1:5" x14ac:dyDescent="0.2">
      <c r="A20352">
        <v>10516</v>
      </c>
      <c r="B20352" t="s">
        <v>40</v>
      </c>
      <c r="C20352">
        <v>10516</v>
      </c>
      <c r="D20352" t="str">
        <f>"10516"</f>
        <v>10516</v>
      </c>
      <c r="E20352">
        <v>81.319999999999993</v>
      </c>
    </row>
    <row r="20353" spans="1:5" x14ac:dyDescent="0.2">
      <c r="A20353">
        <v>10517</v>
      </c>
      <c r="B20353" t="s">
        <v>40</v>
      </c>
      <c r="C20353">
        <v>10517</v>
      </c>
      <c r="D20353" t="str">
        <f>"10517"</f>
        <v>10517</v>
      </c>
      <c r="E20353" t="s">
        <v>6</v>
      </c>
    </row>
    <row r="20354" spans="1:5" x14ac:dyDescent="0.2">
      <c r="A20354">
        <v>10518</v>
      </c>
      <c r="B20354" t="s">
        <v>40</v>
      </c>
      <c r="C20354">
        <v>10518</v>
      </c>
      <c r="D20354" t="str">
        <f>"10518"</f>
        <v>10518</v>
      </c>
      <c r="E20354">
        <v>81.33</v>
      </c>
    </row>
    <row r="20355" spans="1:5" x14ac:dyDescent="0.2">
      <c r="A20355">
        <v>10519</v>
      </c>
      <c r="B20355" t="s">
        <v>40</v>
      </c>
      <c r="C20355">
        <v>10519</v>
      </c>
      <c r="D20355" t="str">
        <f>"10519"</f>
        <v>10519</v>
      </c>
      <c r="E20355" t="s">
        <v>6</v>
      </c>
    </row>
    <row r="20356" spans="1:5" x14ac:dyDescent="0.2">
      <c r="A20356">
        <v>10520</v>
      </c>
      <c r="B20356" t="s">
        <v>40</v>
      </c>
      <c r="C20356">
        <v>10520</v>
      </c>
      <c r="D20356" t="str">
        <f>"10520"</f>
        <v>10520</v>
      </c>
      <c r="E20356">
        <v>82.14</v>
      </c>
    </row>
    <row r="20357" spans="1:5" x14ac:dyDescent="0.2">
      <c r="A20357">
        <v>10522</v>
      </c>
      <c r="B20357" t="s">
        <v>40</v>
      </c>
      <c r="C20357">
        <v>10522</v>
      </c>
      <c r="D20357" t="str">
        <f>"10522"</f>
        <v>10522</v>
      </c>
      <c r="E20357">
        <v>83.3</v>
      </c>
    </row>
    <row r="20358" spans="1:5" x14ac:dyDescent="0.2">
      <c r="A20358">
        <v>10523</v>
      </c>
      <c r="B20358" t="s">
        <v>40</v>
      </c>
      <c r="C20358">
        <v>10523</v>
      </c>
      <c r="D20358" t="str">
        <f>"10523"</f>
        <v>10523</v>
      </c>
      <c r="E20358">
        <v>75.61</v>
      </c>
    </row>
    <row r="20359" spans="1:5" x14ac:dyDescent="0.2">
      <c r="A20359">
        <v>10524</v>
      </c>
      <c r="B20359" t="s">
        <v>40</v>
      </c>
      <c r="C20359">
        <v>10524</v>
      </c>
      <c r="D20359" t="str">
        <f>"10524"</f>
        <v>10524</v>
      </c>
      <c r="E20359">
        <v>82.69</v>
      </c>
    </row>
    <row r="20360" spans="1:5" x14ac:dyDescent="0.2">
      <c r="A20360">
        <v>10526</v>
      </c>
      <c r="B20360" t="s">
        <v>40</v>
      </c>
      <c r="C20360">
        <v>10526</v>
      </c>
      <c r="D20360" t="str">
        <f>"10526"</f>
        <v>10526</v>
      </c>
      <c r="E20360">
        <v>81</v>
      </c>
    </row>
    <row r="20361" spans="1:5" x14ac:dyDescent="0.2">
      <c r="A20361">
        <v>10527</v>
      </c>
      <c r="B20361" t="s">
        <v>40</v>
      </c>
      <c r="C20361">
        <v>10527</v>
      </c>
      <c r="D20361" t="str">
        <f>"10527"</f>
        <v>10527</v>
      </c>
      <c r="E20361">
        <v>82.61</v>
      </c>
    </row>
    <row r="20362" spans="1:5" x14ac:dyDescent="0.2">
      <c r="A20362">
        <v>10528</v>
      </c>
      <c r="B20362" t="s">
        <v>40</v>
      </c>
      <c r="C20362">
        <v>10528</v>
      </c>
      <c r="D20362" t="str">
        <f>"10528"</f>
        <v>10528</v>
      </c>
      <c r="E20362">
        <v>80.569999999999993</v>
      </c>
    </row>
    <row r="20363" spans="1:5" x14ac:dyDescent="0.2">
      <c r="A20363">
        <v>10530</v>
      </c>
      <c r="B20363" t="s">
        <v>40</v>
      </c>
      <c r="C20363">
        <v>10530</v>
      </c>
      <c r="D20363" t="str">
        <f>"10530"</f>
        <v>10530</v>
      </c>
      <c r="E20363">
        <v>84.76</v>
      </c>
    </row>
    <row r="20364" spans="1:5" x14ac:dyDescent="0.2">
      <c r="A20364">
        <v>10532</v>
      </c>
      <c r="B20364" t="s">
        <v>40</v>
      </c>
      <c r="C20364">
        <v>10532</v>
      </c>
      <c r="D20364" t="str">
        <f>"10532"</f>
        <v>10532</v>
      </c>
      <c r="E20364">
        <v>83.01</v>
      </c>
    </row>
    <row r="20365" spans="1:5" x14ac:dyDescent="0.2">
      <c r="A20365">
        <v>10533</v>
      </c>
      <c r="B20365" t="s">
        <v>40</v>
      </c>
      <c r="C20365">
        <v>10533</v>
      </c>
      <c r="D20365" t="str">
        <f>"10533"</f>
        <v>10533</v>
      </c>
      <c r="E20365">
        <v>84</v>
      </c>
    </row>
    <row r="20366" spans="1:5" x14ac:dyDescent="0.2">
      <c r="A20366">
        <v>10535</v>
      </c>
      <c r="B20366" t="s">
        <v>40</v>
      </c>
      <c r="C20366">
        <v>10535</v>
      </c>
      <c r="D20366" t="str">
        <f>"10535"</f>
        <v>10535</v>
      </c>
      <c r="E20366">
        <v>75</v>
      </c>
    </row>
    <row r="20367" spans="1:5" x14ac:dyDescent="0.2">
      <c r="A20367">
        <v>10536</v>
      </c>
      <c r="B20367" t="s">
        <v>40</v>
      </c>
      <c r="C20367">
        <v>10536</v>
      </c>
      <c r="D20367" t="str">
        <f>"10536"</f>
        <v>10536</v>
      </c>
      <c r="E20367">
        <v>80.66</v>
      </c>
    </row>
    <row r="20368" spans="1:5" x14ac:dyDescent="0.2">
      <c r="A20368">
        <v>10537</v>
      </c>
      <c r="B20368" t="s">
        <v>40</v>
      </c>
      <c r="C20368">
        <v>10537</v>
      </c>
      <c r="D20368" t="str">
        <f>"10537"</f>
        <v>10537</v>
      </c>
      <c r="E20368">
        <v>80.95</v>
      </c>
    </row>
    <row r="20369" spans="1:5" x14ac:dyDescent="0.2">
      <c r="A20369">
        <v>10538</v>
      </c>
      <c r="B20369" t="s">
        <v>40</v>
      </c>
      <c r="C20369">
        <v>10538</v>
      </c>
      <c r="D20369" t="str">
        <f>"10538"</f>
        <v>10538</v>
      </c>
      <c r="E20369">
        <v>84.05</v>
      </c>
    </row>
    <row r="20370" spans="1:5" x14ac:dyDescent="0.2">
      <c r="A20370">
        <v>10541</v>
      </c>
      <c r="B20370" t="s">
        <v>40</v>
      </c>
      <c r="C20370">
        <v>10541</v>
      </c>
      <c r="D20370" t="str">
        <f>"10541"</f>
        <v>10541</v>
      </c>
      <c r="E20370">
        <v>80.31</v>
      </c>
    </row>
    <row r="20371" spans="1:5" x14ac:dyDescent="0.2">
      <c r="A20371">
        <v>10542</v>
      </c>
      <c r="B20371" t="s">
        <v>40</v>
      </c>
      <c r="C20371">
        <v>10542</v>
      </c>
      <c r="D20371" t="str">
        <f>"10542"</f>
        <v>10542</v>
      </c>
      <c r="E20371" t="s">
        <v>6</v>
      </c>
    </row>
    <row r="20372" spans="1:5" x14ac:dyDescent="0.2">
      <c r="A20372">
        <v>10543</v>
      </c>
      <c r="B20372" t="s">
        <v>40</v>
      </c>
      <c r="C20372">
        <v>10543</v>
      </c>
      <c r="D20372" t="str">
        <f>"10543"</f>
        <v>10543</v>
      </c>
      <c r="E20372">
        <v>77.8</v>
      </c>
    </row>
    <row r="20373" spans="1:5" x14ac:dyDescent="0.2">
      <c r="A20373">
        <v>10546</v>
      </c>
      <c r="B20373" t="s">
        <v>40</v>
      </c>
      <c r="C20373">
        <v>10546</v>
      </c>
      <c r="D20373" t="str">
        <f>"10546"</f>
        <v>10546</v>
      </c>
      <c r="E20373">
        <v>81.430000000000007</v>
      </c>
    </row>
    <row r="20374" spans="1:5" x14ac:dyDescent="0.2">
      <c r="A20374">
        <v>10547</v>
      </c>
      <c r="B20374" t="s">
        <v>40</v>
      </c>
      <c r="C20374">
        <v>10547</v>
      </c>
      <c r="D20374" t="str">
        <f>"10547"</f>
        <v>10547</v>
      </c>
      <c r="E20374">
        <v>79.510000000000005</v>
      </c>
    </row>
    <row r="20375" spans="1:5" x14ac:dyDescent="0.2">
      <c r="A20375">
        <v>10548</v>
      </c>
      <c r="B20375" t="s">
        <v>40</v>
      </c>
      <c r="C20375">
        <v>10548</v>
      </c>
      <c r="D20375" t="str">
        <f>"10548"</f>
        <v>10548</v>
      </c>
      <c r="E20375">
        <v>79.39</v>
      </c>
    </row>
    <row r="20376" spans="1:5" x14ac:dyDescent="0.2">
      <c r="A20376">
        <v>10549</v>
      </c>
      <c r="B20376" t="s">
        <v>40</v>
      </c>
      <c r="C20376">
        <v>10549</v>
      </c>
      <c r="D20376" t="str">
        <f>"10549"</f>
        <v>10549</v>
      </c>
      <c r="E20376">
        <v>74.55</v>
      </c>
    </row>
    <row r="20377" spans="1:5" x14ac:dyDescent="0.2">
      <c r="A20377">
        <v>10550</v>
      </c>
      <c r="B20377" t="s">
        <v>40</v>
      </c>
      <c r="C20377">
        <v>10550</v>
      </c>
      <c r="D20377" t="str">
        <f>"10550"</f>
        <v>10550</v>
      </c>
      <c r="E20377">
        <v>64.430000000000007</v>
      </c>
    </row>
    <row r="20378" spans="1:5" x14ac:dyDescent="0.2">
      <c r="A20378">
        <v>10552</v>
      </c>
      <c r="B20378" t="s">
        <v>40</v>
      </c>
      <c r="C20378">
        <v>10552</v>
      </c>
      <c r="D20378" t="str">
        <f>"10552"</f>
        <v>10552</v>
      </c>
      <c r="E20378">
        <v>79.28</v>
      </c>
    </row>
    <row r="20379" spans="1:5" x14ac:dyDescent="0.2">
      <c r="A20379">
        <v>10553</v>
      </c>
      <c r="B20379" t="s">
        <v>40</v>
      </c>
      <c r="C20379">
        <v>10553</v>
      </c>
      <c r="D20379" t="str">
        <f>"10553"</f>
        <v>10553</v>
      </c>
      <c r="E20379">
        <v>71.38</v>
      </c>
    </row>
    <row r="20380" spans="1:5" x14ac:dyDescent="0.2">
      <c r="A20380">
        <v>10560</v>
      </c>
      <c r="B20380" t="s">
        <v>40</v>
      </c>
      <c r="C20380">
        <v>10560</v>
      </c>
      <c r="D20380" t="str">
        <f>"10560"</f>
        <v>10560</v>
      </c>
      <c r="E20380">
        <v>81.19</v>
      </c>
    </row>
    <row r="20381" spans="1:5" x14ac:dyDescent="0.2">
      <c r="A20381">
        <v>10562</v>
      </c>
      <c r="B20381" t="s">
        <v>40</v>
      </c>
      <c r="C20381">
        <v>10562</v>
      </c>
      <c r="D20381" t="str">
        <f>"10562"</f>
        <v>10562</v>
      </c>
      <c r="E20381">
        <v>74.81</v>
      </c>
    </row>
    <row r="20382" spans="1:5" x14ac:dyDescent="0.2">
      <c r="A20382">
        <v>10566</v>
      </c>
      <c r="B20382" t="s">
        <v>40</v>
      </c>
      <c r="C20382">
        <v>10566</v>
      </c>
      <c r="D20382" t="str">
        <f>"10566"</f>
        <v>10566</v>
      </c>
      <c r="E20382">
        <v>71.19</v>
      </c>
    </row>
    <row r="20383" spans="1:5" x14ac:dyDescent="0.2">
      <c r="A20383">
        <v>10567</v>
      </c>
      <c r="B20383" t="s">
        <v>40</v>
      </c>
      <c r="C20383">
        <v>10567</v>
      </c>
      <c r="D20383" t="str">
        <f>"10567"</f>
        <v>10567</v>
      </c>
      <c r="E20383">
        <v>81.42</v>
      </c>
    </row>
    <row r="20384" spans="1:5" x14ac:dyDescent="0.2">
      <c r="A20384">
        <v>10570</v>
      </c>
      <c r="B20384" t="s">
        <v>40</v>
      </c>
      <c r="C20384">
        <v>10570</v>
      </c>
      <c r="D20384" t="str">
        <f>"10570"</f>
        <v>10570</v>
      </c>
      <c r="E20384">
        <v>82.31</v>
      </c>
    </row>
    <row r="20385" spans="1:5" x14ac:dyDescent="0.2">
      <c r="A20385">
        <v>10573</v>
      </c>
      <c r="B20385" t="s">
        <v>40</v>
      </c>
      <c r="C20385">
        <v>10573</v>
      </c>
      <c r="D20385" t="str">
        <f>"10573"</f>
        <v>10573</v>
      </c>
      <c r="E20385">
        <v>70.290000000000006</v>
      </c>
    </row>
    <row r="20386" spans="1:5" x14ac:dyDescent="0.2">
      <c r="A20386">
        <v>10576</v>
      </c>
      <c r="B20386" t="s">
        <v>40</v>
      </c>
      <c r="C20386">
        <v>10576</v>
      </c>
      <c r="D20386" t="str">
        <f>"10576"</f>
        <v>10576</v>
      </c>
      <c r="E20386">
        <v>81.849999999999994</v>
      </c>
    </row>
    <row r="20387" spans="1:5" x14ac:dyDescent="0.2">
      <c r="A20387">
        <v>10577</v>
      </c>
      <c r="B20387" t="s">
        <v>40</v>
      </c>
      <c r="C20387">
        <v>10577</v>
      </c>
      <c r="D20387" t="str">
        <f>"10577"</f>
        <v>10577</v>
      </c>
      <c r="E20387">
        <v>81.94</v>
      </c>
    </row>
    <row r="20388" spans="1:5" x14ac:dyDescent="0.2">
      <c r="A20388">
        <v>10578</v>
      </c>
      <c r="B20388" t="s">
        <v>40</v>
      </c>
      <c r="C20388">
        <v>10578</v>
      </c>
      <c r="D20388" t="str">
        <f>"10578"</f>
        <v>10578</v>
      </c>
      <c r="E20388">
        <v>79.55</v>
      </c>
    </row>
    <row r="20389" spans="1:5" x14ac:dyDescent="0.2">
      <c r="A20389">
        <v>10579</v>
      </c>
      <c r="B20389" t="s">
        <v>40</v>
      </c>
      <c r="C20389">
        <v>10579</v>
      </c>
      <c r="D20389" t="str">
        <f>"10579"</f>
        <v>10579</v>
      </c>
      <c r="E20389">
        <v>82.61</v>
      </c>
    </row>
    <row r="20390" spans="1:5" x14ac:dyDescent="0.2">
      <c r="A20390">
        <v>10580</v>
      </c>
      <c r="B20390" t="s">
        <v>40</v>
      </c>
      <c r="C20390">
        <v>10580</v>
      </c>
      <c r="D20390" t="str">
        <f>"10580"</f>
        <v>10580</v>
      </c>
      <c r="E20390">
        <v>81.430000000000007</v>
      </c>
    </row>
    <row r="20391" spans="1:5" x14ac:dyDescent="0.2">
      <c r="A20391">
        <v>10583</v>
      </c>
      <c r="B20391" t="s">
        <v>40</v>
      </c>
      <c r="C20391">
        <v>10583</v>
      </c>
      <c r="D20391" t="str">
        <f>"10583"</f>
        <v>10583</v>
      </c>
      <c r="E20391">
        <v>83.74</v>
      </c>
    </row>
    <row r="20392" spans="1:5" x14ac:dyDescent="0.2">
      <c r="A20392">
        <v>10588</v>
      </c>
      <c r="B20392" t="s">
        <v>40</v>
      </c>
      <c r="C20392">
        <v>10588</v>
      </c>
      <c r="D20392" t="str">
        <f>"10588"</f>
        <v>10588</v>
      </c>
      <c r="E20392">
        <v>80.45</v>
      </c>
    </row>
    <row r="20393" spans="1:5" x14ac:dyDescent="0.2">
      <c r="A20393">
        <v>10589</v>
      </c>
      <c r="B20393" t="s">
        <v>40</v>
      </c>
      <c r="C20393">
        <v>10589</v>
      </c>
      <c r="D20393" t="str">
        <f>"10589"</f>
        <v>10589</v>
      </c>
      <c r="E20393">
        <v>84.13</v>
      </c>
    </row>
    <row r="20394" spans="1:5" x14ac:dyDescent="0.2">
      <c r="A20394">
        <v>10590</v>
      </c>
      <c r="B20394" t="s">
        <v>40</v>
      </c>
      <c r="C20394">
        <v>10590</v>
      </c>
      <c r="D20394" t="str">
        <f>"10590"</f>
        <v>10590</v>
      </c>
      <c r="E20394">
        <v>81.760000000000005</v>
      </c>
    </row>
    <row r="20395" spans="1:5" x14ac:dyDescent="0.2">
      <c r="A20395">
        <v>10591</v>
      </c>
      <c r="B20395" t="s">
        <v>40</v>
      </c>
      <c r="C20395">
        <v>10591</v>
      </c>
      <c r="D20395" t="str">
        <f>"10591"</f>
        <v>10591</v>
      </c>
      <c r="E20395">
        <v>75.98</v>
      </c>
    </row>
    <row r="20396" spans="1:5" x14ac:dyDescent="0.2">
      <c r="A20396">
        <v>10594</v>
      </c>
      <c r="B20396" t="s">
        <v>40</v>
      </c>
      <c r="C20396">
        <v>10594</v>
      </c>
      <c r="D20396" t="str">
        <f>"10594"</f>
        <v>10594</v>
      </c>
      <c r="E20396">
        <v>80.92</v>
      </c>
    </row>
    <row r="20397" spans="1:5" x14ac:dyDescent="0.2">
      <c r="A20397">
        <v>10595</v>
      </c>
      <c r="B20397" t="s">
        <v>40</v>
      </c>
      <c r="C20397">
        <v>10595</v>
      </c>
      <c r="D20397" t="str">
        <f>"10595"</f>
        <v>10595</v>
      </c>
      <c r="E20397">
        <v>81.459999999999994</v>
      </c>
    </row>
    <row r="20398" spans="1:5" x14ac:dyDescent="0.2">
      <c r="A20398">
        <v>10596</v>
      </c>
      <c r="B20398" t="s">
        <v>40</v>
      </c>
      <c r="C20398">
        <v>10596</v>
      </c>
      <c r="D20398" t="str">
        <f>"10596"</f>
        <v>10596</v>
      </c>
      <c r="E20398" t="s">
        <v>6</v>
      </c>
    </row>
    <row r="20399" spans="1:5" x14ac:dyDescent="0.2">
      <c r="A20399">
        <v>10597</v>
      </c>
      <c r="B20399" t="s">
        <v>40</v>
      </c>
      <c r="C20399">
        <v>10597</v>
      </c>
      <c r="D20399" t="str">
        <f>"10597"</f>
        <v>10597</v>
      </c>
      <c r="E20399">
        <v>78.430000000000007</v>
      </c>
    </row>
    <row r="20400" spans="1:5" x14ac:dyDescent="0.2">
      <c r="A20400">
        <v>10598</v>
      </c>
      <c r="B20400" t="s">
        <v>40</v>
      </c>
      <c r="C20400">
        <v>10598</v>
      </c>
      <c r="D20400" t="str">
        <f>"10598"</f>
        <v>10598</v>
      </c>
      <c r="E20400">
        <v>81.94</v>
      </c>
    </row>
    <row r="20401" spans="1:5" x14ac:dyDescent="0.2">
      <c r="A20401">
        <v>10601</v>
      </c>
      <c r="B20401" t="s">
        <v>40</v>
      </c>
      <c r="C20401">
        <v>10601</v>
      </c>
      <c r="D20401" t="str">
        <f>"10601"</f>
        <v>10601</v>
      </c>
      <c r="E20401">
        <v>77.290000000000006</v>
      </c>
    </row>
    <row r="20402" spans="1:5" x14ac:dyDescent="0.2">
      <c r="A20402">
        <v>10603</v>
      </c>
      <c r="B20402" t="s">
        <v>40</v>
      </c>
      <c r="C20402">
        <v>10603</v>
      </c>
      <c r="D20402" t="str">
        <f>"10603"</f>
        <v>10603</v>
      </c>
      <c r="E20402">
        <v>78.59</v>
      </c>
    </row>
    <row r="20403" spans="1:5" x14ac:dyDescent="0.2">
      <c r="A20403">
        <v>10604</v>
      </c>
      <c r="B20403" t="s">
        <v>40</v>
      </c>
      <c r="C20403">
        <v>10604</v>
      </c>
      <c r="D20403" t="str">
        <f>"10604"</f>
        <v>10604</v>
      </c>
      <c r="E20403">
        <v>75.739999999999995</v>
      </c>
    </row>
    <row r="20404" spans="1:5" x14ac:dyDescent="0.2">
      <c r="A20404">
        <v>10605</v>
      </c>
      <c r="B20404" t="s">
        <v>40</v>
      </c>
      <c r="C20404">
        <v>10605</v>
      </c>
      <c r="D20404" t="str">
        <f>"10605"</f>
        <v>10605</v>
      </c>
      <c r="E20404">
        <v>80.16</v>
      </c>
    </row>
    <row r="20405" spans="1:5" x14ac:dyDescent="0.2">
      <c r="A20405">
        <v>10606</v>
      </c>
      <c r="B20405" t="s">
        <v>40</v>
      </c>
      <c r="C20405">
        <v>10606</v>
      </c>
      <c r="D20405" t="str">
        <f>"10606"</f>
        <v>10606</v>
      </c>
      <c r="E20405">
        <v>70.53</v>
      </c>
    </row>
    <row r="20406" spans="1:5" x14ac:dyDescent="0.2">
      <c r="A20406">
        <v>10607</v>
      </c>
      <c r="B20406" t="s">
        <v>40</v>
      </c>
      <c r="C20406">
        <v>10607</v>
      </c>
      <c r="D20406" t="str">
        <f>"10607"</f>
        <v>10607</v>
      </c>
      <c r="E20406">
        <v>78.33</v>
      </c>
    </row>
    <row r="20407" spans="1:5" x14ac:dyDescent="0.2">
      <c r="A20407">
        <v>10701</v>
      </c>
      <c r="B20407" t="s">
        <v>40</v>
      </c>
      <c r="C20407">
        <v>10701</v>
      </c>
      <c r="D20407" t="str">
        <f>"10701"</f>
        <v>10701</v>
      </c>
      <c r="E20407">
        <v>64.41</v>
      </c>
    </row>
    <row r="20408" spans="1:5" x14ac:dyDescent="0.2">
      <c r="A20408">
        <v>10703</v>
      </c>
      <c r="B20408" t="s">
        <v>40</v>
      </c>
      <c r="C20408">
        <v>10703</v>
      </c>
      <c r="D20408" t="str">
        <f>"10703"</f>
        <v>10703</v>
      </c>
      <c r="E20408">
        <v>71.13</v>
      </c>
    </row>
    <row r="20409" spans="1:5" x14ac:dyDescent="0.2">
      <c r="A20409">
        <v>10704</v>
      </c>
      <c r="B20409" t="s">
        <v>40</v>
      </c>
      <c r="C20409">
        <v>10704</v>
      </c>
      <c r="D20409" t="str">
        <f>"10704"</f>
        <v>10704</v>
      </c>
      <c r="E20409">
        <v>77.69</v>
      </c>
    </row>
    <row r="20410" spans="1:5" x14ac:dyDescent="0.2">
      <c r="A20410">
        <v>10705</v>
      </c>
      <c r="B20410" t="s">
        <v>40</v>
      </c>
      <c r="C20410">
        <v>10705</v>
      </c>
      <c r="D20410" t="str">
        <f>"10705"</f>
        <v>10705</v>
      </c>
      <c r="E20410">
        <v>64.27</v>
      </c>
    </row>
    <row r="20411" spans="1:5" x14ac:dyDescent="0.2">
      <c r="A20411">
        <v>10706</v>
      </c>
      <c r="B20411" t="s">
        <v>40</v>
      </c>
      <c r="C20411">
        <v>10706</v>
      </c>
      <c r="D20411" t="str">
        <f>"10706"</f>
        <v>10706</v>
      </c>
      <c r="E20411">
        <v>82.86</v>
      </c>
    </row>
    <row r="20412" spans="1:5" x14ac:dyDescent="0.2">
      <c r="A20412">
        <v>10707</v>
      </c>
      <c r="B20412" t="s">
        <v>40</v>
      </c>
      <c r="C20412">
        <v>10707</v>
      </c>
      <c r="D20412" t="str">
        <f>"10707"</f>
        <v>10707</v>
      </c>
      <c r="E20412">
        <v>81.8</v>
      </c>
    </row>
    <row r="20413" spans="1:5" x14ac:dyDescent="0.2">
      <c r="A20413">
        <v>10708</v>
      </c>
      <c r="B20413" t="s">
        <v>40</v>
      </c>
      <c r="C20413">
        <v>10708</v>
      </c>
      <c r="D20413" t="str">
        <f>"10708"</f>
        <v>10708</v>
      </c>
      <c r="E20413">
        <v>84.81</v>
      </c>
    </row>
    <row r="20414" spans="1:5" x14ac:dyDescent="0.2">
      <c r="A20414">
        <v>10709</v>
      </c>
      <c r="B20414" t="s">
        <v>40</v>
      </c>
      <c r="C20414">
        <v>10709</v>
      </c>
      <c r="D20414" t="str">
        <f>"10709"</f>
        <v>10709</v>
      </c>
      <c r="E20414">
        <v>80.66</v>
      </c>
    </row>
    <row r="20415" spans="1:5" x14ac:dyDescent="0.2">
      <c r="A20415">
        <v>10710</v>
      </c>
      <c r="B20415" t="s">
        <v>40</v>
      </c>
      <c r="C20415">
        <v>10710</v>
      </c>
      <c r="D20415" t="str">
        <f>"10710"</f>
        <v>10710</v>
      </c>
      <c r="E20415">
        <v>80.47</v>
      </c>
    </row>
    <row r="20416" spans="1:5" x14ac:dyDescent="0.2">
      <c r="A20416">
        <v>10801</v>
      </c>
      <c r="B20416" t="s">
        <v>40</v>
      </c>
      <c r="C20416">
        <v>10801</v>
      </c>
      <c r="D20416" t="str">
        <f>"10801"</f>
        <v>10801</v>
      </c>
      <c r="E20416">
        <v>70.19</v>
      </c>
    </row>
    <row r="20417" spans="1:5" x14ac:dyDescent="0.2">
      <c r="A20417">
        <v>10802</v>
      </c>
      <c r="B20417" t="s">
        <v>40</v>
      </c>
      <c r="C20417">
        <v>10802</v>
      </c>
      <c r="D20417" t="str">
        <f>"10802"</f>
        <v>10802</v>
      </c>
      <c r="E20417" t="s">
        <v>6</v>
      </c>
    </row>
    <row r="20418" spans="1:5" x14ac:dyDescent="0.2">
      <c r="A20418">
        <v>10803</v>
      </c>
      <c r="B20418" t="s">
        <v>40</v>
      </c>
      <c r="C20418">
        <v>10803</v>
      </c>
      <c r="D20418" t="str">
        <f>"10803"</f>
        <v>10803</v>
      </c>
      <c r="E20418">
        <v>82.38</v>
      </c>
    </row>
    <row r="20419" spans="1:5" x14ac:dyDescent="0.2">
      <c r="A20419">
        <v>10804</v>
      </c>
      <c r="B20419" t="s">
        <v>40</v>
      </c>
      <c r="C20419">
        <v>10804</v>
      </c>
      <c r="D20419" t="str">
        <f>"10804"</f>
        <v>10804</v>
      </c>
      <c r="E20419">
        <v>82.46</v>
      </c>
    </row>
    <row r="20420" spans="1:5" x14ac:dyDescent="0.2">
      <c r="A20420">
        <v>10805</v>
      </c>
      <c r="B20420" t="s">
        <v>40</v>
      </c>
      <c r="C20420">
        <v>10805</v>
      </c>
      <c r="D20420" t="str">
        <f>"10805"</f>
        <v>10805</v>
      </c>
      <c r="E20420">
        <v>76.22</v>
      </c>
    </row>
    <row r="20421" spans="1:5" x14ac:dyDescent="0.2">
      <c r="A20421">
        <v>10901</v>
      </c>
      <c r="B20421" t="s">
        <v>40</v>
      </c>
      <c r="C20421">
        <v>10901</v>
      </c>
      <c r="D20421" t="str">
        <f>"10901"</f>
        <v>10901</v>
      </c>
      <c r="E20421">
        <v>75.98</v>
      </c>
    </row>
    <row r="20422" spans="1:5" x14ac:dyDescent="0.2">
      <c r="A20422">
        <v>10911</v>
      </c>
      <c r="B20422" t="s">
        <v>40</v>
      </c>
      <c r="C20422">
        <v>10911</v>
      </c>
      <c r="D20422" t="str">
        <f>"10911"</f>
        <v>10911</v>
      </c>
      <c r="E20422" t="s">
        <v>6</v>
      </c>
    </row>
    <row r="20423" spans="1:5" x14ac:dyDescent="0.2">
      <c r="A20423">
        <v>10913</v>
      </c>
      <c r="B20423" t="s">
        <v>40</v>
      </c>
      <c r="C20423">
        <v>10913</v>
      </c>
      <c r="D20423" t="str">
        <f>"10913"</f>
        <v>10913</v>
      </c>
      <c r="E20423">
        <v>80.989999999999995</v>
      </c>
    </row>
    <row r="20424" spans="1:5" x14ac:dyDescent="0.2">
      <c r="A20424">
        <v>10914</v>
      </c>
      <c r="B20424" t="s">
        <v>40</v>
      </c>
      <c r="C20424">
        <v>10914</v>
      </c>
      <c r="D20424" t="str">
        <f>"10914"</f>
        <v>10914</v>
      </c>
      <c r="E20424" t="s">
        <v>6</v>
      </c>
    </row>
    <row r="20425" spans="1:5" x14ac:dyDescent="0.2">
      <c r="A20425">
        <v>10916</v>
      </c>
      <c r="B20425" t="s">
        <v>40</v>
      </c>
      <c r="C20425">
        <v>10916</v>
      </c>
      <c r="D20425" t="str">
        <f>"10916"</f>
        <v>10916</v>
      </c>
      <c r="E20425">
        <v>81.650000000000006</v>
      </c>
    </row>
    <row r="20426" spans="1:5" x14ac:dyDescent="0.2">
      <c r="A20426">
        <v>10917</v>
      </c>
      <c r="B20426" t="s">
        <v>40</v>
      </c>
      <c r="C20426">
        <v>10917</v>
      </c>
      <c r="D20426" t="str">
        <f>"10917"</f>
        <v>10917</v>
      </c>
      <c r="E20426">
        <v>77.45</v>
      </c>
    </row>
    <row r="20427" spans="1:5" x14ac:dyDescent="0.2">
      <c r="A20427">
        <v>10918</v>
      </c>
      <c r="B20427" t="s">
        <v>40</v>
      </c>
      <c r="C20427">
        <v>10918</v>
      </c>
      <c r="D20427" t="str">
        <f>"10918"</f>
        <v>10918</v>
      </c>
      <c r="E20427">
        <v>79.69</v>
      </c>
    </row>
    <row r="20428" spans="1:5" x14ac:dyDescent="0.2">
      <c r="A20428">
        <v>10919</v>
      </c>
      <c r="B20428" t="s">
        <v>40</v>
      </c>
      <c r="C20428">
        <v>10919</v>
      </c>
      <c r="D20428" t="str">
        <f>"10919"</f>
        <v>10919</v>
      </c>
      <c r="E20428">
        <v>78.69</v>
      </c>
    </row>
    <row r="20429" spans="1:5" x14ac:dyDescent="0.2">
      <c r="A20429">
        <v>10920</v>
      </c>
      <c r="B20429" t="s">
        <v>40</v>
      </c>
      <c r="C20429">
        <v>10920</v>
      </c>
      <c r="D20429" t="str">
        <f>"10920"</f>
        <v>10920</v>
      </c>
      <c r="E20429">
        <v>79.39</v>
      </c>
    </row>
    <row r="20430" spans="1:5" x14ac:dyDescent="0.2">
      <c r="A20430">
        <v>10921</v>
      </c>
      <c r="B20430" t="s">
        <v>40</v>
      </c>
      <c r="C20430">
        <v>10921</v>
      </c>
      <c r="D20430" t="str">
        <f>"10921"</f>
        <v>10921</v>
      </c>
      <c r="E20430">
        <v>79.09</v>
      </c>
    </row>
    <row r="20431" spans="1:5" x14ac:dyDescent="0.2">
      <c r="A20431">
        <v>10922</v>
      </c>
      <c r="B20431" t="s">
        <v>40</v>
      </c>
      <c r="C20431">
        <v>10922</v>
      </c>
      <c r="D20431" t="str">
        <f>"10922"</f>
        <v>10922</v>
      </c>
      <c r="E20431" t="s">
        <v>6</v>
      </c>
    </row>
    <row r="20432" spans="1:5" x14ac:dyDescent="0.2">
      <c r="A20432">
        <v>10923</v>
      </c>
      <c r="B20432" t="s">
        <v>40</v>
      </c>
      <c r="C20432">
        <v>10923</v>
      </c>
      <c r="D20432" t="str">
        <f>"10923"</f>
        <v>10923</v>
      </c>
      <c r="E20432">
        <v>75.099999999999994</v>
      </c>
    </row>
    <row r="20433" spans="1:5" x14ac:dyDescent="0.2">
      <c r="A20433">
        <v>10924</v>
      </c>
      <c r="B20433" t="s">
        <v>40</v>
      </c>
      <c r="C20433">
        <v>10924</v>
      </c>
      <c r="D20433" t="str">
        <f>"10924"</f>
        <v>10924</v>
      </c>
      <c r="E20433">
        <v>78.959999999999994</v>
      </c>
    </row>
    <row r="20434" spans="1:5" x14ac:dyDescent="0.2">
      <c r="A20434">
        <v>10925</v>
      </c>
      <c r="B20434" t="s">
        <v>40</v>
      </c>
      <c r="C20434">
        <v>10925</v>
      </c>
      <c r="D20434" t="str">
        <f>"10925"</f>
        <v>10925</v>
      </c>
      <c r="E20434">
        <v>79.680000000000007</v>
      </c>
    </row>
    <row r="20435" spans="1:5" x14ac:dyDescent="0.2">
      <c r="A20435">
        <v>10926</v>
      </c>
      <c r="B20435" t="s">
        <v>40</v>
      </c>
      <c r="C20435">
        <v>10926</v>
      </c>
      <c r="D20435" t="str">
        <f>"10926"</f>
        <v>10926</v>
      </c>
      <c r="E20435">
        <v>78.06</v>
      </c>
    </row>
    <row r="20436" spans="1:5" x14ac:dyDescent="0.2">
      <c r="A20436">
        <v>10927</v>
      </c>
      <c r="B20436" t="s">
        <v>40</v>
      </c>
      <c r="C20436">
        <v>10927</v>
      </c>
      <c r="D20436" t="str">
        <f>"10927"</f>
        <v>10927</v>
      </c>
      <c r="E20436">
        <v>60.26</v>
      </c>
    </row>
    <row r="20437" spans="1:5" x14ac:dyDescent="0.2">
      <c r="A20437">
        <v>10928</v>
      </c>
      <c r="B20437" t="s">
        <v>40</v>
      </c>
      <c r="C20437">
        <v>10928</v>
      </c>
      <c r="D20437" t="str">
        <f>"10928"</f>
        <v>10928</v>
      </c>
      <c r="E20437">
        <v>76.55</v>
      </c>
    </row>
    <row r="20438" spans="1:5" x14ac:dyDescent="0.2">
      <c r="A20438">
        <v>10930</v>
      </c>
      <c r="B20438" t="s">
        <v>40</v>
      </c>
      <c r="C20438">
        <v>10930</v>
      </c>
      <c r="D20438" t="str">
        <f>"10930"</f>
        <v>10930</v>
      </c>
      <c r="E20438">
        <v>79.95</v>
      </c>
    </row>
    <row r="20439" spans="1:5" x14ac:dyDescent="0.2">
      <c r="A20439">
        <v>10931</v>
      </c>
      <c r="B20439" t="s">
        <v>40</v>
      </c>
      <c r="C20439">
        <v>10931</v>
      </c>
      <c r="D20439" t="str">
        <f>"10931"</f>
        <v>10931</v>
      </c>
      <c r="E20439">
        <v>72.55</v>
      </c>
    </row>
    <row r="20440" spans="1:5" x14ac:dyDescent="0.2">
      <c r="A20440">
        <v>10933</v>
      </c>
      <c r="B20440" t="s">
        <v>40</v>
      </c>
      <c r="C20440">
        <v>10933</v>
      </c>
      <c r="D20440" t="str">
        <f>"10933"</f>
        <v>10933</v>
      </c>
      <c r="E20440" t="s">
        <v>6</v>
      </c>
    </row>
    <row r="20441" spans="1:5" x14ac:dyDescent="0.2">
      <c r="A20441">
        <v>10940</v>
      </c>
      <c r="B20441" t="s">
        <v>40</v>
      </c>
      <c r="C20441">
        <v>10940</v>
      </c>
      <c r="D20441" t="str">
        <f>"10940"</f>
        <v>10940</v>
      </c>
      <c r="E20441">
        <v>71.02</v>
      </c>
    </row>
    <row r="20442" spans="1:5" x14ac:dyDescent="0.2">
      <c r="A20442">
        <v>10941</v>
      </c>
      <c r="B20442" t="s">
        <v>40</v>
      </c>
      <c r="C20442">
        <v>10941</v>
      </c>
      <c r="D20442" t="str">
        <f>"10941"</f>
        <v>10941</v>
      </c>
      <c r="E20442">
        <v>75.73</v>
      </c>
    </row>
    <row r="20443" spans="1:5" x14ac:dyDescent="0.2">
      <c r="A20443">
        <v>10950</v>
      </c>
      <c r="B20443" t="s">
        <v>40</v>
      </c>
      <c r="C20443">
        <v>10950</v>
      </c>
      <c r="D20443" t="str">
        <f>"10950"</f>
        <v>10950</v>
      </c>
      <c r="E20443">
        <v>60.68</v>
      </c>
    </row>
    <row r="20444" spans="1:5" x14ac:dyDescent="0.2">
      <c r="A20444">
        <v>10952</v>
      </c>
      <c r="B20444" t="s">
        <v>40</v>
      </c>
      <c r="C20444">
        <v>10952</v>
      </c>
      <c r="D20444" t="str">
        <f>"10952"</f>
        <v>10952</v>
      </c>
      <c r="E20444">
        <v>49.45</v>
      </c>
    </row>
    <row r="20445" spans="1:5" x14ac:dyDescent="0.2">
      <c r="A20445">
        <v>10953</v>
      </c>
      <c r="B20445" t="s">
        <v>40</v>
      </c>
      <c r="C20445">
        <v>10953</v>
      </c>
      <c r="D20445" t="str">
        <f>"10953"</f>
        <v>10953</v>
      </c>
      <c r="E20445" t="s">
        <v>6</v>
      </c>
    </row>
    <row r="20446" spans="1:5" x14ac:dyDescent="0.2">
      <c r="A20446">
        <v>10954</v>
      </c>
      <c r="B20446" t="s">
        <v>40</v>
      </c>
      <c r="C20446">
        <v>10954</v>
      </c>
      <c r="D20446" t="str">
        <f>"10954"</f>
        <v>10954</v>
      </c>
      <c r="E20446">
        <v>77.400000000000006</v>
      </c>
    </row>
    <row r="20447" spans="1:5" x14ac:dyDescent="0.2">
      <c r="A20447">
        <v>10956</v>
      </c>
      <c r="B20447" t="s">
        <v>40</v>
      </c>
      <c r="C20447">
        <v>10956</v>
      </c>
      <c r="D20447" t="str">
        <f>"10956"</f>
        <v>10956</v>
      </c>
      <c r="E20447">
        <v>79.89</v>
      </c>
    </row>
    <row r="20448" spans="1:5" x14ac:dyDescent="0.2">
      <c r="A20448">
        <v>10958</v>
      </c>
      <c r="B20448" t="s">
        <v>40</v>
      </c>
      <c r="C20448">
        <v>10958</v>
      </c>
      <c r="D20448" t="str">
        <f>"10958"</f>
        <v>10958</v>
      </c>
      <c r="E20448">
        <v>77.78</v>
      </c>
    </row>
    <row r="20449" spans="1:5" x14ac:dyDescent="0.2">
      <c r="A20449">
        <v>10960</v>
      </c>
      <c r="B20449" t="s">
        <v>40</v>
      </c>
      <c r="C20449">
        <v>10960</v>
      </c>
      <c r="D20449" t="str">
        <f>"10960"</f>
        <v>10960</v>
      </c>
      <c r="E20449">
        <v>77.44</v>
      </c>
    </row>
    <row r="20450" spans="1:5" x14ac:dyDescent="0.2">
      <c r="A20450">
        <v>10962</v>
      </c>
      <c r="B20450" t="s">
        <v>40</v>
      </c>
      <c r="C20450">
        <v>10962</v>
      </c>
      <c r="D20450" t="str">
        <f>"10962"</f>
        <v>10962</v>
      </c>
      <c r="E20450">
        <v>80.77</v>
      </c>
    </row>
    <row r="20451" spans="1:5" x14ac:dyDescent="0.2">
      <c r="A20451">
        <v>10963</v>
      </c>
      <c r="B20451" t="s">
        <v>40</v>
      </c>
      <c r="C20451">
        <v>10963</v>
      </c>
      <c r="D20451" t="str">
        <f>"10963"</f>
        <v>10963</v>
      </c>
      <c r="E20451">
        <v>76.61</v>
      </c>
    </row>
    <row r="20452" spans="1:5" x14ac:dyDescent="0.2">
      <c r="A20452">
        <v>10964</v>
      </c>
      <c r="B20452" t="s">
        <v>40</v>
      </c>
      <c r="C20452">
        <v>10964</v>
      </c>
      <c r="D20452" t="str">
        <f>"10964"</f>
        <v>10964</v>
      </c>
      <c r="E20452">
        <v>82.89</v>
      </c>
    </row>
    <row r="20453" spans="1:5" x14ac:dyDescent="0.2">
      <c r="A20453">
        <v>10965</v>
      </c>
      <c r="B20453" t="s">
        <v>40</v>
      </c>
      <c r="C20453">
        <v>10965</v>
      </c>
      <c r="D20453" t="str">
        <f>"10965"</f>
        <v>10965</v>
      </c>
      <c r="E20453">
        <v>80.92</v>
      </c>
    </row>
    <row r="20454" spans="1:5" x14ac:dyDescent="0.2">
      <c r="A20454">
        <v>10968</v>
      </c>
      <c r="B20454" t="s">
        <v>40</v>
      </c>
      <c r="C20454">
        <v>10968</v>
      </c>
      <c r="D20454" t="str">
        <f>"10968"</f>
        <v>10968</v>
      </c>
      <c r="E20454">
        <v>86.4</v>
      </c>
    </row>
    <row r="20455" spans="1:5" x14ac:dyDescent="0.2">
      <c r="A20455">
        <v>10969</v>
      </c>
      <c r="B20455" t="s">
        <v>40</v>
      </c>
      <c r="C20455">
        <v>10969</v>
      </c>
      <c r="D20455" t="str">
        <f>"10969"</f>
        <v>10969</v>
      </c>
      <c r="E20455">
        <v>75.81</v>
      </c>
    </row>
    <row r="20456" spans="1:5" x14ac:dyDescent="0.2">
      <c r="A20456">
        <v>10970</v>
      </c>
      <c r="B20456" t="s">
        <v>40</v>
      </c>
      <c r="C20456">
        <v>10970</v>
      </c>
      <c r="D20456" t="str">
        <f>"10970"</f>
        <v>10970</v>
      </c>
      <c r="E20456">
        <v>75.7</v>
      </c>
    </row>
    <row r="20457" spans="1:5" x14ac:dyDescent="0.2">
      <c r="A20457">
        <v>10973</v>
      </c>
      <c r="B20457" t="s">
        <v>40</v>
      </c>
      <c r="C20457">
        <v>10973</v>
      </c>
      <c r="D20457" t="str">
        <f>"10973"</f>
        <v>10973</v>
      </c>
      <c r="E20457">
        <v>79.650000000000006</v>
      </c>
    </row>
    <row r="20458" spans="1:5" x14ac:dyDescent="0.2">
      <c r="A20458">
        <v>10974</v>
      </c>
      <c r="B20458" t="s">
        <v>40</v>
      </c>
      <c r="C20458">
        <v>10974</v>
      </c>
      <c r="D20458" t="str">
        <f>"10974"</f>
        <v>10974</v>
      </c>
      <c r="E20458">
        <v>77.36</v>
      </c>
    </row>
    <row r="20459" spans="1:5" x14ac:dyDescent="0.2">
      <c r="A20459">
        <v>10975</v>
      </c>
      <c r="B20459" t="s">
        <v>40</v>
      </c>
      <c r="C20459">
        <v>10975</v>
      </c>
      <c r="D20459" t="str">
        <f>"10975"</f>
        <v>10975</v>
      </c>
      <c r="E20459">
        <v>75</v>
      </c>
    </row>
    <row r="20460" spans="1:5" x14ac:dyDescent="0.2">
      <c r="A20460">
        <v>10976</v>
      </c>
      <c r="B20460" t="s">
        <v>40</v>
      </c>
      <c r="C20460">
        <v>10976</v>
      </c>
      <c r="D20460" t="str">
        <f>"10976"</f>
        <v>10976</v>
      </c>
      <c r="E20460">
        <v>70.930000000000007</v>
      </c>
    </row>
    <row r="20461" spans="1:5" x14ac:dyDescent="0.2">
      <c r="A20461">
        <v>10977</v>
      </c>
      <c r="B20461" t="s">
        <v>40</v>
      </c>
      <c r="C20461">
        <v>10977</v>
      </c>
      <c r="D20461" t="str">
        <f>"10977"</f>
        <v>10977</v>
      </c>
      <c r="E20461">
        <v>54.58</v>
      </c>
    </row>
    <row r="20462" spans="1:5" x14ac:dyDescent="0.2">
      <c r="A20462">
        <v>10980</v>
      </c>
      <c r="B20462" t="s">
        <v>40</v>
      </c>
      <c r="C20462">
        <v>10980</v>
      </c>
      <c r="D20462" t="str">
        <f>"10980"</f>
        <v>10980</v>
      </c>
      <c r="E20462">
        <v>79.180000000000007</v>
      </c>
    </row>
    <row r="20463" spans="1:5" x14ac:dyDescent="0.2">
      <c r="A20463">
        <v>10983</v>
      </c>
      <c r="B20463" t="s">
        <v>40</v>
      </c>
      <c r="C20463">
        <v>10983</v>
      </c>
      <c r="D20463" t="str">
        <f>"10983"</f>
        <v>10983</v>
      </c>
      <c r="E20463">
        <v>81.209999999999994</v>
      </c>
    </row>
    <row r="20464" spans="1:5" x14ac:dyDescent="0.2">
      <c r="A20464">
        <v>10984</v>
      </c>
      <c r="B20464" t="s">
        <v>40</v>
      </c>
      <c r="C20464">
        <v>10984</v>
      </c>
      <c r="D20464" t="str">
        <f>"10984"</f>
        <v>10984</v>
      </c>
      <c r="E20464">
        <v>79.7</v>
      </c>
    </row>
    <row r="20465" spans="1:5" x14ac:dyDescent="0.2">
      <c r="A20465">
        <v>10985</v>
      </c>
      <c r="B20465" t="s">
        <v>40</v>
      </c>
      <c r="C20465">
        <v>10985</v>
      </c>
      <c r="D20465" t="str">
        <f>"10985"</f>
        <v>10985</v>
      </c>
      <c r="E20465">
        <v>75</v>
      </c>
    </row>
    <row r="20466" spans="1:5" x14ac:dyDescent="0.2">
      <c r="A20466">
        <v>10986</v>
      </c>
      <c r="B20466" t="s">
        <v>40</v>
      </c>
      <c r="C20466">
        <v>10986</v>
      </c>
      <c r="D20466" t="str">
        <f>"10986"</f>
        <v>10986</v>
      </c>
      <c r="E20466">
        <v>78.349999999999994</v>
      </c>
    </row>
    <row r="20467" spans="1:5" x14ac:dyDescent="0.2">
      <c r="A20467">
        <v>10987</v>
      </c>
      <c r="B20467" t="s">
        <v>40</v>
      </c>
      <c r="C20467">
        <v>10987</v>
      </c>
      <c r="D20467" t="str">
        <f>"10987"</f>
        <v>10987</v>
      </c>
      <c r="E20467">
        <v>72.73</v>
      </c>
    </row>
    <row r="20468" spans="1:5" x14ac:dyDescent="0.2">
      <c r="A20468">
        <v>10988</v>
      </c>
      <c r="B20468" t="s">
        <v>40</v>
      </c>
      <c r="C20468">
        <v>10988</v>
      </c>
      <c r="D20468" t="str">
        <f>"10988"</f>
        <v>10988</v>
      </c>
      <c r="E20468" t="s">
        <v>6</v>
      </c>
    </row>
    <row r="20469" spans="1:5" x14ac:dyDescent="0.2">
      <c r="A20469">
        <v>10989</v>
      </c>
      <c r="B20469" t="s">
        <v>40</v>
      </c>
      <c r="C20469">
        <v>10989</v>
      </c>
      <c r="D20469" t="str">
        <f>"10989"</f>
        <v>10989</v>
      </c>
      <c r="E20469">
        <v>81.27</v>
      </c>
    </row>
    <row r="20470" spans="1:5" x14ac:dyDescent="0.2">
      <c r="A20470">
        <v>10990</v>
      </c>
      <c r="B20470" t="s">
        <v>40</v>
      </c>
      <c r="C20470">
        <v>10990</v>
      </c>
      <c r="D20470" t="str">
        <f>"10990"</f>
        <v>10990</v>
      </c>
      <c r="E20470">
        <v>79.959999999999994</v>
      </c>
    </row>
    <row r="20471" spans="1:5" x14ac:dyDescent="0.2">
      <c r="A20471">
        <v>10992</v>
      </c>
      <c r="B20471" t="s">
        <v>40</v>
      </c>
      <c r="C20471">
        <v>10992</v>
      </c>
      <c r="D20471" t="str">
        <f>"10992"</f>
        <v>10992</v>
      </c>
      <c r="E20471">
        <v>80.42</v>
      </c>
    </row>
    <row r="20472" spans="1:5" x14ac:dyDescent="0.2">
      <c r="A20472">
        <v>10993</v>
      </c>
      <c r="B20472" t="s">
        <v>40</v>
      </c>
      <c r="C20472">
        <v>10993</v>
      </c>
      <c r="D20472" t="str">
        <f>"10993"</f>
        <v>10993</v>
      </c>
      <c r="E20472">
        <v>69.77</v>
      </c>
    </row>
    <row r="20473" spans="1:5" x14ac:dyDescent="0.2">
      <c r="A20473">
        <v>10994</v>
      </c>
      <c r="B20473" t="s">
        <v>40</v>
      </c>
      <c r="C20473">
        <v>10994</v>
      </c>
      <c r="D20473" t="str">
        <f>"10994"</f>
        <v>10994</v>
      </c>
      <c r="E20473">
        <v>80.94</v>
      </c>
    </row>
    <row r="20474" spans="1:5" x14ac:dyDescent="0.2">
      <c r="A20474">
        <v>10996</v>
      </c>
      <c r="B20474" t="s">
        <v>40</v>
      </c>
      <c r="C20474">
        <v>10996</v>
      </c>
      <c r="D20474" t="str">
        <f>"10996"</f>
        <v>10996</v>
      </c>
      <c r="E20474">
        <v>76.72</v>
      </c>
    </row>
    <row r="20475" spans="1:5" x14ac:dyDescent="0.2">
      <c r="A20475">
        <v>10998</v>
      </c>
      <c r="B20475" t="s">
        <v>40</v>
      </c>
      <c r="C20475">
        <v>10998</v>
      </c>
      <c r="D20475" t="str">
        <f>"10998"</f>
        <v>10998</v>
      </c>
      <c r="E20475">
        <v>79.38</v>
      </c>
    </row>
    <row r="20476" spans="1:5" x14ac:dyDescent="0.2">
      <c r="A20476">
        <v>11001</v>
      </c>
      <c r="B20476" t="s">
        <v>40</v>
      </c>
      <c r="C20476">
        <v>11001</v>
      </c>
      <c r="D20476" t="str">
        <f>"11001"</f>
        <v>11001</v>
      </c>
      <c r="E20476">
        <v>78.28</v>
      </c>
    </row>
    <row r="20477" spans="1:5" x14ac:dyDescent="0.2">
      <c r="A20477">
        <v>11003</v>
      </c>
      <c r="B20477" t="s">
        <v>40</v>
      </c>
      <c r="C20477">
        <v>11003</v>
      </c>
      <c r="D20477" t="str">
        <f>"11003"</f>
        <v>11003</v>
      </c>
      <c r="E20477">
        <v>72.06</v>
      </c>
    </row>
    <row r="20478" spans="1:5" x14ac:dyDescent="0.2">
      <c r="A20478">
        <v>11004</v>
      </c>
      <c r="B20478" t="s">
        <v>40</v>
      </c>
      <c r="C20478">
        <v>11004</v>
      </c>
      <c r="D20478" t="str">
        <f>"11004"</f>
        <v>11004</v>
      </c>
      <c r="E20478">
        <v>75.98</v>
      </c>
    </row>
    <row r="20479" spans="1:5" x14ac:dyDescent="0.2">
      <c r="A20479">
        <v>11005</v>
      </c>
      <c r="B20479" t="s">
        <v>40</v>
      </c>
      <c r="C20479">
        <v>11005</v>
      </c>
      <c r="D20479" t="str">
        <f>"11005"</f>
        <v>11005</v>
      </c>
      <c r="E20479">
        <v>82.31</v>
      </c>
    </row>
    <row r="20480" spans="1:5" x14ac:dyDescent="0.2">
      <c r="A20480">
        <v>11010</v>
      </c>
      <c r="B20480" t="s">
        <v>40</v>
      </c>
      <c r="C20480">
        <v>11010</v>
      </c>
      <c r="D20480" t="str">
        <f>"11010"</f>
        <v>11010</v>
      </c>
      <c r="E20480">
        <v>79.66</v>
      </c>
    </row>
    <row r="20481" spans="1:5" x14ac:dyDescent="0.2">
      <c r="A20481">
        <v>11020</v>
      </c>
      <c r="B20481" t="s">
        <v>40</v>
      </c>
      <c r="C20481">
        <v>11020</v>
      </c>
      <c r="D20481" t="str">
        <f>"11020"</f>
        <v>11020</v>
      </c>
      <c r="E20481">
        <v>74.010000000000005</v>
      </c>
    </row>
    <row r="20482" spans="1:5" x14ac:dyDescent="0.2">
      <c r="A20482">
        <v>11021</v>
      </c>
      <c r="B20482" t="s">
        <v>40</v>
      </c>
      <c r="C20482">
        <v>11021</v>
      </c>
      <c r="D20482" t="str">
        <f>"11021"</f>
        <v>11021</v>
      </c>
      <c r="E20482">
        <v>80.06</v>
      </c>
    </row>
    <row r="20483" spans="1:5" x14ac:dyDescent="0.2">
      <c r="A20483">
        <v>11023</v>
      </c>
      <c r="B20483" t="s">
        <v>40</v>
      </c>
      <c r="C20483">
        <v>11023</v>
      </c>
      <c r="D20483" t="str">
        <f>"11023"</f>
        <v>11023</v>
      </c>
      <c r="E20483">
        <v>74.819999999999993</v>
      </c>
    </row>
    <row r="20484" spans="1:5" x14ac:dyDescent="0.2">
      <c r="A20484">
        <v>11024</v>
      </c>
      <c r="B20484" t="s">
        <v>40</v>
      </c>
      <c r="C20484">
        <v>11024</v>
      </c>
      <c r="D20484" t="str">
        <f>"11024"</f>
        <v>11024</v>
      </c>
      <c r="E20484">
        <v>74.209999999999994</v>
      </c>
    </row>
    <row r="20485" spans="1:5" x14ac:dyDescent="0.2">
      <c r="A20485">
        <v>11030</v>
      </c>
      <c r="B20485" t="s">
        <v>40</v>
      </c>
      <c r="C20485">
        <v>11030</v>
      </c>
      <c r="D20485" t="str">
        <f>"11030"</f>
        <v>11030</v>
      </c>
      <c r="E20485">
        <v>82.01</v>
      </c>
    </row>
    <row r="20486" spans="1:5" x14ac:dyDescent="0.2">
      <c r="A20486">
        <v>11040</v>
      </c>
      <c r="B20486" t="s">
        <v>40</v>
      </c>
      <c r="C20486">
        <v>11040</v>
      </c>
      <c r="D20486" t="str">
        <f>"11040"</f>
        <v>11040</v>
      </c>
      <c r="E20486">
        <v>78.790000000000006</v>
      </c>
    </row>
    <row r="20487" spans="1:5" x14ac:dyDescent="0.2">
      <c r="A20487">
        <v>11042</v>
      </c>
      <c r="B20487" t="s">
        <v>40</v>
      </c>
      <c r="C20487">
        <v>11042</v>
      </c>
      <c r="D20487" t="str">
        <f>"11042"</f>
        <v>11042</v>
      </c>
      <c r="E20487" t="s">
        <v>6</v>
      </c>
    </row>
    <row r="20488" spans="1:5" x14ac:dyDescent="0.2">
      <c r="A20488">
        <v>11050</v>
      </c>
      <c r="B20488" t="s">
        <v>40</v>
      </c>
      <c r="C20488">
        <v>11050</v>
      </c>
      <c r="D20488" t="str">
        <f>"11050"</f>
        <v>11050</v>
      </c>
      <c r="E20488">
        <v>78.17</v>
      </c>
    </row>
    <row r="20489" spans="1:5" x14ac:dyDescent="0.2">
      <c r="A20489">
        <v>11096</v>
      </c>
      <c r="B20489" t="s">
        <v>40</v>
      </c>
      <c r="C20489">
        <v>11096</v>
      </c>
      <c r="D20489" t="str">
        <f>"11096"</f>
        <v>11096</v>
      </c>
      <c r="E20489">
        <v>60.6</v>
      </c>
    </row>
    <row r="20490" spans="1:5" x14ac:dyDescent="0.2">
      <c r="A20490">
        <v>11101</v>
      </c>
      <c r="B20490" t="s">
        <v>40</v>
      </c>
      <c r="C20490">
        <v>11101</v>
      </c>
      <c r="D20490" t="str">
        <f>"11101"</f>
        <v>11101</v>
      </c>
      <c r="E20490">
        <v>78.23</v>
      </c>
    </row>
    <row r="20491" spans="1:5" x14ac:dyDescent="0.2">
      <c r="A20491">
        <v>11102</v>
      </c>
      <c r="B20491" t="s">
        <v>40</v>
      </c>
      <c r="C20491">
        <v>11102</v>
      </c>
      <c r="D20491" t="str">
        <f>"11102"</f>
        <v>11102</v>
      </c>
      <c r="E20491">
        <v>74.14</v>
      </c>
    </row>
    <row r="20492" spans="1:5" x14ac:dyDescent="0.2">
      <c r="A20492">
        <v>11103</v>
      </c>
      <c r="B20492" t="s">
        <v>40</v>
      </c>
      <c r="C20492">
        <v>11103</v>
      </c>
      <c r="D20492" t="str">
        <f>"11103"</f>
        <v>11103</v>
      </c>
      <c r="E20492">
        <v>75.89</v>
      </c>
    </row>
    <row r="20493" spans="1:5" x14ac:dyDescent="0.2">
      <c r="A20493">
        <v>11104</v>
      </c>
      <c r="B20493" t="s">
        <v>40</v>
      </c>
      <c r="C20493">
        <v>11104</v>
      </c>
      <c r="D20493" t="str">
        <f>"11104"</f>
        <v>11104</v>
      </c>
      <c r="E20493">
        <v>74.09</v>
      </c>
    </row>
    <row r="20494" spans="1:5" x14ac:dyDescent="0.2">
      <c r="A20494">
        <v>11105</v>
      </c>
      <c r="B20494" t="s">
        <v>40</v>
      </c>
      <c r="C20494">
        <v>11105</v>
      </c>
      <c r="D20494" t="str">
        <f>"11105"</f>
        <v>11105</v>
      </c>
      <c r="E20494">
        <v>76.819999999999993</v>
      </c>
    </row>
    <row r="20495" spans="1:5" x14ac:dyDescent="0.2">
      <c r="A20495">
        <v>11106</v>
      </c>
      <c r="B20495" t="s">
        <v>40</v>
      </c>
      <c r="C20495">
        <v>11106</v>
      </c>
      <c r="D20495" t="str">
        <f>"11106"</f>
        <v>11106</v>
      </c>
      <c r="E20495">
        <v>74.53</v>
      </c>
    </row>
    <row r="20496" spans="1:5" x14ac:dyDescent="0.2">
      <c r="A20496">
        <v>11109</v>
      </c>
      <c r="B20496" t="s">
        <v>40</v>
      </c>
      <c r="C20496">
        <v>11109</v>
      </c>
      <c r="D20496" t="str">
        <f>"11109"</f>
        <v>11109</v>
      </c>
      <c r="E20496">
        <v>93.59</v>
      </c>
    </row>
    <row r="20497" spans="1:5" x14ac:dyDescent="0.2">
      <c r="A20497">
        <v>11201</v>
      </c>
      <c r="B20497" t="s">
        <v>40</v>
      </c>
      <c r="C20497">
        <v>11201</v>
      </c>
      <c r="D20497" t="str">
        <f>"11201"</f>
        <v>11201</v>
      </c>
      <c r="E20497">
        <v>86.41</v>
      </c>
    </row>
    <row r="20498" spans="1:5" x14ac:dyDescent="0.2">
      <c r="A20498">
        <v>11203</v>
      </c>
      <c r="B20498" t="s">
        <v>40</v>
      </c>
      <c r="C20498">
        <v>11203</v>
      </c>
      <c r="D20498" t="str">
        <f>"11203"</f>
        <v>11203</v>
      </c>
      <c r="E20498">
        <v>67.459999999999994</v>
      </c>
    </row>
    <row r="20499" spans="1:5" x14ac:dyDescent="0.2">
      <c r="A20499">
        <v>11204</v>
      </c>
      <c r="B20499" t="s">
        <v>40</v>
      </c>
      <c r="C20499">
        <v>11204</v>
      </c>
      <c r="D20499" t="str">
        <f>"11204"</f>
        <v>11204</v>
      </c>
      <c r="E20499">
        <v>54.65</v>
      </c>
    </row>
    <row r="20500" spans="1:5" x14ac:dyDescent="0.2">
      <c r="A20500">
        <v>11205</v>
      </c>
      <c r="B20500" t="s">
        <v>40</v>
      </c>
      <c r="C20500">
        <v>11205</v>
      </c>
      <c r="D20500" t="str">
        <f>"11205"</f>
        <v>11205</v>
      </c>
      <c r="E20500">
        <v>69.11</v>
      </c>
    </row>
    <row r="20501" spans="1:5" x14ac:dyDescent="0.2">
      <c r="A20501">
        <v>11206</v>
      </c>
      <c r="B20501" t="s">
        <v>40</v>
      </c>
      <c r="C20501">
        <v>11206</v>
      </c>
      <c r="D20501" t="str">
        <f>"11206"</f>
        <v>11206</v>
      </c>
      <c r="E20501">
        <v>63.35</v>
      </c>
    </row>
    <row r="20502" spans="1:5" x14ac:dyDescent="0.2">
      <c r="A20502">
        <v>11207</v>
      </c>
      <c r="B20502" t="s">
        <v>40</v>
      </c>
      <c r="C20502">
        <v>11207</v>
      </c>
      <c r="D20502" t="str">
        <f>"11207"</f>
        <v>11207</v>
      </c>
      <c r="E20502">
        <v>59.82</v>
      </c>
    </row>
    <row r="20503" spans="1:5" x14ac:dyDescent="0.2">
      <c r="A20503">
        <v>11208</v>
      </c>
      <c r="B20503" t="s">
        <v>40</v>
      </c>
      <c r="C20503">
        <v>11208</v>
      </c>
      <c r="D20503" t="str">
        <f>"11208"</f>
        <v>11208</v>
      </c>
      <c r="E20503">
        <v>56.11</v>
      </c>
    </row>
    <row r="20504" spans="1:5" x14ac:dyDescent="0.2">
      <c r="A20504">
        <v>11209</v>
      </c>
      <c r="B20504" t="s">
        <v>40</v>
      </c>
      <c r="C20504">
        <v>11209</v>
      </c>
      <c r="D20504" t="str">
        <f>"11209"</f>
        <v>11209</v>
      </c>
      <c r="E20504">
        <v>74.72</v>
      </c>
    </row>
    <row r="20505" spans="1:5" x14ac:dyDescent="0.2">
      <c r="A20505">
        <v>11210</v>
      </c>
      <c r="B20505" t="s">
        <v>40</v>
      </c>
      <c r="C20505">
        <v>11210</v>
      </c>
      <c r="D20505" t="str">
        <f>"11210"</f>
        <v>11210</v>
      </c>
      <c r="E20505">
        <v>68.33</v>
      </c>
    </row>
    <row r="20506" spans="1:5" x14ac:dyDescent="0.2">
      <c r="A20506">
        <v>11211</v>
      </c>
      <c r="B20506" t="s">
        <v>40</v>
      </c>
      <c r="C20506">
        <v>11211</v>
      </c>
      <c r="D20506" t="str">
        <f>"11211"</f>
        <v>11211</v>
      </c>
      <c r="E20506">
        <v>74.56</v>
      </c>
    </row>
    <row r="20507" spans="1:5" x14ac:dyDescent="0.2">
      <c r="A20507">
        <v>11212</v>
      </c>
      <c r="B20507" t="s">
        <v>40</v>
      </c>
      <c r="C20507">
        <v>11212</v>
      </c>
      <c r="D20507" t="str">
        <f>"11212"</f>
        <v>11212</v>
      </c>
      <c r="E20507">
        <v>57.01</v>
      </c>
    </row>
    <row r="20508" spans="1:5" x14ac:dyDescent="0.2">
      <c r="A20508">
        <v>11213</v>
      </c>
      <c r="B20508" t="s">
        <v>40</v>
      </c>
      <c r="C20508">
        <v>11213</v>
      </c>
      <c r="D20508" t="str">
        <f>"11213"</f>
        <v>11213</v>
      </c>
      <c r="E20508">
        <v>64.77</v>
      </c>
    </row>
    <row r="20509" spans="1:5" x14ac:dyDescent="0.2">
      <c r="A20509">
        <v>11214</v>
      </c>
      <c r="B20509" t="s">
        <v>40</v>
      </c>
      <c r="C20509">
        <v>11214</v>
      </c>
      <c r="D20509" t="str">
        <f>"11214"</f>
        <v>11214</v>
      </c>
      <c r="E20509">
        <v>58.59</v>
      </c>
    </row>
    <row r="20510" spans="1:5" x14ac:dyDescent="0.2">
      <c r="A20510">
        <v>11215</v>
      </c>
      <c r="B20510" t="s">
        <v>40</v>
      </c>
      <c r="C20510">
        <v>11215</v>
      </c>
      <c r="D20510" t="str">
        <f>"11215"</f>
        <v>11215</v>
      </c>
      <c r="E20510">
        <v>86.93</v>
      </c>
    </row>
    <row r="20511" spans="1:5" x14ac:dyDescent="0.2">
      <c r="A20511">
        <v>11216</v>
      </c>
      <c r="B20511" t="s">
        <v>40</v>
      </c>
      <c r="C20511">
        <v>11216</v>
      </c>
      <c r="D20511" t="str">
        <f>"11216"</f>
        <v>11216</v>
      </c>
      <c r="E20511">
        <v>76.59</v>
      </c>
    </row>
    <row r="20512" spans="1:5" x14ac:dyDescent="0.2">
      <c r="A20512">
        <v>11217</v>
      </c>
      <c r="B20512" t="s">
        <v>40</v>
      </c>
      <c r="C20512">
        <v>11217</v>
      </c>
      <c r="D20512" t="str">
        <f>"11217"</f>
        <v>11217</v>
      </c>
      <c r="E20512">
        <v>84.8</v>
      </c>
    </row>
    <row r="20513" spans="1:5" x14ac:dyDescent="0.2">
      <c r="A20513">
        <v>11218</v>
      </c>
      <c r="B20513" t="s">
        <v>40</v>
      </c>
      <c r="C20513">
        <v>11218</v>
      </c>
      <c r="D20513" t="str">
        <f>"11218"</f>
        <v>11218</v>
      </c>
      <c r="E20513">
        <v>64.95</v>
      </c>
    </row>
    <row r="20514" spans="1:5" x14ac:dyDescent="0.2">
      <c r="A20514">
        <v>11219</v>
      </c>
      <c r="B20514" t="s">
        <v>40</v>
      </c>
      <c r="C20514">
        <v>11219</v>
      </c>
      <c r="D20514" t="str">
        <f>"11219"</f>
        <v>11219</v>
      </c>
      <c r="E20514">
        <v>41.73</v>
      </c>
    </row>
    <row r="20515" spans="1:5" x14ac:dyDescent="0.2">
      <c r="A20515">
        <v>11220</v>
      </c>
      <c r="B20515" t="s">
        <v>40</v>
      </c>
      <c r="C20515">
        <v>11220</v>
      </c>
      <c r="D20515" t="str">
        <f>"11220"</f>
        <v>11220</v>
      </c>
      <c r="E20515">
        <v>44.21</v>
      </c>
    </row>
    <row r="20516" spans="1:5" x14ac:dyDescent="0.2">
      <c r="A20516">
        <v>11221</v>
      </c>
      <c r="B20516" t="s">
        <v>40</v>
      </c>
      <c r="C20516">
        <v>11221</v>
      </c>
      <c r="D20516" t="str">
        <f>"11221"</f>
        <v>11221</v>
      </c>
      <c r="E20516">
        <v>70.290000000000006</v>
      </c>
    </row>
    <row r="20517" spans="1:5" x14ac:dyDescent="0.2">
      <c r="A20517">
        <v>11222</v>
      </c>
      <c r="B20517" t="s">
        <v>40</v>
      </c>
      <c r="C20517">
        <v>11222</v>
      </c>
      <c r="D20517" t="str">
        <f>"11222"</f>
        <v>11222</v>
      </c>
      <c r="E20517">
        <v>84.1</v>
      </c>
    </row>
    <row r="20518" spans="1:5" x14ac:dyDescent="0.2">
      <c r="A20518">
        <v>11223</v>
      </c>
      <c r="B20518" t="s">
        <v>40</v>
      </c>
      <c r="C20518">
        <v>11223</v>
      </c>
      <c r="D20518" t="str">
        <f>"11223"</f>
        <v>11223</v>
      </c>
      <c r="E20518">
        <v>59.68</v>
      </c>
    </row>
    <row r="20519" spans="1:5" x14ac:dyDescent="0.2">
      <c r="A20519">
        <v>11224</v>
      </c>
      <c r="B20519" t="s">
        <v>40</v>
      </c>
      <c r="C20519">
        <v>11224</v>
      </c>
      <c r="D20519" t="str">
        <f>"11224"</f>
        <v>11224</v>
      </c>
      <c r="E20519">
        <v>60.83</v>
      </c>
    </row>
    <row r="20520" spans="1:5" x14ac:dyDescent="0.2">
      <c r="A20520">
        <v>11225</v>
      </c>
      <c r="B20520" t="s">
        <v>40</v>
      </c>
      <c r="C20520">
        <v>11225</v>
      </c>
      <c r="D20520" t="str">
        <f>"11225"</f>
        <v>11225</v>
      </c>
      <c r="E20520">
        <v>72.680000000000007</v>
      </c>
    </row>
    <row r="20521" spans="1:5" x14ac:dyDescent="0.2">
      <c r="A20521">
        <v>11226</v>
      </c>
      <c r="B20521" t="s">
        <v>40</v>
      </c>
      <c r="C20521">
        <v>11226</v>
      </c>
      <c r="D20521" t="str">
        <f>"11226"</f>
        <v>11226</v>
      </c>
      <c r="E20521">
        <v>67.489999999999995</v>
      </c>
    </row>
    <row r="20522" spans="1:5" x14ac:dyDescent="0.2">
      <c r="A20522">
        <v>11228</v>
      </c>
      <c r="B20522" t="s">
        <v>40</v>
      </c>
      <c r="C20522">
        <v>11228</v>
      </c>
      <c r="D20522" t="str">
        <f>"11228"</f>
        <v>11228</v>
      </c>
      <c r="E20522">
        <v>64.040000000000006</v>
      </c>
    </row>
    <row r="20523" spans="1:5" x14ac:dyDescent="0.2">
      <c r="A20523">
        <v>11229</v>
      </c>
      <c r="B20523" t="s">
        <v>40</v>
      </c>
      <c r="C20523">
        <v>11229</v>
      </c>
      <c r="D20523" t="str">
        <f>"11229"</f>
        <v>11229</v>
      </c>
      <c r="E20523">
        <v>65.92</v>
      </c>
    </row>
    <row r="20524" spans="1:5" x14ac:dyDescent="0.2">
      <c r="A20524">
        <v>11230</v>
      </c>
      <c r="B20524" t="s">
        <v>40</v>
      </c>
      <c r="C20524">
        <v>11230</v>
      </c>
      <c r="D20524" t="str">
        <f>"11230"</f>
        <v>11230</v>
      </c>
      <c r="E20524">
        <v>62.22</v>
      </c>
    </row>
    <row r="20525" spans="1:5" x14ac:dyDescent="0.2">
      <c r="A20525">
        <v>11231</v>
      </c>
      <c r="B20525" t="s">
        <v>40</v>
      </c>
      <c r="C20525">
        <v>11231</v>
      </c>
      <c r="D20525" t="str">
        <f>"11231"</f>
        <v>11231</v>
      </c>
      <c r="E20525">
        <v>81.16</v>
      </c>
    </row>
    <row r="20526" spans="1:5" x14ac:dyDescent="0.2">
      <c r="A20526">
        <v>11232</v>
      </c>
      <c r="B20526" t="s">
        <v>40</v>
      </c>
      <c r="C20526">
        <v>11232</v>
      </c>
      <c r="D20526" t="str">
        <f>"11232"</f>
        <v>11232</v>
      </c>
      <c r="E20526">
        <v>60.5</v>
      </c>
    </row>
    <row r="20527" spans="1:5" x14ac:dyDescent="0.2">
      <c r="A20527">
        <v>11233</v>
      </c>
      <c r="B20527" t="s">
        <v>40</v>
      </c>
      <c r="C20527">
        <v>11233</v>
      </c>
      <c r="D20527" t="str">
        <f>"11233"</f>
        <v>11233</v>
      </c>
      <c r="E20527">
        <v>66.48</v>
      </c>
    </row>
    <row r="20528" spans="1:5" x14ac:dyDescent="0.2">
      <c r="A20528">
        <v>11234</v>
      </c>
      <c r="B20528" t="s">
        <v>40</v>
      </c>
      <c r="C20528">
        <v>11234</v>
      </c>
      <c r="D20528" t="str">
        <f>"11234"</f>
        <v>11234</v>
      </c>
      <c r="E20528">
        <v>72.98</v>
      </c>
    </row>
    <row r="20529" spans="1:5" x14ac:dyDescent="0.2">
      <c r="A20529">
        <v>11235</v>
      </c>
      <c r="B20529" t="s">
        <v>40</v>
      </c>
      <c r="C20529">
        <v>11235</v>
      </c>
      <c r="D20529" t="str">
        <f>"11235"</f>
        <v>11235</v>
      </c>
      <c r="E20529">
        <v>64.62</v>
      </c>
    </row>
    <row r="20530" spans="1:5" x14ac:dyDescent="0.2">
      <c r="A20530">
        <v>11236</v>
      </c>
      <c r="B20530" t="s">
        <v>40</v>
      </c>
      <c r="C20530">
        <v>11236</v>
      </c>
      <c r="D20530" t="str">
        <f>"11236"</f>
        <v>11236</v>
      </c>
      <c r="E20530">
        <v>68.84</v>
      </c>
    </row>
    <row r="20531" spans="1:5" x14ac:dyDescent="0.2">
      <c r="A20531">
        <v>11237</v>
      </c>
      <c r="B20531" t="s">
        <v>40</v>
      </c>
      <c r="C20531">
        <v>11237</v>
      </c>
      <c r="D20531" t="str">
        <f>"11237"</f>
        <v>11237</v>
      </c>
      <c r="E20531">
        <v>68.87</v>
      </c>
    </row>
    <row r="20532" spans="1:5" x14ac:dyDescent="0.2">
      <c r="A20532">
        <v>11238</v>
      </c>
      <c r="B20532" t="s">
        <v>40</v>
      </c>
      <c r="C20532">
        <v>11238</v>
      </c>
      <c r="D20532" t="str">
        <f>"11238"</f>
        <v>11238</v>
      </c>
      <c r="E20532">
        <v>83.3</v>
      </c>
    </row>
    <row r="20533" spans="1:5" x14ac:dyDescent="0.2">
      <c r="A20533">
        <v>11239</v>
      </c>
      <c r="B20533" t="s">
        <v>40</v>
      </c>
      <c r="C20533">
        <v>11239</v>
      </c>
      <c r="D20533" t="str">
        <f>"11239"</f>
        <v>11239</v>
      </c>
      <c r="E20533">
        <v>69.88</v>
      </c>
    </row>
    <row r="20534" spans="1:5" x14ac:dyDescent="0.2">
      <c r="A20534">
        <v>11243</v>
      </c>
      <c r="B20534" t="s">
        <v>40</v>
      </c>
      <c r="C20534">
        <v>11243</v>
      </c>
      <c r="D20534" t="str">
        <f>"11243"</f>
        <v>11243</v>
      </c>
      <c r="E20534" t="s">
        <v>6</v>
      </c>
    </row>
    <row r="20535" spans="1:5" x14ac:dyDescent="0.2">
      <c r="A20535">
        <v>11249</v>
      </c>
      <c r="B20535" t="s">
        <v>40</v>
      </c>
      <c r="C20535">
        <v>11249</v>
      </c>
      <c r="D20535" t="str">
        <f>"11249"</f>
        <v>11249</v>
      </c>
      <c r="E20535" t="s">
        <v>6</v>
      </c>
    </row>
    <row r="20536" spans="1:5" x14ac:dyDescent="0.2">
      <c r="A20536">
        <v>11252</v>
      </c>
      <c r="B20536" t="s">
        <v>40</v>
      </c>
      <c r="C20536">
        <v>11252</v>
      </c>
      <c r="D20536" t="str">
        <f>"11252"</f>
        <v>11252</v>
      </c>
      <c r="E20536" t="s">
        <v>6</v>
      </c>
    </row>
    <row r="20537" spans="1:5" x14ac:dyDescent="0.2">
      <c r="A20537">
        <v>11354</v>
      </c>
      <c r="B20537" t="s">
        <v>40</v>
      </c>
      <c r="C20537">
        <v>11354</v>
      </c>
      <c r="D20537" t="str">
        <f>"11354"</f>
        <v>11354</v>
      </c>
      <c r="E20537">
        <v>52.09</v>
      </c>
    </row>
    <row r="20538" spans="1:5" x14ac:dyDescent="0.2">
      <c r="A20538">
        <v>11355</v>
      </c>
      <c r="B20538" t="s">
        <v>40</v>
      </c>
      <c r="C20538">
        <v>11355</v>
      </c>
      <c r="D20538" t="str">
        <f>"11355"</f>
        <v>11355</v>
      </c>
      <c r="E20538">
        <v>43.3</v>
      </c>
    </row>
    <row r="20539" spans="1:5" x14ac:dyDescent="0.2">
      <c r="A20539">
        <v>11356</v>
      </c>
      <c r="B20539" t="s">
        <v>40</v>
      </c>
      <c r="C20539">
        <v>11356</v>
      </c>
      <c r="D20539" t="str">
        <f>"11356"</f>
        <v>11356</v>
      </c>
      <c r="E20539">
        <v>59.25</v>
      </c>
    </row>
    <row r="20540" spans="1:5" x14ac:dyDescent="0.2">
      <c r="A20540">
        <v>11357</v>
      </c>
      <c r="B20540" t="s">
        <v>40</v>
      </c>
      <c r="C20540">
        <v>11357</v>
      </c>
      <c r="D20540" t="str">
        <f>"11357"</f>
        <v>11357</v>
      </c>
      <c r="E20540">
        <v>74.069999999999993</v>
      </c>
    </row>
    <row r="20541" spans="1:5" x14ac:dyDescent="0.2">
      <c r="A20541">
        <v>11358</v>
      </c>
      <c r="B20541" t="s">
        <v>40</v>
      </c>
      <c r="C20541">
        <v>11358</v>
      </c>
      <c r="D20541" t="str">
        <f>"11358"</f>
        <v>11358</v>
      </c>
      <c r="E20541">
        <v>64.72</v>
      </c>
    </row>
    <row r="20542" spans="1:5" x14ac:dyDescent="0.2">
      <c r="A20542">
        <v>11359</v>
      </c>
      <c r="B20542" t="s">
        <v>40</v>
      </c>
      <c r="C20542">
        <v>11359</v>
      </c>
      <c r="D20542" t="str">
        <f>"11359"</f>
        <v>11359</v>
      </c>
      <c r="E20542" t="s">
        <v>6</v>
      </c>
    </row>
    <row r="20543" spans="1:5" x14ac:dyDescent="0.2">
      <c r="A20543">
        <v>11360</v>
      </c>
      <c r="B20543" t="s">
        <v>40</v>
      </c>
      <c r="C20543">
        <v>11360</v>
      </c>
      <c r="D20543" t="str">
        <f>"11360"</f>
        <v>11360</v>
      </c>
      <c r="E20543">
        <v>78.010000000000005</v>
      </c>
    </row>
    <row r="20544" spans="1:5" x14ac:dyDescent="0.2">
      <c r="A20544">
        <v>11361</v>
      </c>
      <c r="B20544" t="s">
        <v>40</v>
      </c>
      <c r="C20544">
        <v>11361</v>
      </c>
      <c r="D20544" t="str">
        <f>"11361"</f>
        <v>11361</v>
      </c>
      <c r="E20544">
        <v>69.86</v>
      </c>
    </row>
    <row r="20545" spans="1:5" x14ac:dyDescent="0.2">
      <c r="A20545">
        <v>11362</v>
      </c>
      <c r="B20545" t="s">
        <v>40</v>
      </c>
      <c r="C20545">
        <v>11362</v>
      </c>
      <c r="D20545" t="str">
        <f>"11362"</f>
        <v>11362</v>
      </c>
      <c r="E20545">
        <v>74.5</v>
      </c>
    </row>
    <row r="20546" spans="1:5" x14ac:dyDescent="0.2">
      <c r="A20546">
        <v>11363</v>
      </c>
      <c r="B20546" t="s">
        <v>40</v>
      </c>
      <c r="C20546">
        <v>11363</v>
      </c>
      <c r="D20546" t="str">
        <f>"11363"</f>
        <v>11363</v>
      </c>
      <c r="E20546">
        <v>76.44</v>
      </c>
    </row>
    <row r="20547" spans="1:5" x14ac:dyDescent="0.2">
      <c r="A20547">
        <v>11364</v>
      </c>
      <c r="B20547" t="s">
        <v>40</v>
      </c>
      <c r="C20547">
        <v>11364</v>
      </c>
      <c r="D20547" t="str">
        <f>"11364"</f>
        <v>11364</v>
      </c>
      <c r="E20547">
        <v>70.58</v>
      </c>
    </row>
    <row r="20548" spans="1:5" x14ac:dyDescent="0.2">
      <c r="A20548">
        <v>11365</v>
      </c>
      <c r="B20548" t="s">
        <v>40</v>
      </c>
      <c r="C20548">
        <v>11365</v>
      </c>
      <c r="D20548" t="str">
        <f>"11365"</f>
        <v>11365</v>
      </c>
      <c r="E20548">
        <v>65.06</v>
      </c>
    </row>
    <row r="20549" spans="1:5" x14ac:dyDescent="0.2">
      <c r="A20549">
        <v>11366</v>
      </c>
      <c r="B20549" t="s">
        <v>40</v>
      </c>
      <c r="C20549">
        <v>11366</v>
      </c>
      <c r="D20549" t="str">
        <f>"11366"</f>
        <v>11366</v>
      </c>
      <c r="E20549">
        <v>68.099999999999994</v>
      </c>
    </row>
    <row r="20550" spans="1:5" x14ac:dyDescent="0.2">
      <c r="A20550">
        <v>11367</v>
      </c>
      <c r="B20550" t="s">
        <v>40</v>
      </c>
      <c r="C20550">
        <v>11367</v>
      </c>
      <c r="D20550" t="str">
        <f>"11367"</f>
        <v>11367</v>
      </c>
      <c r="E20550">
        <v>62.58</v>
      </c>
    </row>
    <row r="20551" spans="1:5" x14ac:dyDescent="0.2">
      <c r="A20551">
        <v>11368</v>
      </c>
      <c r="B20551" t="s">
        <v>40</v>
      </c>
      <c r="C20551">
        <v>11368</v>
      </c>
      <c r="D20551" t="str">
        <f>"11368"</f>
        <v>11368</v>
      </c>
      <c r="E20551">
        <v>51.01</v>
      </c>
    </row>
    <row r="20552" spans="1:5" x14ac:dyDescent="0.2">
      <c r="A20552">
        <v>11369</v>
      </c>
      <c r="B20552" t="s">
        <v>40</v>
      </c>
      <c r="C20552">
        <v>11369</v>
      </c>
      <c r="D20552" t="str">
        <f>"11369"</f>
        <v>11369</v>
      </c>
      <c r="E20552">
        <v>58.97</v>
      </c>
    </row>
    <row r="20553" spans="1:5" x14ac:dyDescent="0.2">
      <c r="A20553">
        <v>11370</v>
      </c>
      <c r="B20553" t="s">
        <v>40</v>
      </c>
      <c r="C20553">
        <v>11370</v>
      </c>
      <c r="D20553" t="str">
        <f>"11370"</f>
        <v>11370</v>
      </c>
      <c r="E20553">
        <v>62.43</v>
      </c>
    </row>
    <row r="20554" spans="1:5" x14ac:dyDescent="0.2">
      <c r="A20554">
        <v>11372</v>
      </c>
      <c r="B20554" t="s">
        <v>40</v>
      </c>
      <c r="C20554">
        <v>11372</v>
      </c>
      <c r="D20554" t="str">
        <f>"11372"</f>
        <v>11372</v>
      </c>
      <c r="E20554">
        <v>63.83</v>
      </c>
    </row>
    <row r="20555" spans="1:5" x14ac:dyDescent="0.2">
      <c r="A20555">
        <v>11373</v>
      </c>
      <c r="B20555" t="s">
        <v>40</v>
      </c>
      <c r="C20555">
        <v>11373</v>
      </c>
      <c r="D20555" t="str">
        <f>"11373"</f>
        <v>11373</v>
      </c>
      <c r="E20555">
        <v>55.75</v>
      </c>
    </row>
    <row r="20556" spans="1:5" x14ac:dyDescent="0.2">
      <c r="A20556">
        <v>11374</v>
      </c>
      <c r="B20556" t="s">
        <v>40</v>
      </c>
      <c r="C20556">
        <v>11374</v>
      </c>
      <c r="D20556" t="str">
        <f>"11374"</f>
        <v>11374</v>
      </c>
      <c r="E20556">
        <v>71.53</v>
      </c>
    </row>
    <row r="20557" spans="1:5" x14ac:dyDescent="0.2">
      <c r="A20557">
        <v>11375</v>
      </c>
      <c r="B20557" t="s">
        <v>40</v>
      </c>
      <c r="C20557">
        <v>11375</v>
      </c>
      <c r="D20557" t="str">
        <f>"11375"</f>
        <v>11375</v>
      </c>
      <c r="E20557">
        <v>79.53</v>
      </c>
    </row>
    <row r="20558" spans="1:5" x14ac:dyDescent="0.2">
      <c r="A20558">
        <v>11377</v>
      </c>
      <c r="B20558" t="s">
        <v>40</v>
      </c>
      <c r="C20558">
        <v>11377</v>
      </c>
      <c r="D20558" t="str">
        <f>"11377"</f>
        <v>11377</v>
      </c>
      <c r="E20558">
        <v>63.41</v>
      </c>
    </row>
    <row r="20559" spans="1:5" x14ac:dyDescent="0.2">
      <c r="A20559">
        <v>11378</v>
      </c>
      <c r="B20559" t="s">
        <v>40</v>
      </c>
      <c r="C20559">
        <v>11378</v>
      </c>
      <c r="D20559" t="str">
        <f>"11378"</f>
        <v>11378</v>
      </c>
      <c r="E20559">
        <v>69.11</v>
      </c>
    </row>
    <row r="20560" spans="1:5" x14ac:dyDescent="0.2">
      <c r="A20560">
        <v>11379</v>
      </c>
      <c r="B20560" t="s">
        <v>40</v>
      </c>
      <c r="C20560">
        <v>11379</v>
      </c>
      <c r="D20560" t="str">
        <f>"11379"</f>
        <v>11379</v>
      </c>
      <c r="E20560">
        <v>75.72</v>
      </c>
    </row>
    <row r="20561" spans="1:5" x14ac:dyDescent="0.2">
      <c r="A20561">
        <v>11385</v>
      </c>
      <c r="B20561" t="s">
        <v>40</v>
      </c>
      <c r="C20561">
        <v>11385</v>
      </c>
      <c r="D20561" t="str">
        <f>"11385"</f>
        <v>11385</v>
      </c>
      <c r="E20561">
        <v>69.849999999999994</v>
      </c>
    </row>
    <row r="20562" spans="1:5" x14ac:dyDescent="0.2">
      <c r="A20562">
        <v>11411</v>
      </c>
      <c r="B20562" t="s">
        <v>40</v>
      </c>
      <c r="C20562">
        <v>11411</v>
      </c>
      <c r="D20562" t="str">
        <f>"11411"</f>
        <v>11411</v>
      </c>
      <c r="E20562">
        <v>74.489999999999995</v>
      </c>
    </row>
    <row r="20563" spans="1:5" x14ac:dyDescent="0.2">
      <c r="A20563">
        <v>11412</v>
      </c>
      <c r="B20563" t="s">
        <v>40</v>
      </c>
      <c r="C20563">
        <v>11412</v>
      </c>
      <c r="D20563" t="str">
        <f>"11412"</f>
        <v>11412</v>
      </c>
      <c r="E20563">
        <v>69.89</v>
      </c>
    </row>
    <row r="20564" spans="1:5" x14ac:dyDescent="0.2">
      <c r="A20564">
        <v>11413</v>
      </c>
      <c r="B20564" t="s">
        <v>40</v>
      </c>
      <c r="C20564">
        <v>11413</v>
      </c>
      <c r="D20564" t="str">
        <f>"11413"</f>
        <v>11413</v>
      </c>
      <c r="E20564">
        <v>72.36</v>
      </c>
    </row>
    <row r="20565" spans="1:5" x14ac:dyDescent="0.2">
      <c r="A20565">
        <v>11414</v>
      </c>
      <c r="B20565" t="s">
        <v>40</v>
      </c>
      <c r="C20565">
        <v>11414</v>
      </c>
      <c r="D20565" t="str">
        <f>"11414"</f>
        <v>11414</v>
      </c>
      <c r="E20565">
        <v>78.91</v>
      </c>
    </row>
    <row r="20566" spans="1:5" x14ac:dyDescent="0.2">
      <c r="A20566">
        <v>11415</v>
      </c>
      <c r="B20566" t="s">
        <v>40</v>
      </c>
      <c r="C20566">
        <v>11415</v>
      </c>
      <c r="D20566" t="str">
        <f>"11415"</f>
        <v>11415</v>
      </c>
      <c r="E20566">
        <v>76.209999999999994</v>
      </c>
    </row>
    <row r="20567" spans="1:5" x14ac:dyDescent="0.2">
      <c r="A20567">
        <v>11416</v>
      </c>
      <c r="B20567" t="s">
        <v>40</v>
      </c>
      <c r="C20567">
        <v>11416</v>
      </c>
      <c r="D20567" t="str">
        <f>"11416"</f>
        <v>11416</v>
      </c>
      <c r="E20567">
        <v>58.31</v>
      </c>
    </row>
    <row r="20568" spans="1:5" x14ac:dyDescent="0.2">
      <c r="A20568">
        <v>11417</v>
      </c>
      <c r="B20568" t="s">
        <v>40</v>
      </c>
      <c r="C20568">
        <v>11417</v>
      </c>
      <c r="D20568" t="str">
        <f>"11417"</f>
        <v>11417</v>
      </c>
      <c r="E20568">
        <v>65.78</v>
      </c>
    </row>
    <row r="20569" spans="1:5" x14ac:dyDescent="0.2">
      <c r="A20569">
        <v>11418</v>
      </c>
      <c r="B20569" t="s">
        <v>40</v>
      </c>
      <c r="C20569">
        <v>11418</v>
      </c>
      <c r="D20569" t="str">
        <f>"11418"</f>
        <v>11418</v>
      </c>
      <c r="E20569">
        <v>62.44</v>
      </c>
    </row>
    <row r="20570" spans="1:5" x14ac:dyDescent="0.2">
      <c r="A20570">
        <v>11419</v>
      </c>
      <c r="B20570" t="s">
        <v>40</v>
      </c>
      <c r="C20570">
        <v>11419</v>
      </c>
      <c r="D20570" t="str">
        <f>"11419"</f>
        <v>11419</v>
      </c>
      <c r="E20570">
        <v>60.13</v>
      </c>
    </row>
    <row r="20571" spans="1:5" x14ac:dyDescent="0.2">
      <c r="A20571">
        <v>11420</v>
      </c>
      <c r="B20571" t="s">
        <v>40</v>
      </c>
      <c r="C20571">
        <v>11420</v>
      </c>
      <c r="D20571" t="str">
        <f>"11420"</f>
        <v>11420</v>
      </c>
      <c r="E20571">
        <v>65.28</v>
      </c>
    </row>
    <row r="20572" spans="1:5" x14ac:dyDescent="0.2">
      <c r="A20572">
        <v>11421</v>
      </c>
      <c r="B20572" t="s">
        <v>40</v>
      </c>
      <c r="C20572">
        <v>11421</v>
      </c>
      <c r="D20572" t="str">
        <f>"11421"</f>
        <v>11421</v>
      </c>
      <c r="E20572">
        <v>63.47</v>
      </c>
    </row>
    <row r="20573" spans="1:5" x14ac:dyDescent="0.2">
      <c r="A20573">
        <v>11422</v>
      </c>
      <c r="B20573" t="s">
        <v>40</v>
      </c>
      <c r="C20573">
        <v>11422</v>
      </c>
      <c r="D20573" t="str">
        <f>"11422"</f>
        <v>11422</v>
      </c>
      <c r="E20573">
        <v>72.06</v>
      </c>
    </row>
    <row r="20574" spans="1:5" x14ac:dyDescent="0.2">
      <c r="A20574">
        <v>11423</v>
      </c>
      <c r="B20574" t="s">
        <v>40</v>
      </c>
      <c r="C20574">
        <v>11423</v>
      </c>
      <c r="D20574" t="str">
        <f>"11423"</f>
        <v>11423</v>
      </c>
      <c r="E20574">
        <v>66.45</v>
      </c>
    </row>
    <row r="20575" spans="1:5" x14ac:dyDescent="0.2">
      <c r="A20575">
        <v>11426</v>
      </c>
      <c r="B20575" t="s">
        <v>40</v>
      </c>
      <c r="C20575">
        <v>11426</v>
      </c>
      <c r="D20575" t="str">
        <f>"11426"</f>
        <v>11426</v>
      </c>
      <c r="E20575">
        <v>73.06</v>
      </c>
    </row>
    <row r="20576" spans="1:5" x14ac:dyDescent="0.2">
      <c r="A20576">
        <v>11427</v>
      </c>
      <c r="B20576" t="s">
        <v>40</v>
      </c>
      <c r="C20576">
        <v>11427</v>
      </c>
      <c r="D20576" t="str">
        <f>"11427"</f>
        <v>11427</v>
      </c>
      <c r="E20576">
        <v>70.87</v>
      </c>
    </row>
    <row r="20577" spans="1:5" x14ac:dyDescent="0.2">
      <c r="A20577">
        <v>11428</v>
      </c>
      <c r="B20577" t="s">
        <v>40</v>
      </c>
      <c r="C20577">
        <v>11428</v>
      </c>
      <c r="D20577" t="str">
        <f>"11428"</f>
        <v>11428</v>
      </c>
      <c r="E20577">
        <v>69.290000000000006</v>
      </c>
    </row>
    <row r="20578" spans="1:5" x14ac:dyDescent="0.2">
      <c r="A20578">
        <v>11429</v>
      </c>
      <c r="B20578" t="s">
        <v>40</v>
      </c>
      <c r="C20578">
        <v>11429</v>
      </c>
      <c r="D20578" t="str">
        <f>"11429"</f>
        <v>11429</v>
      </c>
      <c r="E20578">
        <v>68.89</v>
      </c>
    </row>
    <row r="20579" spans="1:5" x14ac:dyDescent="0.2">
      <c r="A20579">
        <v>11430</v>
      </c>
      <c r="B20579" t="s">
        <v>40</v>
      </c>
      <c r="C20579">
        <v>11430</v>
      </c>
      <c r="D20579" t="str">
        <f>"11430"</f>
        <v>11430</v>
      </c>
      <c r="E20579">
        <v>77.78</v>
      </c>
    </row>
    <row r="20580" spans="1:5" x14ac:dyDescent="0.2">
      <c r="A20580">
        <v>11432</v>
      </c>
      <c r="B20580" t="s">
        <v>40</v>
      </c>
      <c r="C20580">
        <v>11432</v>
      </c>
      <c r="D20580" t="str">
        <f>"11432"</f>
        <v>11432</v>
      </c>
      <c r="E20580">
        <v>59.74</v>
      </c>
    </row>
    <row r="20581" spans="1:5" x14ac:dyDescent="0.2">
      <c r="A20581">
        <v>11433</v>
      </c>
      <c r="B20581" t="s">
        <v>40</v>
      </c>
      <c r="C20581">
        <v>11433</v>
      </c>
      <c r="D20581" t="str">
        <f>"11433"</f>
        <v>11433</v>
      </c>
      <c r="E20581">
        <v>60.67</v>
      </c>
    </row>
    <row r="20582" spans="1:5" x14ac:dyDescent="0.2">
      <c r="A20582">
        <v>11434</v>
      </c>
      <c r="B20582" t="s">
        <v>40</v>
      </c>
      <c r="C20582">
        <v>11434</v>
      </c>
      <c r="D20582" t="str">
        <f>"11434"</f>
        <v>11434</v>
      </c>
      <c r="E20582">
        <v>70.06</v>
      </c>
    </row>
    <row r="20583" spans="1:5" x14ac:dyDescent="0.2">
      <c r="A20583">
        <v>11435</v>
      </c>
      <c r="B20583" t="s">
        <v>40</v>
      </c>
      <c r="C20583">
        <v>11435</v>
      </c>
      <c r="D20583" t="str">
        <f>"11435"</f>
        <v>11435</v>
      </c>
      <c r="E20583">
        <v>63.77</v>
      </c>
    </row>
    <row r="20584" spans="1:5" x14ac:dyDescent="0.2">
      <c r="A20584">
        <v>11436</v>
      </c>
      <c r="B20584" t="s">
        <v>40</v>
      </c>
      <c r="C20584">
        <v>11436</v>
      </c>
      <c r="D20584" t="str">
        <f>"11436"</f>
        <v>11436</v>
      </c>
      <c r="E20584">
        <v>66.7</v>
      </c>
    </row>
    <row r="20585" spans="1:5" x14ac:dyDescent="0.2">
      <c r="A20585">
        <v>11451</v>
      </c>
      <c r="B20585" t="s">
        <v>40</v>
      </c>
      <c r="C20585">
        <v>11451</v>
      </c>
      <c r="D20585" t="str">
        <f>"11451"</f>
        <v>11451</v>
      </c>
      <c r="E20585" t="s">
        <v>6</v>
      </c>
    </row>
    <row r="20586" spans="1:5" x14ac:dyDescent="0.2">
      <c r="A20586">
        <v>11501</v>
      </c>
      <c r="B20586" t="s">
        <v>40</v>
      </c>
      <c r="C20586">
        <v>11501</v>
      </c>
      <c r="D20586" t="str">
        <f>"11501"</f>
        <v>11501</v>
      </c>
      <c r="E20586">
        <v>80.900000000000006</v>
      </c>
    </row>
    <row r="20587" spans="1:5" x14ac:dyDescent="0.2">
      <c r="A20587">
        <v>11507</v>
      </c>
      <c r="B20587" t="s">
        <v>40</v>
      </c>
      <c r="C20587">
        <v>11507</v>
      </c>
      <c r="D20587" t="str">
        <f>"11507"</f>
        <v>11507</v>
      </c>
      <c r="E20587">
        <v>79.53</v>
      </c>
    </row>
    <row r="20588" spans="1:5" x14ac:dyDescent="0.2">
      <c r="A20588">
        <v>11509</v>
      </c>
      <c r="B20588" t="s">
        <v>40</v>
      </c>
      <c r="C20588">
        <v>11509</v>
      </c>
      <c r="D20588" t="str">
        <f>"11509"</f>
        <v>11509</v>
      </c>
      <c r="E20588">
        <v>81.540000000000006</v>
      </c>
    </row>
    <row r="20589" spans="1:5" x14ac:dyDescent="0.2">
      <c r="A20589">
        <v>11510</v>
      </c>
      <c r="B20589" t="s">
        <v>40</v>
      </c>
      <c r="C20589">
        <v>11510</v>
      </c>
      <c r="D20589" t="str">
        <f>"11510"</f>
        <v>11510</v>
      </c>
      <c r="E20589">
        <v>77.22</v>
      </c>
    </row>
    <row r="20590" spans="1:5" x14ac:dyDescent="0.2">
      <c r="A20590">
        <v>11514</v>
      </c>
      <c r="B20590" t="s">
        <v>40</v>
      </c>
      <c r="C20590">
        <v>11514</v>
      </c>
      <c r="D20590" t="str">
        <f>"11514"</f>
        <v>11514</v>
      </c>
      <c r="E20590">
        <v>80.08</v>
      </c>
    </row>
    <row r="20591" spans="1:5" x14ac:dyDescent="0.2">
      <c r="A20591">
        <v>11516</v>
      </c>
      <c r="B20591" t="s">
        <v>40</v>
      </c>
      <c r="C20591">
        <v>11516</v>
      </c>
      <c r="D20591" t="str">
        <f>"11516"</f>
        <v>11516</v>
      </c>
      <c r="E20591">
        <v>73.78</v>
      </c>
    </row>
    <row r="20592" spans="1:5" x14ac:dyDescent="0.2">
      <c r="A20592">
        <v>11518</v>
      </c>
      <c r="B20592" t="s">
        <v>40</v>
      </c>
      <c r="C20592">
        <v>11518</v>
      </c>
      <c r="D20592" t="str">
        <f>"11518"</f>
        <v>11518</v>
      </c>
      <c r="E20592">
        <v>80.8</v>
      </c>
    </row>
    <row r="20593" spans="1:5" x14ac:dyDescent="0.2">
      <c r="A20593">
        <v>11520</v>
      </c>
      <c r="B20593" t="s">
        <v>40</v>
      </c>
      <c r="C20593">
        <v>11520</v>
      </c>
      <c r="D20593" t="str">
        <f>"11520"</f>
        <v>11520</v>
      </c>
      <c r="E20593">
        <v>68.209999999999994</v>
      </c>
    </row>
    <row r="20594" spans="1:5" x14ac:dyDescent="0.2">
      <c r="A20594">
        <v>11530</v>
      </c>
      <c r="B20594" t="s">
        <v>40</v>
      </c>
      <c r="C20594">
        <v>11530</v>
      </c>
      <c r="D20594" t="str">
        <f>"11530"</f>
        <v>11530</v>
      </c>
      <c r="E20594">
        <v>82.32</v>
      </c>
    </row>
    <row r="20595" spans="1:5" x14ac:dyDescent="0.2">
      <c r="A20595">
        <v>11542</v>
      </c>
      <c r="B20595" t="s">
        <v>40</v>
      </c>
      <c r="C20595">
        <v>11542</v>
      </c>
      <c r="D20595" t="str">
        <f>"11542"</f>
        <v>11542</v>
      </c>
      <c r="E20595">
        <v>71.569999999999993</v>
      </c>
    </row>
    <row r="20596" spans="1:5" x14ac:dyDescent="0.2">
      <c r="A20596">
        <v>11545</v>
      </c>
      <c r="B20596" t="s">
        <v>40</v>
      </c>
      <c r="C20596">
        <v>11545</v>
      </c>
      <c r="D20596" t="str">
        <f>"11545"</f>
        <v>11545</v>
      </c>
      <c r="E20596">
        <v>81.2</v>
      </c>
    </row>
    <row r="20597" spans="1:5" x14ac:dyDescent="0.2">
      <c r="A20597">
        <v>11547</v>
      </c>
      <c r="B20597" t="s">
        <v>40</v>
      </c>
      <c r="C20597">
        <v>11547</v>
      </c>
      <c r="D20597" t="str">
        <f>"11547"</f>
        <v>11547</v>
      </c>
      <c r="E20597" t="s">
        <v>6</v>
      </c>
    </row>
    <row r="20598" spans="1:5" x14ac:dyDescent="0.2">
      <c r="A20598">
        <v>11548</v>
      </c>
      <c r="B20598" t="s">
        <v>40</v>
      </c>
      <c r="C20598">
        <v>11548</v>
      </c>
      <c r="D20598" t="str">
        <f>"11548"</f>
        <v>11548</v>
      </c>
      <c r="E20598">
        <v>74.290000000000006</v>
      </c>
    </row>
    <row r="20599" spans="1:5" x14ac:dyDescent="0.2">
      <c r="A20599">
        <v>11550</v>
      </c>
      <c r="B20599" t="s">
        <v>40</v>
      </c>
      <c r="C20599">
        <v>11550</v>
      </c>
      <c r="D20599" t="str">
        <f>"11550"</f>
        <v>11550</v>
      </c>
      <c r="E20599">
        <v>61.07</v>
      </c>
    </row>
    <row r="20600" spans="1:5" x14ac:dyDescent="0.2">
      <c r="A20600">
        <v>11552</v>
      </c>
      <c r="B20600" t="s">
        <v>40</v>
      </c>
      <c r="C20600">
        <v>11552</v>
      </c>
      <c r="D20600" t="str">
        <f>"11552"</f>
        <v>11552</v>
      </c>
      <c r="E20600">
        <v>76.34</v>
      </c>
    </row>
    <row r="20601" spans="1:5" x14ac:dyDescent="0.2">
      <c r="A20601">
        <v>11553</v>
      </c>
      <c r="B20601" t="s">
        <v>40</v>
      </c>
      <c r="C20601">
        <v>11553</v>
      </c>
      <c r="D20601" t="str">
        <f>"11553"</f>
        <v>11553</v>
      </c>
      <c r="E20601">
        <v>65.34</v>
      </c>
    </row>
    <row r="20602" spans="1:5" x14ac:dyDescent="0.2">
      <c r="A20602">
        <v>11554</v>
      </c>
      <c r="B20602" t="s">
        <v>40</v>
      </c>
      <c r="C20602">
        <v>11554</v>
      </c>
      <c r="D20602" t="str">
        <f>"11554"</f>
        <v>11554</v>
      </c>
      <c r="E20602">
        <v>79.14</v>
      </c>
    </row>
    <row r="20603" spans="1:5" x14ac:dyDescent="0.2">
      <c r="A20603">
        <v>11556</v>
      </c>
      <c r="B20603" t="s">
        <v>40</v>
      </c>
      <c r="C20603">
        <v>11556</v>
      </c>
      <c r="D20603" t="str">
        <f>"11556"</f>
        <v>11556</v>
      </c>
      <c r="E20603" t="s">
        <v>6</v>
      </c>
    </row>
    <row r="20604" spans="1:5" x14ac:dyDescent="0.2">
      <c r="A20604">
        <v>11557</v>
      </c>
      <c r="B20604" t="s">
        <v>40</v>
      </c>
      <c r="C20604">
        <v>11557</v>
      </c>
      <c r="D20604" t="str">
        <f>"11557"</f>
        <v>11557</v>
      </c>
      <c r="E20604">
        <v>78.66</v>
      </c>
    </row>
    <row r="20605" spans="1:5" x14ac:dyDescent="0.2">
      <c r="A20605">
        <v>11558</v>
      </c>
      <c r="B20605" t="s">
        <v>40</v>
      </c>
      <c r="C20605">
        <v>11558</v>
      </c>
      <c r="D20605" t="str">
        <f>"11558"</f>
        <v>11558</v>
      </c>
      <c r="E20605">
        <v>76.569999999999993</v>
      </c>
    </row>
    <row r="20606" spans="1:5" x14ac:dyDescent="0.2">
      <c r="A20606">
        <v>11559</v>
      </c>
      <c r="B20606" t="s">
        <v>40</v>
      </c>
      <c r="C20606">
        <v>11559</v>
      </c>
      <c r="D20606" t="str">
        <f>"11559"</f>
        <v>11559</v>
      </c>
      <c r="E20606">
        <v>72.94</v>
      </c>
    </row>
    <row r="20607" spans="1:5" x14ac:dyDescent="0.2">
      <c r="A20607">
        <v>11560</v>
      </c>
      <c r="B20607" t="s">
        <v>40</v>
      </c>
      <c r="C20607">
        <v>11560</v>
      </c>
      <c r="D20607" t="str">
        <f>"11560"</f>
        <v>11560</v>
      </c>
      <c r="E20607">
        <v>77.81</v>
      </c>
    </row>
    <row r="20608" spans="1:5" x14ac:dyDescent="0.2">
      <c r="A20608">
        <v>11561</v>
      </c>
      <c r="B20608" t="s">
        <v>40</v>
      </c>
      <c r="C20608">
        <v>11561</v>
      </c>
      <c r="D20608" t="str">
        <f>"11561"</f>
        <v>11561</v>
      </c>
      <c r="E20608">
        <v>80.989999999999995</v>
      </c>
    </row>
    <row r="20609" spans="1:5" x14ac:dyDescent="0.2">
      <c r="A20609">
        <v>11563</v>
      </c>
      <c r="B20609" t="s">
        <v>40</v>
      </c>
      <c r="C20609">
        <v>11563</v>
      </c>
      <c r="D20609" t="str">
        <f>"11563"</f>
        <v>11563</v>
      </c>
      <c r="E20609">
        <v>79.930000000000007</v>
      </c>
    </row>
    <row r="20610" spans="1:5" x14ac:dyDescent="0.2">
      <c r="A20610">
        <v>11565</v>
      </c>
      <c r="B20610" t="s">
        <v>40</v>
      </c>
      <c r="C20610">
        <v>11565</v>
      </c>
      <c r="D20610" t="str">
        <f>"11565"</f>
        <v>11565</v>
      </c>
      <c r="E20610">
        <v>82.85</v>
      </c>
    </row>
    <row r="20611" spans="1:5" x14ac:dyDescent="0.2">
      <c r="A20611">
        <v>11566</v>
      </c>
      <c r="B20611" t="s">
        <v>40</v>
      </c>
      <c r="C20611">
        <v>11566</v>
      </c>
      <c r="D20611" t="str">
        <f>"11566"</f>
        <v>11566</v>
      </c>
      <c r="E20611">
        <v>81.86</v>
      </c>
    </row>
    <row r="20612" spans="1:5" x14ac:dyDescent="0.2">
      <c r="A20612">
        <v>11568</v>
      </c>
      <c r="B20612" t="s">
        <v>40</v>
      </c>
      <c r="C20612">
        <v>11568</v>
      </c>
      <c r="D20612" t="str">
        <f>"11568"</f>
        <v>11568</v>
      </c>
      <c r="E20612">
        <v>80.569999999999993</v>
      </c>
    </row>
    <row r="20613" spans="1:5" x14ac:dyDescent="0.2">
      <c r="A20613">
        <v>11569</v>
      </c>
      <c r="B20613" t="s">
        <v>40</v>
      </c>
      <c r="C20613">
        <v>11569</v>
      </c>
      <c r="D20613" t="str">
        <f>"11569"</f>
        <v>11569</v>
      </c>
      <c r="E20613" t="s">
        <v>6</v>
      </c>
    </row>
    <row r="20614" spans="1:5" x14ac:dyDescent="0.2">
      <c r="A20614">
        <v>11570</v>
      </c>
      <c r="B20614" t="s">
        <v>40</v>
      </c>
      <c r="C20614">
        <v>11570</v>
      </c>
      <c r="D20614" t="str">
        <f>"11570"</f>
        <v>11570</v>
      </c>
      <c r="E20614">
        <v>80.599999999999994</v>
      </c>
    </row>
    <row r="20615" spans="1:5" x14ac:dyDescent="0.2">
      <c r="A20615">
        <v>11572</v>
      </c>
      <c r="B20615" t="s">
        <v>40</v>
      </c>
      <c r="C20615">
        <v>11572</v>
      </c>
      <c r="D20615" t="str">
        <f>"11572"</f>
        <v>11572</v>
      </c>
      <c r="E20615">
        <v>79.75</v>
      </c>
    </row>
    <row r="20616" spans="1:5" x14ac:dyDescent="0.2">
      <c r="A20616">
        <v>11575</v>
      </c>
      <c r="B20616" t="s">
        <v>40</v>
      </c>
      <c r="C20616">
        <v>11575</v>
      </c>
      <c r="D20616" t="str">
        <f>"11575"</f>
        <v>11575</v>
      </c>
      <c r="E20616">
        <v>62.84</v>
      </c>
    </row>
    <row r="20617" spans="1:5" x14ac:dyDescent="0.2">
      <c r="A20617">
        <v>11576</v>
      </c>
      <c r="B20617" t="s">
        <v>40</v>
      </c>
      <c r="C20617">
        <v>11576</v>
      </c>
      <c r="D20617" t="str">
        <f>"11576"</f>
        <v>11576</v>
      </c>
      <c r="E20617">
        <v>80.91</v>
      </c>
    </row>
    <row r="20618" spans="1:5" x14ac:dyDescent="0.2">
      <c r="A20618">
        <v>11577</v>
      </c>
      <c r="B20618" t="s">
        <v>40</v>
      </c>
      <c r="C20618">
        <v>11577</v>
      </c>
      <c r="D20618" t="str">
        <f>"11577"</f>
        <v>11577</v>
      </c>
      <c r="E20618">
        <v>79.22</v>
      </c>
    </row>
    <row r="20619" spans="1:5" x14ac:dyDescent="0.2">
      <c r="A20619">
        <v>11579</v>
      </c>
      <c r="B20619" t="s">
        <v>40</v>
      </c>
      <c r="C20619">
        <v>11579</v>
      </c>
      <c r="D20619" t="str">
        <f>"11579"</f>
        <v>11579</v>
      </c>
      <c r="E20619">
        <v>78.790000000000006</v>
      </c>
    </row>
    <row r="20620" spans="1:5" x14ac:dyDescent="0.2">
      <c r="A20620">
        <v>11580</v>
      </c>
      <c r="B20620" t="s">
        <v>40</v>
      </c>
      <c r="C20620">
        <v>11580</v>
      </c>
      <c r="D20620" t="str">
        <f>"11580"</f>
        <v>11580</v>
      </c>
      <c r="E20620">
        <v>75.48</v>
      </c>
    </row>
    <row r="20621" spans="1:5" x14ac:dyDescent="0.2">
      <c r="A20621">
        <v>11581</v>
      </c>
      <c r="B20621" t="s">
        <v>40</v>
      </c>
      <c r="C20621">
        <v>11581</v>
      </c>
      <c r="D20621" t="str">
        <f>"11581"</f>
        <v>11581</v>
      </c>
      <c r="E20621">
        <v>77.69</v>
      </c>
    </row>
    <row r="20622" spans="1:5" x14ac:dyDescent="0.2">
      <c r="A20622">
        <v>11590</v>
      </c>
      <c r="B20622" t="s">
        <v>40</v>
      </c>
      <c r="C20622">
        <v>11590</v>
      </c>
      <c r="D20622" t="str">
        <f>"11590"</f>
        <v>11590</v>
      </c>
      <c r="E20622">
        <v>70.67</v>
      </c>
    </row>
    <row r="20623" spans="1:5" x14ac:dyDescent="0.2">
      <c r="A20623">
        <v>11596</v>
      </c>
      <c r="B20623" t="s">
        <v>40</v>
      </c>
      <c r="C20623">
        <v>11596</v>
      </c>
      <c r="D20623" t="str">
        <f>"11596"</f>
        <v>11596</v>
      </c>
      <c r="E20623">
        <v>81.540000000000006</v>
      </c>
    </row>
    <row r="20624" spans="1:5" x14ac:dyDescent="0.2">
      <c r="A20624">
        <v>11598</v>
      </c>
      <c r="B20624" t="s">
        <v>40</v>
      </c>
      <c r="C20624">
        <v>11598</v>
      </c>
      <c r="D20624" t="str">
        <f>"11598"</f>
        <v>11598</v>
      </c>
      <c r="E20624">
        <v>78.34</v>
      </c>
    </row>
    <row r="20625" spans="1:5" x14ac:dyDescent="0.2">
      <c r="A20625">
        <v>11599</v>
      </c>
      <c r="B20625" t="s">
        <v>40</v>
      </c>
      <c r="C20625">
        <v>11599</v>
      </c>
      <c r="D20625" t="str">
        <f>"11599"</f>
        <v>11599</v>
      </c>
      <c r="E20625" t="s">
        <v>6</v>
      </c>
    </row>
    <row r="20626" spans="1:5" x14ac:dyDescent="0.2">
      <c r="A20626">
        <v>11691</v>
      </c>
      <c r="B20626" t="s">
        <v>40</v>
      </c>
      <c r="C20626">
        <v>11691</v>
      </c>
      <c r="D20626" t="str">
        <f>"11691"</f>
        <v>11691</v>
      </c>
      <c r="E20626">
        <v>58.7</v>
      </c>
    </row>
    <row r="20627" spans="1:5" x14ac:dyDescent="0.2">
      <c r="A20627">
        <v>11692</v>
      </c>
      <c r="B20627" t="s">
        <v>40</v>
      </c>
      <c r="C20627">
        <v>11692</v>
      </c>
      <c r="D20627" t="str">
        <f>"11692"</f>
        <v>11692</v>
      </c>
      <c r="E20627">
        <v>61.64</v>
      </c>
    </row>
    <row r="20628" spans="1:5" x14ac:dyDescent="0.2">
      <c r="A20628">
        <v>11693</v>
      </c>
      <c r="B20628" t="s">
        <v>40</v>
      </c>
      <c r="C20628">
        <v>11693</v>
      </c>
      <c r="D20628" t="str">
        <f>"11693"</f>
        <v>11693</v>
      </c>
      <c r="E20628">
        <v>70.290000000000006</v>
      </c>
    </row>
    <row r="20629" spans="1:5" x14ac:dyDescent="0.2">
      <c r="A20629">
        <v>11694</v>
      </c>
      <c r="B20629" t="s">
        <v>40</v>
      </c>
      <c r="C20629">
        <v>11694</v>
      </c>
      <c r="D20629" t="str">
        <f>"11694"</f>
        <v>11694</v>
      </c>
      <c r="E20629">
        <v>78.48</v>
      </c>
    </row>
    <row r="20630" spans="1:5" x14ac:dyDescent="0.2">
      <c r="A20630">
        <v>11697</v>
      </c>
      <c r="B20630" t="s">
        <v>40</v>
      </c>
      <c r="C20630">
        <v>11697</v>
      </c>
      <c r="D20630" t="str">
        <f>"11697"</f>
        <v>11697</v>
      </c>
      <c r="E20630">
        <v>85.71</v>
      </c>
    </row>
    <row r="20631" spans="1:5" x14ac:dyDescent="0.2">
      <c r="A20631">
        <v>11701</v>
      </c>
      <c r="B20631" t="s">
        <v>40</v>
      </c>
      <c r="C20631">
        <v>11701</v>
      </c>
      <c r="D20631" t="str">
        <f>"11701"</f>
        <v>11701</v>
      </c>
      <c r="E20631">
        <v>70.709999999999994</v>
      </c>
    </row>
    <row r="20632" spans="1:5" x14ac:dyDescent="0.2">
      <c r="A20632">
        <v>11702</v>
      </c>
      <c r="B20632" t="s">
        <v>40</v>
      </c>
      <c r="C20632">
        <v>11702</v>
      </c>
      <c r="D20632" t="str">
        <f>"11702"</f>
        <v>11702</v>
      </c>
      <c r="E20632">
        <v>82.35</v>
      </c>
    </row>
    <row r="20633" spans="1:5" x14ac:dyDescent="0.2">
      <c r="A20633">
        <v>11703</v>
      </c>
      <c r="B20633" t="s">
        <v>40</v>
      </c>
      <c r="C20633">
        <v>11703</v>
      </c>
      <c r="D20633" t="str">
        <f>"11703"</f>
        <v>11703</v>
      </c>
      <c r="E20633">
        <v>79.64</v>
      </c>
    </row>
    <row r="20634" spans="1:5" x14ac:dyDescent="0.2">
      <c r="A20634">
        <v>11704</v>
      </c>
      <c r="B20634" t="s">
        <v>40</v>
      </c>
      <c r="C20634">
        <v>11704</v>
      </c>
      <c r="D20634" t="str">
        <f>"11704"</f>
        <v>11704</v>
      </c>
      <c r="E20634">
        <v>77.25</v>
      </c>
    </row>
    <row r="20635" spans="1:5" x14ac:dyDescent="0.2">
      <c r="A20635">
        <v>11705</v>
      </c>
      <c r="B20635" t="s">
        <v>40</v>
      </c>
      <c r="C20635">
        <v>11705</v>
      </c>
      <c r="D20635" t="str">
        <f>"11705"</f>
        <v>11705</v>
      </c>
      <c r="E20635">
        <v>80.34</v>
      </c>
    </row>
    <row r="20636" spans="1:5" x14ac:dyDescent="0.2">
      <c r="A20636">
        <v>11706</v>
      </c>
      <c r="B20636" t="s">
        <v>40</v>
      </c>
      <c r="C20636">
        <v>11706</v>
      </c>
      <c r="D20636" t="str">
        <f>"11706"</f>
        <v>11706</v>
      </c>
      <c r="E20636">
        <v>70.39</v>
      </c>
    </row>
    <row r="20637" spans="1:5" x14ac:dyDescent="0.2">
      <c r="A20637">
        <v>11709</v>
      </c>
      <c r="B20637" t="s">
        <v>40</v>
      </c>
      <c r="C20637">
        <v>11709</v>
      </c>
      <c r="D20637" t="str">
        <f>"11709"</f>
        <v>11709</v>
      </c>
      <c r="E20637">
        <v>80</v>
      </c>
    </row>
    <row r="20638" spans="1:5" x14ac:dyDescent="0.2">
      <c r="A20638">
        <v>11710</v>
      </c>
      <c r="B20638" t="s">
        <v>40</v>
      </c>
      <c r="C20638">
        <v>11710</v>
      </c>
      <c r="D20638" t="str">
        <f>"11710"</f>
        <v>11710</v>
      </c>
      <c r="E20638">
        <v>81.42</v>
      </c>
    </row>
    <row r="20639" spans="1:5" x14ac:dyDescent="0.2">
      <c r="A20639">
        <v>11713</v>
      </c>
      <c r="B20639" t="s">
        <v>40</v>
      </c>
      <c r="C20639">
        <v>11713</v>
      </c>
      <c r="D20639" t="str">
        <f>"11713"</f>
        <v>11713</v>
      </c>
      <c r="E20639">
        <v>71.040000000000006</v>
      </c>
    </row>
    <row r="20640" spans="1:5" x14ac:dyDescent="0.2">
      <c r="A20640">
        <v>11714</v>
      </c>
      <c r="B20640" t="s">
        <v>40</v>
      </c>
      <c r="C20640">
        <v>11714</v>
      </c>
      <c r="D20640" t="str">
        <f>"11714"</f>
        <v>11714</v>
      </c>
      <c r="E20640">
        <v>79.55</v>
      </c>
    </row>
    <row r="20641" spans="1:5" x14ac:dyDescent="0.2">
      <c r="A20641">
        <v>11715</v>
      </c>
      <c r="B20641" t="s">
        <v>40</v>
      </c>
      <c r="C20641">
        <v>11715</v>
      </c>
      <c r="D20641" t="str">
        <f>"11715"</f>
        <v>11715</v>
      </c>
      <c r="E20641">
        <v>81.510000000000005</v>
      </c>
    </row>
    <row r="20642" spans="1:5" x14ac:dyDescent="0.2">
      <c r="A20642">
        <v>11716</v>
      </c>
      <c r="B20642" t="s">
        <v>40</v>
      </c>
      <c r="C20642">
        <v>11716</v>
      </c>
      <c r="D20642" t="str">
        <f>"11716"</f>
        <v>11716</v>
      </c>
      <c r="E20642">
        <v>80.47</v>
      </c>
    </row>
    <row r="20643" spans="1:5" x14ac:dyDescent="0.2">
      <c r="A20643">
        <v>11717</v>
      </c>
      <c r="B20643" t="s">
        <v>40</v>
      </c>
      <c r="C20643">
        <v>11717</v>
      </c>
      <c r="D20643" t="str">
        <f>"11717"</f>
        <v>11717</v>
      </c>
      <c r="E20643">
        <v>62.73</v>
      </c>
    </row>
    <row r="20644" spans="1:5" x14ac:dyDescent="0.2">
      <c r="A20644">
        <v>11718</v>
      </c>
      <c r="B20644" t="s">
        <v>40</v>
      </c>
      <c r="C20644">
        <v>11718</v>
      </c>
      <c r="D20644" t="str">
        <f>"11718"</f>
        <v>11718</v>
      </c>
      <c r="E20644">
        <v>83.24</v>
      </c>
    </row>
    <row r="20645" spans="1:5" x14ac:dyDescent="0.2">
      <c r="A20645">
        <v>11719</v>
      </c>
      <c r="B20645" t="s">
        <v>40</v>
      </c>
      <c r="C20645">
        <v>11719</v>
      </c>
      <c r="D20645" t="str">
        <f>"11719"</f>
        <v>11719</v>
      </c>
      <c r="E20645">
        <v>82.39</v>
      </c>
    </row>
    <row r="20646" spans="1:5" x14ac:dyDescent="0.2">
      <c r="A20646">
        <v>11720</v>
      </c>
      <c r="B20646" t="s">
        <v>40</v>
      </c>
      <c r="C20646">
        <v>11720</v>
      </c>
      <c r="D20646" t="str">
        <f>"11720"</f>
        <v>11720</v>
      </c>
      <c r="E20646">
        <v>78.290000000000006</v>
      </c>
    </row>
    <row r="20647" spans="1:5" x14ac:dyDescent="0.2">
      <c r="A20647">
        <v>11721</v>
      </c>
      <c r="B20647" t="s">
        <v>40</v>
      </c>
      <c r="C20647">
        <v>11721</v>
      </c>
      <c r="D20647" t="str">
        <f>"11721"</f>
        <v>11721</v>
      </c>
      <c r="E20647">
        <v>82.09</v>
      </c>
    </row>
    <row r="20648" spans="1:5" x14ac:dyDescent="0.2">
      <c r="A20648">
        <v>11722</v>
      </c>
      <c r="B20648" t="s">
        <v>40</v>
      </c>
      <c r="C20648">
        <v>11722</v>
      </c>
      <c r="D20648" t="str">
        <f>"11722"</f>
        <v>11722</v>
      </c>
      <c r="E20648">
        <v>65.19</v>
      </c>
    </row>
    <row r="20649" spans="1:5" x14ac:dyDescent="0.2">
      <c r="A20649">
        <v>11724</v>
      </c>
      <c r="B20649" t="s">
        <v>40</v>
      </c>
      <c r="C20649">
        <v>11724</v>
      </c>
      <c r="D20649" t="str">
        <f>"11724"</f>
        <v>11724</v>
      </c>
      <c r="E20649">
        <v>82.08</v>
      </c>
    </row>
    <row r="20650" spans="1:5" x14ac:dyDescent="0.2">
      <c r="A20650">
        <v>11725</v>
      </c>
      <c r="B20650" t="s">
        <v>40</v>
      </c>
      <c r="C20650">
        <v>11725</v>
      </c>
      <c r="D20650" t="str">
        <f>"11725"</f>
        <v>11725</v>
      </c>
      <c r="E20650">
        <v>80.48</v>
      </c>
    </row>
    <row r="20651" spans="1:5" x14ac:dyDescent="0.2">
      <c r="A20651">
        <v>11726</v>
      </c>
      <c r="B20651" t="s">
        <v>40</v>
      </c>
      <c r="C20651">
        <v>11726</v>
      </c>
      <c r="D20651" t="str">
        <f>"11726"</f>
        <v>11726</v>
      </c>
      <c r="E20651">
        <v>66.400000000000006</v>
      </c>
    </row>
    <row r="20652" spans="1:5" x14ac:dyDescent="0.2">
      <c r="A20652">
        <v>11727</v>
      </c>
      <c r="B20652" t="s">
        <v>40</v>
      </c>
      <c r="C20652">
        <v>11727</v>
      </c>
      <c r="D20652" t="str">
        <f>"11727"</f>
        <v>11727</v>
      </c>
      <c r="E20652">
        <v>77.77</v>
      </c>
    </row>
    <row r="20653" spans="1:5" x14ac:dyDescent="0.2">
      <c r="A20653">
        <v>11729</v>
      </c>
      <c r="B20653" t="s">
        <v>40</v>
      </c>
      <c r="C20653">
        <v>11729</v>
      </c>
      <c r="D20653" t="str">
        <f>"11729"</f>
        <v>11729</v>
      </c>
      <c r="E20653">
        <v>76.56</v>
      </c>
    </row>
    <row r="20654" spans="1:5" x14ac:dyDescent="0.2">
      <c r="A20654">
        <v>11730</v>
      </c>
      <c r="B20654" t="s">
        <v>40</v>
      </c>
      <c r="C20654">
        <v>11730</v>
      </c>
      <c r="D20654" t="str">
        <f>"11730"</f>
        <v>11730</v>
      </c>
      <c r="E20654">
        <v>81.77</v>
      </c>
    </row>
    <row r="20655" spans="1:5" x14ac:dyDescent="0.2">
      <c r="A20655">
        <v>11731</v>
      </c>
      <c r="B20655" t="s">
        <v>40</v>
      </c>
      <c r="C20655">
        <v>11731</v>
      </c>
      <c r="D20655" t="str">
        <f>"11731"</f>
        <v>11731</v>
      </c>
      <c r="E20655">
        <v>80.040000000000006</v>
      </c>
    </row>
    <row r="20656" spans="1:5" x14ac:dyDescent="0.2">
      <c r="A20656">
        <v>11732</v>
      </c>
      <c r="B20656" t="s">
        <v>40</v>
      </c>
      <c r="C20656">
        <v>11732</v>
      </c>
      <c r="D20656" t="str">
        <f>"11732"</f>
        <v>11732</v>
      </c>
      <c r="E20656">
        <v>82.72</v>
      </c>
    </row>
    <row r="20657" spans="1:5" x14ac:dyDescent="0.2">
      <c r="A20657">
        <v>11733</v>
      </c>
      <c r="B20657" t="s">
        <v>40</v>
      </c>
      <c r="C20657">
        <v>11733</v>
      </c>
      <c r="D20657" t="str">
        <f>"11733"</f>
        <v>11733</v>
      </c>
      <c r="E20657">
        <v>81.33</v>
      </c>
    </row>
    <row r="20658" spans="1:5" x14ac:dyDescent="0.2">
      <c r="A20658">
        <v>11735</v>
      </c>
      <c r="B20658" t="s">
        <v>40</v>
      </c>
      <c r="C20658">
        <v>11735</v>
      </c>
      <c r="D20658" t="str">
        <f>"11735"</f>
        <v>11735</v>
      </c>
      <c r="E20658">
        <v>79.22</v>
      </c>
    </row>
    <row r="20659" spans="1:5" x14ac:dyDescent="0.2">
      <c r="A20659">
        <v>11738</v>
      </c>
      <c r="B20659" t="s">
        <v>40</v>
      </c>
      <c r="C20659">
        <v>11738</v>
      </c>
      <c r="D20659" t="str">
        <f>"11738"</f>
        <v>11738</v>
      </c>
      <c r="E20659">
        <v>77.709999999999994</v>
      </c>
    </row>
    <row r="20660" spans="1:5" x14ac:dyDescent="0.2">
      <c r="A20660">
        <v>11739</v>
      </c>
      <c r="B20660" t="s">
        <v>40</v>
      </c>
      <c r="C20660">
        <v>11739</v>
      </c>
      <c r="D20660" t="str">
        <f>"11739"</f>
        <v>11739</v>
      </c>
      <c r="E20660" t="s">
        <v>6</v>
      </c>
    </row>
    <row r="20661" spans="1:5" x14ac:dyDescent="0.2">
      <c r="A20661">
        <v>11740</v>
      </c>
      <c r="B20661" t="s">
        <v>40</v>
      </c>
      <c r="C20661">
        <v>11740</v>
      </c>
      <c r="D20661" t="str">
        <f>"11740"</f>
        <v>11740</v>
      </c>
      <c r="E20661">
        <v>79.62</v>
      </c>
    </row>
    <row r="20662" spans="1:5" x14ac:dyDescent="0.2">
      <c r="A20662">
        <v>11741</v>
      </c>
      <c r="B20662" t="s">
        <v>40</v>
      </c>
      <c r="C20662">
        <v>11741</v>
      </c>
      <c r="D20662" t="str">
        <f>"11741"</f>
        <v>11741</v>
      </c>
      <c r="E20662">
        <v>81.73</v>
      </c>
    </row>
    <row r="20663" spans="1:5" x14ac:dyDescent="0.2">
      <c r="A20663">
        <v>11742</v>
      </c>
      <c r="B20663" t="s">
        <v>40</v>
      </c>
      <c r="C20663">
        <v>11742</v>
      </c>
      <c r="D20663" t="str">
        <f>"11742"</f>
        <v>11742</v>
      </c>
      <c r="E20663">
        <v>81.180000000000007</v>
      </c>
    </row>
    <row r="20664" spans="1:5" x14ac:dyDescent="0.2">
      <c r="A20664">
        <v>11743</v>
      </c>
      <c r="B20664" t="s">
        <v>40</v>
      </c>
      <c r="C20664">
        <v>11743</v>
      </c>
      <c r="D20664" t="str">
        <f>"11743"</f>
        <v>11743</v>
      </c>
      <c r="E20664">
        <v>80.37</v>
      </c>
    </row>
    <row r="20665" spans="1:5" x14ac:dyDescent="0.2">
      <c r="A20665">
        <v>11746</v>
      </c>
      <c r="B20665" t="s">
        <v>40</v>
      </c>
      <c r="C20665">
        <v>11746</v>
      </c>
      <c r="D20665" t="str">
        <f>"11746"</f>
        <v>11746</v>
      </c>
      <c r="E20665">
        <v>74.17</v>
      </c>
    </row>
    <row r="20666" spans="1:5" x14ac:dyDescent="0.2">
      <c r="A20666">
        <v>11747</v>
      </c>
      <c r="B20666" t="s">
        <v>40</v>
      </c>
      <c r="C20666">
        <v>11747</v>
      </c>
      <c r="D20666" t="str">
        <f>"11747"</f>
        <v>11747</v>
      </c>
      <c r="E20666">
        <v>80.930000000000007</v>
      </c>
    </row>
    <row r="20667" spans="1:5" x14ac:dyDescent="0.2">
      <c r="A20667">
        <v>11749</v>
      </c>
      <c r="B20667" t="s">
        <v>40</v>
      </c>
      <c r="C20667">
        <v>11749</v>
      </c>
      <c r="D20667" t="str">
        <f>"11749"</f>
        <v>11749</v>
      </c>
      <c r="E20667">
        <v>75.94</v>
      </c>
    </row>
    <row r="20668" spans="1:5" x14ac:dyDescent="0.2">
      <c r="A20668">
        <v>11751</v>
      </c>
      <c r="B20668" t="s">
        <v>40</v>
      </c>
      <c r="C20668">
        <v>11751</v>
      </c>
      <c r="D20668" t="str">
        <f>"11751"</f>
        <v>11751</v>
      </c>
      <c r="E20668">
        <v>81.13</v>
      </c>
    </row>
    <row r="20669" spans="1:5" x14ac:dyDescent="0.2">
      <c r="A20669">
        <v>11752</v>
      </c>
      <c r="B20669" t="s">
        <v>40</v>
      </c>
      <c r="C20669">
        <v>11752</v>
      </c>
      <c r="D20669" t="str">
        <f>"11752"</f>
        <v>11752</v>
      </c>
      <c r="E20669">
        <v>80.150000000000006</v>
      </c>
    </row>
    <row r="20670" spans="1:5" x14ac:dyDescent="0.2">
      <c r="A20670">
        <v>11753</v>
      </c>
      <c r="B20670" t="s">
        <v>40</v>
      </c>
      <c r="C20670">
        <v>11753</v>
      </c>
      <c r="D20670" t="str">
        <f>"11753"</f>
        <v>11753</v>
      </c>
      <c r="E20670">
        <v>79.08</v>
      </c>
    </row>
    <row r="20671" spans="1:5" x14ac:dyDescent="0.2">
      <c r="A20671">
        <v>11754</v>
      </c>
      <c r="B20671" t="s">
        <v>40</v>
      </c>
      <c r="C20671">
        <v>11754</v>
      </c>
      <c r="D20671" t="str">
        <f>"11754"</f>
        <v>11754</v>
      </c>
      <c r="E20671">
        <v>81.52</v>
      </c>
    </row>
    <row r="20672" spans="1:5" x14ac:dyDescent="0.2">
      <c r="A20672">
        <v>11755</v>
      </c>
      <c r="B20672" t="s">
        <v>40</v>
      </c>
      <c r="C20672">
        <v>11755</v>
      </c>
      <c r="D20672" t="str">
        <f>"11755"</f>
        <v>11755</v>
      </c>
      <c r="E20672">
        <v>80.97</v>
      </c>
    </row>
    <row r="20673" spans="1:5" x14ac:dyDescent="0.2">
      <c r="A20673">
        <v>11756</v>
      </c>
      <c r="B20673" t="s">
        <v>40</v>
      </c>
      <c r="C20673">
        <v>11756</v>
      </c>
      <c r="D20673" t="str">
        <f>"11756"</f>
        <v>11756</v>
      </c>
      <c r="E20673">
        <v>80.58</v>
      </c>
    </row>
    <row r="20674" spans="1:5" x14ac:dyDescent="0.2">
      <c r="A20674">
        <v>11757</v>
      </c>
      <c r="B20674" t="s">
        <v>40</v>
      </c>
      <c r="C20674">
        <v>11757</v>
      </c>
      <c r="D20674" t="str">
        <f>"11757"</f>
        <v>11757</v>
      </c>
      <c r="E20674">
        <v>77.53</v>
      </c>
    </row>
    <row r="20675" spans="1:5" x14ac:dyDescent="0.2">
      <c r="A20675">
        <v>11758</v>
      </c>
      <c r="B20675" t="s">
        <v>40</v>
      </c>
      <c r="C20675">
        <v>11758</v>
      </c>
      <c r="D20675" t="str">
        <f>"11758"</f>
        <v>11758</v>
      </c>
      <c r="E20675">
        <v>81.040000000000006</v>
      </c>
    </row>
    <row r="20676" spans="1:5" x14ac:dyDescent="0.2">
      <c r="A20676">
        <v>11762</v>
      </c>
      <c r="B20676" t="s">
        <v>40</v>
      </c>
      <c r="C20676">
        <v>11762</v>
      </c>
      <c r="D20676" t="str">
        <f>"11762"</f>
        <v>11762</v>
      </c>
      <c r="E20676">
        <v>82.89</v>
      </c>
    </row>
    <row r="20677" spans="1:5" x14ac:dyDescent="0.2">
      <c r="A20677">
        <v>11763</v>
      </c>
      <c r="B20677" t="s">
        <v>40</v>
      </c>
      <c r="C20677">
        <v>11763</v>
      </c>
      <c r="D20677" t="str">
        <f>"11763"</f>
        <v>11763</v>
      </c>
      <c r="E20677">
        <v>75.739999999999995</v>
      </c>
    </row>
    <row r="20678" spans="1:5" x14ac:dyDescent="0.2">
      <c r="A20678">
        <v>11764</v>
      </c>
      <c r="B20678" t="s">
        <v>40</v>
      </c>
      <c r="C20678">
        <v>11764</v>
      </c>
      <c r="D20678" t="str">
        <f>"11764"</f>
        <v>11764</v>
      </c>
      <c r="E20678">
        <v>79.88</v>
      </c>
    </row>
    <row r="20679" spans="1:5" x14ac:dyDescent="0.2">
      <c r="A20679">
        <v>11765</v>
      </c>
      <c r="B20679" t="s">
        <v>40</v>
      </c>
      <c r="C20679">
        <v>11765</v>
      </c>
      <c r="D20679" t="str">
        <f>"11765"</f>
        <v>11765</v>
      </c>
      <c r="E20679">
        <v>81.819999999999993</v>
      </c>
    </row>
    <row r="20680" spans="1:5" x14ac:dyDescent="0.2">
      <c r="A20680">
        <v>11766</v>
      </c>
      <c r="B20680" t="s">
        <v>40</v>
      </c>
      <c r="C20680">
        <v>11766</v>
      </c>
      <c r="D20680" t="str">
        <f>"11766"</f>
        <v>11766</v>
      </c>
      <c r="E20680">
        <v>81.52</v>
      </c>
    </row>
    <row r="20681" spans="1:5" x14ac:dyDescent="0.2">
      <c r="A20681">
        <v>11767</v>
      </c>
      <c r="B20681" t="s">
        <v>40</v>
      </c>
      <c r="C20681">
        <v>11767</v>
      </c>
      <c r="D20681" t="str">
        <f>"11767"</f>
        <v>11767</v>
      </c>
      <c r="E20681">
        <v>81.37</v>
      </c>
    </row>
    <row r="20682" spans="1:5" x14ac:dyDescent="0.2">
      <c r="A20682">
        <v>11768</v>
      </c>
      <c r="B20682" t="s">
        <v>40</v>
      </c>
      <c r="C20682">
        <v>11768</v>
      </c>
      <c r="D20682" t="str">
        <f>"11768"</f>
        <v>11768</v>
      </c>
      <c r="E20682">
        <v>81.040000000000006</v>
      </c>
    </row>
    <row r="20683" spans="1:5" x14ac:dyDescent="0.2">
      <c r="A20683">
        <v>11769</v>
      </c>
      <c r="B20683" t="s">
        <v>40</v>
      </c>
      <c r="C20683">
        <v>11769</v>
      </c>
      <c r="D20683" t="str">
        <f>"11769"</f>
        <v>11769</v>
      </c>
      <c r="E20683">
        <v>83.2</v>
      </c>
    </row>
    <row r="20684" spans="1:5" x14ac:dyDescent="0.2">
      <c r="A20684">
        <v>11770</v>
      </c>
      <c r="B20684" t="s">
        <v>40</v>
      </c>
      <c r="C20684">
        <v>11770</v>
      </c>
      <c r="D20684" t="str">
        <f>"11770"</f>
        <v>11770</v>
      </c>
      <c r="E20684" t="s">
        <v>6</v>
      </c>
    </row>
    <row r="20685" spans="1:5" x14ac:dyDescent="0.2">
      <c r="A20685">
        <v>11771</v>
      </c>
      <c r="B20685" t="s">
        <v>40</v>
      </c>
      <c r="C20685">
        <v>11771</v>
      </c>
      <c r="D20685" t="str">
        <f>"11771"</f>
        <v>11771</v>
      </c>
      <c r="E20685">
        <v>79.27</v>
      </c>
    </row>
    <row r="20686" spans="1:5" x14ac:dyDescent="0.2">
      <c r="A20686">
        <v>11772</v>
      </c>
      <c r="B20686" t="s">
        <v>40</v>
      </c>
      <c r="C20686">
        <v>11772</v>
      </c>
      <c r="D20686" t="str">
        <f>"11772"</f>
        <v>11772</v>
      </c>
      <c r="E20686">
        <v>76.63</v>
      </c>
    </row>
    <row r="20687" spans="1:5" x14ac:dyDescent="0.2">
      <c r="A20687">
        <v>11776</v>
      </c>
      <c r="B20687" t="s">
        <v>40</v>
      </c>
      <c r="C20687">
        <v>11776</v>
      </c>
      <c r="D20687" t="str">
        <f>"11776"</f>
        <v>11776</v>
      </c>
      <c r="E20687">
        <v>76.81</v>
      </c>
    </row>
    <row r="20688" spans="1:5" x14ac:dyDescent="0.2">
      <c r="A20688">
        <v>11777</v>
      </c>
      <c r="B20688" t="s">
        <v>40</v>
      </c>
      <c r="C20688">
        <v>11777</v>
      </c>
      <c r="D20688" t="str">
        <f>"11777"</f>
        <v>11777</v>
      </c>
      <c r="E20688">
        <v>81.5</v>
      </c>
    </row>
    <row r="20689" spans="1:5" x14ac:dyDescent="0.2">
      <c r="A20689">
        <v>11778</v>
      </c>
      <c r="B20689" t="s">
        <v>40</v>
      </c>
      <c r="C20689">
        <v>11778</v>
      </c>
      <c r="D20689" t="str">
        <f>"11778"</f>
        <v>11778</v>
      </c>
      <c r="E20689">
        <v>78.150000000000006</v>
      </c>
    </row>
    <row r="20690" spans="1:5" x14ac:dyDescent="0.2">
      <c r="A20690">
        <v>11779</v>
      </c>
      <c r="B20690" t="s">
        <v>40</v>
      </c>
      <c r="C20690">
        <v>11779</v>
      </c>
      <c r="D20690" t="str">
        <f>"11779"</f>
        <v>11779</v>
      </c>
      <c r="E20690">
        <v>79.599999999999994</v>
      </c>
    </row>
    <row r="20691" spans="1:5" x14ac:dyDescent="0.2">
      <c r="A20691">
        <v>11780</v>
      </c>
      <c r="B20691" t="s">
        <v>40</v>
      </c>
      <c r="C20691">
        <v>11780</v>
      </c>
      <c r="D20691" t="str">
        <f>"11780"</f>
        <v>11780</v>
      </c>
      <c r="E20691">
        <v>81.67</v>
      </c>
    </row>
    <row r="20692" spans="1:5" x14ac:dyDescent="0.2">
      <c r="A20692">
        <v>11782</v>
      </c>
      <c r="B20692" t="s">
        <v>40</v>
      </c>
      <c r="C20692">
        <v>11782</v>
      </c>
      <c r="D20692" t="str">
        <f>"11782"</f>
        <v>11782</v>
      </c>
      <c r="E20692">
        <v>81.819999999999993</v>
      </c>
    </row>
    <row r="20693" spans="1:5" x14ac:dyDescent="0.2">
      <c r="A20693">
        <v>11783</v>
      </c>
      <c r="B20693" t="s">
        <v>40</v>
      </c>
      <c r="C20693">
        <v>11783</v>
      </c>
      <c r="D20693" t="str">
        <f>"11783"</f>
        <v>11783</v>
      </c>
      <c r="E20693">
        <v>83.1</v>
      </c>
    </row>
    <row r="20694" spans="1:5" x14ac:dyDescent="0.2">
      <c r="A20694">
        <v>11784</v>
      </c>
      <c r="B20694" t="s">
        <v>40</v>
      </c>
      <c r="C20694">
        <v>11784</v>
      </c>
      <c r="D20694" t="str">
        <f>"11784"</f>
        <v>11784</v>
      </c>
      <c r="E20694">
        <v>76.87</v>
      </c>
    </row>
    <row r="20695" spans="1:5" x14ac:dyDescent="0.2">
      <c r="A20695">
        <v>11786</v>
      </c>
      <c r="B20695" t="s">
        <v>40</v>
      </c>
      <c r="C20695">
        <v>11786</v>
      </c>
      <c r="D20695" t="str">
        <f>"11786"</f>
        <v>11786</v>
      </c>
      <c r="E20695">
        <v>79.38</v>
      </c>
    </row>
    <row r="20696" spans="1:5" x14ac:dyDescent="0.2">
      <c r="A20696">
        <v>11787</v>
      </c>
      <c r="B20696" t="s">
        <v>40</v>
      </c>
      <c r="C20696">
        <v>11787</v>
      </c>
      <c r="D20696" t="str">
        <f>"11787"</f>
        <v>11787</v>
      </c>
      <c r="E20696">
        <v>81.290000000000006</v>
      </c>
    </row>
    <row r="20697" spans="1:5" x14ac:dyDescent="0.2">
      <c r="A20697">
        <v>11788</v>
      </c>
      <c r="B20697" t="s">
        <v>40</v>
      </c>
      <c r="C20697">
        <v>11788</v>
      </c>
      <c r="D20697" t="str">
        <f>"11788"</f>
        <v>11788</v>
      </c>
      <c r="E20697">
        <v>80.75</v>
      </c>
    </row>
    <row r="20698" spans="1:5" x14ac:dyDescent="0.2">
      <c r="A20698">
        <v>11789</v>
      </c>
      <c r="B20698" t="s">
        <v>40</v>
      </c>
      <c r="C20698">
        <v>11789</v>
      </c>
      <c r="D20698" t="str">
        <f>"11789"</f>
        <v>11789</v>
      </c>
      <c r="E20698">
        <v>80.59</v>
      </c>
    </row>
    <row r="20699" spans="1:5" x14ac:dyDescent="0.2">
      <c r="A20699">
        <v>11790</v>
      </c>
      <c r="B20699" t="s">
        <v>40</v>
      </c>
      <c r="C20699">
        <v>11790</v>
      </c>
      <c r="D20699" t="str">
        <f>"11790"</f>
        <v>11790</v>
      </c>
      <c r="E20699">
        <v>79.86</v>
      </c>
    </row>
    <row r="20700" spans="1:5" x14ac:dyDescent="0.2">
      <c r="A20700">
        <v>11791</v>
      </c>
      <c r="B20700" t="s">
        <v>40</v>
      </c>
      <c r="C20700">
        <v>11791</v>
      </c>
      <c r="D20700" t="str">
        <f>"11791"</f>
        <v>11791</v>
      </c>
      <c r="E20700">
        <v>79.819999999999993</v>
      </c>
    </row>
    <row r="20701" spans="1:5" x14ac:dyDescent="0.2">
      <c r="A20701">
        <v>11792</v>
      </c>
      <c r="B20701" t="s">
        <v>40</v>
      </c>
      <c r="C20701">
        <v>11792</v>
      </c>
      <c r="D20701" t="str">
        <f>"11792"</f>
        <v>11792</v>
      </c>
      <c r="E20701">
        <v>80.819999999999993</v>
      </c>
    </row>
    <row r="20702" spans="1:5" x14ac:dyDescent="0.2">
      <c r="A20702">
        <v>11793</v>
      </c>
      <c r="B20702" t="s">
        <v>40</v>
      </c>
      <c r="C20702">
        <v>11793</v>
      </c>
      <c r="D20702" t="str">
        <f>"11793"</f>
        <v>11793</v>
      </c>
      <c r="E20702">
        <v>82.48</v>
      </c>
    </row>
    <row r="20703" spans="1:5" x14ac:dyDescent="0.2">
      <c r="A20703">
        <v>11795</v>
      </c>
      <c r="B20703" t="s">
        <v>40</v>
      </c>
      <c r="C20703">
        <v>11795</v>
      </c>
      <c r="D20703" t="str">
        <f>"11795"</f>
        <v>11795</v>
      </c>
      <c r="E20703">
        <v>81.650000000000006</v>
      </c>
    </row>
    <row r="20704" spans="1:5" x14ac:dyDescent="0.2">
      <c r="A20704">
        <v>11796</v>
      </c>
      <c r="B20704" t="s">
        <v>40</v>
      </c>
      <c r="C20704">
        <v>11796</v>
      </c>
      <c r="D20704" t="str">
        <f>"11796"</f>
        <v>11796</v>
      </c>
      <c r="E20704">
        <v>82.05</v>
      </c>
    </row>
    <row r="20705" spans="1:5" x14ac:dyDescent="0.2">
      <c r="A20705">
        <v>11797</v>
      </c>
      <c r="B20705" t="s">
        <v>40</v>
      </c>
      <c r="C20705">
        <v>11797</v>
      </c>
      <c r="D20705" t="str">
        <f>"11797"</f>
        <v>11797</v>
      </c>
      <c r="E20705">
        <v>81.88</v>
      </c>
    </row>
    <row r="20706" spans="1:5" x14ac:dyDescent="0.2">
      <c r="A20706">
        <v>11798</v>
      </c>
      <c r="B20706" t="s">
        <v>40</v>
      </c>
      <c r="C20706">
        <v>11798</v>
      </c>
      <c r="D20706" t="str">
        <f>"11798"</f>
        <v>11798</v>
      </c>
      <c r="E20706">
        <v>62.88</v>
      </c>
    </row>
    <row r="20707" spans="1:5" x14ac:dyDescent="0.2">
      <c r="A20707">
        <v>11801</v>
      </c>
      <c r="B20707" t="s">
        <v>40</v>
      </c>
      <c r="C20707">
        <v>11801</v>
      </c>
      <c r="D20707" t="str">
        <f>"11801"</f>
        <v>11801</v>
      </c>
      <c r="E20707">
        <v>75.459999999999994</v>
      </c>
    </row>
    <row r="20708" spans="1:5" x14ac:dyDescent="0.2">
      <c r="A20708">
        <v>11803</v>
      </c>
      <c r="B20708" t="s">
        <v>40</v>
      </c>
      <c r="C20708">
        <v>11803</v>
      </c>
      <c r="D20708" t="str">
        <f>"11803"</f>
        <v>11803</v>
      </c>
      <c r="E20708">
        <v>81.44</v>
      </c>
    </row>
    <row r="20709" spans="1:5" x14ac:dyDescent="0.2">
      <c r="A20709">
        <v>11804</v>
      </c>
      <c r="B20709" t="s">
        <v>40</v>
      </c>
      <c r="C20709">
        <v>11804</v>
      </c>
      <c r="D20709" t="str">
        <f>"11804"</f>
        <v>11804</v>
      </c>
      <c r="E20709">
        <v>82.47</v>
      </c>
    </row>
    <row r="20710" spans="1:5" x14ac:dyDescent="0.2">
      <c r="A20710">
        <v>11901</v>
      </c>
      <c r="B20710" t="s">
        <v>40</v>
      </c>
      <c r="C20710">
        <v>11901</v>
      </c>
      <c r="D20710" t="str">
        <f>"11901"</f>
        <v>11901</v>
      </c>
      <c r="E20710">
        <v>69.05</v>
      </c>
    </row>
    <row r="20711" spans="1:5" x14ac:dyDescent="0.2">
      <c r="A20711">
        <v>11930</v>
      </c>
      <c r="B20711" t="s">
        <v>40</v>
      </c>
      <c r="C20711">
        <v>11930</v>
      </c>
      <c r="D20711" t="str">
        <f>"11930"</f>
        <v>11930</v>
      </c>
      <c r="E20711" t="s">
        <v>6</v>
      </c>
    </row>
    <row r="20712" spans="1:5" x14ac:dyDescent="0.2">
      <c r="A20712">
        <v>11932</v>
      </c>
      <c r="B20712" t="s">
        <v>40</v>
      </c>
      <c r="C20712">
        <v>11932</v>
      </c>
      <c r="D20712" t="str">
        <f>"11932"</f>
        <v>11932</v>
      </c>
      <c r="E20712" t="s">
        <v>6</v>
      </c>
    </row>
    <row r="20713" spans="1:5" x14ac:dyDescent="0.2">
      <c r="A20713">
        <v>11933</v>
      </c>
      <c r="B20713" t="s">
        <v>40</v>
      </c>
      <c r="C20713">
        <v>11933</v>
      </c>
      <c r="D20713" t="str">
        <f>"11933"</f>
        <v>11933</v>
      </c>
      <c r="E20713">
        <v>75.83</v>
      </c>
    </row>
    <row r="20714" spans="1:5" x14ac:dyDescent="0.2">
      <c r="A20714">
        <v>11934</v>
      </c>
      <c r="B20714" t="s">
        <v>40</v>
      </c>
      <c r="C20714">
        <v>11934</v>
      </c>
      <c r="D20714" t="str">
        <f>"11934"</f>
        <v>11934</v>
      </c>
      <c r="E20714">
        <v>78.819999999999993</v>
      </c>
    </row>
    <row r="20715" spans="1:5" x14ac:dyDescent="0.2">
      <c r="A20715">
        <v>11935</v>
      </c>
      <c r="B20715" t="s">
        <v>40</v>
      </c>
      <c r="C20715">
        <v>11935</v>
      </c>
      <c r="D20715" t="str">
        <f>"11935"</f>
        <v>11935</v>
      </c>
      <c r="E20715">
        <v>78.31</v>
      </c>
    </row>
    <row r="20716" spans="1:5" x14ac:dyDescent="0.2">
      <c r="A20716">
        <v>11937</v>
      </c>
      <c r="B20716" t="s">
        <v>40</v>
      </c>
      <c r="C20716">
        <v>11937</v>
      </c>
      <c r="D20716" t="str">
        <f>"11937"</f>
        <v>11937</v>
      </c>
      <c r="E20716">
        <v>72.739999999999995</v>
      </c>
    </row>
    <row r="20717" spans="1:5" x14ac:dyDescent="0.2">
      <c r="A20717">
        <v>11939</v>
      </c>
      <c r="B20717" t="s">
        <v>40</v>
      </c>
      <c r="C20717">
        <v>11939</v>
      </c>
      <c r="D20717" t="str">
        <f>"11939"</f>
        <v>11939</v>
      </c>
      <c r="E20717">
        <v>72.22</v>
      </c>
    </row>
    <row r="20718" spans="1:5" x14ac:dyDescent="0.2">
      <c r="A20718">
        <v>11940</v>
      </c>
      <c r="B20718" t="s">
        <v>40</v>
      </c>
      <c r="C20718">
        <v>11940</v>
      </c>
      <c r="D20718" t="str">
        <f>"11940"</f>
        <v>11940</v>
      </c>
      <c r="E20718">
        <v>77.86</v>
      </c>
    </row>
    <row r="20719" spans="1:5" x14ac:dyDescent="0.2">
      <c r="A20719">
        <v>11941</v>
      </c>
      <c r="B20719" t="s">
        <v>40</v>
      </c>
      <c r="C20719">
        <v>11941</v>
      </c>
      <c r="D20719" t="str">
        <f>"11941"</f>
        <v>11941</v>
      </c>
      <c r="E20719">
        <v>79.17</v>
      </c>
    </row>
    <row r="20720" spans="1:5" x14ac:dyDescent="0.2">
      <c r="A20720">
        <v>11942</v>
      </c>
      <c r="B20720" t="s">
        <v>40</v>
      </c>
      <c r="C20720">
        <v>11942</v>
      </c>
      <c r="D20720" t="str">
        <f>"11942"</f>
        <v>11942</v>
      </c>
      <c r="E20720">
        <v>76.56</v>
      </c>
    </row>
    <row r="20721" spans="1:5" x14ac:dyDescent="0.2">
      <c r="A20721">
        <v>11944</v>
      </c>
      <c r="B20721" t="s">
        <v>40</v>
      </c>
      <c r="C20721">
        <v>11944</v>
      </c>
      <c r="D20721" t="str">
        <f>"11944"</f>
        <v>11944</v>
      </c>
      <c r="E20721">
        <v>71.489999999999995</v>
      </c>
    </row>
    <row r="20722" spans="1:5" x14ac:dyDescent="0.2">
      <c r="A20722">
        <v>11946</v>
      </c>
      <c r="B20722" t="s">
        <v>40</v>
      </c>
      <c r="C20722">
        <v>11946</v>
      </c>
      <c r="D20722" t="str">
        <f>"11946"</f>
        <v>11946</v>
      </c>
      <c r="E20722">
        <v>71.56</v>
      </c>
    </row>
    <row r="20723" spans="1:5" x14ac:dyDescent="0.2">
      <c r="A20723">
        <v>11947</v>
      </c>
      <c r="B20723" t="s">
        <v>40</v>
      </c>
      <c r="C20723">
        <v>11947</v>
      </c>
      <c r="D20723" t="str">
        <f>"11947"</f>
        <v>11947</v>
      </c>
      <c r="E20723" t="s">
        <v>6</v>
      </c>
    </row>
    <row r="20724" spans="1:5" x14ac:dyDescent="0.2">
      <c r="A20724">
        <v>11948</v>
      </c>
      <c r="B20724" t="s">
        <v>40</v>
      </c>
      <c r="C20724">
        <v>11948</v>
      </c>
      <c r="D20724" t="str">
        <f>"11948"</f>
        <v>11948</v>
      </c>
      <c r="E20724">
        <v>77.94</v>
      </c>
    </row>
    <row r="20725" spans="1:5" x14ac:dyDescent="0.2">
      <c r="A20725">
        <v>11949</v>
      </c>
      <c r="B20725" t="s">
        <v>40</v>
      </c>
      <c r="C20725">
        <v>11949</v>
      </c>
      <c r="D20725" t="str">
        <f>"11949"</f>
        <v>11949</v>
      </c>
      <c r="E20725">
        <v>78.05</v>
      </c>
    </row>
    <row r="20726" spans="1:5" x14ac:dyDescent="0.2">
      <c r="A20726">
        <v>11950</v>
      </c>
      <c r="B20726" t="s">
        <v>40</v>
      </c>
      <c r="C20726">
        <v>11950</v>
      </c>
      <c r="D20726" t="str">
        <f>"11950"</f>
        <v>11950</v>
      </c>
      <c r="E20726">
        <v>68.83</v>
      </c>
    </row>
    <row r="20727" spans="1:5" x14ac:dyDescent="0.2">
      <c r="A20727">
        <v>11951</v>
      </c>
      <c r="B20727" t="s">
        <v>40</v>
      </c>
      <c r="C20727">
        <v>11951</v>
      </c>
      <c r="D20727" t="str">
        <f>"11951"</f>
        <v>11951</v>
      </c>
      <c r="E20727">
        <v>70.98</v>
      </c>
    </row>
    <row r="20728" spans="1:5" x14ac:dyDescent="0.2">
      <c r="A20728">
        <v>11952</v>
      </c>
      <c r="B20728" t="s">
        <v>40</v>
      </c>
      <c r="C20728">
        <v>11952</v>
      </c>
      <c r="D20728" t="str">
        <f>"11952"</f>
        <v>11952</v>
      </c>
      <c r="E20728">
        <v>76.430000000000007</v>
      </c>
    </row>
    <row r="20729" spans="1:5" x14ac:dyDescent="0.2">
      <c r="A20729">
        <v>11953</v>
      </c>
      <c r="B20729" t="s">
        <v>40</v>
      </c>
      <c r="C20729">
        <v>11953</v>
      </c>
      <c r="D20729" t="str">
        <f>"11953"</f>
        <v>11953</v>
      </c>
      <c r="E20729">
        <v>77.89</v>
      </c>
    </row>
    <row r="20730" spans="1:5" x14ac:dyDescent="0.2">
      <c r="A20730">
        <v>11954</v>
      </c>
      <c r="B20730" t="s">
        <v>40</v>
      </c>
      <c r="C20730">
        <v>11954</v>
      </c>
      <c r="D20730" t="str">
        <f>"11954"</f>
        <v>11954</v>
      </c>
      <c r="E20730">
        <v>78.150000000000006</v>
      </c>
    </row>
    <row r="20731" spans="1:5" x14ac:dyDescent="0.2">
      <c r="A20731">
        <v>11955</v>
      </c>
      <c r="B20731" t="s">
        <v>40</v>
      </c>
      <c r="C20731">
        <v>11955</v>
      </c>
      <c r="D20731" t="str">
        <f>"11955"</f>
        <v>11955</v>
      </c>
      <c r="E20731">
        <v>79.209999999999994</v>
      </c>
    </row>
    <row r="20732" spans="1:5" x14ac:dyDescent="0.2">
      <c r="A20732">
        <v>11956</v>
      </c>
      <c r="B20732" t="s">
        <v>40</v>
      </c>
      <c r="C20732">
        <v>11956</v>
      </c>
      <c r="D20732" t="str">
        <f>"11956"</f>
        <v>11956</v>
      </c>
      <c r="E20732" t="s">
        <v>6</v>
      </c>
    </row>
    <row r="20733" spans="1:5" x14ac:dyDescent="0.2">
      <c r="A20733">
        <v>11957</v>
      </c>
      <c r="B20733" t="s">
        <v>40</v>
      </c>
      <c r="C20733">
        <v>11957</v>
      </c>
      <c r="D20733" t="str">
        <f>"11957"</f>
        <v>11957</v>
      </c>
      <c r="E20733">
        <v>82.22</v>
      </c>
    </row>
    <row r="20734" spans="1:5" x14ac:dyDescent="0.2">
      <c r="A20734">
        <v>11958</v>
      </c>
      <c r="B20734" t="s">
        <v>40</v>
      </c>
      <c r="C20734">
        <v>11958</v>
      </c>
      <c r="D20734" t="str">
        <f>"11958"</f>
        <v>11958</v>
      </c>
      <c r="E20734">
        <v>71.430000000000007</v>
      </c>
    </row>
    <row r="20735" spans="1:5" x14ac:dyDescent="0.2">
      <c r="A20735">
        <v>11959</v>
      </c>
      <c r="B20735" t="s">
        <v>40</v>
      </c>
      <c r="C20735">
        <v>11959</v>
      </c>
      <c r="D20735" t="str">
        <f>"11959"</f>
        <v>11959</v>
      </c>
      <c r="E20735" t="s">
        <v>6</v>
      </c>
    </row>
    <row r="20736" spans="1:5" x14ac:dyDescent="0.2">
      <c r="A20736">
        <v>11960</v>
      </c>
      <c r="B20736" t="s">
        <v>40</v>
      </c>
      <c r="C20736">
        <v>11960</v>
      </c>
      <c r="D20736" t="str">
        <f>"11960"</f>
        <v>11960</v>
      </c>
      <c r="E20736" t="s">
        <v>6</v>
      </c>
    </row>
    <row r="20737" spans="1:5" x14ac:dyDescent="0.2">
      <c r="A20737">
        <v>11961</v>
      </c>
      <c r="B20737" t="s">
        <v>40</v>
      </c>
      <c r="C20737">
        <v>11961</v>
      </c>
      <c r="D20737" t="str">
        <f>"11961"</f>
        <v>11961</v>
      </c>
      <c r="E20737">
        <v>79.13</v>
      </c>
    </row>
    <row r="20738" spans="1:5" x14ac:dyDescent="0.2">
      <c r="A20738">
        <v>11962</v>
      </c>
      <c r="B20738" t="s">
        <v>40</v>
      </c>
      <c r="C20738">
        <v>11962</v>
      </c>
      <c r="D20738" t="str">
        <f>"11962"</f>
        <v>11962</v>
      </c>
      <c r="E20738" t="s">
        <v>6</v>
      </c>
    </row>
    <row r="20739" spans="1:5" x14ac:dyDescent="0.2">
      <c r="A20739">
        <v>11963</v>
      </c>
      <c r="B20739" t="s">
        <v>40</v>
      </c>
      <c r="C20739">
        <v>11963</v>
      </c>
      <c r="D20739" t="str">
        <f>"11963"</f>
        <v>11963</v>
      </c>
      <c r="E20739">
        <v>77.89</v>
      </c>
    </row>
    <row r="20740" spans="1:5" x14ac:dyDescent="0.2">
      <c r="A20740">
        <v>11964</v>
      </c>
      <c r="B20740" t="s">
        <v>40</v>
      </c>
      <c r="C20740">
        <v>11964</v>
      </c>
      <c r="D20740" t="str">
        <f>"11964"</f>
        <v>11964</v>
      </c>
      <c r="E20740" t="s">
        <v>6</v>
      </c>
    </row>
    <row r="20741" spans="1:5" x14ac:dyDescent="0.2">
      <c r="A20741">
        <v>11965</v>
      </c>
      <c r="B20741" t="s">
        <v>40</v>
      </c>
      <c r="C20741">
        <v>11965</v>
      </c>
      <c r="D20741" t="str">
        <f>"11965"</f>
        <v>11965</v>
      </c>
      <c r="E20741" t="s">
        <v>6</v>
      </c>
    </row>
    <row r="20742" spans="1:5" x14ac:dyDescent="0.2">
      <c r="A20742">
        <v>11967</v>
      </c>
      <c r="B20742" t="s">
        <v>40</v>
      </c>
      <c r="C20742">
        <v>11967</v>
      </c>
      <c r="D20742" t="str">
        <f>"11967"</f>
        <v>11967</v>
      </c>
      <c r="E20742">
        <v>74.010000000000005</v>
      </c>
    </row>
    <row r="20743" spans="1:5" x14ac:dyDescent="0.2">
      <c r="A20743">
        <v>11968</v>
      </c>
      <c r="B20743" t="s">
        <v>40</v>
      </c>
      <c r="C20743">
        <v>11968</v>
      </c>
      <c r="D20743" t="str">
        <f>"11968"</f>
        <v>11968</v>
      </c>
      <c r="E20743">
        <v>74.209999999999994</v>
      </c>
    </row>
    <row r="20744" spans="1:5" x14ac:dyDescent="0.2">
      <c r="A20744">
        <v>11970</v>
      </c>
      <c r="B20744" t="s">
        <v>40</v>
      </c>
      <c r="C20744">
        <v>11970</v>
      </c>
      <c r="D20744" t="str">
        <f>"11970"</f>
        <v>11970</v>
      </c>
      <c r="E20744" t="s">
        <v>6</v>
      </c>
    </row>
    <row r="20745" spans="1:5" x14ac:dyDescent="0.2">
      <c r="A20745">
        <v>11971</v>
      </c>
      <c r="B20745" t="s">
        <v>40</v>
      </c>
      <c r="C20745">
        <v>11971</v>
      </c>
      <c r="D20745" t="str">
        <f>"11971"</f>
        <v>11971</v>
      </c>
      <c r="E20745">
        <v>76.97</v>
      </c>
    </row>
    <row r="20746" spans="1:5" x14ac:dyDescent="0.2">
      <c r="A20746">
        <v>11972</v>
      </c>
      <c r="B20746" t="s">
        <v>40</v>
      </c>
      <c r="C20746">
        <v>11972</v>
      </c>
      <c r="D20746" t="str">
        <f>"11972"</f>
        <v>11972</v>
      </c>
      <c r="E20746" t="s">
        <v>6</v>
      </c>
    </row>
    <row r="20747" spans="1:5" x14ac:dyDescent="0.2">
      <c r="A20747">
        <v>11973</v>
      </c>
      <c r="B20747" t="s">
        <v>40</v>
      </c>
      <c r="C20747">
        <v>11973</v>
      </c>
      <c r="D20747" t="str">
        <f>"11973"</f>
        <v>11973</v>
      </c>
      <c r="E20747" t="s">
        <v>6</v>
      </c>
    </row>
    <row r="20748" spans="1:5" x14ac:dyDescent="0.2">
      <c r="A20748">
        <v>11975</v>
      </c>
      <c r="B20748" t="s">
        <v>40</v>
      </c>
      <c r="C20748">
        <v>11975</v>
      </c>
      <c r="D20748" t="str">
        <f>"11975"</f>
        <v>11975</v>
      </c>
      <c r="E20748" t="s">
        <v>6</v>
      </c>
    </row>
    <row r="20749" spans="1:5" x14ac:dyDescent="0.2">
      <c r="A20749">
        <v>11976</v>
      </c>
      <c r="B20749" t="s">
        <v>40</v>
      </c>
      <c r="C20749">
        <v>11976</v>
      </c>
      <c r="D20749" t="str">
        <f>"11976"</f>
        <v>11976</v>
      </c>
      <c r="E20749">
        <v>76.150000000000006</v>
      </c>
    </row>
    <row r="20750" spans="1:5" x14ac:dyDescent="0.2">
      <c r="A20750">
        <v>11977</v>
      </c>
      <c r="B20750" t="s">
        <v>40</v>
      </c>
      <c r="C20750">
        <v>11977</v>
      </c>
      <c r="D20750" t="str">
        <f>"11977"</f>
        <v>11977</v>
      </c>
      <c r="E20750">
        <v>77.94</v>
      </c>
    </row>
    <row r="20751" spans="1:5" x14ac:dyDescent="0.2">
      <c r="A20751">
        <v>11978</v>
      </c>
      <c r="B20751" t="s">
        <v>40</v>
      </c>
      <c r="C20751">
        <v>11978</v>
      </c>
      <c r="D20751" t="str">
        <f>"11978"</f>
        <v>11978</v>
      </c>
      <c r="E20751">
        <v>72.22</v>
      </c>
    </row>
    <row r="20752" spans="1:5" x14ac:dyDescent="0.2">
      <c r="A20752">
        <v>11980</v>
      </c>
      <c r="B20752" t="s">
        <v>40</v>
      </c>
      <c r="C20752">
        <v>11980</v>
      </c>
      <c r="D20752" t="str">
        <f>"11980"</f>
        <v>11980</v>
      </c>
      <c r="E20752">
        <v>82.54</v>
      </c>
    </row>
    <row r="20753" spans="1:5" x14ac:dyDescent="0.2">
      <c r="A20753">
        <v>12007</v>
      </c>
      <c r="B20753" t="s">
        <v>40</v>
      </c>
      <c r="C20753">
        <v>12007</v>
      </c>
      <c r="D20753" t="str">
        <f>"12007"</f>
        <v>12007</v>
      </c>
      <c r="E20753" t="s">
        <v>6</v>
      </c>
    </row>
    <row r="20754" spans="1:5" x14ac:dyDescent="0.2">
      <c r="A20754">
        <v>12008</v>
      </c>
      <c r="B20754" t="s">
        <v>40</v>
      </c>
      <c r="C20754">
        <v>12008</v>
      </c>
      <c r="D20754" t="str">
        <f>"12008"</f>
        <v>12008</v>
      </c>
      <c r="E20754">
        <v>82.61</v>
      </c>
    </row>
    <row r="20755" spans="1:5" x14ac:dyDescent="0.2">
      <c r="A20755">
        <v>12009</v>
      </c>
      <c r="B20755" t="s">
        <v>40</v>
      </c>
      <c r="C20755">
        <v>12009</v>
      </c>
      <c r="D20755" t="str">
        <f>"12009"</f>
        <v>12009</v>
      </c>
      <c r="E20755">
        <v>81.63</v>
      </c>
    </row>
    <row r="20756" spans="1:5" x14ac:dyDescent="0.2">
      <c r="A20756">
        <v>12010</v>
      </c>
      <c r="B20756" t="s">
        <v>40</v>
      </c>
      <c r="C20756">
        <v>12010</v>
      </c>
      <c r="D20756" t="str">
        <f>"12010"</f>
        <v>12010</v>
      </c>
      <c r="E20756">
        <v>69.31</v>
      </c>
    </row>
    <row r="20757" spans="1:5" x14ac:dyDescent="0.2">
      <c r="A20757">
        <v>12015</v>
      </c>
      <c r="B20757" t="s">
        <v>40</v>
      </c>
      <c r="C20757">
        <v>12015</v>
      </c>
      <c r="D20757" t="str">
        <f>"12015"</f>
        <v>12015</v>
      </c>
      <c r="E20757">
        <v>81.33</v>
      </c>
    </row>
    <row r="20758" spans="1:5" x14ac:dyDescent="0.2">
      <c r="A20758">
        <v>12017</v>
      </c>
      <c r="B20758" t="s">
        <v>40</v>
      </c>
      <c r="C20758">
        <v>12017</v>
      </c>
      <c r="D20758" t="str">
        <f>"12017"</f>
        <v>12017</v>
      </c>
      <c r="E20758">
        <v>77.78</v>
      </c>
    </row>
    <row r="20759" spans="1:5" x14ac:dyDescent="0.2">
      <c r="A20759">
        <v>12018</v>
      </c>
      <c r="B20759" t="s">
        <v>40</v>
      </c>
      <c r="C20759">
        <v>12018</v>
      </c>
      <c r="D20759" t="str">
        <f>"12018"</f>
        <v>12018</v>
      </c>
      <c r="E20759">
        <v>81.95</v>
      </c>
    </row>
    <row r="20760" spans="1:5" x14ac:dyDescent="0.2">
      <c r="A20760">
        <v>12019</v>
      </c>
      <c r="B20760" t="s">
        <v>40</v>
      </c>
      <c r="C20760">
        <v>12019</v>
      </c>
      <c r="D20760" t="str">
        <f>"12019"</f>
        <v>12019</v>
      </c>
      <c r="E20760">
        <v>84.22</v>
      </c>
    </row>
    <row r="20761" spans="1:5" x14ac:dyDescent="0.2">
      <c r="A20761">
        <v>12020</v>
      </c>
      <c r="B20761" t="s">
        <v>40</v>
      </c>
      <c r="C20761">
        <v>12020</v>
      </c>
      <c r="D20761" t="str">
        <f>"12020"</f>
        <v>12020</v>
      </c>
      <c r="E20761">
        <v>80.83</v>
      </c>
    </row>
    <row r="20762" spans="1:5" x14ac:dyDescent="0.2">
      <c r="A20762">
        <v>12022</v>
      </c>
      <c r="B20762" t="s">
        <v>40</v>
      </c>
      <c r="C20762">
        <v>12022</v>
      </c>
      <c r="D20762" t="str">
        <f>"12022"</f>
        <v>12022</v>
      </c>
      <c r="E20762">
        <v>71.430000000000007</v>
      </c>
    </row>
    <row r="20763" spans="1:5" x14ac:dyDescent="0.2">
      <c r="A20763">
        <v>12023</v>
      </c>
      <c r="B20763" t="s">
        <v>40</v>
      </c>
      <c r="C20763">
        <v>12023</v>
      </c>
      <c r="D20763" t="str">
        <f>"12023"</f>
        <v>12023</v>
      </c>
      <c r="E20763">
        <v>80.209999999999994</v>
      </c>
    </row>
    <row r="20764" spans="1:5" x14ac:dyDescent="0.2">
      <c r="A20764">
        <v>12024</v>
      </c>
      <c r="B20764" t="s">
        <v>40</v>
      </c>
      <c r="C20764">
        <v>12024</v>
      </c>
      <c r="D20764" t="str">
        <f>"12024"</f>
        <v>12024</v>
      </c>
      <c r="E20764" t="s">
        <v>6</v>
      </c>
    </row>
    <row r="20765" spans="1:5" x14ac:dyDescent="0.2">
      <c r="A20765">
        <v>12025</v>
      </c>
      <c r="B20765" t="s">
        <v>40</v>
      </c>
      <c r="C20765">
        <v>12025</v>
      </c>
      <c r="D20765" t="str">
        <f>"12025"</f>
        <v>12025</v>
      </c>
      <c r="E20765">
        <v>76.75</v>
      </c>
    </row>
    <row r="20766" spans="1:5" x14ac:dyDescent="0.2">
      <c r="A20766">
        <v>12027</v>
      </c>
      <c r="B20766" t="s">
        <v>40</v>
      </c>
      <c r="C20766">
        <v>12027</v>
      </c>
      <c r="D20766" t="str">
        <f>"12027"</f>
        <v>12027</v>
      </c>
      <c r="E20766">
        <v>80.86</v>
      </c>
    </row>
    <row r="20767" spans="1:5" x14ac:dyDescent="0.2">
      <c r="A20767">
        <v>12028</v>
      </c>
      <c r="B20767" t="s">
        <v>40</v>
      </c>
      <c r="C20767">
        <v>12028</v>
      </c>
      <c r="D20767" t="str">
        <f>"12028"</f>
        <v>12028</v>
      </c>
      <c r="E20767">
        <v>78.33</v>
      </c>
    </row>
    <row r="20768" spans="1:5" x14ac:dyDescent="0.2">
      <c r="A20768">
        <v>12029</v>
      </c>
      <c r="B20768" t="s">
        <v>40</v>
      </c>
      <c r="C20768">
        <v>12029</v>
      </c>
      <c r="D20768" t="str">
        <f>"12029"</f>
        <v>12029</v>
      </c>
      <c r="E20768">
        <v>75</v>
      </c>
    </row>
    <row r="20769" spans="1:5" x14ac:dyDescent="0.2">
      <c r="A20769">
        <v>12031</v>
      </c>
      <c r="B20769" t="s">
        <v>40</v>
      </c>
      <c r="C20769">
        <v>12031</v>
      </c>
      <c r="D20769" t="str">
        <f>"12031"</f>
        <v>12031</v>
      </c>
      <c r="E20769">
        <v>80</v>
      </c>
    </row>
    <row r="20770" spans="1:5" x14ac:dyDescent="0.2">
      <c r="A20770">
        <v>12032</v>
      </c>
      <c r="B20770" t="s">
        <v>40</v>
      </c>
      <c r="C20770">
        <v>12032</v>
      </c>
      <c r="D20770" t="str">
        <f>"12032"</f>
        <v>12032</v>
      </c>
      <c r="E20770">
        <v>77.55</v>
      </c>
    </row>
    <row r="20771" spans="1:5" x14ac:dyDescent="0.2">
      <c r="A20771">
        <v>12033</v>
      </c>
      <c r="B20771" t="s">
        <v>40</v>
      </c>
      <c r="C20771">
        <v>12033</v>
      </c>
      <c r="D20771" t="str">
        <f>"12033"</f>
        <v>12033</v>
      </c>
      <c r="E20771">
        <v>82.08</v>
      </c>
    </row>
    <row r="20772" spans="1:5" x14ac:dyDescent="0.2">
      <c r="A20772">
        <v>12035</v>
      </c>
      <c r="B20772" t="s">
        <v>40</v>
      </c>
      <c r="C20772">
        <v>12035</v>
      </c>
      <c r="D20772" t="str">
        <f>"12035"</f>
        <v>12035</v>
      </c>
      <c r="E20772">
        <v>73.17</v>
      </c>
    </row>
    <row r="20773" spans="1:5" x14ac:dyDescent="0.2">
      <c r="A20773">
        <v>12036</v>
      </c>
      <c r="B20773" t="s">
        <v>40</v>
      </c>
      <c r="C20773">
        <v>12036</v>
      </c>
      <c r="D20773" t="str">
        <f>"12036"</f>
        <v>12036</v>
      </c>
      <c r="E20773" t="s">
        <v>6</v>
      </c>
    </row>
    <row r="20774" spans="1:5" x14ac:dyDescent="0.2">
      <c r="A20774">
        <v>12037</v>
      </c>
      <c r="B20774" t="s">
        <v>40</v>
      </c>
      <c r="C20774">
        <v>12037</v>
      </c>
      <c r="D20774" t="str">
        <f>"12037"</f>
        <v>12037</v>
      </c>
      <c r="E20774">
        <v>74.05</v>
      </c>
    </row>
    <row r="20775" spans="1:5" x14ac:dyDescent="0.2">
      <c r="A20775">
        <v>12041</v>
      </c>
      <c r="B20775" t="s">
        <v>40</v>
      </c>
      <c r="C20775">
        <v>12041</v>
      </c>
      <c r="D20775" t="str">
        <f>"12041"</f>
        <v>12041</v>
      </c>
      <c r="E20775">
        <v>80.77</v>
      </c>
    </row>
    <row r="20776" spans="1:5" x14ac:dyDescent="0.2">
      <c r="A20776">
        <v>12042</v>
      </c>
      <c r="B20776" t="s">
        <v>40</v>
      </c>
      <c r="C20776">
        <v>12042</v>
      </c>
      <c r="D20776" t="str">
        <f>"12042"</f>
        <v>12042</v>
      </c>
      <c r="E20776">
        <v>73.91</v>
      </c>
    </row>
    <row r="20777" spans="1:5" x14ac:dyDescent="0.2">
      <c r="A20777">
        <v>12043</v>
      </c>
      <c r="B20777" t="s">
        <v>40</v>
      </c>
      <c r="C20777">
        <v>12043</v>
      </c>
      <c r="D20777" t="str">
        <f>"12043"</f>
        <v>12043</v>
      </c>
      <c r="E20777">
        <v>75</v>
      </c>
    </row>
    <row r="20778" spans="1:5" x14ac:dyDescent="0.2">
      <c r="A20778">
        <v>12045</v>
      </c>
      <c r="B20778" t="s">
        <v>40</v>
      </c>
      <c r="C20778">
        <v>12045</v>
      </c>
      <c r="D20778" t="str">
        <f>"12045"</f>
        <v>12045</v>
      </c>
      <c r="E20778" t="s">
        <v>6</v>
      </c>
    </row>
    <row r="20779" spans="1:5" x14ac:dyDescent="0.2">
      <c r="A20779">
        <v>12046</v>
      </c>
      <c r="B20779" t="s">
        <v>40</v>
      </c>
      <c r="C20779">
        <v>12046</v>
      </c>
      <c r="D20779" t="str">
        <f>"12046"</f>
        <v>12046</v>
      </c>
      <c r="E20779">
        <v>77.14</v>
      </c>
    </row>
    <row r="20780" spans="1:5" x14ac:dyDescent="0.2">
      <c r="A20780">
        <v>12047</v>
      </c>
      <c r="B20780" t="s">
        <v>40</v>
      </c>
      <c r="C20780">
        <v>12047</v>
      </c>
      <c r="D20780" t="str">
        <f>"12047"</f>
        <v>12047</v>
      </c>
      <c r="E20780">
        <v>77.209999999999994</v>
      </c>
    </row>
    <row r="20781" spans="1:5" x14ac:dyDescent="0.2">
      <c r="A20781">
        <v>12051</v>
      </c>
      <c r="B20781" t="s">
        <v>40</v>
      </c>
      <c r="C20781">
        <v>12051</v>
      </c>
      <c r="D20781" t="str">
        <f>"12051"</f>
        <v>12051</v>
      </c>
      <c r="E20781">
        <v>78.14</v>
      </c>
    </row>
    <row r="20782" spans="1:5" x14ac:dyDescent="0.2">
      <c r="A20782">
        <v>12052</v>
      </c>
      <c r="B20782" t="s">
        <v>40</v>
      </c>
      <c r="C20782">
        <v>12052</v>
      </c>
      <c r="D20782" t="str">
        <f>"12052"</f>
        <v>12052</v>
      </c>
      <c r="E20782">
        <v>81.25</v>
      </c>
    </row>
    <row r="20783" spans="1:5" x14ac:dyDescent="0.2">
      <c r="A20783">
        <v>12053</v>
      </c>
      <c r="B20783" t="s">
        <v>40</v>
      </c>
      <c r="C20783">
        <v>12053</v>
      </c>
      <c r="D20783" t="str">
        <f>"12053"</f>
        <v>12053</v>
      </c>
      <c r="E20783">
        <v>80.45</v>
      </c>
    </row>
    <row r="20784" spans="1:5" x14ac:dyDescent="0.2">
      <c r="A20784">
        <v>12054</v>
      </c>
      <c r="B20784" t="s">
        <v>40</v>
      </c>
      <c r="C20784">
        <v>12054</v>
      </c>
      <c r="D20784" t="str">
        <f>"12054"</f>
        <v>12054</v>
      </c>
      <c r="E20784">
        <v>83.74</v>
      </c>
    </row>
    <row r="20785" spans="1:5" x14ac:dyDescent="0.2">
      <c r="A20785">
        <v>12056</v>
      </c>
      <c r="B20785" t="s">
        <v>40</v>
      </c>
      <c r="C20785">
        <v>12056</v>
      </c>
      <c r="D20785" t="str">
        <f>"12056"</f>
        <v>12056</v>
      </c>
      <c r="E20785">
        <v>82.61</v>
      </c>
    </row>
    <row r="20786" spans="1:5" x14ac:dyDescent="0.2">
      <c r="A20786">
        <v>12057</v>
      </c>
      <c r="B20786" t="s">
        <v>40</v>
      </c>
      <c r="C20786">
        <v>12057</v>
      </c>
      <c r="D20786" t="str">
        <f>"12057"</f>
        <v>12057</v>
      </c>
      <c r="E20786">
        <v>72</v>
      </c>
    </row>
    <row r="20787" spans="1:5" x14ac:dyDescent="0.2">
      <c r="A20787">
        <v>12058</v>
      </c>
      <c r="B20787" t="s">
        <v>40</v>
      </c>
      <c r="C20787">
        <v>12058</v>
      </c>
      <c r="D20787" t="str">
        <f>"12058"</f>
        <v>12058</v>
      </c>
      <c r="E20787">
        <v>77.94</v>
      </c>
    </row>
    <row r="20788" spans="1:5" x14ac:dyDescent="0.2">
      <c r="A20788">
        <v>12059</v>
      </c>
      <c r="B20788" t="s">
        <v>40</v>
      </c>
      <c r="C20788">
        <v>12059</v>
      </c>
      <c r="D20788" t="str">
        <f>"12059"</f>
        <v>12059</v>
      </c>
      <c r="E20788">
        <v>79.75</v>
      </c>
    </row>
    <row r="20789" spans="1:5" x14ac:dyDescent="0.2">
      <c r="A20789">
        <v>12060</v>
      </c>
      <c r="B20789" t="s">
        <v>40</v>
      </c>
      <c r="C20789">
        <v>12060</v>
      </c>
      <c r="D20789" t="str">
        <f>"12060"</f>
        <v>12060</v>
      </c>
      <c r="E20789">
        <v>78.790000000000006</v>
      </c>
    </row>
    <row r="20790" spans="1:5" x14ac:dyDescent="0.2">
      <c r="A20790">
        <v>12061</v>
      </c>
      <c r="B20790" t="s">
        <v>40</v>
      </c>
      <c r="C20790">
        <v>12061</v>
      </c>
      <c r="D20790" t="str">
        <f>"12061"</f>
        <v>12061</v>
      </c>
      <c r="E20790">
        <v>84.33</v>
      </c>
    </row>
    <row r="20791" spans="1:5" x14ac:dyDescent="0.2">
      <c r="A20791">
        <v>12062</v>
      </c>
      <c r="B20791" t="s">
        <v>40</v>
      </c>
      <c r="C20791">
        <v>12062</v>
      </c>
      <c r="D20791" t="str">
        <f>"12062"</f>
        <v>12062</v>
      </c>
      <c r="E20791">
        <v>77.91</v>
      </c>
    </row>
    <row r="20792" spans="1:5" x14ac:dyDescent="0.2">
      <c r="A20792">
        <v>12063</v>
      </c>
      <c r="B20792" t="s">
        <v>40</v>
      </c>
      <c r="C20792">
        <v>12063</v>
      </c>
      <c r="D20792" t="str">
        <f>"12063"</f>
        <v>12063</v>
      </c>
      <c r="E20792">
        <v>78.569999999999993</v>
      </c>
    </row>
    <row r="20793" spans="1:5" x14ac:dyDescent="0.2">
      <c r="A20793">
        <v>12064</v>
      </c>
      <c r="B20793" t="s">
        <v>40</v>
      </c>
      <c r="C20793">
        <v>12064</v>
      </c>
      <c r="D20793" t="str">
        <f>"12064"</f>
        <v>12064</v>
      </c>
      <c r="E20793">
        <v>59.09</v>
      </c>
    </row>
    <row r="20794" spans="1:5" x14ac:dyDescent="0.2">
      <c r="A20794">
        <v>12065</v>
      </c>
      <c r="B20794" t="s">
        <v>40</v>
      </c>
      <c r="C20794">
        <v>12065</v>
      </c>
      <c r="D20794" t="str">
        <f>"12065"</f>
        <v>12065</v>
      </c>
      <c r="E20794">
        <v>82.37</v>
      </c>
    </row>
    <row r="20795" spans="1:5" x14ac:dyDescent="0.2">
      <c r="A20795">
        <v>12066</v>
      </c>
      <c r="B20795" t="s">
        <v>40</v>
      </c>
      <c r="C20795">
        <v>12066</v>
      </c>
      <c r="D20795" t="str">
        <f>"12066"</f>
        <v>12066</v>
      </c>
      <c r="E20795">
        <v>81.05</v>
      </c>
    </row>
    <row r="20796" spans="1:5" x14ac:dyDescent="0.2">
      <c r="A20796">
        <v>12067</v>
      </c>
      <c r="B20796" t="s">
        <v>40</v>
      </c>
      <c r="C20796">
        <v>12067</v>
      </c>
      <c r="D20796" t="str">
        <f>"12067"</f>
        <v>12067</v>
      </c>
      <c r="E20796">
        <v>83.12</v>
      </c>
    </row>
    <row r="20797" spans="1:5" x14ac:dyDescent="0.2">
      <c r="A20797">
        <v>12068</v>
      </c>
      <c r="B20797" t="s">
        <v>40</v>
      </c>
      <c r="C20797">
        <v>12068</v>
      </c>
      <c r="D20797" t="str">
        <f>"12068"</f>
        <v>12068</v>
      </c>
      <c r="E20797">
        <v>75.37</v>
      </c>
    </row>
    <row r="20798" spans="1:5" x14ac:dyDescent="0.2">
      <c r="A20798">
        <v>12069</v>
      </c>
      <c r="B20798" t="s">
        <v>40</v>
      </c>
      <c r="C20798">
        <v>12069</v>
      </c>
      <c r="D20798" t="str">
        <f>"12069"</f>
        <v>12069</v>
      </c>
      <c r="E20798" t="s">
        <v>6</v>
      </c>
    </row>
    <row r="20799" spans="1:5" x14ac:dyDescent="0.2">
      <c r="A20799">
        <v>12070</v>
      </c>
      <c r="B20799" t="s">
        <v>40</v>
      </c>
      <c r="C20799">
        <v>12070</v>
      </c>
      <c r="D20799" t="str">
        <f>"12070"</f>
        <v>12070</v>
      </c>
      <c r="E20799">
        <v>79.41</v>
      </c>
    </row>
    <row r="20800" spans="1:5" x14ac:dyDescent="0.2">
      <c r="A20800">
        <v>12071</v>
      </c>
      <c r="B20800" t="s">
        <v>40</v>
      </c>
      <c r="C20800">
        <v>12071</v>
      </c>
      <c r="D20800" t="str">
        <f>"12071"</f>
        <v>12071</v>
      </c>
      <c r="E20800">
        <v>61.54</v>
      </c>
    </row>
    <row r="20801" spans="1:5" x14ac:dyDescent="0.2">
      <c r="A20801">
        <v>12072</v>
      </c>
      <c r="B20801" t="s">
        <v>40</v>
      </c>
      <c r="C20801">
        <v>12072</v>
      </c>
      <c r="D20801" t="str">
        <f>"12072"</f>
        <v>12072</v>
      </c>
      <c r="E20801">
        <v>75.59</v>
      </c>
    </row>
    <row r="20802" spans="1:5" x14ac:dyDescent="0.2">
      <c r="A20802">
        <v>12074</v>
      </c>
      <c r="B20802" t="s">
        <v>40</v>
      </c>
      <c r="C20802">
        <v>12074</v>
      </c>
      <c r="D20802" t="str">
        <f>"12074"</f>
        <v>12074</v>
      </c>
      <c r="E20802">
        <v>80.39</v>
      </c>
    </row>
    <row r="20803" spans="1:5" x14ac:dyDescent="0.2">
      <c r="A20803">
        <v>12075</v>
      </c>
      <c r="B20803" t="s">
        <v>40</v>
      </c>
      <c r="C20803">
        <v>12075</v>
      </c>
      <c r="D20803" t="str">
        <f>"12075"</f>
        <v>12075</v>
      </c>
      <c r="E20803">
        <v>76.16</v>
      </c>
    </row>
    <row r="20804" spans="1:5" x14ac:dyDescent="0.2">
      <c r="A20804">
        <v>12076</v>
      </c>
      <c r="B20804" t="s">
        <v>40</v>
      </c>
      <c r="C20804">
        <v>12076</v>
      </c>
      <c r="D20804" t="str">
        <f>"12076"</f>
        <v>12076</v>
      </c>
      <c r="E20804">
        <v>74.14</v>
      </c>
    </row>
    <row r="20805" spans="1:5" x14ac:dyDescent="0.2">
      <c r="A20805">
        <v>12077</v>
      </c>
      <c r="B20805" t="s">
        <v>40</v>
      </c>
      <c r="C20805">
        <v>12077</v>
      </c>
      <c r="D20805" t="str">
        <f>"12077"</f>
        <v>12077</v>
      </c>
      <c r="E20805">
        <v>83.28</v>
      </c>
    </row>
    <row r="20806" spans="1:5" x14ac:dyDescent="0.2">
      <c r="A20806">
        <v>12078</v>
      </c>
      <c r="B20806" t="s">
        <v>40</v>
      </c>
      <c r="C20806">
        <v>12078</v>
      </c>
      <c r="D20806" t="str">
        <f>"12078"</f>
        <v>12078</v>
      </c>
      <c r="E20806">
        <v>68.05</v>
      </c>
    </row>
    <row r="20807" spans="1:5" x14ac:dyDescent="0.2">
      <c r="A20807">
        <v>12082</v>
      </c>
      <c r="B20807" t="s">
        <v>40</v>
      </c>
      <c r="C20807">
        <v>12082</v>
      </c>
      <c r="D20807" t="str">
        <f>"12082"</f>
        <v>12082</v>
      </c>
      <c r="E20807" t="s">
        <v>6</v>
      </c>
    </row>
    <row r="20808" spans="1:5" x14ac:dyDescent="0.2">
      <c r="A20808">
        <v>12083</v>
      </c>
      <c r="B20808" t="s">
        <v>40</v>
      </c>
      <c r="C20808">
        <v>12083</v>
      </c>
      <c r="D20808" t="str">
        <f>"12083"</f>
        <v>12083</v>
      </c>
      <c r="E20808">
        <v>77.13</v>
      </c>
    </row>
    <row r="20809" spans="1:5" x14ac:dyDescent="0.2">
      <c r="A20809">
        <v>12084</v>
      </c>
      <c r="B20809" t="s">
        <v>40</v>
      </c>
      <c r="C20809">
        <v>12084</v>
      </c>
      <c r="D20809" t="str">
        <f>"12084"</f>
        <v>12084</v>
      </c>
      <c r="E20809">
        <v>85.59</v>
      </c>
    </row>
    <row r="20810" spans="1:5" x14ac:dyDescent="0.2">
      <c r="A20810">
        <v>12085</v>
      </c>
      <c r="B20810" t="s">
        <v>40</v>
      </c>
      <c r="C20810">
        <v>12085</v>
      </c>
      <c r="D20810" t="str">
        <f>"12085"</f>
        <v>12085</v>
      </c>
      <c r="E20810">
        <v>78.95</v>
      </c>
    </row>
    <row r="20811" spans="1:5" x14ac:dyDescent="0.2">
      <c r="A20811">
        <v>12086</v>
      </c>
      <c r="B20811" t="s">
        <v>40</v>
      </c>
      <c r="C20811">
        <v>12086</v>
      </c>
      <c r="D20811" t="str">
        <f>"12086"</f>
        <v>12086</v>
      </c>
      <c r="E20811">
        <v>81.05</v>
      </c>
    </row>
    <row r="20812" spans="1:5" x14ac:dyDescent="0.2">
      <c r="A20812">
        <v>12087</v>
      </c>
      <c r="B20812" t="s">
        <v>40</v>
      </c>
      <c r="C20812">
        <v>12087</v>
      </c>
      <c r="D20812" t="str">
        <f>"12087"</f>
        <v>12087</v>
      </c>
      <c r="E20812">
        <v>81.67</v>
      </c>
    </row>
    <row r="20813" spans="1:5" x14ac:dyDescent="0.2">
      <c r="A20813">
        <v>12090</v>
      </c>
      <c r="B20813" t="s">
        <v>40</v>
      </c>
      <c r="C20813">
        <v>12090</v>
      </c>
      <c r="D20813" t="str">
        <f>"12090"</f>
        <v>12090</v>
      </c>
      <c r="E20813">
        <v>72.59</v>
      </c>
    </row>
    <row r="20814" spans="1:5" x14ac:dyDescent="0.2">
      <c r="A20814">
        <v>12092</v>
      </c>
      <c r="B20814" t="s">
        <v>40</v>
      </c>
      <c r="C20814">
        <v>12092</v>
      </c>
      <c r="D20814" t="str">
        <f>"12092"</f>
        <v>12092</v>
      </c>
      <c r="E20814">
        <v>75</v>
      </c>
    </row>
    <row r="20815" spans="1:5" x14ac:dyDescent="0.2">
      <c r="A20815">
        <v>12093</v>
      </c>
      <c r="B20815" t="s">
        <v>40</v>
      </c>
      <c r="C20815">
        <v>12093</v>
      </c>
      <c r="D20815" t="str">
        <f>"12093"</f>
        <v>12093</v>
      </c>
      <c r="E20815">
        <v>64.290000000000006</v>
      </c>
    </row>
    <row r="20816" spans="1:5" x14ac:dyDescent="0.2">
      <c r="A20816">
        <v>12094</v>
      </c>
      <c r="B20816" t="s">
        <v>40</v>
      </c>
      <c r="C20816">
        <v>12094</v>
      </c>
      <c r="D20816" t="str">
        <f>"12094"</f>
        <v>12094</v>
      </c>
      <c r="E20816">
        <v>77.680000000000007</v>
      </c>
    </row>
    <row r="20817" spans="1:5" x14ac:dyDescent="0.2">
      <c r="A20817">
        <v>12095</v>
      </c>
      <c r="B20817" t="s">
        <v>40</v>
      </c>
      <c r="C20817">
        <v>12095</v>
      </c>
      <c r="D20817" t="str">
        <f>"12095"</f>
        <v>12095</v>
      </c>
      <c r="E20817">
        <v>73.86</v>
      </c>
    </row>
    <row r="20818" spans="1:5" x14ac:dyDescent="0.2">
      <c r="A20818">
        <v>12106</v>
      </c>
      <c r="B20818" t="s">
        <v>40</v>
      </c>
      <c r="C20818">
        <v>12106</v>
      </c>
      <c r="D20818" t="str">
        <f>"12106"</f>
        <v>12106</v>
      </c>
      <c r="E20818">
        <v>81.95</v>
      </c>
    </row>
    <row r="20819" spans="1:5" x14ac:dyDescent="0.2">
      <c r="A20819">
        <v>12108</v>
      </c>
      <c r="B20819" t="s">
        <v>40</v>
      </c>
      <c r="C20819">
        <v>12108</v>
      </c>
      <c r="D20819" t="str">
        <f>"12108"</f>
        <v>12108</v>
      </c>
      <c r="E20819">
        <v>78.260000000000005</v>
      </c>
    </row>
    <row r="20820" spans="1:5" x14ac:dyDescent="0.2">
      <c r="A20820">
        <v>12110</v>
      </c>
      <c r="B20820" t="s">
        <v>40</v>
      </c>
      <c r="C20820">
        <v>12110</v>
      </c>
      <c r="D20820" t="str">
        <f>"12110"</f>
        <v>12110</v>
      </c>
      <c r="E20820">
        <v>81.400000000000006</v>
      </c>
    </row>
    <row r="20821" spans="1:5" x14ac:dyDescent="0.2">
      <c r="A20821">
        <v>12115</v>
      </c>
      <c r="B20821" t="s">
        <v>40</v>
      </c>
      <c r="C20821">
        <v>12115</v>
      </c>
      <c r="D20821" t="str">
        <f>"12115"</f>
        <v>12115</v>
      </c>
      <c r="E20821" t="s">
        <v>6</v>
      </c>
    </row>
    <row r="20822" spans="1:5" x14ac:dyDescent="0.2">
      <c r="A20822">
        <v>12116</v>
      </c>
      <c r="B20822" t="s">
        <v>40</v>
      </c>
      <c r="C20822">
        <v>12116</v>
      </c>
      <c r="D20822" t="str">
        <f>"12116"</f>
        <v>12116</v>
      </c>
      <c r="E20822">
        <v>75</v>
      </c>
    </row>
    <row r="20823" spans="1:5" x14ac:dyDescent="0.2">
      <c r="A20823">
        <v>12117</v>
      </c>
      <c r="B20823" t="s">
        <v>40</v>
      </c>
      <c r="C20823">
        <v>12117</v>
      </c>
      <c r="D20823" t="str">
        <f>"12117"</f>
        <v>12117</v>
      </c>
      <c r="E20823">
        <v>73.86</v>
      </c>
    </row>
    <row r="20824" spans="1:5" x14ac:dyDescent="0.2">
      <c r="A20824">
        <v>12118</v>
      </c>
      <c r="B20824" t="s">
        <v>40</v>
      </c>
      <c r="C20824">
        <v>12118</v>
      </c>
      <c r="D20824" t="str">
        <f>"12118"</f>
        <v>12118</v>
      </c>
      <c r="E20824">
        <v>79.260000000000005</v>
      </c>
    </row>
    <row r="20825" spans="1:5" x14ac:dyDescent="0.2">
      <c r="A20825">
        <v>12120</v>
      </c>
      <c r="B20825" t="s">
        <v>40</v>
      </c>
      <c r="C20825">
        <v>12120</v>
      </c>
      <c r="D20825" t="str">
        <f>"12120"</f>
        <v>12120</v>
      </c>
      <c r="E20825">
        <v>71.430000000000007</v>
      </c>
    </row>
    <row r="20826" spans="1:5" x14ac:dyDescent="0.2">
      <c r="A20826">
        <v>12121</v>
      </c>
      <c r="B20826" t="s">
        <v>40</v>
      </c>
      <c r="C20826">
        <v>12121</v>
      </c>
      <c r="D20826" t="str">
        <f>"12121"</f>
        <v>12121</v>
      </c>
      <c r="E20826">
        <v>78.790000000000006</v>
      </c>
    </row>
    <row r="20827" spans="1:5" x14ac:dyDescent="0.2">
      <c r="A20827">
        <v>12122</v>
      </c>
      <c r="B20827" t="s">
        <v>40</v>
      </c>
      <c r="C20827">
        <v>12122</v>
      </c>
      <c r="D20827" t="str">
        <f>"12122"</f>
        <v>12122</v>
      </c>
      <c r="E20827">
        <v>74.09</v>
      </c>
    </row>
    <row r="20828" spans="1:5" x14ac:dyDescent="0.2">
      <c r="A20828">
        <v>12123</v>
      </c>
      <c r="B20828" t="s">
        <v>40</v>
      </c>
      <c r="C20828">
        <v>12123</v>
      </c>
      <c r="D20828" t="str">
        <f>"12123"</f>
        <v>12123</v>
      </c>
      <c r="E20828">
        <v>81.37</v>
      </c>
    </row>
    <row r="20829" spans="1:5" x14ac:dyDescent="0.2">
      <c r="A20829">
        <v>12124</v>
      </c>
      <c r="B20829" t="s">
        <v>40</v>
      </c>
      <c r="C20829">
        <v>12124</v>
      </c>
      <c r="D20829" t="str">
        <f>"12124"</f>
        <v>12124</v>
      </c>
      <c r="E20829" t="s">
        <v>6</v>
      </c>
    </row>
    <row r="20830" spans="1:5" x14ac:dyDescent="0.2">
      <c r="A20830">
        <v>12125</v>
      </c>
      <c r="B20830" t="s">
        <v>40</v>
      </c>
      <c r="C20830">
        <v>12125</v>
      </c>
      <c r="D20830" t="str">
        <f>"12125"</f>
        <v>12125</v>
      </c>
      <c r="E20830">
        <v>71.05</v>
      </c>
    </row>
    <row r="20831" spans="1:5" x14ac:dyDescent="0.2">
      <c r="A20831">
        <v>12130</v>
      </c>
      <c r="B20831" t="s">
        <v>40</v>
      </c>
      <c r="C20831">
        <v>12130</v>
      </c>
      <c r="D20831" t="str">
        <f>"12130"</f>
        <v>12130</v>
      </c>
      <c r="E20831">
        <v>80.39</v>
      </c>
    </row>
    <row r="20832" spans="1:5" x14ac:dyDescent="0.2">
      <c r="A20832">
        <v>12131</v>
      </c>
      <c r="B20832" t="s">
        <v>40</v>
      </c>
      <c r="C20832">
        <v>12131</v>
      </c>
      <c r="D20832" t="str">
        <f>"12131"</f>
        <v>12131</v>
      </c>
      <c r="E20832" t="s">
        <v>6</v>
      </c>
    </row>
    <row r="20833" spans="1:5" x14ac:dyDescent="0.2">
      <c r="A20833">
        <v>12134</v>
      </c>
      <c r="B20833" t="s">
        <v>40</v>
      </c>
      <c r="C20833">
        <v>12134</v>
      </c>
      <c r="D20833" t="str">
        <f>"12134"</f>
        <v>12134</v>
      </c>
      <c r="E20833">
        <v>74.03</v>
      </c>
    </row>
    <row r="20834" spans="1:5" x14ac:dyDescent="0.2">
      <c r="A20834">
        <v>12136</v>
      </c>
      <c r="B20834" t="s">
        <v>40</v>
      </c>
      <c r="C20834">
        <v>12136</v>
      </c>
      <c r="D20834" t="str">
        <f>"12136"</f>
        <v>12136</v>
      </c>
      <c r="E20834">
        <v>75</v>
      </c>
    </row>
    <row r="20835" spans="1:5" x14ac:dyDescent="0.2">
      <c r="A20835">
        <v>12137</v>
      </c>
      <c r="B20835" t="s">
        <v>40</v>
      </c>
      <c r="C20835">
        <v>12137</v>
      </c>
      <c r="D20835" t="str">
        <f>"12137"</f>
        <v>12137</v>
      </c>
      <c r="E20835">
        <v>80.900000000000006</v>
      </c>
    </row>
    <row r="20836" spans="1:5" x14ac:dyDescent="0.2">
      <c r="A20836">
        <v>12138</v>
      </c>
      <c r="B20836" t="s">
        <v>40</v>
      </c>
      <c r="C20836">
        <v>12138</v>
      </c>
      <c r="D20836" t="str">
        <f>"12138"</f>
        <v>12138</v>
      </c>
      <c r="E20836">
        <v>76.430000000000007</v>
      </c>
    </row>
    <row r="20837" spans="1:5" x14ac:dyDescent="0.2">
      <c r="A20837">
        <v>12139</v>
      </c>
      <c r="B20837" t="s">
        <v>40</v>
      </c>
      <c r="C20837">
        <v>12139</v>
      </c>
      <c r="D20837" t="str">
        <f>"12139"</f>
        <v>12139</v>
      </c>
      <c r="E20837">
        <v>76.92</v>
      </c>
    </row>
    <row r="20838" spans="1:5" x14ac:dyDescent="0.2">
      <c r="A20838">
        <v>12140</v>
      </c>
      <c r="B20838" t="s">
        <v>40</v>
      </c>
      <c r="C20838">
        <v>12140</v>
      </c>
      <c r="D20838" t="str">
        <f>"12140"</f>
        <v>12140</v>
      </c>
      <c r="E20838">
        <v>82.02</v>
      </c>
    </row>
    <row r="20839" spans="1:5" x14ac:dyDescent="0.2">
      <c r="A20839">
        <v>12143</v>
      </c>
      <c r="B20839" t="s">
        <v>40</v>
      </c>
      <c r="C20839">
        <v>12143</v>
      </c>
      <c r="D20839" t="str">
        <f>"12143"</f>
        <v>12143</v>
      </c>
      <c r="E20839">
        <v>78.08</v>
      </c>
    </row>
    <row r="20840" spans="1:5" x14ac:dyDescent="0.2">
      <c r="A20840">
        <v>12144</v>
      </c>
      <c r="B20840" t="s">
        <v>40</v>
      </c>
      <c r="C20840">
        <v>12144</v>
      </c>
      <c r="D20840" t="str">
        <f>"12144"</f>
        <v>12144</v>
      </c>
      <c r="E20840">
        <v>79.489999999999995</v>
      </c>
    </row>
    <row r="20841" spans="1:5" x14ac:dyDescent="0.2">
      <c r="A20841">
        <v>12147</v>
      </c>
      <c r="B20841" t="s">
        <v>40</v>
      </c>
      <c r="C20841">
        <v>12147</v>
      </c>
      <c r="D20841" t="str">
        <f>"12147"</f>
        <v>12147</v>
      </c>
      <c r="E20841">
        <v>78.569999999999993</v>
      </c>
    </row>
    <row r="20842" spans="1:5" x14ac:dyDescent="0.2">
      <c r="A20842">
        <v>12148</v>
      </c>
      <c r="B20842" t="s">
        <v>40</v>
      </c>
      <c r="C20842">
        <v>12148</v>
      </c>
      <c r="D20842" t="str">
        <f>"12148"</f>
        <v>12148</v>
      </c>
      <c r="E20842">
        <v>82.59</v>
      </c>
    </row>
    <row r="20843" spans="1:5" x14ac:dyDescent="0.2">
      <c r="A20843">
        <v>12149</v>
      </c>
      <c r="B20843" t="s">
        <v>40</v>
      </c>
      <c r="C20843">
        <v>12149</v>
      </c>
      <c r="D20843" t="str">
        <f>"12149"</f>
        <v>12149</v>
      </c>
      <c r="E20843">
        <v>71.569999999999993</v>
      </c>
    </row>
    <row r="20844" spans="1:5" x14ac:dyDescent="0.2">
      <c r="A20844">
        <v>12150</v>
      </c>
      <c r="B20844" t="s">
        <v>40</v>
      </c>
      <c r="C20844">
        <v>12150</v>
      </c>
      <c r="D20844" t="str">
        <f>"12150"</f>
        <v>12150</v>
      </c>
      <c r="E20844">
        <v>77.78</v>
      </c>
    </row>
    <row r="20845" spans="1:5" x14ac:dyDescent="0.2">
      <c r="A20845">
        <v>12151</v>
      </c>
      <c r="B20845" t="s">
        <v>40</v>
      </c>
      <c r="C20845">
        <v>12151</v>
      </c>
      <c r="D20845" t="str">
        <f>"12151"</f>
        <v>12151</v>
      </c>
      <c r="E20845">
        <v>83.33</v>
      </c>
    </row>
    <row r="20846" spans="1:5" x14ac:dyDescent="0.2">
      <c r="A20846">
        <v>12153</v>
      </c>
      <c r="B20846" t="s">
        <v>40</v>
      </c>
      <c r="C20846">
        <v>12153</v>
      </c>
      <c r="D20846" t="str">
        <f>"12153"</f>
        <v>12153</v>
      </c>
      <c r="E20846">
        <v>85.11</v>
      </c>
    </row>
    <row r="20847" spans="1:5" x14ac:dyDescent="0.2">
      <c r="A20847">
        <v>12154</v>
      </c>
      <c r="B20847" t="s">
        <v>40</v>
      </c>
      <c r="C20847">
        <v>12154</v>
      </c>
      <c r="D20847" t="str">
        <f>"12154"</f>
        <v>12154</v>
      </c>
      <c r="E20847">
        <v>81.08</v>
      </c>
    </row>
    <row r="20848" spans="1:5" x14ac:dyDescent="0.2">
      <c r="A20848">
        <v>12155</v>
      </c>
      <c r="B20848" t="s">
        <v>40</v>
      </c>
      <c r="C20848">
        <v>12155</v>
      </c>
      <c r="D20848" t="str">
        <f>"12155"</f>
        <v>12155</v>
      </c>
      <c r="E20848">
        <v>69.62</v>
      </c>
    </row>
    <row r="20849" spans="1:5" x14ac:dyDescent="0.2">
      <c r="A20849">
        <v>12156</v>
      </c>
      <c r="B20849" t="s">
        <v>40</v>
      </c>
      <c r="C20849">
        <v>12156</v>
      </c>
      <c r="D20849" t="str">
        <f>"12156"</f>
        <v>12156</v>
      </c>
      <c r="E20849">
        <v>81.819999999999993</v>
      </c>
    </row>
    <row r="20850" spans="1:5" x14ac:dyDescent="0.2">
      <c r="A20850">
        <v>12157</v>
      </c>
      <c r="B20850" t="s">
        <v>40</v>
      </c>
      <c r="C20850">
        <v>12157</v>
      </c>
      <c r="D20850" t="str">
        <f>"12157"</f>
        <v>12157</v>
      </c>
      <c r="E20850">
        <v>75.53</v>
      </c>
    </row>
    <row r="20851" spans="1:5" x14ac:dyDescent="0.2">
      <c r="A20851">
        <v>12158</v>
      </c>
      <c r="B20851" t="s">
        <v>40</v>
      </c>
      <c r="C20851">
        <v>12158</v>
      </c>
      <c r="D20851" t="str">
        <f>"12158"</f>
        <v>12158</v>
      </c>
      <c r="E20851">
        <v>81.23</v>
      </c>
    </row>
    <row r="20852" spans="1:5" x14ac:dyDescent="0.2">
      <c r="A20852">
        <v>12159</v>
      </c>
      <c r="B20852" t="s">
        <v>40</v>
      </c>
      <c r="C20852">
        <v>12159</v>
      </c>
      <c r="D20852" t="str">
        <f>"12159"</f>
        <v>12159</v>
      </c>
      <c r="E20852">
        <v>82.18</v>
      </c>
    </row>
    <row r="20853" spans="1:5" x14ac:dyDescent="0.2">
      <c r="A20853">
        <v>12160</v>
      </c>
      <c r="B20853" t="s">
        <v>40</v>
      </c>
      <c r="C20853">
        <v>12160</v>
      </c>
      <c r="D20853" t="str">
        <f>"12160"</f>
        <v>12160</v>
      </c>
      <c r="E20853">
        <v>79.069999999999993</v>
      </c>
    </row>
    <row r="20854" spans="1:5" x14ac:dyDescent="0.2">
      <c r="A20854">
        <v>12161</v>
      </c>
      <c r="B20854" t="s">
        <v>40</v>
      </c>
      <c r="C20854">
        <v>12161</v>
      </c>
      <c r="D20854" t="str">
        <f>"12161"</f>
        <v>12161</v>
      </c>
      <c r="E20854" t="s">
        <v>6</v>
      </c>
    </row>
    <row r="20855" spans="1:5" x14ac:dyDescent="0.2">
      <c r="A20855">
        <v>12164</v>
      </c>
      <c r="B20855" t="s">
        <v>40</v>
      </c>
      <c r="C20855">
        <v>12164</v>
      </c>
      <c r="D20855" t="str">
        <f>"12164"</f>
        <v>12164</v>
      </c>
      <c r="E20855">
        <v>71.430000000000007</v>
      </c>
    </row>
    <row r="20856" spans="1:5" x14ac:dyDescent="0.2">
      <c r="A20856">
        <v>12165</v>
      </c>
      <c r="B20856" t="s">
        <v>40</v>
      </c>
      <c r="C20856">
        <v>12165</v>
      </c>
      <c r="D20856" t="str">
        <f>"12165"</f>
        <v>12165</v>
      </c>
      <c r="E20856">
        <v>80</v>
      </c>
    </row>
    <row r="20857" spans="1:5" x14ac:dyDescent="0.2">
      <c r="A20857">
        <v>12166</v>
      </c>
      <c r="B20857" t="s">
        <v>40</v>
      </c>
      <c r="C20857">
        <v>12166</v>
      </c>
      <c r="D20857" t="str">
        <f>"12166"</f>
        <v>12166</v>
      </c>
      <c r="E20857">
        <v>75.38</v>
      </c>
    </row>
    <row r="20858" spans="1:5" x14ac:dyDescent="0.2">
      <c r="A20858">
        <v>12167</v>
      </c>
      <c r="B20858" t="s">
        <v>40</v>
      </c>
      <c r="C20858">
        <v>12167</v>
      </c>
      <c r="D20858" t="str">
        <f>"12167"</f>
        <v>12167</v>
      </c>
      <c r="E20858">
        <v>69.37</v>
      </c>
    </row>
    <row r="20859" spans="1:5" x14ac:dyDescent="0.2">
      <c r="A20859">
        <v>12168</v>
      </c>
      <c r="B20859" t="s">
        <v>40</v>
      </c>
      <c r="C20859">
        <v>12168</v>
      </c>
      <c r="D20859" t="str">
        <f>"12168"</f>
        <v>12168</v>
      </c>
      <c r="E20859">
        <v>75.28</v>
      </c>
    </row>
    <row r="20860" spans="1:5" x14ac:dyDescent="0.2">
      <c r="A20860">
        <v>12169</v>
      </c>
      <c r="B20860" t="s">
        <v>40</v>
      </c>
      <c r="C20860">
        <v>12169</v>
      </c>
      <c r="D20860" t="str">
        <f>"12169"</f>
        <v>12169</v>
      </c>
      <c r="E20860">
        <v>76.47</v>
      </c>
    </row>
    <row r="20861" spans="1:5" x14ac:dyDescent="0.2">
      <c r="A20861">
        <v>12170</v>
      </c>
      <c r="B20861" t="s">
        <v>40</v>
      </c>
      <c r="C20861">
        <v>12170</v>
      </c>
      <c r="D20861" t="str">
        <f>"12170"</f>
        <v>12170</v>
      </c>
      <c r="E20861">
        <v>78.760000000000005</v>
      </c>
    </row>
    <row r="20862" spans="1:5" x14ac:dyDescent="0.2">
      <c r="A20862">
        <v>12172</v>
      </c>
      <c r="B20862" t="s">
        <v>40</v>
      </c>
      <c r="C20862">
        <v>12172</v>
      </c>
      <c r="D20862" t="str">
        <f>"12172"</f>
        <v>12172</v>
      </c>
      <c r="E20862" t="s">
        <v>6</v>
      </c>
    </row>
    <row r="20863" spans="1:5" x14ac:dyDescent="0.2">
      <c r="A20863">
        <v>12173</v>
      </c>
      <c r="B20863" t="s">
        <v>40</v>
      </c>
      <c r="C20863">
        <v>12173</v>
      </c>
      <c r="D20863" t="str">
        <f>"12173"</f>
        <v>12173</v>
      </c>
      <c r="E20863">
        <v>77.22</v>
      </c>
    </row>
    <row r="20864" spans="1:5" x14ac:dyDescent="0.2">
      <c r="A20864">
        <v>12174</v>
      </c>
      <c r="B20864" t="s">
        <v>40</v>
      </c>
      <c r="C20864">
        <v>12174</v>
      </c>
      <c r="D20864" t="str">
        <f>"12174"</f>
        <v>12174</v>
      </c>
      <c r="E20864" t="s">
        <v>6</v>
      </c>
    </row>
    <row r="20865" spans="1:5" x14ac:dyDescent="0.2">
      <c r="A20865">
        <v>12175</v>
      </c>
      <c r="B20865" t="s">
        <v>40</v>
      </c>
      <c r="C20865">
        <v>12175</v>
      </c>
      <c r="D20865" t="str">
        <f>"12175"</f>
        <v>12175</v>
      </c>
      <c r="E20865">
        <v>72.22</v>
      </c>
    </row>
    <row r="20866" spans="1:5" x14ac:dyDescent="0.2">
      <c r="A20866">
        <v>12176</v>
      </c>
      <c r="B20866" t="s">
        <v>40</v>
      </c>
      <c r="C20866">
        <v>12176</v>
      </c>
      <c r="D20866" t="str">
        <f>"12176"</f>
        <v>12176</v>
      </c>
      <c r="E20866">
        <v>76.92</v>
      </c>
    </row>
    <row r="20867" spans="1:5" x14ac:dyDescent="0.2">
      <c r="A20867">
        <v>12177</v>
      </c>
      <c r="B20867" t="s">
        <v>40</v>
      </c>
      <c r="C20867">
        <v>12177</v>
      </c>
      <c r="D20867" t="str">
        <f>"12177"</f>
        <v>12177</v>
      </c>
      <c r="E20867" t="s">
        <v>6</v>
      </c>
    </row>
    <row r="20868" spans="1:5" x14ac:dyDescent="0.2">
      <c r="A20868">
        <v>12180</v>
      </c>
      <c r="B20868" t="s">
        <v>40</v>
      </c>
      <c r="C20868">
        <v>12180</v>
      </c>
      <c r="D20868" t="str">
        <f>"12180"</f>
        <v>12180</v>
      </c>
      <c r="E20868">
        <v>73.41</v>
      </c>
    </row>
    <row r="20869" spans="1:5" x14ac:dyDescent="0.2">
      <c r="A20869">
        <v>12182</v>
      </c>
      <c r="B20869" t="s">
        <v>40</v>
      </c>
      <c r="C20869">
        <v>12182</v>
      </c>
      <c r="D20869" t="str">
        <f>"12182"</f>
        <v>12182</v>
      </c>
      <c r="E20869">
        <v>72.89</v>
      </c>
    </row>
    <row r="20870" spans="1:5" x14ac:dyDescent="0.2">
      <c r="A20870">
        <v>12183</v>
      </c>
      <c r="B20870" t="s">
        <v>40</v>
      </c>
      <c r="C20870">
        <v>12183</v>
      </c>
      <c r="D20870" t="str">
        <f>"12183"</f>
        <v>12183</v>
      </c>
      <c r="E20870">
        <v>74.290000000000006</v>
      </c>
    </row>
    <row r="20871" spans="1:5" x14ac:dyDescent="0.2">
      <c r="A20871">
        <v>12184</v>
      </c>
      <c r="B20871" t="s">
        <v>40</v>
      </c>
      <c r="C20871">
        <v>12184</v>
      </c>
      <c r="D20871" t="str">
        <f>"12184"</f>
        <v>12184</v>
      </c>
      <c r="E20871">
        <v>80.650000000000006</v>
      </c>
    </row>
    <row r="20872" spans="1:5" x14ac:dyDescent="0.2">
      <c r="A20872">
        <v>12185</v>
      </c>
      <c r="B20872" t="s">
        <v>40</v>
      </c>
      <c r="C20872">
        <v>12185</v>
      </c>
      <c r="D20872" t="str">
        <f>"12185"</f>
        <v>12185</v>
      </c>
      <c r="E20872">
        <v>80.61</v>
      </c>
    </row>
    <row r="20873" spans="1:5" x14ac:dyDescent="0.2">
      <c r="A20873">
        <v>12186</v>
      </c>
      <c r="B20873" t="s">
        <v>40</v>
      </c>
      <c r="C20873">
        <v>12186</v>
      </c>
      <c r="D20873" t="str">
        <f>"12186"</f>
        <v>12186</v>
      </c>
      <c r="E20873">
        <v>83.72</v>
      </c>
    </row>
    <row r="20874" spans="1:5" x14ac:dyDescent="0.2">
      <c r="A20874">
        <v>12187</v>
      </c>
      <c r="B20874" t="s">
        <v>40</v>
      </c>
      <c r="C20874">
        <v>12187</v>
      </c>
      <c r="D20874" t="str">
        <f>"12187"</f>
        <v>12187</v>
      </c>
      <c r="E20874">
        <v>76.319999999999993</v>
      </c>
    </row>
    <row r="20875" spans="1:5" x14ac:dyDescent="0.2">
      <c r="A20875">
        <v>12188</v>
      </c>
      <c r="B20875" t="s">
        <v>40</v>
      </c>
      <c r="C20875">
        <v>12188</v>
      </c>
      <c r="D20875" t="str">
        <f>"12188"</f>
        <v>12188</v>
      </c>
      <c r="E20875">
        <v>81.510000000000005</v>
      </c>
    </row>
    <row r="20876" spans="1:5" x14ac:dyDescent="0.2">
      <c r="A20876">
        <v>12189</v>
      </c>
      <c r="B20876" t="s">
        <v>40</v>
      </c>
      <c r="C20876">
        <v>12189</v>
      </c>
      <c r="D20876" t="str">
        <f>"12189"</f>
        <v>12189</v>
      </c>
      <c r="E20876">
        <v>76.39</v>
      </c>
    </row>
    <row r="20877" spans="1:5" x14ac:dyDescent="0.2">
      <c r="A20877">
        <v>12190</v>
      </c>
      <c r="B20877" t="s">
        <v>40</v>
      </c>
      <c r="C20877">
        <v>12190</v>
      </c>
      <c r="D20877" t="str">
        <f>"12190"</f>
        <v>12190</v>
      </c>
      <c r="E20877">
        <v>77.14</v>
      </c>
    </row>
    <row r="20878" spans="1:5" x14ac:dyDescent="0.2">
      <c r="A20878">
        <v>12192</v>
      </c>
      <c r="B20878" t="s">
        <v>40</v>
      </c>
      <c r="C20878">
        <v>12192</v>
      </c>
      <c r="D20878" t="str">
        <f>"12192"</f>
        <v>12192</v>
      </c>
      <c r="E20878">
        <v>78.209999999999994</v>
      </c>
    </row>
    <row r="20879" spans="1:5" x14ac:dyDescent="0.2">
      <c r="A20879">
        <v>12193</v>
      </c>
      <c r="B20879" t="s">
        <v>40</v>
      </c>
      <c r="C20879">
        <v>12193</v>
      </c>
      <c r="D20879" t="str">
        <f>"12193"</f>
        <v>12193</v>
      </c>
      <c r="E20879">
        <v>80</v>
      </c>
    </row>
    <row r="20880" spans="1:5" x14ac:dyDescent="0.2">
      <c r="A20880">
        <v>12194</v>
      </c>
      <c r="B20880" t="s">
        <v>40</v>
      </c>
      <c r="C20880">
        <v>12194</v>
      </c>
      <c r="D20880" t="str">
        <f>"12194"</f>
        <v>12194</v>
      </c>
      <c r="E20880">
        <v>80</v>
      </c>
    </row>
    <row r="20881" spans="1:5" x14ac:dyDescent="0.2">
      <c r="A20881">
        <v>12196</v>
      </c>
      <c r="B20881" t="s">
        <v>40</v>
      </c>
      <c r="C20881">
        <v>12196</v>
      </c>
      <c r="D20881" t="str">
        <f>"12196"</f>
        <v>12196</v>
      </c>
      <c r="E20881">
        <v>82.8</v>
      </c>
    </row>
    <row r="20882" spans="1:5" x14ac:dyDescent="0.2">
      <c r="A20882">
        <v>12197</v>
      </c>
      <c r="B20882" t="s">
        <v>40</v>
      </c>
      <c r="C20882">
        <v>12197</v>
      </c>
      <c r="D20882" t="str">
        <f>"12197"</f>
        <v>12197</v>
      </c>
      <c r="E20882">
        <v>70</v>
      </c>
    </row>
    <row r="20883" spans="1:5" x14ac:dyDescent="0.2">
      <c r="A20883">
        <v>12198</v>
      </c>
      <c r="B20883" t="s">
        <v>40</v>
      </c>
      <c r="C20883">
        <v>12198</v>
      </c>
      <c r="D20883" t="str">
        <f>"12198"</f>
        <v>12198</v>
      </c>
      <c r="E20883">
        <v>82.48</v>
      </c>
    </row>
    <row r="20884" spans="1:5" x14ac:dyDescent="0.2">
      <c r="A20884">
        <v>12202</v>
      </c>
      <c r="B20884" t="s">
        <v>40</v>
      </c>
      <c r="C20884">
        <v>12202</v>
      </c>
      <c r="D20884" t="str">
        <f>"12202"</f>
        <v>12202</v>
      </c>
      <c r="E20884">
        <v>55.96</v>
      </c>
    </row>
    <row r="20885" spans="1:5" x14ac:dyDescent="0.2">
      <c r="A20885">
        <v>12203</v>
      </c>
      <c r="B20885" t="s">
        <v>40</v>
      </c>
      <c r="C20885">
        <v>12203</v>
      </c>
      <c r="D20885" t="str">
        <f>"12203"</f>
        <v>12203</v>
      </c>
      <c r="E20885">
        <v>81.19</v>
      </c>
    </row>
    <row r="20886" spans="1:5" x14ac:dyDescent="0.2">
      <c r="A20886">
        <v>12204</v>
      </c>
      <c r="B20886" t="s">
        <v>40</v>
      </c>
      <c r="C20886">
        <v>12204</v>
      </c>
      <c r="D20886" t="str">
        <f>"12204"</f>
        <v>12204</v>
      </c>
      <c r="E20886">
        <v>77.489999999999995</v>
      </c>
    </row>
    <row r="20887" spans="1:5" x14ac:dyDescent="0.2">
      <c r="A20887">
        <v>12205</v>
      </c>
      <c r="B20887" t="s">
        <v>40</v>
      </c>
      <c r="C20887">
        <v>12205</v>
      </c>
      <c r="D20887" t="str">
        <f>"12205"</f>
        <v>12205</v>
      </c>
      <c r="E20887">
        <v>79.92</v>
      </c>
    </row>
    <row r="20888" spans="1:5" x14ac:dyDescent="0.2">
      <c r="A20888">
        <v>12206</v>
      </c>
      <c r="B20888" t="s">
        <v>40</v>
      </c>
      <c r="C20888">
        <v>12206</v>
      </c>
      <c r="D20888" t="str">
        <f>"12206"</f>
        <v>12206</v>
      </c>
      <c r="E20888">
        <v>58.03</v>
      </c>
    </row>
    <row r="20889" spans="1:5" x14ac:dyDescent="0.2">
      <c r="A20889">
        <v>12207</v>
      </c>
      <c r="B20889" t="s">
        <v>40</v>
      </c>
      <c r="C20889">
        <v>12207</v>
      </c>
      <c r="D20889" t="str">
        <f>"12207"</f>
        <v>12207</v>
      </c>
      <c r="E20889">
        <v>68.540000000000006</v>
      </c>
    </row>
    <row r="20890" spans="1:5" x14ac:dyDescent="0.2">
      <c r="A20890">
        <v>12208</v>
      </c>
      <c r="B20890" t="s">
        <v>40</v>
      </c>
      <c r="C20890">
        <v>12208</v>
      </c>
      <c r="D20890" t="str">
        <f>"12208"</f>
        <v>12208</v>
      </c>
      <c r="E20890">
        <v>79.02</v>
      </c>
    </row>
    <row r="20891" spans="1:5" x14ac:dyDescent="0.2">
      <c r="A20891">
        <v>12209</v>
      </c>
      <c r="B20891" t="s">
        <v>40</v>
      </c>
      <c r="C20891">
        <v>12209</v>
      </c>
      <c r="D20891" t="str">
        <f>"12209"</f>
        <v>12209</v>
      </c>
      <c r="E20891">
        <v>73.45</v>
      </c>
    </row>
    <row r="20892" spans="1:5" x14ac:dyDescent="0.2">
      <c r="A20892">
        <v>12210</v>
      </c>
      <c r="B20892" t="s">
        <v>40</v>
      </c>
      <c r="C20892">
        <v>12210</v>
      </c>
      <c r="D20892" t="str">
        <f>"12210"</f>
        <v>12210</v>
      </c>
      <c r="E20892">
        <v>68.260000000000005</v>
      </c>
    </row>
    <row r="20893" spans="1:5" x14ac:dyDescent="0.2">
      <c r="A20893">
        <v>12211</v>
      </c>
      <c r="B20893" t="s">
        <v>40</v>
      </c>
      <c r="C20893">
        <v>12211</v>
      </c>
      <c r="D20893" t="str">
        <f>"12211"</f>
        <v>12211</v>
      </c>
      <c r="E20893">
        <v>83.42</v>
      </c>
    </row>
    <row r="20894" spans="1:5" x14ac:dyDescent="0.2">
      <c r="A20894">
        <v>12222</v>
      </c>
      <c r="B20894" t="s">
        <v>40</v>
      </c>
      <c r="C20894">
        <v>12222</v>
      </c>
      <c r="D20894" t="str">
        <f>"12222"</f>
        <v>12222</v>
      </c>
      <c r="E20894" t="s">
        <v>6</v>
      </c>
    </row>
    <row r="20895" spans="1:5" x14ac:dyDescent="0.2">
      <c r="A20895">
        <v>12226</v>
      </c>
      <c r="B20895" t="s">
        <v>40</v>
      </c>
      <c r="C20895">
        <v>12226</v>
      </c>
      <c r="D20895" t="str">
        <f>"12226"</f>
        <v>12226</v>
      </c>
      <c r="E20895" t="s">
        <v>6</v>
      </c>
    </row>
    <row r="20896" spans="1:5" x14ac:dyDescent="0.2">
      <c r="A20896">
        <v>12234</v>
      </c>
      <c r="B20896" t="s">
        <v>40</v>
      </c>
      <c r="C20896">
        <v>12234</v>
      </c>
      <c r="D20896" t="str">
        <f>"12234"</f>
        <v>12234</v>
      </c>
      <c r="E20896" t="s">
        <v>6</v>
      </c>
    </row>
    <row r="20897" spans="1:5" x14ac:dyDescent="0.2">
      <c r="A20897">
        <v>12302</v>
      </c>
      <c r="B20897" t="s">
        <v>40</v>
      </c>
      <c r="C20897">
        <v>12302</v>
      </c>
      <c r="D20897" t="str">
        <f>"12302"</f>
        <v>12302</v>
      </c>
      <c r="E20897">
        <v>81.290000000000006</v>
      </c>
    </row>
    <row r="20898" spans="1:5" x14ac:dyDescent="0.2">
      <c r="A20898">
        <v>12303</v>
      </c>
      <c r="B20898" t="s">
        <v>40</v>
      </c>
      <c r="C20898">
        <v>12303</v>
      </c>
      <c r="D20898" t="str">
        <f>"12303"</f>
        <v>12303</v>
      </c>
      <c r="E20898">
        <v>74.78</v>
      </c>
    </row>
    <row r="20899" spans="1:5" x14ac:dyDescent="0.2">
      <c r="A20899">
        <v>12304</v>
      </c>
      <c r="B20899" t="s">
        <v>40</v>
      </c>
      <c r="C20899">
        <v>12304</v>
      </c>
      <c r="D20899" t="str">
        <f>"12304"</f>
        <v>12304</v>
      </c>
      <c r="E20899">
        <v>68.900000000000006</v>
      </c>
    </row>
    <row r="20900" spans="1:5" x14ac:dyDescent="0.2">
      <c r="A20900">
        <v>12305</v>
      </c>
      <c r="B20900" t="s">
        <v>40</v>
      </c>
      <c r="C20900">
        <v>12305</v>
      </c>
      <c r="D20900" t="str">
        <f>"12305"</f>
        <v>12305</v>
      </c>
      <c r="E20900">
        <v>73.239999999999995</v>
      </c>
    </row>
    <row r="20901" spans="1:5" x14ac:dyDescent="0.2">
      <c r="A20901">
        <v>12306</v>
      </c>
      <c r="B20901" t="s">
        <v>40</v>
      </c>
      <c r="C20901">
        <v>12306</v>
      </c>
      <c r="D20901" t="str">
        <f>"12306"</f>
        <v>12306</v>
      </c>
      <c r="E20901">
        <v>78.31</v>
      </c>
    </row>
    <row r="20902" spans="1:5" x14ac:dyDescent="0.2">
      <c r="A20902">
        <v>12307</v>
      </c>
      <c r="B20902" t="s">
        <v>40</v>
      </c>
      <c r="C20902">
        <v>12307</v>
      </c>
      <c r="D20902" t="str">
        <f>"12307"</f>
        <v>12307</v>
      </c>
      <c r="E20902">
        <v>45.52</v>
      </c>
    </row>
    <row r="20903" spans="1:5" x14ac:dyDescent="0.2">
      <c r="A20903">
        <v>12308</v>
      </c>
      <c r="B20903" t="s">
        <v>40</v>
      </c>
      <c r="C20903">
        <v>12308</v>
      </c>
      <c r="D20903" t="str">
        <f>"12308"</f>
        <v>12308</v>
      </c>
      <c r="E20903">
        <v>66.349999999999994</v>
      </c>
    </row>
    <row r="20904" spans="1:5" x14ac:dyDescent="0.2">
      <c r="A20904">
        <v>12309</v>
      </c>
      <c r="B20904" t="s">
        <v>40</v>
      </c>
      <c r="C20904">
        <v>12309</v>
      </c>
      <c r="D20904" t="str">
        <f>"12309"</f>
        <v>12309</v>
      </c>
      <c r="E20904">
        <v>82.89</v>
      </c>
    </row>
    <row r="20905" spans="1:5" x14ac:dyDescent="0.2">
      <c r="A20905">
        <v>12401</v>
      </c>
      <c r="B20905" t="s">
        <v>40</v>
      </c>
      <c r="C20905">
        <v>12401</v>
      </c>
      <c r="D20905" t="str">
        <f>"12401"</f>
        <v>12401</v>
      </c>
      <c r="E20905">
        <v>71.42</v>
      </c>
    </row>
    <row r="20906" spans="1:5" x14ac:dyDescent="0.2">
      <c r="A20906">
        <v>12404</v>
      </c>
      <c r="B20906" t="s">
        <v>40</v>
      </c>
      <c r="C20906">
        <v>12404</v>
      </c>
      <c r="D20906" t="str">
        <f>"12404"</f>
        <v>12404</v>
      </c>
      <c r="E20906">
        <v>73.81</v>
      </c>
    </row>
    <row r="20907" spans="1:5" x14ac:dyDescent="0.2">
      <c r="A20907">
        <v>12405</v>
      </c>
      <c r="B20907" t="s">
        <v>40</v>
      </c>
      <c r="C20907">
        <v>12405</v>
      </c>
      <c r="D20907" t="str">
        <f>"12405"</f>
        <v>12405</v>
      </c>
      <c r="E20907">
        <v>69.7</v>
      </c>
    </row>
    <row r="20908" spans="1:5" x14ac:dyDescent="0.2">
      <c r="A20908">
        <v>12406</v>
      </c>
      <c r="B20908" t="s">
        <v>40</v>
      </c>
      <c r="C20908">
        <v>12406</v>
      </c>
      <c r="D20908" t="str">
        <f>"12406"</f>
        <v>12406</v>
      </c>
      <c r="E20908">
        <v>67.739999999999995</v>
      </c>
    </row>
    <row r="20909" spans="1:5" x14ac:dyDescent="0.2">
      <c r="A20909">
        <v>12407</v>
      </c>
      <c r="B20909" t="s">
        <v>40</v>
      </c>
      <c r="C20909">
        <v>12407</v>
      </c>
      <c r="D20909" t="str">
        <f>"12407"</f>
        <v>12407</v>
      </c>
      <c r="E20909">
        <v>66.67</v>
      </c>
    </row>
    <row r="20910" spans="1:5" x14ac:dyDescent="0.2">
      <c r="A20910">
        <v>12409</v>
      </c>
      <c r="B20910" t="s">
        <v>40</v>
      </c>
      <c r="C20910">
        <v>12409</v>
      </c>
      <c r="D20910" t="str">
        <f>"12409"</f>
        <v>12409</v>
      </c>
      <c r="E20910">
        <v>69.39</v>
      </c>
    </row>
    <row r="20911" spans="1:5" x14ac:dyDescent="0.2">
      <c r="A20911">
        <v>12410</v>
      </c>
      <c r="B20911" t="s">
        <v>40</v>
      </c>
      <c r="C20911">
        <v>12410</v>
      </c>
      <c r="D20911" t="str">
        <f>"12410"</f>
        <v>12410</v>
      </c>
      <c r="E20911">
        <v>68.75</v>
      </c>
    </row>
    <row r="20912" spans="1:5" x14ac:dyDescent="0.2">
      <c r="A20912">
        <v>12411</v>
      </c>
      <c r="B20912" t="s">
        <v>40</v>
      </c>
      <c r="C20912">
        <v>12411</v>
      </c>
      <c r="D20912" t="str">
        <f>"12411"</f>
        <v>12411</v>
      </c>
      <c r="E20912">
        <v>80.77</v>
      </c>
    </row>
    <row r="20913" spans="1:5" x14ac:dyDescent="0.2">
      <c r="A20913">
        <v>12412</v>
      </c>
      <c r="B20913" t="s">
        <v>40</v>
      </c>
      <c r="C20913">
        <v>12412</v>
      </c>
      <c r="D20913" t="str">
        <f>"12412"</f>
        <v>12412</v>
      </c>
      <c r="E20913">
        <v>72.73</v>
      </c>
    </row>
    <row r="20914" spans="1:5" x14ac:dyDescent="0.2">
      <c r="A20914">
        <v>12413</v>
      </c>
      <c r="B20914" t="s">
        <v>40</v>
      </c>
      <c r="C20914">
        <v>12413</v>
      </c>
      <c r="D20914" t="str">
        <f>"12413"</f>
        <v>12413</v>
      </c>
      <c r="E20914">
        <v>72.11</v>
      </c>
    </row>
    <row r="20915" spans="1:5" x14ac:dyDescent="0.2">
      <c r="A20915">
        <v>12414</v>
      </c>
      <c r="B20915" t="s">
        <v>40</v>
      </c>
      <c r="C20915">
        <v>12414</v>
      </c>
      <c r="D20915" t="str">
        <f>"12414"</f>
        <v>12414</v>
      </c>
      <c r="E20915">
        <v>72.88</v>
      </c>
    </row>
    <row r="20916" spans="1:5" x14ac:dyDescent="0.2">
      <c r="A20916">
        <v>12416</v>
      </c>
      <c r="B20916" t="s">
        <v>40</v>
      </c>
      <c r="C20916">
        <v>12416</v>
      </c>
      <c r="D20916" t="str">
        <f>"12416"</f>
        <v>12416</v>
      </c>
      <c r="E20916">
        <v>70</v>
      </c>
    </row>
    <row r="20917" spans="1:5" x14ac:dyDescent="0.2">
      <c r="A20917">
        <v>12417</v>
      </c>
      <c r="B20917" t="s">
        <v>40</v>
      </c>
      <c r="C20917">
        <v>12417</v>
      </c>
      <c r="D20917" t="str">
        <f>"12417"</f>
        <v>12417</v>
      </c>
      <c r="E20917" t="s">
        <v>6</v>
      </c>
    </row>
    <row r="20918" spans="1:5" x14ac:dyDescent="0.2">
      <c r="A20918">
        <v>12418</v>
      </c>
      <c r="B20918" t="s">
        <v>40</v>
      </c>
      <c r="C20918">
        <v>12418</v>
      </c>
      <c r="D20918" t="str">
        <f>"12418"</f>
        <v>12418</v>
      </c>
      <c r="E20918">
        <v>74.069999999999993</v>
      </c>
    </row>
    <row r="20919" spans="1:5" x14ac:dyDescent="0.2">
      <c r="A20919">
        <v>12419</v>
      </c>
      <c r="B20919" t="s">
        <v>40</v>
      </c>
      <c r="C20919">
        <v>12419</v>
      </c>
      <c r="D20919" t="str">
        <f>"12419"</f>
        <v>12419</v>
      </c>
      <c r="E20919">
        <v>82.35</v>
      </c>
    </row>
    <row r="20920" spans="1:5" x14ac:dyDescent="0.2">
      <c r="A20920">
        <v>12421</v>
      </c>
      <c r="B20920" t="s">
        <v>40</v>
      </c>
      <c r="C20920">
        <v>12421</v>
      </c>
      <c r="D20920" t="str">
        <f>"12421"</f>
        <v>12421</v>
      </c>
      <c r="E20920">
        <v>72.22</v>
      </c>
    </row>
    <row r="20921" spans="1:5" x14ac:dyDescent="0.2">
      <c r="A20921">
        <v>12422</v>
      </c>
      <c r="B20921" t="s">
        <v>40</v>
      </c>
      <c r="C20921">
        <v>12422</v>
      </c>
      <c r="D20921" t="str">
        <f>"12422"</f>
        <v>12422</v>
      </c>
      <c r="E20921">
        <v>71.430000000000007</v>
      </c>
    </row>
    <row r="20922" spans="1:5" x14ac:dyDescent="0.2">
      <c r="A20922">
        <v>12423</v>
      </c>
      <c r="B20922" t="s">
        <v>40</v>
      </c>
      <c r="C20922">
        <v>12423</v>
      </c>
      <c r="D20922" t="str">
        <f>"12423"</f>
        <v>12423</v>
      </c>
      <c r="E20922">
        <v>72.92</v>
      </c>
    </row>
    <row r="20923" spans="1:5" x14ac:dyDescent="0.2">
      <c r="A20923">
        <v>12424</v>
      </c>
      <c r="B20923" t="s">
        <v>40</v>
      </c>
      <c r="C20923">
        <v>12424</v>
      </c>
      <c r="D20923" t="str">
        <f>"12424"</f>
        <v>12424</v>
      </c>
      <c r="E20923">
        <v>80</v>
      </c>
    </row>
    <row r="20924" spans="1:5" x14ac:dyDescent="0.2">
      <c r="A20924">
        <v>12427</v>
      </c>
      <c r="B20924" t="s">
        <v>40</v>
      </c>
      <c r="C20924">
        <v>12427</v>
      </c>
      <c r="D20924" t="str">
        <f>"12427"</f>
        <v>12427</v>
      </c>
      <c r="E20924">
        <v>63.64</v>
      </c>
    </row>
    <row r="20925" spans="1:5" x14ac:dyDescent="0.2">
      <c r="A20925">
        <v>12428</v>
      </c>
      <c r="B20925" t="s">
        <v>40</v>
      </c>
      <c r="C20925">
        <v>12428</v>
      </c>
      <c r="D20925" t="str">
        <f>"12428"</f>
        <v>12428</v>
      </c>
      <c r="E20925">
        <v>64.12</v>
      </c>
    </row>
    <row r="20926" spans="1:5" x14ac:dyDescent="0.2">
      <c r="A20926">
        <v>12429</v>
      </c>
      <c r="B20926" t="s">
        <v>40</v>
      </c>
      <c r="C20926">
        <v>12429</v>
      </c>
      <c r="D20926" t="str">
        <f>"12429"</f>
        <v>12429</v>
      </c>
      <c r="E20926" t="s">
        <v>6</v>
      </c>
    </row>
    <row r="20927" spans="1:5" x14ac:dyDescent="0.2">
      <c r="A20927">
        <v>12430</v>
      </c>
      <c r="B20927" t="s">
        <v>40</v>
      </c>
      <c r="C20927">
        <v>12430</v>
      </c>
      <c r="D20927" t="str">
        <f>"12430"</f>
        <v>12430</v>
      </c>
      <c r="E20927">
        <v>67.39</v>
      </c>
    </row>
    <row r="20928" spans="1:5" x14ac:dyDescent="0.2">
      <c r="A20928">
        <v>12431</v>
      </c>
      <c r="B20928" t="s">
        <v>40</v>
      </c>
      <c r="C20928">
        <v>12431</v>
      </c>
      <c r="D20928" t="str">
        <f>"12431"</f>
        <v>12431</v>
      </c>
      <c r="E20928">
        <v>73.239999999999995</v>
      </c>
    </row>
    <row r="20929" spans="1:5" x14ac:dyDescent="0.2">
      <c r="A20929">
        <v>12432</v>
      </c>
      <c r="B20929" t="s">
        <v>40</v>
      </c>
      <c r="C20929">
        <v>12432</v>
      </c>
      <c r="D20929" t="str">
        <f>"12432"</f>
        <v>12432</v>
      </c>
      <c r="E20929" t="s">
        <v>6</v>
      </c>
    </row>
    <row r="20930" spans="1:5" x14ac:dyDescent="0.2">
      <c r="A20930">
        <v>12433</v>
      </c>
      <c r="B20930" t="s">
        <v>40</v>
      </c>
      <c r="C20930">
        <v>12433</v>
      </c>
      <c r="D20930" t="str">
        <f>"12433"</f>
        <v>12433</v>
      </c>
      <c r="E20930">
        <v>75</v>
      </c>
    </row>
    <row r="20931" spans="1:5" x14ac:dyDescent="0.2">
      <c r="A20931">
        <v>12434</v>
      </c>
      <c r="B20931" t="s">
        <v>40</v>
      </c>
      <c r="C20931">
        <v>12434</v>
      </c>
      <c r="D20931" t="str">
        <f>"12434"</f>
        <v>12434</v>
      </c>
      <c r="E20931">
        <v>66.67</v>
      </c>
    </row>
    <row r="20932" spans="1:5" x14ac:dyDescent="0.2">
      <c r="A20932">
        <v>12435</v>
      </c>
      <c r="B20932" t="s">
        <v>40</v>
      </c>
      <c r="C20932">
        <v>12435</v>
      </c>
      <c r="D20932" t="str">
        <f>"12435"</f>
        <v>12435</v>
      </c>
      <c r="E20932">
        <v>75</v>
      </c>
    </row>
    <row r="20933" spans="1:5" x14ac:dyDescent="0.2">
      <c r="A20933">
        <v>12436</v>
      </c>
      <c r="B20933" t="s">
        <v>40</v>
      </c>
      <c r="C20933">
        <v>12436</v>
      </c>
      <c r="D20933" t="str">
        <f>"12436"</f>
        <v>12436</v>
      </c>
      <c r="E20933" t="s">
        <v>6</v>
      </c>
    </row>
    <row r="20934" spans="1:5" x14ac:dyDescent="0.2">
      <c r="A20934">
        <v>12438</v>
      </c>
      <c r="B20934" t="s">
        <v>40</v>
      </c>
      <c r="C20934">
        <v>12438</v>
      </c>
      <c r="D20934" t="str">
        <f>"12438"</f>
        <v>12438</v>
      </c>
      <c r="E20934" t="s">
        <v>6</v>
      </c>
    </row>
    <row r="20935" spans="1:5" x14ac:dyDescent="0.2">
      <c r="A20935">
        <v>12439</v>
      </c>
      <c r="B20935" t="s">
        <v>40</v>
      </c>
      <c r="C20935">
        <v>12439</v>
      </c>
      <c r="D20935" t="str">
        <f>"12439"</f>
        <v>12439</v>
      </c>
      <c r="E20935">
        <v>66.67</v>
      </c>
    </row>
    <row r="20936" spans="1:5" x14ac:dyDescent="0.2">
      <c r="A20936">
        <v>12440</v>
      </c>
      <c r="B20936" t="s">
        <v>40</v>
      </c>
      <c r="C20936">
        <v>12440</v>
      </c>
      <c r="D20936" t="str">
        <f>"12440"</f>
        <v>12440</v>
      </c>
      <c r="E20936">
        <v>76.77</v>
      </c>
    </row>
    <row r="20937" spans="1:5" x14ac:dyDescent="0.2">
      <c r="A20937">
        <v>12441</v>
      </c>
      <c r="B20937" t="s">
        <v>40</v>
      </c>
      <c r="C20937">
        <v>12441</v>
      </c>
      <c r="D20937" t="str">
        <f>"12441"</f>
        <v>12441</v>
      </c>
      <c r="E20937" t="s">
        <v>6</v>
      </c>
    </row>
    <row r="20938" spans="1:5" x14ac:dyDescent="0.2">
      <c r="A20938">
        <v>12442</v>
      </c>
      <c r="B20938" t="s">
        <v>40</v>
      </c>
      <c r="C20938">
        <v>12442</v>
      </c>
      <c r="D20938" t="str">
        <f>"12442"</f>
        <v>12442</v>
      </c>
      <c r="E20938">
        <v>71.739999999999995</v>
      </c>
    </row>
    <row r="20939" spans="1:5" x14ac:dyDescent="0.2">
      <c r="A20939">
        <v>12443</v>
      </c>
      <c r="B20939" t="s">
        <v>40</v>
      </c>
      <c r="C20939">
        <v>12443</v>
      </c>
      <c r="D20939" t="str">
        <f>"12443"</f>
        <v>12443</v>
      </c>
      <c r="E20939">
        <v>79.7</v>
      </c>
    </row>
    <row r="20940" spans="1:5" x14ac:dyDescent="0.2">
      <c r="A20940">
        <v>12444</v>
      </c>
      <c r="B20940" t="s">
        <v>40</v>
      </c>
      <c r="C20940">
        <v>12444</v>
      </c>
      <c r="D20940" t="str">
        <f>"12444"</f>
        <v>12444</v>
      </c>
      <c r="E20940">
        <v>71.430000000000007</v>
      </c>
    </row>
    <row r="20941" spans="1:5" x14ac:dyDescent="0.2">
      <c r="A20941">
        <v>12446</v>
      </c>
      <c r="B20941" t="s">
        <v>40</v>
      </c>
      <c r="C20941">
        <v>12446</v>
      </c>
      <c r="D20941" t="str">
        <f>"12446"</f>
        <v>12446</v>
      </c>
      <c r="E20941">
        <v>72.89</v>
      </c>
    </row>
    <row r="20942" spans="1:5" x14ac:dyDescent="0.2">
      <c r="A20942">
        <v>12448</v>
      </c>
      <c r="B20942" t="s">
        <v>40</v>
      </c>
      <c r="C20942">
        <v>12448</v>
      </c>
      <c r="D20942" t="str">
        <f>"12448"</f>
        <v>12448</v>
      </c>
      <c r="E20942" t="s">
        <v>6</v>
      </c>
    </row>
    <row r="20943" spans="1:5" x14ac:dyDescent="0.2">
      <c r="A20943">
        <v>12449</v>
      </c>
      <c r="B20943" t="s">
        <v>40</v>
      </c>
      <c r="C20943">
        <v>12449</v>
      </c>
      <c r="D20943" t="str">
        <f>"12449"</f>
        <v>12449</v>
      </c>
      <c r="E20943">
        <v>75.459999999999994</v>
      </c>
    </row>
    <row r="20944" spans="1:5" x14ac:dyDescent="0.2">
      <c r="A20944">
        <v>12450</v>
      </c>
      <c r="B20944" t="s">
        <v>40</v>
      </c>
      <c r="C20944">
        <v>12450</v>
      </c>
      <c r="D20944" t="str">
        <f>"12450"</f>
        <v>12450</v>
      </c>
      <c r="E20944" t="s">
        <v>6</v>
      </c>
    </row>
    <row r="20945" spans="1:5" x14ac:dyDescent="0.2">
      <c r="A20945">
        <v>12451</v>
      </c>
      <c r="B20945" t="s">
        <v>40</v>
      </c>
      <c r="C20945">
        <v>12451</v>
      </c>
      <c r="D20945" t="str">
        <f>"12451"</f>
        <v>12451</v>
      </c>
      <c r="E20945">
        <v>78.650000000000006</v>
      </c>
    </row>
    <row r="20946" spans="1:5" x14ac:dyDescent="0.2">
      <c r="A20946">
        <v>12453</v>
      </c>
      <c r="B20946" t="s">
        <v>40</v>
      </c>
      <c r="C20946">
        <v>12453</v>
      </c>
      <c r="D20946" t="str">
        <f>"12453"</f>
        <v>12453</v>
      </c>
      <c r="E20946" t="s">
        <v>6</v>
      </c>
    </row>
    <row r="20947" spans="1:5" x14ac:dyDescent="0.2">
      <c r="A20947">
        <v>12454</v>
      </c>
      <c r="B20947" t="s">
        <v>40</v>
      </c>
      <c r="C20947">
        <v>12454</v>
      </c>
      <c r="D20947" t="str">
        <f>"12454"</f>
        <v>12454</v>
      </c>
      <c r="E20947">
        <v>58.33</v>
      </c>
    </row>
    <row r="20948" spans="1:5" x14ac:dyDescent="0.2">
      <c r="A20948">
        <v>12455</v>
      </c>
      <c r="B20948" t="s">
        <v>40</v>
      </c>
      <c r="C20948">
        <v>12455</v>
      </c>
      <c r="D20948" t="str">
        <f>"12455"</f>
        <v>12455</v>
      </c>
      <c r="E20948">
        <v>68</v>
      </c>
    </row>
    <row r="20949" spans="1:5" x14ac:dyDescent="0.2">
      <c r="A20949">
        <v>12456</v>
      </c>
      <c r="B20949" t="s">
        <v>40</v>
      </c>
      <c r="C20949">
        <v>12456</v>
      </c>
      <c r="D20949" t="str">
        <f>"12456"</f>
        <v>12456</v>
      </c>
      <c r="E20949">
        <v>75</v>
      </c>
    </row>
    <row r="20950" spans="1:5" x14ac:dyDescent="0.2">
      <c r="A20950">
        <v>12457</v>
      </c>
      <c r="B20950" t="s">
        <v>40</v>
      </c>
      <c r="C20950">
        <v>12457</v>
      </c>
      <c r="D20950" t="str">
        <f>"12457"</f>
        <v>12457</v>
      </c>
      <c r="E20950">
        <v>67.739999999999995</v>
      </c>
    </row>
    <row r="20951" spans="1:5" x14ac:dyDescent="0.2">
      <c r="A20951">
        <v>12458</v>
      </c>
      <c r="B20951" t="s">
        <v>40</v>
      </c>
      <c r="C20951">
        <v>12458</v>
      </c>
      <c r="D20951" t="str">
        <f>"12458"</f>
        <v>12458</v>
      </c>
      <c r="E20951">
        <v>74.53</v>
      </c>
    </row>
    <row r="20952" spans="1:5" x14ac:dyDescent="0.2">
      <c r="A20952">
        <v>12459</v>
      </c>
      <c r="B20952" t="s">
        <v>40</v>
      </c>
      <c r="C20952">
        <v>12459</v>
      </c>
      <c r="D20952" t="str">
        <f>"12459"</f>
        <v>12459</v>
      </c>
      <c r="E20952" t="s">
        <v>6</v>
      </c>
    </row>
    <row r="20953" spans="1:5" x14ac:dyDescent="0.2">
      <c r="A20953">
        <v>12460</v>
      </c>
      <c r="B20953" t="s">
        <v>40</v>
      </c>
      <c r="C20953">
        <v>12460</v>
      </c>
      <c r="D20953" t="str">
        <f>"12460"</f>
        <v>12460</v>
      </c>
      <c r="E20953">
        <v>69.23</v>
      </c>
    </row>
    <row r="20954" spans="1:5" x14ac:dyDescent="0.2">
      <c r="A20954">
        <v>12461</v>
      </c>
      <c r="B20954" t="s">
        <v>40</v>
      </c>
      <c r="C20954">
        <v>12461</v>
      </c>
      <c r="D20954" t="str">
        <f>"12461"</f>
        <v>12461</v>
      </c>
      <c r="E20954">
        <v>74.03</v>
      </c>
    </row>
    <row r="20955" spans="1:5" x14ac:dyDescent="0.2">
      <c r="A20955">
        <v>12463</v>
      </c>
      <c r="B20955" t="s">
        <v>40</v>
      </c>
      <c r="C20955">
        <v>12463</v>
      </c>
      <c r="D20955" t="str">
        <f>"12463"</f>
        <v>12463</v>
      </c>
      <c r="E20955">
        <v>78.67</v>
      </c>
    </row>
    <row r="20956" spans="1:5" x14ac:dyDescent="0.2">
      <c r="A20956">
        <v>12464</v>
      </c>
      <c r="B20956" t="s">
        <v>40</v>
      </c>
      <c r="C20956">
        <v>12464</v>
      </c>
      <c r="D20956" t="str">
        <f>"12464"</f>
        <v>12464</v>
      </c>
      <c r="E20956">
        <v>68.180000000000007</v>
      </c>
    </row>
    <row r="20957" spans="1:5" x14ac:dyDescent="0.2">
      <c r="A20957">
        <v>12465</v>
      </c>
      <c r="B20957" t="s">
        <v>40</v>
      </c>
      <c r="C20957">
        <v>12465</v>
      </c>
      <c r="D20957" t="str">
        <f>"12465"</f>
        <v>12465</v>
      </c>
      <c r="E20957" t="s">
        <v>6</v>
      </c>
    </row>
    <row r="20958" spans="1:5" x14ac:dyDescent="0.2">
      <c r="A20958">
        <v>12466</v>
      </c>
      <c r="B20958" t="s">
        <v>40</v>
      </c>
      <c r="C20958">
        <v>12466</v>
      </c>
      <c r="D20958" t="str">
        <f>"12466"</f>
        <v>12466</v>
      </c>
      <c r="E20958">
        <v>78.849999999999994</v>
      </c>
    </row>
    <row r="20959" spans="1:5" x14ac:dyDescent="0.2">
      <c r="A20959">
        <v>12468</v>
      </c>
      <c r="B20959" t="s">
        <v>40</v>
      </c>
      <c r="C20959">
        <v>12468</v>
      </c>
      <c r="D20959" t="str">
        <f>"12468"</f>
        <v>12468</v>
      </c>
      <c r="E20959">
        <v>70.83</v>
      </c>
    </row>
    <row r="20960" spans="1:5" x14ac:dyDescent="0.2">
      <c r="A20960">
        <v>12469</v>
      </c>
      <c r="B20960" t="s">
        <v>40</v>
      </c>
      <c r="C20960">
        <v>12469</v>
      </c>
      <c r="D20960" t="str">
        <f>"12469"</f>
        <v>12469</v>
      </c>
      <c r="E20960">
        <v>75</v>
      </c>
    </row>
    <row r="20961" spans="1:5" x14ac:dyDescent="0.2">
      <c r="A20961">
        <v>12470</v>
      </c>
      <c r="B20961" t="s">
        <v>40</v>
      </c>
      <c r="C20961">
        <v>12470</v>
      </c>
      <c r="D20961" t="str">
        <f>"12470"</f>
        <v>12470</v>
      </c>
      <c r="E20961">
        <v>65.22</v>
      </c>
    </row>
    <row r="20962" spans="1:5" x14ac:dyDescent="0.2">
      <c r="A20962">
        <v>12472</v>
      </c>
      <c r="B20962" t="s">
        <v>40</v>
      </c>
      <c r="C20962">
        <v>12472</v>
      </c>
      <c r="D20962" t="str">
        <f>"12472"</f>
        <v>12472</v>
      </c>
      <c r="E20962">
        <v>77.27</v>
      </c>
    </row>
    <row r="20963" spans="1:5" x14ac:dyDescent="0.2">
      <c r="A20963">
        <v>12473</v>
      </c>
      <c r="B20963" t="s">
        <v>40</v>
      </c>
      <c r="C20963">
        <v>12473</v>
      </c>
      <c r="D20963" t="str">
        <f>"12473"</f>
        <v>12473</v>
      </c>
      <c r="E20963">
        <v>76.599999999999994</v>
      </c>
    </row>
    <row r="20964" spans="1:5" x14ac:dyDescent="0.2">
      <c r="A20964">
        <v>12474</v>
      </c>
      <c r="B20964" t="s">
        <v>40</v>
      </c>
      <c r="C20964">
        <v>12474</v>
      </c>
      <c r="D20964" t="str">
        <f>"12474"</f>
        <v>12474</v>
      </c>
      <c r="E20964">
        <v>75.930000000000007</v>
      </c>
    </row>
    <row r="20965" spans="1:5" x14ac:dyDescent="0.2">
      <c r="A20965">
        <v>12475</v>
      </c>
      <c r="B20965" t="s">
        <v>40</v>
      </c>
      <c r="C20965">
        <v>12475</v>
      </c>
      <c r="D20965" t="str">
        <f>"12475"</f>
        <v>12475</v>
      </c>
      <c r="E20965" t="s">
        <v>6</v>
      </c>
    </row>
    <row r="20966" spans="1:5" x14ac:dyDescent="0.2">
      <c r="A20966">
        <v>12477</v>
      </c>
      <c r="B20966" t="s">
        <v>40</v>
      </c>
      <c r="C20966">
        <v>12477</v>
      </c>
      <c r="D20966" t="str">
        <f>"12477"</f>
        <v>12477</v>
      </c>
      <c r="E20966">
        <v>74.75</v>
      </c>
    </row>
    <row r="20967" spans="1:5" x14ac:dyDescent="0.2">
      <c r="A20967">
        <v>12480</v>
      </c>
      <c r="B20967" t="s">
        <v>40</v>
      </c>
      <c r="C20967">
        <v>12480</v>
      </c>
      <c r="D20967" t="str">
        <f>"12480"</f>
        <v>12480</v>
      </c>
      <c r="E20967">
        <v>65.38</v>
      </c>
    </row>
    <row r="20968" spans="1:5" x14ac:dyDescent="0.2">
      <c r="A20968">
        <v>12481</v>
      </c>
      <c r="B20968" t="s">
        <v>40</v>
      </c>
      <c r="C20968">
        <v>12481</v>
      </c>
      <c r="D20968" t="str">
        <f>"12481"</f>
        <v>12481</v>
      </c>
      <c r="E20968">
        <v>76.12</v>
      </c>
    </row>
    <row r="20969" spans="1:5" x14ac:dyDescent="0.2">
      <c r="A20969">
        <v>12482</v>
      </c>
      <c r="B20969" t="s">
        <v>40</v>
      </c>
      <c r="C20969">
        <v>12482</v>
      </c>
      <c r="D20969" t="str">
        <f>"12482"</f>
        <v>12482</v>
      </c>
      <c r="E20969">
        <v>72.73</v>
      </c>
    </row>
    <row r="20970" spans="1:5" x14ac:dyDescent="0.2">
      <c r="A20970">
        <v>12483</v>
      </c>
      <c r="B20970" t="s">
        <v>40</v>
      </c>
      <c r="C20970">
        <v>12483</v>
      </c>
      <c r="D20970" t="str">
        <f>"12483"</f>
        <v>12483</v>
      </c>
      <c r="E20970" t="s">
        <v>6</v>
      </c>
    </row>
    <row r="20971" spans="1:5" x14ac:dyDescent="0.2">
      <c r="A20971">
        <v>12484</v>
      </c>
      <c r="B20971" t="s">
        <v>40</v>
      </c>
      <c r="C20971">
        <v>12484</v>
      </c>
      <c r="D20971" t="str">
        <f>"12484"</f>
        <v>12484</v>
      </c>
      <c r="E20971">
        <v>76.760000000000005</v>
      </c>
    </row>
    <row r="20972" spans="1:5" x14ac:dyDescent="0.2">
      <c r="A20972">
        <v>12485</v>
      </c>
      <c r="B20972" t="s">
        <v>40</v>
      </c>
      <c r="C20972">
        <v>12485</v>
      </c>
      <c r="D20972" t="str">
        <f>"12485"</f>
        <v>12485</v>
      </c>
      <c r="E20972">
        <v>71.430000000000007</v>
      </c>
    </row>
    <row r="20973" spans="1:5" x14ac:dyDescent="0.2">
      <c r="A20973">
        <v>12486</v>
      </c>
      <c r="B20973" t="s">
        <v>40</v>
      </c>
      <c r="C20973">
        <v>12486</v>
      </c>
      <c r="D20973" t="str">
        <f>"12486"</f>
        <v>12486</v>
      </c>
      <c r="E20973">
        <v>81.819999999999993</v>
      </c>
    </row>
    <row r="20974" spans="1:5" x14ac:dyDescent="0.2">
      <c r="A20974">
        <v>12487</v>
      </c>
      <c r="B20974" t="s">
        <v>40</v>
      </c>
      <c r="C20974">
        <v>12487</v>
      </c>
      <c r="D20974" t="str">
        <f>"12487"</f>
        <v>12487</v>
      </c>
      <c r="E20974">
        <v>76.709999999999994</v>
      </c>
    </row>
    <row r="20975" spans="1:5" x14ac:dyDescent="0.2">
      <c r="A20975">
        <v>12489</v>
      </c>
      <c r="B20975" t="s">
        <v>40</v>
      </c>
      <c r="C20975">
        <v>12489</v>
      </c>
      <c r="D20975" t="str">
        <f>"12489"</f>
        <v>12489</v>
      </c>
      <c r="E20975" t="s">
        <v>6</v>
      </c>
    </row>
    <row r="20976" spans="1:5" x14ac:dyDescent="0.2">
      <c r="A20976">
        <v>12490</v>
      </c>
      <c r="B20976" t="s">
        <v>40</v>
      </c>
      <c r="C20976">
        <v>12490</v>
      </c>
      <c r="D20976" t="str">
        <f>"12490"</f>
        <v>12490</v>
      </c>
      <c r="E20976" t="s">
        <v>6</v>
      </c>
    </row>
    <row r="20977" spans="1:5" x14ac:dyDescent="0.2">
      <c r="A20977">
        <v>12491</v>
      </c>
      <c r="B20977" t="s">
        <v>40</v>
      </c>
      <c r="C20977">
        <v>12491</v>
      </c>
      <c r="D20977" t="str">
        <f>"12491"</f>
        <v>12491</v>
      </c>
      <c r="E20977">
        <v>77.23</v>
      </c>
    </row>
    <row r="20978" spans="1:5" x14ac:dyDescent="0.2">
      <c r="A20978">
        <v>12492</v>
      </c>
      <c r="B20978" t="s">
        <v>40</v>
      </c>
      <c r="C20978">
        <v>12492</v>
      </c>
      <c r="D20978" t="str">
        <f>"12492"</f>
        <v>12492</v>
      </c>
      <c r="E20978">
        <v>72.73</v>
      </c>
    </row>
    <row r="20979" spans="1:5" x14ac:dyDescent="0.2">
      <c r="A20979">
        <v>12493</v>
      </c>
      <c r="B20979" t="s">
        <v>40</v>
      </c>
      <c r="C20979">
        <v>12493</v>
      </c>
      <c r="D20979" t="str">
        <f>"12493"</f>
        <v>12493</v>
      </c>
      <c r="E20979" t="s">
        <v>6</v>
      </c>
    </row>
    <row r="20980" spans="1:5" x14ac:dyDescent="0.2">
      <c r="A20980">
        <v>12494</v>
      </c>
      <c r="B20980" t="s">
        <v>40</v>
      </c>
      <c r="C20980">
        <v>12494</v>
      </c>
      <c r="D20980" t="str">
        <f>"12494"</f>
        <v>12494</v>
      </c>
      <c r="E20980">
        <v>82.35</v>
      </c>
    </row>
    <row r="20981" spans="1:5" x14ac:dyDescent="0.2">
      <c r="A20981">
        <v>12495</v>
      </c>
      <c r="B20981" t="s">
        <v>40</v>
      </c>
      <c r="C20981">
        <v>12495</v>
      </c>
      <c r="D20981" t="str">
        <f>"12495"</f>
        <v>12495</v>
      </c>
      <c r="E20981">
        <v>76.92</v>
      </c>
    </row>
    <row r="20982" spans="1:5" x14ac:dyDescent="0.2">
      <c r="A20982">
        <v>12496</v>
      </c>
      <c r="B20982" t="s">
        <v>40</v>
      </c>
      <c r="C20982">
        <v>12496</v>
      </c>
      <c r="D20982" t="str">
        <f>"12496"</f>
        <v>12496</v>
      </c>
      <c r="E20982">
        <v>70.150000000000006</v>
      </c>
    </row>
    <row r="20983" spans="1:5" x14ac:dyDescent="0.2">
      <c r="A20983">
        <v>12498</v>
      </c>
      <c r="B20983" t="s">
        <v>40</v>
      </c>
      <c r="C20983">
        <v>12498</v>
      </c>
      <c r="D20983" t="str">
        <f>"12498"</f>
        <v>12498</v>
      </c>
      <c r="E20983">
        <v>72.69</v>
      </c>
    </row>
    <row r="20984" spans="1:5" x14ac:dyDescent="0.2">
      <c r="A20984">
        <v>12501</v>
      </c>
      <c r="B20984" t="s">
        <v>40</v>
      </c>
      <c r="C20984">
        <v>12501</v>
      </c>
      <c r="D20984" t="str">
        <f>"12501"</f>
        <v>12501</v>
      </c>
      <c r="E20984">
        <v>74.510000000000005</v>
      </c>
    </row>
    <row r="20985" spans="1:5" x14ac:dyDescent="0.2">
      <c r="A20985">
        <v>12502</v>
      </c>
      <c r="B20985" t="s">
        <v>40</v>
      </c>
      <c r="C20985">
        <v>12502</v>
      </c>
      <c r="D20985" t="str">
        <f>"12502"</f>
        <v>12502</v>
      </c>
      <c r="E20985">
        <v>77.08</v>
      </c>
    </row>
    <row r="20986" spans="1:5" x14ac:dyDescent="0.2">
      <c r="A20986">
        <v>12503</v>
      </c>
      <c r="B20986" t="s">
        <v>40</v>
      </c>
      <c r="C20986">
        <v>12503</v>
      </c>
      <c r="D20986" t="str">
        <f>"12503"</f>
        <v>12503</v>
      </c>
      <c r="E20986">
        <v>68.97</v>
      </c>
    </row>
    <row r="20987" spans="1:5" x14ac:dyDescent="0.2">
      <c r="A20987">
        <v>12507</v>
      </c>
      <c r="B20987" t="s">
        <v>40</v>
      </c>
      <c r="C20987">
        <v>12507</v>
      </c>
      <c r="D20987" t="str">
        <f>"12507"</f>
        <v>12507</v>
      </c>
      <c r="E20987" t="s">
        <v>6</v>
      </c>
    </row>
    <row r="20988" spans="1:5" x14ac:dyDescent="0.2">
      <c r="A20988">
        <v>12508</v>
      </c>
      <c r="B20988" t="s">
        <v>40</v>
      </c>
      <c r="C20988">
        <v>12508</v>
      </c>
      <c r="D20988" t="str">
        <f>"12508"</f>
        <v>12508</v>
      </c>
      <c r="E20988">
        <v>77.92</v>
      </c>
    </row>
    <row r="20989" spans="1:5" x14ac:dyDescent="0.2">
      <c r="A20989">
        <v>12512</v>
      </c>
      <c r="B20989" t="s">
        <v>40</v>
      </c>
      <c r="C20989">
        <v>12512</v>
      </c>
      <c r="D20989" t="str">
        <f>"12512"</f>
        <v>12512</v>
      </c>
      <c r="E20989" t="s">
        <v>6</v>
      </c>
    </row>
    <row r="20990" spans="1:5" x14ac:dyDescent="0.2">
      <c r="A20990">
        <v>12513</v>
      </c>
      <c r="B20990" t="s">
        <v>40</v>
      </c>
      <c r="C20990">
        <v>12513</v>
      </c>
      <c r="D20990" t="str">
        <f>"12513"</f>
        <v>12513</v>
      </c>
      <c r="E20990">
        <v>82.14</v>
      </c>
    </row>
    <row r="20991" spans="1:5" x14ac:dyDescent="0.2">
      <c r="A20991">
        <v>12514</v>
      </c>
      <c r="B20991" t="s">
        <v>40</v>
      </c>
      <c r="C20991">
        <v>12514</v>
      </c>
      <c r="D20991" t="str">
        <f>"12514"</f>
        <v>12514</v>
      </c>
      <c r="E20991">
        <v>78.52</v>
      </c>
    </row>
    <row r="20992" spans="1:5" x14ac:dyDescent="0.2">
      <c r="A20992">
        <v>12515</v>
      </c>
      <c r="B20992" t="s">
        <v>40</v>
      </c>
      <c r="C20992">
        <v>12515</v>
      </c>
      <c r="D20992" t="str">
        <f>"12515"</f>
        <v>12515</v>
      </c>
      <c r="E20992">
        <v>77.38</v>
      </c>
    </row>
    <row r="20993" spans="1:5" x14ac:dyDescent="0.2">
      <c r="A20993">
        <v>12516</v>
      </c>
      <c r="B20993" t="s">
        <v>40</v>
      </c>
      <c r="C20993">
        <v>12516</v>
      </c>
      <c r="D20993" t="str">
        <f>"12516"</f>
        <v>12516</v>
      </c>
      <c r="E20993">
        <v>73.680000000000007</v>
      </c>
    </row>
    <row r="20994" spans="1:5" x14ac:dyDescent="0.2">
      <c r="A20994">
        <v>12517</v>
      </c>
      <c r="B20994" t="s">
        <v>40</v>
      </c>
      <c r="C20994">
        <v>12517</v>
      </c>
      <c r="D20994" t="str">
        <f>"12517"</f>
        <v>12517</v>
      </c>
      <c r="E20994">
        <v>65</v>
      </c>
    </row>
    <row r="20995" spans="1:5" x14ac:dyDescent="0.2">
      <c r="A20995">
        <v>12518</v>
      </c>
      <c r="B20995" t="s">
        <v>40</v>
      </c>
      <c r="C20995">
        <v>12518</v>
      </c>
      <c r="D20995" t="str">
        <f>"12518"</f>
        <v>12518</v>
      </c>
      <c r="E20995">
        <v>80.92</v>
      </c>
    </row>
    <row r="20996" spans="1:5" x14ac:dyDescent="0.2">
      <c r="A20996">
        <v>12520</v>
      </c>
      <c r="B20996" t="s">
        <v>40</v>
      </c>
      <c r="C20996">
        <v>12520</v>
      </c>
      <c r="D20996" t="str">
        <f>"12520"</f>
        <v>12520</v>
      </c>
      <c r="E20996">
        <v>79.19</v>
      </c>
    </row>
    <row r="20997" spans="1:5" x14ac:dyDescent="0.2">
      <c r="A20997">
        <v>12521</v>
      </c>
      <c r="B20997" t="s">
        <v>40</v>
      </c>
      <c r="C20997">
        <v>12521</v>
      </c>
      <c r="D20997" t="str">
        <f>"12521"</f>
        <v>12521</v>
      </c>
      <c r="E20997">
        <v>75.680000000000007</v>
      </c>
    </row>
    <row r="20998" spans="1:5" x14ac:dyDescent="0.2">
      <c r="A20998">
        <v>12522</v>
      </c>
      <c r="B20998" t="s">
        <v>40</v>
      </c>
      <c r="C20998">
        <v>12522</v>
      </c>
      <c r="D20998" t="str">
        <f>"12522"</f>
        <v>12522</v>
      </c>
      <c r="E20998">
        <v>76.52</v>
      </c>
    </row>
    <row r="20999" spans="1:5" x14ac:dyDescent="0.2">
      <c r="A20999">
        <v>12523</v>
      </c>
      <c r="B20999" t="s">
        <v>40</v>
      </c>
      <c r="C20999">
        <v>12523</v>
      </c>
      <c r="D20999" t="str">
        <f>"12523"</f>
        <v>12523</v>
      </c>
      <c r="E20999">
        <v>77.38</v>
      </c>
    </row>
    <row r="21000" spans="1:5" x14ac:dyDescent="0.2">
      <c r="A21000">
        <v>12524</v>
      </c>
      <c r="B21000" t="s">
        <v>40</v>
      </c>
      <c r="C21000">
        <v>12524</v>
      </c>
      <c r="D21000" t="str">
        <f>"12524"</f>
        <v>12524</v>
      </c>
      <c r="E21000">
        <v>81.27</v>
      </c>
    </row>
    <row r="21001" spans="1:5" x14ac:dyDescent="0.2">
      <c r="A21001">
        <v>12525</v>
      </c>
      <c r="B21001" t="s">
        <v>40</v>
      </c>
      <c r="C21001">
        <v>12525</v>
      </c>
      <c r="D21001" t="str">
        <f>"12525"</f>
        <v>12525</v>
      </c>
      <c r="E21001">
        <v>78.33</v>
      </c>
    </row>
    <row r="21002" spans="1:5" x14ac:dyDescent="0.2">
      <c r="A21002">
        <v>12526</v>
      </c>
      <c r="B21002" t="s">
        <v>40</v>
      </c>
      <c r="C21002">
        <v>12526</v>
      </c>
      <c r="D21002" t="str">
        <f>"12526"</f>
        <v>12526</v>
      </c>
      <c r="E21002">
        <v>78.33</v>
      </c>
    </row>
    <row r="21003" spans="1:5" x14ac:dyDescent="0.2">
      <c r="A21003">
        <v>12528</v>
      </c>
      <c r="B21003" t="s">
        <v>40</v>
      </c>
      <c r="C21003">
        <v>12528</v>
      </c>
      <c r="D21003" t="str">
        <f>"12528"</f>
        <v>12528</v>
      </c>
      <c r="E21003">
        <v>78.13</v>
      </c>
    </row>
    <row r="21004" spans="1:5" x14ac:dyDescent="0.2">
      <c r="A21004">
        <v>12529</v>
      </c>
      <c r="B21004" t="s">
        <v>40</v>
      </c>
      <c r="C21004">
        <v>12529</v>
      </c>
      <c r="D21004" t="str">
        <f>"12529"</f>
        <v>12529</v>
      </c>
      <c r="E21004">
        <v>73.5</v>
      </c>
    </row>
    <row r="21005" spans="1:5" x14ac:dyDescent="0.2">
      <c r="A21005">
        <v>12530</v>
      </c>
      <c r="B21005" t="s">
        <v>40</v>
      </c>
      <c r="C21005">
        <v>12530</v>
      </c>
      <c r="D21005" t="str">
        <f>"12530"</f>
        <v>12530</v>
      </c>
      <c r="E21005" t="s">
        <v>6</v>
      </c>
    </row>
    <row r="21006" spans="1:5" x14ac:dyDescent="0.2">
      <c r="A21006">
        <v>12531</v>
      </c>
      <c r="B21006" t="s">
        <v>40</v>
      </c>
      <c r="C21006">
        <v>12531</v>
      </c>
      <c r="D21006" t="str">
        <f>"12531"</f>
        <v>12531</v>
      </c>
      <c r="E21006">
        <v>81.760000000000005</v>
      </c>
    </row>
    <row r="21007" spans="1:5" x14ac:dyDescent="0.2">
      <c r="A21007">
        <v>12533</v>
      </c>
      <c r="B21007" t="s">
        <v>40</v>
      </c>
      <c r="C21007">
        <v>12533</v>
      </c>
      <c r="D21007" t="str">
        <f>"12533"</f>
        <v>12533</v>
      </c>
      <c r="E21007">
        <v>81.16</v>
      </c>
    </row>
    <row r="21008" spans="1:5" x14ac:dyDescent="0.2">
      <c r="A21008">
        <v>12534</v>
      </c>
      <c r="B21008" t="s">
        <v>40</v>
      </c>
      <c r="C21008">
        <v>12534</v>
      </c>
      <c r="D21008" t="str">
        <f>"12534"</f>
        <v>12534</v>
      </c>
      <c r="E21008">
        <v>70.75</v>
      </c>
    </row>
    <row r="21009" spans="1:5" x14ac:dyDescent="0.2">
      <c r="A21009">
        <v>12538</v>
      </c>
      <c r="B21009" t="s">
        <v>40</v>
      </c>
      <c r="C21009">
        <v>12538</v>
      </c>
      <c r="D21009" t="str">
        <f>"12538"</f>
        <v>12538</v>
      </c>
      <c r="E21009">
        <v>77.569999999999993</v>
      </c>
    </row>
    <row r="21010" spans="1:5" x14ac:dyDescent="0.2">
      <c r="A21010">
        <v>12540</v>
      </c>
      <c r="B21010" t="s">
        <v>40</v>
      </c>
      <c r="C21010">
        <v>12540</v>
      </c>
      <c r="D21010" t="str">
        <f>"12540"</f>
        <v>12540</v>
      </c>
      <c r="E21010">
        <v>80.790000000000006</v>
      </c>
    </row>
    <row r="21011" spans="1:5" x14ac:dyDescent="0.2">
      <c r="A21011">
        <v>12542</v>
      </c>
      <c r="B21011" t="s">
        <v>40</v>
      </c>
      <c r="C21011">
        <v>12542</v>
      </c>
      <c r="D21011" t="str">
        <f>"12542"</f>
        <v>12542</v>
      </c>
      <c r="E21011">
        <v>77.739999999999995</v>
      </c>
    </row>
    <row r="21012" spans="1:5" x14ac:dyDescent="0.2">
      <c r="A21012">
        <v>12543</v>
      </c>
      <c r="B21012" t="s">
        <v>40</v>
      </c>
      <c r="C21012">
        <v>12543</v>
      </c>
      <c r="D21012" t="str">
        <f>"12543"</f>
        <v>12543</v>
      </c>
      <c r="E21012">
        <v>76.099999999999994</v>
      </c>
    </row>
    <row r="21013" spans="1:5" x14ac:dyDescent="0.2">
      <c r="A21013">
        <v>12545</v>
      </c>
      <c r="B21013" t="s">
        <v>40</v>
      </c>
      <c r="C21013">
        <v>12545</v>
      </c>
      <c r="D21013" t="str">
        <f>"12545"</f>
        <v>12545</v>
      </c>
      <c r="E21013">
        <v>79.63</v>
      </c>
    </row>
    <row r="21014" spans="1:5" x14ac:dyDescent="0.2">
      <c r="A21014">
        <v>12546</v>
      </c>
      <c r="B21014" t="s">
        <v>40</v>
      </c>
      <c r="C21014">
        <v>12546</v>
      </c>
      <c r="D21014" t="str">
        <f>"12546"</f>
        <v>12546</v>
      </c>
      <c r="E21014">
        <v>71.63</v>
      </c>
    </row>
    <row r="21015" spans="1:5" x14ac:dyDescent="0.2">
      <c r="A21015">
        <v>12547</v>
      </c>
      <c r="B21015" t="s">
        <v>40</v>
      </c>
      <c r="C21015">
        <v>12547</v>
      </c>
      <c r="D21015" t="str">
        <f>"12547"</f>
        <v>12547</v>
      </c>
      <c r="E21015">
        <v>79.349999999999994</v>
      </c>
    </row>
    <row r="21016" spans="1:5" x14ac:dyDescent="0.2">
      <c r="A21016">
        <v>12548</v>
      </c>
      <c r="B21016" t="s">
        <v>40</v>
      </c>
      <c r="C21016">
        <v>12548</v>
      </c>
      <c r="D21016" t="str">
        <f>"12548"</f>
        <v>12548</v>
      </c>
      <c r="E21016">
        <v>81.58</v>
      </c>
    </row>
    <row r="21017" spans="1:5" x14ac:dyDescent="0.2">
      <c r="A21017">
        <v>12549</v>
      </c>
      <c r="B21017" t="s">
        <v>40</v>
      </c>
      <c r="C21017">
        <v>12549</v>
      </c>
      <c r="D21017" t="str">
        <f>"12549"</f>
        <v>12549</v>
      </c>
      <c r="E21017">
        <v>78.400000000000006</v>
      </c>
    </row>
    <row r="21018" spans="1:5" x14ac:dyDescent="0.2">
      <c r="A21018">
        <v>12550</v>
      </c>
      <c r="B21018" t="s">
        <v>40</v>
      </c>
      <c r="C21018">
        <v>12550</v>
      </c>
      <c r="D21018" t="str">
        <f>"12550"</f>
        <v>12550</v>
      </c>
      <c r="E21018">
        <v>68.59</v>
      </c>
    </row>
    <row r="21019" spans="1:5" x14ac:dyDescent="0.2">
      <c r="A21019">
        <v>12553</v>
      </c>
      <c r="B21019" t="s">
        <v>40</v>
      </c>
      <c r="C21019">
        <v>12553</v>
      </c>
      <c r="D21019" t="str">
        <f>"12553"</f>
        <v>12553</v>
      </c>
      <c r="E21019">
        <v>76.819999999999993</v>
      </c>
    </row>
    <row r="21020" spans="1:5" x14ac:dyDescent="0.2">
      <c r="A21020">
        <v>12561</v>
      </c>
      <c r="B21020" t="s">
        <v>40</v>
      </c>
      <c r="C21020">
        <v>12561</v>
      </c>
      <c r="D21020" t="str">
        <f>"12561"</f>
        <v>12561</v>
      </c>
      <c r="E21020">
        <v>77.17</v>
      </c>
    </row>
    <row r="21021" spans="1:5" x14ac:dyDescent="0.2">
      <c r="A21021">
        <v>12563</v>
      </c>
      <c r="B21021" t="s">
        <v>40</v>
      </c>
      <c r="C21021">
        <v>12563</v>
      </c>
      <c r="D21021" t="str">
        <f>"12563"</f>
        <v>12563</v>
      </c>
      <c r="E21021">
        <v>73.28</v>
      </c>
    </row>
    <row r="21022" spans="1:5" x14ac:dyDescent="0.2">
      <c r="A21022">
        <v>12564</v>
      </c>
      <c r="B21022" t="s">
        <v>40</v>
      </c>
      <c r="C21022">
        <v>12564</v>
      </c>
      <c r="D21022" t="str">
        <f>"12564"</f>
        <v>12564</v>
      </c>
      <c r="E21022">
        <v>78.92</v>
      </c>
    </row>
    <row r="21023" spans="1:5" x14ac:dyDescent="0.2">
      <c r="A21023">
        <v>12565</v>
      </c>
      <c r="B21023" t="s">
        <v>40</v>
      </c>
      <c r="C21023">
        <v>12565</v>
      </c>
      <c r="D21023" t="str">
        <f>"12565"</f>
        <v>12565</v>
      </c>
      <c r="E21023">
        <v>68.92</v>
      </c>
    </row>
    <row r="21024" spans="1:5" x14ac:dyDescent="0.2">
      <c r="A21024">
        <v>12566</v>
      </c>
      <c r="B21024" t="s">
        <v>40</v>
      </c>
      <c r="C21024">
        <v>12566</v>
      </c>
      <c r="D21024" t="str">
        <f>"12566"</f>
        <v>12566</v>
      </c>
      <c r="E21024">
        <v>77.540000000000006</v>
      </c>
    </row>
    <row r="21025" spans="1:5" x14ac:dyDescent="0.2">
      <c r="A21025">
        <v>12567</v>
      </c>
      <c r="B21025" t="s">
        <v>40</v>
      </c>
      <c r="C21025">
        <v>12567</v>
      </c>
      <c r="D21025" t="str">
        <f>"12567"</f>
        <v>12567</v>
      </c>
      <c r="E21025">
        <v>76.34</v>
      </c>
    </row>
    <row r="21026" spans="1:5" x14ac:dyDescent="0.2">
      <c r="A21026">
        <v>12569</v>
      </c>
      <c r="B21026" t="s">
        <v>40</v>
      </c>
      <c r="C21026">
        <v>12569</v>
      </c>
      <c r="D21026" t="str">
        <f>"12569"</f>
        <v>12569</v>
      </c>
      <c r="E21026">
        <v>80.540000000000006</v>
      </c>
    </row>
    <row r="21027" spans="1:5" x14ac:dyDescent="0.2">
      <c r="A21027">
        <v>12570</v>
      </c>
      <c r="B21027" t="s">
        <v>40</v>
      </c>
      <c r="C21027">
        <v>12570</v>
      </c>
      <c r="D21027" t="str">
        <f>"12570"</f>
        <v>12570</v>
      </c>
      <c r="E21027">
        <v>81.3</v>
      </c>
    </row>
    <row r="21028" spans="1:5" x14ac:dyDescent="0.2">
      <c r="A21028">
        <v>12571</v>
      </c>
      <c r="B21028" t="s">
        <v>40</v>
      </c>
      <c r="C21028">
        <v>12571</v>
      </c>
      <c r="D21028" t="str">
        <f>"12571"</f>
        <v>12571</v>
      </c>
      <c r="E21028">
        <v>77.97</v>
      </c>
    </row>
    <row r="21029" spans="1:5" x14ac:dyDescent="0.2">
      <c r="A21029">
        <v>12572</v>
      </c>
      <c r="B21029" t="s">
        <v>40</v>
      </c>
      <c r="C21029">
        <v>12572</v>
      </c>
      <c r="D21029" t="str">
        <f>"12572"</f>
        <v>12572</v>
      </c>
      <c r="E21029">
        <v>78.84</v>
      </c>
    </row>
    <row r="21030" spans="1:5" x14ac:dyDescent="0.2">
      <c r="A21030">
        <v>12574</v>
      </c>
      <c r="B21030" t="s">
        <v>40</v>
      </c>
      <c r="C21030">
        <v>12574</v>
      </c>
      <c r="D21030" t="str">
        <f>"12574"</f>
        <v>12574</v>
      </c>
      <c r="E21030" t="s">
        <v>6</v>
      </c>
    </row>
    <row r="21031" spans="1:5" x14ac:dyDescent="0.2">
      <c r="A21031">
        <v>12575</v>
      </c>
      <c r="B21031" t="s">
        <v>40</v>
      </c>
      <c r="C21031">
        <v>12575</v>
      </c>
      <c r="D21031" t="str">
        <f>"12575"</f>
        <v>12575</v>
      </c>
      <c r="E21031">
        <v>80.510000000000005</v>
      </c>
    </row>
    <row r="21032" spans="1:5" x14ac:dyDescent="0.2">
      <c r="A21032">
        <v>12577</v>
      </c>
      <c r="B21032" t="s">
        <v>40</v>
      </c>
      <c r="C21032">
        <v>12577</v>
      </c>
      <c r="D21032" t="str">
        <f>"12577"</f>
        <v>12577</v>
      </c>
      <c r="E21032">
        <v>80.77</v>
      </c>
    </row>
    <row r="21033" spans="1:5" x14ac:dyDescent="0.2">
      <c r="A21033">
        <v>12578</v>
      </c>
      <c r="B21033" t="s">
        <v>40</v>
      </c>
      <c r="C21033">
        <v>12578</v>
      </c>
      <c r="D21033" t="str">
        <f>"12578"</f>
        <v>12578</v>
      </c>
      <c r="E21033">
        <v>79.83</v>
      </c>
    </row>
    <row r="21034" spans="1:5" x14ac:dyDescent="0.2">
      <c r="A21034">
        <v>12580</v>
      </c>
      <c r="B21034" t="s">
        <v>40</v>
      </c>
      <c r="C21034">
        <v>12580</v>
      </c>
      <c r="D21034" t="str">
        <f>"12580"</f>
        <v>12580</v>
      </c>
      <c r="E21034">
        <v>80.319999999999993</v>
      </c>
    </row>
    <row r="21035" spans="1:5" x14ac:dyDescent="0.2">
      <c r="A21035">
        <v>12581</v>
      </c>
      <c r="B21035" t="s">
        <v>40</v>
      </c>
      <c r="C21035">
        <v>12581</v>
      </c>
      <c r="D21035" t="str">
        <f>"12581"</f>
        <v>12581</v>
      </c>
      <c r="E21035">
        <v>79.41</v>
      </c>
    </row>
    <row r="21036" spans="1:5" x14ac:dyDescent="0.2">
      <c r="A21036">
        <v>12582</v>
      </c>
      <c r="B21036" t="s">
        <v>40</v>
      </c>
      <c r="C21036">
        <v>12582</v>
      </c>
      <c r="D21036" t="str">
        <f>"12582"</f>
        <v>12582</v>
      </c>
      <c r="E21036">
        <v>82.1</v>
      </c>
    </row>
    <row r="21037" spans="1:5" x14ac:dyDescent="0.2">
      <c r="A21037">
        <v>12583</v>
      </c>
      <c r="B21037" t="s">
        <v>40</v>
      </c>
      <c r="C21037">
        <v>12583</v>
      </c>
      <c r="D21037" t="str">
        <f>"12583"</f>
        <v>12583</v>
      </c>
      <c r="E21037">
        <v>73.08</v>
      </c>
    </row>
    <row r="21038" spans="1:5" x14ac:dyDescent="0.2">
      <c r="A21038">
        <v>12585</v>
      </c>
      <c r="B21038" t="s">
        <v>40</v>
      </c>
      <c r="C21038">
        <v>12585</v>
      </c>
      <c r="D21038" t="str">
        <f>"12585"</f>
        <v>12585</v>
      </c>
      <c r="E21038">
        <v>81.400000000000006</v>
      </c>
    </row>
    <row r="21039" spans="1:5" x14ac:dyDescent="0.2">
      <c r="A21039">
        <v>12586</v>
      </c>
      <c r="B21039" t="s">
        <v>40</v>
      </c>
      <c r="C21039">
        <v>12586</v>
      </c>
      <c r="D21039" t="str">
        <f>"12586"</f>
        <v>12586</v>
      </c>
      <c r="E21039">
        <v>76.8</v>
      </c>
    </row>
    <row r="21040" spans="1:5" x14ac:dyDescent="0.2">
      <c r="A21040">
        <v>12589</v>
      </c>
      <c r="B21040" t="s">
        <v>40</v>
      </c>
      <c r="C21040">
        <v>12589</v>
      </c>
      <c r="D21040" t="str">
        <f>"12589"</f>
        <v>12589</v>
      </c>
      <c r="E21040">
        <v>74.39</v>
      </c>
    </row>
    <row r="21041" spans="1:5" x14ac:dyDescent="0.2">
      <c r="A21041">
        <v>12590</v>
      </c>
      <c r="B21041" t="s">
        <v>40</v>
      </c>
      <c r="C21041">
        <v>12590</v>
      </c>
      <c r="D21041" t="str">
        <f>"12590"</f>
        <v>12590</v>
      </c>
      <c r="E21041">
        <v>79.7</v>
      </c>
    </row>
    <row r="21042" spans="1:5" x14ac:dyDescent="0.2">
      <c r="A21042">
        <v>12592</v>
      </c>
      <c r="B21042" t="s">
        <v>40</v>
      </c>
      <c r="C21042">
        <v>12592</v>
      </c>
      <c r="D21042" t="str">
        <f>"12592"</f>
        <v>12592</v>
      </c>
      <c r="E21042">
        <v>77.78</v>
      </c>
    </row>
    <row r="21043" spans="1:5" x14ac:dyDescent="0.2">
      <c r="A21043">
        <v>12594</v>
      </c>
      <c r="B21043" t="s">
        <v>40</v>
      </c>
      <c r="C21043">
        <v>12594</v>
      </c>
      <c r="D21043" t="str">
        <f>"12594"</f>
        <v>12594</v>
      </c>
      <c r="E21043">
        <v>76.260000000000005</v>
      </c>
    </row>
    <row r="21044" spans="1:5" x14ac:dyDescent="0.2">
      <c r="A21044">
        <v>12601</v>
      </c>
      <c r="B21044" t="s">
        <v>40</v>
      </c>
      <c r="C21044">
        <v>12601</v>
      </c>
      <c r="D21044" t="str">
        <f>"12601"</f>
        <v>12601</v>
      </c>
      <c r="E21044">
        <v>68.08</v>
      </c>
    </row>
    <row r="21045" spans="1:5" x14ac:dyDescent="0.2">
      <c r="A21045">
        <v>12603</v>
      </c>
      <c r="B21045" t="s">
        <v>40</v>
      </c>
      <c r="C21045">
        <v>12603</v>
      </c>
      <c r="D21045" t="str">
        <f>"12603"</f>
        <v>12603</v>
      </c>
      <c r="E21045">
        <v>78.540000000000006</v>
      </c>
    </row>
    <row r="21046" spans="1:5" x14ac:dyDescent="0.2">
      <c r="A21046">
        <v>12604</v>
      </c>
      <c r="B21046" t="s">
        <v>40</v>
      </c>
      <c r="C21046">
        <v>12604</v>
      </c>
      <c r="D21046" t="str">
        <f>"12604"</f>
        <v>12604</v>
      </c>
      <c r="E21046" t="s">
        <v>6</v>
      </c>
    </row>
    <row r="21047" spans="1:5" x14ac:dyDescent="0.2">
      <c r="A21047">
        <v>12701</v>
      </c>
      <c r="B21047" t="s">
        <v>40</v>
      </c>
      <c r="C21047">
        <v>12701</v>
      </c>
      <c r="D21047" t="str">
        <f>"12701"</f>
        <v>12701</v>
      </c>
      <c r="E21047">
        <v>61.97</v>
      </c>
    </row>
    <row r="21048" spans="1:5" x14ac:dyDescent="0.2">
      <c r="A21048">
        <v>12719</v>
      </c>
      <c r="B21048" t="s">
        <v>40</v>
      </c>
      <c r="C21048">
        <v>12719</v>
      </c>
      <c r="D21048" t="str">
        <f>"12719"</f>
        <v>12719</v>
      </c>
      <c r="E21048">
        <v>72.73</v>
      </c>
    </row>
    <row r="21049" spans="1:5" x14ac:dyDescent="0.2">
      <c r="A21049">
        <v>12720</v>
      </c>
      <c r="B21049" t="s">
        <v>40</v>
      </c>
      <c r="C21049">
        <v>12720</v>
      </c>
      <c r="D21049" t="str">
        <f>"12720"</f>
        <v>12720</v>
      </c>
      <c r="E21049">
        <v>72.73</v>
      </c>
    </row>
    <row r="21050" spans="1:5" x14ac:dyDescent="0.2">
      <c r="A21050">
        <v>12721</v>
      </c>
      <c r="B21050" t="s">
        <v>40</v>
      </c>
      <c r="C21050">
        <v>12721</v>
      </c>
      <c r="D21050" t="str">
        <f>"12721"</f>
        <v>12721</v>
      </c>
      <c r="E21050">
        <v>72.88</v>
      </c>
    </row>
    <row r="21051" spans="1:5" x14ac:dyDescent="0.2">
      <c r="A21051">
        <v>12722</v>
      </c>
      <c r="B21051" t="s">
        <v>40</v>
      </c>
      <c r="C21051">
        <v>12722</v>
      </c>
      <c r="D21051" t="str">
        <f>"12722"</f>
        <v>12722</v>
      </c>
      <c r="E21051" t="s">
        <v>6</v>
      </c>
    </row>
    <row r="21052" spans="1:5" x14ac:dyDescent="0.2">
      <c r="A21052">
        <v>12723</v>
      </c>
      <c r="B21052" t="s">
        <v>40</v>
      </c>
      <c r="C21052">
        <v>12723</v>
      </c>
      <c r="D21052" t="str">
        <f>"12723"</f>
        <v>12723</v>
      </c>
      <c r="E21052">
        <v>75.680000000000007</v>
      </c>
    </row>
    <row r="21053" spans="1:5" x14ac:dyDescent="0.2">
      <c r="A21053">
        <v>12724</v>
      </c>
      <c r="B21053" t="s">
        <v>40</v>
      </c>
      <c r="C21053">
        <v>12724</v>
      </c>
      <c r="D21053" t="str">
        <f>"12724"</f>
        <v>12724</v>
      </c>
      <c r="E21053" t="s">
        <v>6</v>
      </c>
    </row>
    <row r="21054" spans="1:5" x14ac:dyDescent="0.2">
      <c r="A21054">
        <v>12725</v>
      </c>
      <c r="B21054" t="s">
        <v>40</v>
      </c>
      <c r="C21054">
        <v>12725</v>
      </c>
      <c r="D21054" t="str">
        <f>"12725"</f>
        <v>12725</v>
      </c>
      <c r="E21054">
        <v>78.569999999999993</v>
      </c>
    </row>
    <row r="21055" spans="1:5" x14ac:dyDescent="0.2">
      <c r="A21055">
        <v>12726</v>
      </c>
      <c r="B21055" t="s">
        <v>40</v>
      </c>
      <c r="C21055">
        <v>12726</v>
      </c>
      <c r="D21055" t="str">
        <f>"12726"</f>
        <v>12726</v>
      </c>
      <c r="E21055">
        <v>79.17</v>
      </c>
    </row>
    <row r="21056" spans="1:5" x14ac:dyDescent="0.2">
      <c r="A21056">
        <v>12729</v>
      </c>
      <c r="B21056" t="s">
        <v>40</v>
      </c>
      <c r="C21056">
        <v>12729</v>
      </c>
      <c r="D21056" t="str">
        <f>"12729"</f>
        <v>12729</v>
      </c>
      <c r="E21056">
        <v>70.510000000000005</v>
      </c>
    </row>
    <row r="21057" spans="1:5" x14ac:dyDescent="0.2">
      <c r="A21057">
        <v>12732</v>
      </c>
      <c r="B21057" t="s">
        <v>40</v>
      </c>
      <c r="C21057">
        <v>12732</v>
      </c>
      <c r="D21057" t="str">
        <f>"12732"</f>
        <v>12732</v>
      </c>
      <c r="E21057">
        <v>73.680000000000007</v>
      </c>
    </row>
    <row r="21058" spans="1:5" x14ac:dyDescent="0.2">
      <c r="A21058">
        <v>12733</v>
      </c>
      <c r="B21058" t="s">
        <v>40</v>
      </c>
      <c r="C21058">
        <v>12733</v>
      </c>
      <c r="D21058" t="str">
        <f>"12733"</f>
        <v>12733</v>
      </c>
      <c r="E21058">
        <v>40</v>
      </c>
    </row>
    <row r="21059" spans="1:5" x14ac:dyDescent="0.2">
      <c r="A21059">
        <v>12734</v>
      </c>
      <c r="B21059" t="s">
        <v>40</v>
      </c>
      <c r="C21059">
        <v>12734</v>
      </c>
      <c r="D21059" t="str">
        <f>"12734"</f>
        <v>12734</v>
      </c>
      <c r="E21059">
        <v>67.86</v>
      </c>
    </row>
    <row r="21060" spans="1:5" x14ac:dyDescent="0.2">
      <c r="A21060">
        <v>12736</v>
      </c>
      <c r="B21060" t="s">
        <v>40</v>
      </c>
      <c r="C21060">
        <v>12736</v>
      </c>
      <c r="D21060" t="str">
        <f>"12736"</f>
        <v>12736</v>
      </c>
      <c r="E21060" t="s">
        <v>6</v>
      </c>
    </row>
    <row r="21061" spans="1:5" x14ac:dyDescent="0.2">
      <c r="A21061">
        <v>12737</v>
      </c>
      <c r="B21061" t="s">
        <v>40</v>
      </c>
      <c r="C21061">
        <v>12737</v>
      </c>
      <c r="D21061" t="str">
        <f>"12737"</f>
        <v>12737</v>
      </c>
      <c r="E21061">
        <v>75</v>
      </c>
    </row>
    <row r="21062" spans="1:5" x14ac:dyDescent="0.2">
      <c r="A21062">
        <v>12738</v>
      </c>
      <c r="B21062" t="s">
        <v>40</v>
      </c>
      <c r="C21062">
        <v>12738</v>
      </c>
      <c r="D21062" t="str">
        <f>"12738"</f>
        <v>12738</v>
      </c>
      <c r="E21062">
        <v>75</v>
      </c>
    </row>
    <row r="21063" spans="1:5" x14ac:dyDescent="0.2">
      <c r="A21063">
        <v>12740</v>
      </c>
      <c r="B21063" t="s">
        <v>40</v>
      </c>
      <c r="C21063">
        <v>12740</v>
      </c>
      <c r="D21063" t="str">
        <f>"12740"</f>
        <v>12740</v>
      </c>
      <c r="E21063">
        <v>77.53</v>
      </c>
    </row>
    <row r="21064" spans="1:5" x14ac:dyDescent="0.2">
      <c r="A21064">
        <v>12741</v>
      </c>
      <c r="B21064" t="s">
        <v>40</v>
      </c>
      <c r="C21064">
        <v>12741</v>
      </c>
      <c r="D21064" t="str">
        <f>"12741"</f>
        <v>12741</v>
      </c>
      <c r="E21064">
        <v>66.67</v>
      </c>
    </row>
    <row r="21065" spans="1:5" x14ac:dyDescent="0.2">
      <c r="A21065">
        <v>12742</v>
      </c>
      <c r="B21065" t="s">
        <v>40</v>
      </c>
      <c r="C21065">
        <v>12742</v>
      </c>
      <c r="D21065" t="str">
        <f>"12742"</f>
        <v>12742</v>
      </c>
      <c r="E21065">
        <v>72.22</v>
      </c>
    </row>
    <row r="21066" spans="1:5" x14ac:dyDescent="0.2">
      <c r="A21066">
        <v>12743</v>
      </c>
      <c r="B21066" t="s">
        <v>40</v>
      </c>
      <c r="C21066">
        <v>12743</v>
      </c>
      <c r="D21066" t="str">
        <f>"12743"</f>
        <v>12743</v>
      </c>
      <c r="E21066">
        <v>69.23</v>
      </c>
    </row>
    <row r="21067" spans="1:5" x14ac:dyDescent="0.2">
      <c r="A21067">
        <v>12745</v>
      </c>
      <c r="B21067" t="s">
        <v>40</v>
      </c>
      <c r="C21067">
        <v>12745</v>
      </c>
      <c r="D21067" t="str">
        <f>"12745"</f>
        <v>12745</v>
      </c>
      <c r="E21067">
        <v>80</v>
      </c>
    </row>
    <row r="21068" spans="1:5" x14ac:dyDescent="0.2">
      <c r="A21068">
        <v>12746</v>
      </c>
      <c r="B21068" t="s">
        <v>40</v>
      </c>
      <c r="C21068">
        <v>12746</v>
      </c>
      <c r="D21068" t="str">
        <f>"12746"</f>
        <v>12746</v>
      </c>
      <c r="E21068">
        <v>71.930000000000007</v>
      </c>
    </row>
    <row r="21069" spans="1:5" x14ac:dyDescent="0.2">
      <c r="A21069">
        <v>12747</v>
      </c>
      <c r="B21069" t="s">
        <v>40</v>
      </c>
      <c r="C21069">
        <v>12747</v>
      </c>
      <c r="D21069" t="str">
        <f>"12747"</f>
        <v>12747</v>
      </c>
      <c r="E21069">
        <v>72.37</v>
      </c>
    </row>
    <row r="21070" spans="1:5" x14ac:dyDescent="0.2">
      <c r="A21070">
        <v>12748</v>
      </c>
      <c r="B21070" t="s">
        <v>40</v>
      </c>
      <c r="C21070">
        <v>12748</v>
      </c>
      <c r="D21070" t="str">
        <f>"12748"</f>
        <v>12748</v>
      </c>
      <c r="E21070">
        <v>75.27</v>
      </c>
    </row>
    <row r="21071" spans="1:5" x14ac:dyDescent="0.2">
      <c r="A21071">
        <v>12749</v>
      </c>
      <c r="B21071" t="s">
        <v>40</v>
      </c>
      <c r="C21071">
        <v>12749</v>
      </c>
      <c r="D21071" t="str">
        <f>"12749"</f>
        <v>12749</v>
      </c>
      <c r="E21071" t="s">
        <v>6</v>
      </c>
    </row>
    <row r="21072" spans="1:5" x14ac:dyDescent="0.2">
      <c r="A21072">
        <v>12750</v>
      </c>
      <c r="B21072" t="s">
        <v>40</v>
      </c>
      <c r="C21072">
        <v>12750</v>
      </c>
      <c r="D21072" t="str">
        <f>"12750"</f>
        <v>12750</v>
      </c>
      <c r="E21072" t="s">
        <v>6</v>
      </c>
    </row>
    <row r="21073" spans="1:5" x14ac:dyDescent="0.2">
      <c r="A21073">
        <v>12751</v>
      </c>
      <c r="B21073" t="s">
        <v>40</v>
      </c>
      <c r="C21073">
        <v>12751</v>
      </c>
      <c r="D21073" t="str">
        <f>"12751"</f>
        <v>12751</v>
      </c>
      <c r="E21073">
        <v>58.14</v>
      </c>
    </row>
    <row r="21074" spans="1:5" x14ac:dyDescent="0.2">
      <c r="A21074">
        <v>12752</v>
      </c>
      <c r="B21074" t="s">
        <v>40</v>
      </c>
      <c r="C21074">
        <v>12752</v>
      </c>
      <c r="D21074" t="str">
        <f>"12752"</f>
        <v>12752</v>
      </c>
      <c r="E21074">
        <v>73.33</v>
      </c>
    </row>
    <row r="21075" spans="1:5" x14ac:dyDescent="0.2">
      <c r="A21075">
        <v>12754</v>
      </c>
      <c r="B21075" t="s">
        <v>40</v>
      </c>
      <c r="C21075">
        <v>12754</v>
      </c>
      <c r="D21075" t="str">
        <f>"12754"</f>
        <v>12754</v>
      </c>
      <c r="E21075">
        <v>64.98</v>
      </c>
    </row>
    <row r="21076" spans="1:5" x14ac:dyDescent="0.2">
      <c r="A21076">
        <v>12758</v>
      </c>
      <c r="B21076" t="s">
        <v>40</v>
      </c>
      <c r="C21076">
        <v>12758</v>
      </c>
      <c r="D21076" t="str">
        <f>"12758"</f>
        <v>12758</v>
      </c>
      <c r="E21076">
        <v>70</v>
      </c>
    </row>
    <row r="21077" spans="1:5" x14ac:dyDescent="0.2">
      <c r="A21077">
        <v>12759</v>
      </c>
      <c r="B21077" t="s">
        <v>40</v>
      </c>
      <c r="C21077">
        <v>12759</v>
      </c>
      <c r="D21077" t="str">
        <f>"12759"</f>
        <v>12759</v>
      </c>
      <c r="E21077">
        <v>52.94</v>
      </c>
    </row>
    <row r="21078" spans="1:5" x14ac:dyDescent="0.2">
      <c r="A21078">
        <v>12760</v>
      </c>
      <c r="B21078" t="s">
        <v>40</v>
      </c>
      <c r="C21078">
        <v>12760</v>
      </c>
      <c r="D21078" t="str">
        <f>"12760"</f>
        <v>12760</v>
      </c>
      <c r="E21078">
        <v>61.9</v>
      </c>
    </row>
    <row r="21079" spans="1:5" x14ac:dyDescent="0.2">
      <c r="A21079">
        <v>12762</v>
      </c>
      <c r="B21079" t="s">
        <v>40</v>
      </c>
      <c r="C21079">
        <v>12762</v>
      </c>
      <c r="D21079" t="str">
        <f>"12762"</f>
        <v>12762</v>
      </c>
      <c r="E21079">
        <v>73.08</v>
      </c>
    </row>
    <row r="21080" spans="1:5" x14ac:dyDescent="0.2">
      <c r="A21080">
        <v>12763</v>
      </c>
      <c r="B21080" t="s">
        <v>40</v>
      </c>
      <c r="C21080">
        <v>12763</v>
      </c>
      <c r="D21080" t="str">
        <f>"12763"</f>
        <v>12763</v>
      </c>
      <c r="E21080">
        <v>72.22</v>
      </c>
    </row>
    <row r="21081" spans="1:5" x14ac:dyDescent="0.2">
      <c r="A21081">
        <v>12764</v>
      </c>
      <c r="B21081" t="s">
        <v>40</v>
      </c>
      <c r="C21081">
        <v>12764</v>
      </c>
      <c r="D21081" t="str">
        <f>"12764"</f>
        <v>12764</v>
      </c>
      <c r="E21081">
        <v>73.680000000000007</v>
      </c>
    </row>
    <row r="21082" spans="1:5" x14ac:dyDescent="0.2">
      <c r="A21082">
        <v>12765</v>
      </c>
      <c r="B21082" t="s">
        <v>40</v>
      </c>
      <c r="C21082">
        <v>12765</v>
      </c>
      <c r="D21082" t="str">
        <f>"12765"</f>
        <v>12765</v>
      </c>
      <c r="E21082">
        <v>80.95</v>
      </c>
    </row>
    <row r="21083" spans="1:5" x14ac:dyDescent="0.2">
      <c r="A21083">
        <v>12766</v>
      </c>
      <c r="B21083" t="s">
        <v>40</v>
      </c>
      <c r="C21083">
        <v>12766</v>
      </c>
      <c r="D21083" t="str">
        <f>"12766"</f>
        <v>12766</v>
      </c>
      <c r="E21083">
        <v>70.59</v>
      </c>
    </row>
    <row r="21084" spans="1:5" x14ac:dyDescent="0.2">
      <c r="A21084">
        <v>12767</v>
      </c>
      <c r="B21084" t="s">
        <v>40</v>
      </c>
      <c r="C21084">
        <v>12767</v>
      </c>
      <c r="D21084" t="str">
        <f>"12767"</f>
        <v>12767</v>
      </c>
      <c r="E21084" t="s">
        <v>6</v>
      </c>
    </row>
    <row r="21085" spans="1:5" x14ac:dyDescent="0.2">
      <c r="A21085">
        <v>12768</v>
      </c>
      <c r="B21085" t="s">
        <v>40</v>
      </c>
      <c r="C21085">
        <v>12768</v>
      </c>
      <c r="D21085" t="str">
        <f>"12768"</f>
        <v>12768</v>
      </c>
      <c r="E21085">
        <v>75</v>
      </c>
    </row>
    <row r="21086" spans="1:5" x14ac:dyDescent="0.2">
      <c r="A21086">
        <v>12769</v>
      </c>
      <c r="B21086" t="s">
        <v>40</v>
      </c>
      <c r="C21086">
        <v>12769</v>
      </c>
      <c r="D21086" t="str">
        <f>"12769"</f>
        <v>12769</v>
      </c>
      <c r="E21086" t="s">
        <v>6</v>
      </c>
    </row>
    <row r="21087" spans="1:5" x14ac:dyDescent="0.2">
      <c r="A21087">
        <v>12770</v>
      </c>
      <c r="B21087" t="s">
        <v>40</v>
      </c>
      <c r="C21087">
        <v>12770</v>
      </c>
      <c r="D21087" t="str">
        <f>"12770"</f>
        <v>12770</v>
      </c>
      <c r="E21087" t="s">
        <v>6</v>
      </c>
    </row>
    <row r="21088" spans="1:5" x14ac:dyDescent="0.2">
      <c r="A21088">
        <v>12771</v>
      </c>
      <c r="B21088" t="s">
        <v>40</v>
      </c>
      <c r="C21088">
        <v>12771</v>
      </c>
      <c r="D21088" t="str">
        <f>"12771"</f>
        <v>12771</v>
      </c>
      <c r="E21088">
        <v>70.739999999999995</v>
      </c>
    </row>
    <row r="21089" spans="1:5" x14ac:dyDescent="0.2">
      <c r="A21089">
        <v>12775</v>
      </c>
      <c r="B21089" t="s">
        <v>40</v>
      </c>
      <c r="C21089">
        <v>12775</v>
      </c>
      <c r="D21089" t="str">
        <f>"12775"</f>
        <v>12775</v>
      </c>
      <c r="E21089">
        <v>77.27</v>
      </c>
    </row>
    <row r="21090" spans="1:5" x14ac:dyDescent="0.2">
      <c r="A21090">
        <v>12776</v>
      </c>
      <c r="B21090" t="s">
        <v>40</v>
      </c>
      <c r="C21090">
        <v>12776</v>
      </c>
      <c r="D21090" t="str">
        <f>"12776"</f>
        <v>12776</v>
      </c>
      <c r="E21090">
        <v>71.430000000000007</v>
      </c>
    </row>
    <row r="21091" spans="1:5" x14ac:dyDescent="0.2">
      <c r="A21091">
        <v>12777</v>
      </c>
      <c r="B21091" t="s">
        <v>40</v>
      </c>
      <c r="C21091">
        <v>12777</v>
      </c>
      <c r="D21091" t="str">
        <f>"12777"</f>
        <v>12777</v>
      </c>
      <c r="E21091">
        <v>80.56</v>
      </c>
    </row>
    <row r="21092" spans="1:5" x14ac:dyDescent="0.2">
      <c r="A21092">
        <v>12778</v>
      </c>
      <c r="B21092" t="s">
        <v>40</v>
      </c>
      <c r="C21092">
        <v>12778</v>
      </c>
      <c r="D21092" t="str">
        <f>"12778"</f>
        <v>12778</v>
      </c>
      <c r="E21092" t="s">
        <v>6</v>
      </c>
    </row>
    <row r="21093" spans="1:5" x14ac:dyDescent="0.2">
      <c r="A21093">
        <v>12779</v>
      </c>
      <c r="B21093" t="s">
        <v>40</v>
      </c>
      <c r="C21093">
        <v>12779</v>
      </c>
      <c r="D21093" t="str">
        <f>"12779"</f>
        <v>12779</v>
      </c>
      <c r="E21093">
        <v>59.6</v>
      </c>
    </row>
    <row r="21094" spans="1:5" x14ac:dyDescent="0.2">
      <c r="A21094">
        <v>12780</v>
      </c>
      <c r="B21094" t="s">
        <v>40</v>
      </c>
      <c r="C21094">
        <v>12780</v>
      </c>
      <c r="D21094" t="str">
        <f>"12780"</f>
        <v>12780</v>
      </c>
      <c r="E21094">
        <v>72.97</v>
      </c>
    </row>
    <row r="21095" spans="1:5" x14ac:dyDescent="0.2">
      <c r="A21095">
        <v>12783</v>
      </c>
      <c r="B21095" t="s">
        <v>40</v>
      </c>
      <c r="C21095">
        <v>12783</v>
      </c>
      <c r="D21095" t="str">
        <f>"12783"</f>
        <v>12783</v>
      </c>
      <c r="E21095">
        <v>68.33</v>
      </c>
    </row>
    <row r="21096" spans="1:5" x14ac:dyDescent="0.2">
      <c r="A21096">
        <v>12785</v>
      </c>
      <c r="B21096" t="s">
        <v>40</v>
      </c>
      <c r="C21096">
        <v>12785</v>
      </c>
      <c r="D21096" t="str">
        <f>"12785"</f>
        <v>12785</v>
      </c>
      <c r="E21096" t="s">
        <v>6</v>
      </c>
    </row>
    <row r="21097" spans="1:5" x14ac:dyDescent="0.2">
      <c r="A21097">
        <v>12786</v>
      </c>
      <c r="B21097" t="s">
        <v>40</v>
      </c>
      <c r="C21097">
        <v>12786</v>
      </c>
      <c r="D21097" t="str">
        <f>"12786"</f>
        <v>12786</v>
      </c>
      <c r="E21097">
        <v>66.67</v>
      </c>
    </row>
    <row r="21098" spans="1:5" x14ac:dyDescent="0.2">
      <c r="A21098">
        <v>12787</v>
      </c>
      <c r="B21098" t="s">
        <v>40</v>
      </c>
      <c r="C21098">
        <v>12787</v>
      </c>
      <c r="D21098" t="str">
        <f>"12787"</f>
        <v>12787</v>
      </c>
      <c r="E21098">
        <v>72.73</v>
      </c>
    </row>
    <row r="21099" spans="1:5" x14ac:dyDescent="0.2">
      <c r="A21099">
        <v>12788</v>
      </c>
      <c r="B21099" t="s">
        <v>40</v>
      </c>
      <c r="C21099">
        <v>12788</v>
      </c>
      <c r="D21099" t="str">
        <f>"12788"</f>
        <v>12788</v>
      </c>
      <c r="E21099">
        <v>69.069999999999993</v>
      </c>
    </row>
    <row r="21100" spans="1:5" x14ac:dyDescent="0.2">
      <c r="A21100">
        <v>12789</v>
      </c>
      <c r="B21100" t="s">
        <v>40</v>
      </c>
      <c r="C21100">
        <v>12789</v>
      </c>
      <c r="D21100" t="str">
        <f>"12789"</f>
        <v>12789</v>
      </c>
      <c r="E21100">
        <v>66.23</v>
      </c>
    </row>
    <row r="21101" spans="1:5" x14ac:dyDescent="0.2">
      <c r="A21101">
        <v>12790</v>
      </c>
      <c r="B21101" t="s">
        <v>40</v>
      </c>
      <c r="C21101">
        <v>12790</v>
      </c>
      <c r="D21101" t="str">
        <f>"12790"</f>
        <v>12790</v>
      </c>
      <c r="E21101">
        <v>75.56</v>
      </c>
    </row>
    <row r="21102" spans="1:5" x14ac:dyDescent="0.2">
      <c r="A21102">
        <v>12791</v>
      </c>
      <c r="B21102" t="s">
        <v>40</v>
      </c>
      <c r="C21102">
        <v>12791</v>
      </c>
      <c r="D21102" t="str">
        <f>"12791"</f>
        <v>12791</v>
      </c>
      <c r="E21102">
        <v>69.7</v>
      </c>
    </row>
    <row r="21103" spans="1:5" x14ac:dyDescent="0.2">
      <c r="A21103">
        <v>12792</v>
      </c>
      <c r="B21103" t="s">
        <v>40</v>
      </c>
      <c r="C21103">
        <v>12792</v>
      </c>
      <c r="D21103" t="str">
        <f>"12792"</f>
        <v>12792</v>
      </c>
      <c r="E21103">
        <v>80.95</v>
      </c>
    </row>
    <row r="21104" spans="1:5" x14ac:dyDescent="0.2">
      <c r="A21104">
        <v>12801</v>
      </c>
      <c r="B21104" t="s">
        <v>40</v>
      </c>
      <c r="C21104">
        <v>12801</v>
      </c>
      <c r="D21104" t="str">
        <f>"12801"</f>
        <v>12801</v>
      </c>
      <c r="E21104">
        <v>74.11</v>
      </c>
    </row>
    <row r="21105" spans="1:5" x14ac:dyDescent="0.2">
      <c r="A21105">
        <v>12803</v>
      </c>
      <c r="B21105" t="s">
        <v>40</v>
      </c>
      <c r="C21105">
        <v>12803</v>
      </c>
      <c r="D21105" t="str">
        <f>"12803"</f>
        <v>12803</v>
      </c>
      <c r="E21105">
        <v>76.02</v>
      </c>
    </row>
    <row r="21106" spans="1:5" x14ac:dyDescent="0.2">
      <c r="A21106">
        <v>12804</v>
      </c>
      <c r="B21106" t="s">
        <v>40</v>
      </c>
      <c r="C21106">
        <v>12804</v>
      </c>
      <c r="D21106" t="str">
        <f>"12804"</f>
        <v>12804</v>
      </c>
      <c r="E21106">
        <v>76.349999999999994</v>
      </c>
    </row>
    <row r="21107" spans="1:5" x14ac:dyDescent="0.2">
      <c r="A21107">
        <v>12808</v>
      </c>
      <c r="B21107" t="s">
        <v>40</v>
      </c>
      <c r="C21107">
        <v>12808</v>
      </c>
      <c r="D21107" t="str">
        <f>"12808"</f>
        <v>12808</v>
      </c>
      <c r="E21107">
        <v>72.22</v>
      </c>
    </row>
    <row r="21108" spans="1:5" x14ac:dyDescent="0.2">
      <c r="A21108">
        <v>12809</v>
      </c>
      <c r="B21108" t="s">
        <v>40</v>
      </c>
      <c r="C21108">
        <v>12809</v>
      </c>
      <c r="D21108" t="str">
        <f>"12809"</f>
        <v>12809</v>
      </c>
      <c r="E21108">
        <v>74.849999999999994</v>
      </c>
    </row>
    <row r="21109" spans="1:5" x14ac:dyDescent="0.2">
      <c r="A21109">
        <v>12810</v>
      </c>
      <c r="B21109" t="s">
        <v>40</v>
      </c>
      <c r="C21109">
        <v>12810</v>
      </c>
      <c r="D21109" t="str">
        <f>"12810"</f>
        <v>12810</v>
      </c>
      <c r="E21109">
        <v>72.41</v>
      </c>
    </row>
    <row r="21110" spans="1:5" x14ac:dyDescent="0.2">
      <c r="A21110">
        <v>12811</v>
      </c>
      <c r="B21110" t="s">
        <v>40</v>
      </c>
      <c r="C21110">
        <v>12811</v>
      </c>
      <c r="D21110" t="str">
        <f>"12811"</f>
        <v>12811</v>
      </c>
      <c r="E21110" t="s">
        <v>6</v>
      </c>
    </row>
    <row r="21111" spans="1:5" x14ac:dyDescent="0.2">
      <c r="A21111">
        <v>12812</v>
      </c>
      <c r="B21111" t="s">
        <v>40</v>
      </c>
      <c r="C21111">
        <v>12812</v>
      </c>
      <c r="D21111" t="str">
        <f>"12812"</f>
        <v>12812</v>
      </c>
      <c r="E21111" t="s">
        <v>6</v>
      </c>
    </row>
    <row r="21112" spans="1:5" x14ac:dyDescent="0.2">
      <c r="A21112">
        <v>12814</v>
      </c>
      <c r="B21112" t="s">
        <v>40</v>
      </c>
      <c r="C21112">
        <v>12814</v>
      </c>
      <c r="D21112" t="str">
        <f>"12814"</f>
        <v>12814</v>
      </c>
      <c r="E21112">
        <v>73.33</v>
      </c>
    </row>
    <row r="21113" spans="1:5" x14ac:dyDescent="0.2">
      <c r="A21113">
        <v>12815</v>
      </c>
      <c r="B21113" t="s">
        <v>40</v>
      </c>
      <c r="C21113">
        <v>12815</v>
      </c>
      <c r="D21113" t="str">
        <f>"12815"</f>
        <v>12815</v>
      </c>
      <c r="E21113">
        <v>73.08</v>
      </c>
    </row>
    <row r="21114" spans="1:5" x14ac:dyDescent="0.2">
      <c r="A21114">
        <v>12816</v>
      </c>
      <c r="B21114" t="s">
        <v>40</v>
      </c>
      <c r="C21114">
        <v>12816</v>
      </c>
      <c r="D21114" t="str">
        <f>"12816"</f>
        <v>12816</v>
      </c>
      <c r="E21114">
        <v>72.12</v>
      </c>
    </row>
    <row r="21115" spans="1:5" x14ac:dyDescent="0.2">
      <c r="A21115">
        <v>12817</v>
      </c>
      <c r="B21115" t="s">
        <v>40</v>
      </c>
      <c r="C21115">
        <v>12817</v>
      </c>
      <c r="D21115" t="str">
        <f>"12817"</f>
        <v>12817</v>
      </c>
      <c r="E21115">
        <v>74.36</v>
      </c>
    </row>
    <row r="21116" spans="1:5" x14ac:dyDescent="0.2">
      <c r="A21116">
        <v>12819</v>
      </c>
      <c r="B21116" t="s">
        <v>40</v>
      </c>
      <c r="C21116">
        <v>12819</v>
      </c>
      <c r="D21116" t="str">
        <f>"12819"</f>
        <v>12819</v>
      </c>
      <c r="E21116">
        <v>69.23</v>
      </c>
    </row>
    <row r="21117" spans="1:5" x14ac:dyDescent="0.2">
      <c r="A21117">
        <v>12821</v>
      </c>
      <c r="B21117" t="s">
        <v>40</v>
      </c>
      <c r="C21117">
        <v>12821</v>
      </c>
      <c r="D21117" t="str">
        <f>"12821"</f>
        <v>12821</v>
      </c>
      <c r="E21117">
        <v>78.569999999999993</v>
      </c>
    </row>
    <row r="21118" spans="1:5" x14ac:dyDescent="0.2">
      <c r="A21118">
        <v>12822</v>
      </c>
      <c r="B21118" t="s">
        <v>40</v>
      </c>
      <c r="C21118">
        <v>12822</v>
      </c>
      <c r="D21118" t="str">
        <f>"12822"</f>
        <v>12822</v>
      </c>
      <c r="E21118">
        <v>71.97</v>
      </c>
    </row>
    <row r="21119" spans="1:5" x14ac:dyDescent="0.2">
      <c r="A21119">
        <v>12823</v>
      </c>
      <c r="B21119" t="s">
        <v>40</v>
      </c>
      <c r="C21119">
        <v>12823</v>
      </c>
      <c r="D21119" t="str">
        <f>"12823"</f>
        <v>12823</v>
      </c>
      <c r="E21119">
        <v>68.75</v>
      </c>
    </row>
    <row r="21120" spans="1:5" x14ac:dyDescent="0.2">
      <c r="A21120">
        <v>12824</v>
      </c>
      <c r="B21120" t="s">
        <v>40</v>
      </c>
      <c r="C21120">
        <v>12824</v>
      </c>
      <c r="D21120" t="str">
        <f>"12824"</f>
        <v>12824</v>
      </c>
      <c r="E21120">
        <v>75</v>
      </c>
    </row>
    <row r="21121" spans="1:5" x14ac:dyDescent="0.2">
      <c r="A21121">
        <v>12827</v>
      </c>
      <c r="B21121" t="s">
        <v>40</v>
      </c>
      <c r="C21121">
        <v>12827</v>
      </c>
      <c r="D21121" t="str">
        <f>"12827"</f>
        <v>12827</v>
      </c>
      <c r="E21121">
        <v>76.19</v>
      </c>
    </row>
    <row r="21122" spans="1:5" x14ac:dyDescent="0.2">
      <c r="A21122">
        <v>12828</v>
      </c>
      <c r="B21122" t="s">
        <v>40</v>
      </c>
      <c r="C21122">
        <v>12828</v>
      </c>
      <c r="D21122" t="str">
        <f>"12828"</f>
        <v>12828</v>
      </c>
      <c r="E21122">
        <v>74.790000000000006</v>
      </c>
    </row>
    <row r="21123" spans="1:5" x14ac:dyDescent="0.2">
      <c r="A21123">
        <v>12831</v>
      </c>
      <c r="B21123" t="s">
        <v>40</v>
      </c>
      <c r="C21123">
        <v>12831</v>
      </c>
      <c r="D21123" t="str">
        <f>"12831"</f>
        <v>12831</v>
      </c>
      <c r="E21123">
        <v>79.430000000000007</v>
      </c>
    </row>
    <row r="21124" spans="1:5" x14ac:dyDescent="0.2">
      <c r="A21124">
        <v>12832</v>
      </c>
      <c r="B21124" t="s">
        <v>40</v>
      </c>
      <c r="C21124">
        <v>12832</v>
      </c>
      <c r="D21124" t="str">
        <f>"12832"</f>
        <v>12832</v>
      </c>
      <c r="E21124">
        <v>70.319999999999993</v>
      </c>
    </row>
    <row r="21125" spans="1:5" x14ac:dyDescent="0.2">
      <c r="A21125">
        <v>12833</v>
      </c>
      <c r="B21125" t="s">
        <v>40</v>
      </c>
      <c r="C21125">
        <v>12833</v>
      </c>
      <c r="D21125" t="str">
        <f>"12833"</f>
        <v>12833</v>
      </c>
      <c r="E21125">
        <v>77.73</v>
      </c>
    </row>
    <row r="21126" spans="1:5" x14ac:dyDescent="0.2">
      <c r="A21126">
        <v>12834</v>
      </c>
      <c r="B21126" t="s">
        <v>40</v>
      </c>
      <c r="C21126">
        <v>12834</v>
      </c>
      <c r="D21126" t="str">
        <f>"12834"</f>
        <v>12834</v>
      </c>
      <c r="E21126">
        <v>75.61</v>
      </c>
    </row>
    <row r="21127" spans="1:5" x14ac:dyDescent="0.2">
      <c r="A21127">
        <v>12835</v>
      </c>
      <c r="B21127" t="s">
        <v>40</v>
      </c>
      <c r="C21127">
        <v>12835</v>
      </c>
      <c r="D21127" t="str">
        <f>"12835"</f>
        <v>12835</v>
      </c>
      <c r="E21127">
        <v>74.05</v>
      </c>
    </row>
    <row r="21128" spans="1:5" x14ac:dyDescent="0.2">
      <c r="A21128">
        <v>12836</v>
      </c>
      <c r="B21128" t="s">
        <v>40</v>
      </c>
      <c r="C21128">
        <v>12836</v>
      </c>
      <c r="D21128" t="str">
        <f>"12836"</f>
        <v>12836</v>
      </c>
      <c r="E21128">
        <v>68.97</v>
      </c>
    </row>
    <row r="21129" spans="1:5" x14ac:dyDescent="0.2">
      <c r="A21129">
        <v>12837</v>
      </c>
      <c r="B21129" t="s">
        <v>40</v>
      </c>
      <c r="C21129">
        <v>12837</v>
      </c>
      <c r="D21129" t="str">
        <f>"12837"</f>
        <v>12837</v>
      </c>
      <c r="E21129">
        <v>75.680000000000007</v>
      </c>
    </row>
    <row r="21130" spans="1:5" x14ac:dyDescent="0.2">
      <c r="A21130">
        <v>12838</v>
      </c>
      <c r="B21130" t="s">
        <v>40</v>
      </c>
      <c r="C21130">
        <v>12838</v>
      </c>
      <c r="D21130" t="str">
        <f>"12838"</f>
        <v>12838</v>
      </c>
      <c r="E21130">
        <v>74.290000000000006</v>
      </c>
    </row>
    <row r="21131" spans="1:5" x14ac:dyDescent="0.2">
      <c r="A21131">
        <v>12839</v>
      </c>
      <c r="B21131" t="s">
        <v>40</v>
      </c>
      <c r="C21131">
        <v>12839</v>
      </c>
      <c r="D21131" t="str">
        <f>"12839"</f>
        <v>12839</v>
      </c>
      <c r="E21131">
        <v>71.319999999999993</v>
      </c>
    </row>
    <row r="21132" spans="1:5" x14ac:dyDescent="0.2">
      <c r="A21132">
        <v>12841</v>
      </c>
      <c r="B21132" t="s">
        <v>40</v>
      </c>
      <c r="C21132">
        <v>12841</v>
      </c>
      <c r="D21132" t="str">
        <f>"12841"</f>
        <v>12841</v>
      </c>
      <c r="E21132" t="s">
        <v>6</v>
      </c>
    </row>
    <row r="21133" spans="1:5" x14ac:dyDescent="0.2">
      <c r="A21133">
        <v>12842</v>
      </c>
      <c r="B21133" t="s">
        <v>40</v>
      </c>
      <c r="C21133">
        <v>12842</v>
      </c>
      <c r="D21133" t="str">
        <f>"12842"</f>
        <v>12842</v>
      </c>
      <c r="E21133">
        <v>78.69</v>
      </c>
    </row>
    <row r="21134" spans="1:5" x14ac:dyDescent="0.2">
      <c r="A21134">
        <v>12843</v>
      </c>
      <c r="B21134" t="s">
        <v>40</v>
      </c>
      <c r="C21134">
        <v>12843</v>
      </c>
      <c r="D21134" t="str">
        <f>"12843"</f>
        <v>12843</v>
      </c>
      <c r="E21134">
        <v>66.67</v>
      </c>
    </row>
    <row r="21135" spans="1:5" x14ac:dyDescent="0.2">
      <c r="A21135">
        <v>12844</v>
      </c>
      <c r="B21135" t="s">
        <v>40</v>
      </c>
      <c r="C21135">
        <v>12844</v>
      </c>
      <c r="D21135" t="str">
        <f>"12844"</f>
        <v>12844</v>
      </c>
      <c r="E21135">
        <v>71.430000000000007</v>
      </c>
    </row>
    <row r="21136" spans="1:5" x14ac:dyDescent="0.2">
      <c r="A21136">
        <v>12845</v>
      </c>
      <c r="B21136" t="s">
        <v>40</v>
      </c>
      <c r="C21136">
        <v>12845</v>
      </c>
      <c r="D21136" t="str">
        <f>"12845"</f>
        <v>12845</v>
      </c>
      <c r="E21136">
        <v>72.56</v>
      </c>
    </row>
    <row r="21137" spans="1:5" x14ac:dyDescent="0.2">
      <c r="A21137">
        <v>12846</v>
      </c>
      <c r="B21137" t="s">
        <v>40</v>
      </c>
      <c r="C21137">
        <v>12846</v>
      </c>
      <c r="D21137" t="str">
        <f>"12846"</f>
        <v>12846</v>
      </c>
      <c r="E21137">
        <v>73.459999999999994</v>
      </c>
    </row>
    <row r="21138" spans="1:5" x14ac:dyDescent="0.2">
      <c r="A21138">
        <v>12847</v>
      </c>
      <c r="B21138" t="s">
        <v>40</v>
      </c>
      <c r="C21138">
        <v>12847</v>
      </c>
      <c r="D21138" t="str">
        <f>"12847"</f>
        <v>12847</v>
      </c>
      <c r="E21138">
        <v>77.14</v>
      </c>
    </row>
    <row r="21139" spans="1:5" x14ac:dyDescent="0.2">
      <c r="A21139">
        <v>12849</v>
      </c>
      <c r="B21139" t="s">
        <v>40</v>
      </c>
      <c r="C21139">
        <v>12849</v>
      </c>
      <c r="D21139" t="str">
        <f>"12849"</f>
        <v>12849</v>
      </c>
      <c r="E21139">
        <v>76.67</v>
      </c>
    </row>
    <row r="21140" spans="1:5" x14ac:dyDescent="0.2">
      <c r="A21140">
        <v>12850</v>
      </c>
      <c r="B21140" t="s">
        <v>40</v>
      </c>
      <c r="C21140">
        <v>12850</v>
      </c>
      <c r="D21140" t="str">
        <f>"12850"</f>
        <v>12850</v>
      </c>
      <c r="E21140">
        <v>78.17</v>
      </c>
    </row>
    <row r="21141" spans="1:5" x14ac:dyDescent="0.2">
      <c r="A21141">
        <v>12851</v>
      </c>
      <c r="B21141" t="s">
        <v>40</v>
      </c>
      <c r="C21141">
        <v>12851</v>
      </c>
      <c r="D21141" t="str">
        <f>"12851"</f>
        <v>12851</v>
      </c>
      <c r="E21141">
        <v>73.33</v>
      </c>
    </row>
    <row r="21142" spans="1:5" x14ac:dyDescent="0.2">
      <c r="A21142">
        <v>12852</v>
      </c>
      <c r="B21142" t="s">
        <v>40</v>
      </c>
      <c r="C21142">
        <v>12852</v>
      </c>
      <c r="D21142" t="str">
        <f>"12852"</f>
        <v>12852</v>
      </c>
      <c r="E21142">
        <v>76.19</v>
      </c>
    </row>
    <row r="21143" spans="1:5" x14ac:dyDescent="0.2">
      <c r="A21143">
        <v>12853</v>
      </c>
      <c r="B21143" t="s">
        <v>40</v>
      </c>
      <c r="C21143">
        <v>12853</v>
      </c>
      <c r="D21143" t="str">
        <f>"12853"</f>
        <v>12853</v>
      </c>
      <c r="E21143">
        <v>68.180000000000007</v>
      </c>
    </row>
    <row r="21144" spans="1:5" x14ac:dyDescent="0.2">
      <c r="A21144">
        <v>12854</v>
      </c>
      <c r="B21144" t="s">
        <v>40</v>
      </c>
      <c r="C21144">
        <v>12854</v>
      </c>
      <c r="D21144" t="str">
        <f>"12854"</f>
        <v>12854</v>
      </c>
      <c r="E21144" t="s">
        <v>6</v>
      </c>
    </row>
    <row r="21145" spans="1:5" x14ac:dyDescent="0.2">
      <c r="A21145">
        <v>12855</v>
      </c>
      <c r="B21145" t="s">
        <v>40</v>
      </c>
      <c r="C21145">
        <v>12855</v>
      </c>
      <c r="D21145" t="str">
        <f>"12855"</f>
        <v>12855</v>
      </c>
      <c r="E21145">
        <v>83.33</v>
      </c>
    </row>
    <row r="21146" spans="1:5" x14ac:dyDescent="0.2">
      <c r="A21146">
        <v>12856</v>
      </c>
      <c r="B21146" t="s">
        <v>40</v>
      </c>
      <c r="C21146">
        <v>12856</v>
      </c>
      <c r="D21146" t="str">
        <f>"12856"</f>
        <v>12856</v>
      </c>
      <c r="E21146" t="s">
        <v>6</v>
      </c>
    </row>
    <row r="21147" spans="1:5" x14ac:dyDescent="0.2">
      <c r="A21147">
        <v>12857</v>
      </c>
      <c r="B21147" t="s">
        <v>40</v>
      </c>
      <c r="C21147">
        <v>12857</v>
      </c>
      <c r="D21147" t="str">
        <f>"12857"</f>
        <v>12857</v>
      </c>
      <c r="E21147">
        <v>76.92</v>
      </c>
    </row>
    <row r="21148" spans="1:5" x14ac:dyDescent="0.2">
      <c r="A21148">
        <v>12858</v>
      </c>
      <c r="B21148" t="s">
        <v>40</v>
      </c>
      <c r="C21148">
        <v>12858</v>
      </c>
      <c r="D21148" t="str">
        <f>"12858"</f>
        <v>12858</v>
      </c>
      <c r="E21148" t="s">
        <v>6</v>
      </c>
    </row>
    <row r="21149" spans="1:5" x14ac:dyDescent="0.2">
      <c r="A21149">
        <v>12859</v>
      </c>
      <c r="B21149" t="s">
        <v>40</v>
      </c>
      <c r="C21149">
        <v>12859</v>
      </c>
      <c r="D21149" t="str">
        <f>"12859"</f>
        <v>12859</v>
      </c>
      <c r="E21149">
        <v>78.22</v>
      </c>
    </row>
    <row r="21150" spans="1:5" x14ac:dyDescent="0.2">
      <c r="A21150">
        <v>12860</v>
      </c>
      <c r="B21150" t="s">
        <v>40</v>
      </c>
      <c r="C21150">
        <v>12860</v>
      </c>
      <c r="D21150" t="str">
        <f>"12860"</f>
        <v>12860</v>
      </c>
      <c r="E21150">
        <v>68.42</v>
      </c>
    </row>
    <row r="21151" spans="1:5" x14ac:dyDescent="0.2">
      <c r="A21151">
        <v>12861</v>
      </c>
      <c r="B21151" t="s">
        <v>40</v>
      </c>
      <c r="C21151">
        <v>12861</v>
      </c>
      <c r="D21151" t="str">
        <f>"12861"</f>
        <v>12861</v>
      </c>
      <c r="E21151">
        <v>68.97</v>
      </c>
    </row>
    <row r="21152" spans="1:5" x14ac:dyDescent="0.2">
      <c r="A21152">
        <v>12862</v>
      </c>
      <c r="B21152" t="s">
        <v>40</v>
      </c>
      <c r="C21152">
        <v>12862</v>
      </c>
      <c r="D21152" t="str">
        <f>"12862"</f>
        <v>12862</v>
      </c>
      <c r="E21152" t="s">
        <v>6</v>
      </c>
    </row>
    <row r="21153" spans="1:5" x14ac:dyDescent="0.2">
      <c r="A21153">
        <v>12863</v>
      </c>
      <c r="B21153" t="s">
        <v>40</v>
      </c>
      <c r="C21153">
        <v>12863</v>
      </c>
      <c r="D21153" t="str">
        <f>"12863"</f>
        <v>12863</v>
      </c>
      <c r="E21153">
        <v>80.56</v>
      </c>
    </row>
    <row r="21154" spans="1:5" x14ac:dyDescent="0.2">
      <c r="A21154">
        <v>12864</v>
      </c>
      <c r="B21154" t="s">
        <v>40</v>
      </c>
      <c r="C21154">
        <v>12864</v>
      </c>
      <c r="D21154" t="str">
        <f>"12864"</f>
        <v>12864</v>
      </c>
      <c r="E21154" t="s">
        <v>6</v>
      </c>
    </row>
    <row r="21155" spans="1:5" x14ac:dyDescent="0.2">
      <c r="A21155">
        <v>12865</v>
      </c>
      <c r="B21155" t="s">
        <v>40</v>
      </c>
      <c r="C21155">
        <v>12865</v>
      </c>
      <c r="D21155" t="str">
        <f>"12865"</f>
        <v>12865</v>
      </c>
      <c r="E21155">
        <v>71.25</v>
      </c>
    </row>
    <row r="21156" spans="1:5" x14ac:dyDescent="0.2">
      <c r="A21156">
        <v>12866</v>
      </c>
      <c r="B21156" t="s">
        <v>40</v>
      </c>
      <c r="C21156">
        <v>12866</v>
      </c>
      <c r="D21156" t="str">
        <f>"12866"</f>
        <v>12866</v>
      </c>
      <c r="E21156">
        <v>80.739999999999995</v>
      </c>
    </row>
    <row r="21157" spans="1:5" x14ac:dyDescent="0.2">
      <c r="A21157">
        <v>12870</v>
      </c>
      <c r="B21157" t="s">
        <v>40</v>
      </c>
      <c r="C21157">
        <v>12870</v>
      </c>
      <c r="D21157" t="str">
        <f>"12870"</f>
        <v>12870</v>
      </c>
      <c r="E21157">
        <v>66.67</v>
      </c>
    </row>
    <row r="21158" spans="1:5" x14ac:dyDescent="0.2">
      <c r="A21158">
        <v>12871</v>
      </c>
      <c r="B21158" t="s">
        <v>40</v>
      </c>
      <c r="C21158">
        <v>12871</v>
      </c>
      <c r="D21158" t="str">
        <f>"12871"</f>
        <v>12871</v>
      </c>
      <c r="E21158">
        <v>77.27</v>
      </c>
    </row>
    <row r="21159" spans="1:5" x14ac:dyDescent="0.2">
      <c r="A21159">
        <v>12872</v>
      </c>
      <c r="B21159" t="s">
        <v>40</v>
      </c>
      <c r="C21159">
        <v>12872</v>
      </c>
      <c r="D21159" t="str">
        <f>"12872"</f>
        <v>12872</v>
      </c>
      <c r="E21159" t="s">
        <v>6</v>
      </c>
    </row>
    <row r="21160" spans="1:5" x14ac:dyDescent="0.2">
      <c r="A21160">
        <v>12873</v>
      </c>
      <c r="B21160" t="s">
        <v>40</v>
      </c>
      <c r="C21160">
        <v>12873</v>
      </c>
      <c r="D21160" t="str">
        <f>"12873"</f>
        <v>12873</v>
      </c>
      <c r="E21160">
        <v>74.36</v>
      </c>
    </row>
    <row r="21161" spans="1:5" x14ac:dyDescent="0.2">
      <c r="A21161">
        <v>12874</v>
      </c>
      <c r="B21161" t="s">
        <v>40</v>
      </c>
      <c r="C21161">
        <v>12874</v>
      </c>
      <c r="D21161" t="str">
        <f>"12874"</f>
        <v>12874</v>
      </c>
      <c r="E21161" t="s">
        <v>6</v>
      </c>
    </row>
    <row r="21162" spans="1:5" x14ac:dyDescent="0.2">
      <c r="A21162">
        <v>12878</v>
      </c>
      <c r="B21162" t="s">
        <v>40</v>
      </c>
      <c r="C21162">
        <v>12878</v>
      </c>
      <c r="D21162" t="str">
        <f>"12878"</f>
        <v>12878</v>
      </c>
      <c r="E21162">
        <v>68.75</v>
      </c>
    </row>
    <row r="21163" spans="1:5" x14ac:dyDescent="0.2">
      <c r="A21163">
        <v>12883</v>
      </c>
      <c r="B21163" t="s">
        <v>40</v>
      </c>
      <c r="C21163">
        <v>12883</v>
      </c>
      <c r="D21163" t="str">
        <f>"12883"</f>
        <v>12883</v>
      </c>
      <c r="E21163">
        <v>71.37</v>
      </c>
    </row>
    <row r="21164" spans="1:5" x14ac:dyDescent="0.2">
      <c r="A21164">
        <v>12884</v>
      </c>
      <c r="B21164" t="s">
        <v>40</v>
      </c>
      <c r="C21164">
        <v>12884</v>
      </c>
      <c r="D21164" t="str">
        <f>"12884"</f>
        <v>12884</v>
      </c>
      <c r="E21164" t="s">
        <v>6</v>
      </c>
    </row>
    <row r="21165" spans="1:5" x14ac:dyDescent="0.2">
      <c r="A21165">
        <v>12885</v>
      </c>
      <c r="B21165" t="s">
        <v>40</v>
      </c>
      <c r="C21165">
        <v>12885</v>
      </c>
      <c r="D21165" t="str">
        <f>"12885"</f>
        <v>12885</v>
      </c>
      <c r="E21165">
        <v>70.28</v>
      </c>
    </row>
    <row r="21166" spans="1:5" x14ac:dyDescent="0.2">
      <c r="A21166">
        <v>12886</v>
      </c>
      <c r="B21166" t="s">
        <v>40</v>
      </c>
      <c r="C21166">
        <v>12886</v>
      </c>
      <c r="D21166" t="str">
        <f>"12886"</f>
        <v>12886</v>
      </c>
      <c r="E21166">
        <v>61.54</v>
      </c>
    </row>
    <row r="21167" spans="1:5" x14ac:dyDescent="0.2">
      <c r="A21167">
        <v>12887</v>
      </c>
      <c r="B21167" t="s">
        <v>40</v>
      </c>
      <c r="C21167">
        <v>12887</v>
      </c>
      <c r="D21167" t="str">
        <f>"12887"</f>
        <v>12887</v>
      </c>
      <c r="E21167">
        <v>70.23</v>
      </c>
    </row>
    <row r="21168" spans="1:5" x14ac:dyDescent="0.2">
      <c r="A21168">
        <v>12901</v>
      </c>
      <c r="B21168" t="s">
        <v>40</v>
      </c>
      <c r="C21168">
        <v>12901</v>
      </c>
      <c r="D21168" t="str">
        <f>"12901"</f>
        <v>12901</v>
      </c>
      <c r="E21168">
        <v>74.2</v>
      </c>
    </row>
    <row r="21169" spans="1:5" x14ac:dyDescent="0.2">
      <c r="A21169">
        <v>12903</v>
      </c>
      <c r="B21169" t="s">
        <v>40</v>
      </c>
      <c r="C21169">
        <v>12903</v>
      </c>
      <c r="D21169" t="str">
        <f>"12903"</f>
        <v>12903</v>
      </c>
      <c r="E21169">
        <v>83.91</v>
      </c>
    </row>
    <row r="21170" spans="1:5" x14ac:dyDescent="0.2">
      <c r="A21170">
        <v>12910</v>
      </c>
      <c r="B21170" t="s">
        <v>40</v>
      </c>
      <c r="C21170">
        <v>12910</v>
      </c>
      <c r="D21170" t="str">
        <f>"12910"</f>
        <v>12910</v>
      </c>
      <c r="E21170">
        <v>73.33</v>
      </c>
    </row>
    <row r="21171" spans="1:5" x14ac:dyDescent="0.2">
      <c r="A21171">
        <v>12911</v>
      </c>
      <c r="B21171" t="s">
        <v>40</v>
      </c>
      <c r="C21171">
        <v>12911</v>
      </c>
      <c r="D21171" t="str">
        <f>"12911"</f>
        <v>12911</v>
      </c>
      <c r="E21171" t="s">
        <v>6</v>
      </c>
    </row>
    <row r="21172" spans="1:5" x14ac:dyDescent="0.2">
      <c r="A21172">
        <v>12912</v>
      </c>
      <c r="B21172" t="s">
        <v>40</v>
      </c>
      <c r="C21172">
        <v>12912</v>
      </c>
      <c r="D21172" t="str">
        <f>"12912"</f>
        <v>12912</v>
      </c>
      <c r="E21172">
        <v>72.45</v>
      </c>
    </row>
    <row r="21173" spans="1:5" x14ac:dyDescent="0.2">
      <c r="A21173">
        <v>12913</v>
      </c>
      <c r="B21173" t="s">
        <v>40</v>
      </c>
      <c r="C21173">
        <v>12913</v>
      </c>
      <c r="D21173" t="str">
        <f>"12913"</f>
        <v>12913</v>
      </c>
      <c r="E21173">
        <v>79.63</v>
      </c>
    </row>
    <row r="21174" spans="1:5" x14ac:dyDescent="0.2">
      <c r="A21174">
        <v>12914</v>
      </c>
      <c r="B21174" t="s">
        <v>40</v>
      </c>
      <c r="C21174">
        <v>12914</v>
      </c>
      <c r="D21174" t="str">
        <f>"12914"</f>
        <v>12914</v>
      </c>
      <c r="E21174">
        <v>66.67</v>
      </c>
    </row>
    <row r="21175" spans="1:5" x14ac:dyDescent="0.2">
      <c r="A21175">
        <v>12916</v>
      </c>
      <c r="B21175" t="s">
        <v>40</v>
      </c>
      <c r="C21175">
        <v>12916</v>
      </c>
      <c r="D21175" t="str">
        <f>"12916"</f>
        <v>12916</v>
      </c>
      <c r="E21175">
        <v>70.97</v>
      </c>
    </row>
    <row r="21176" spans="1:5" x14ac:dyDescent="0.2">
      <c r="A21176">
        <v>12917</v>
      </c>
      <c r="B21176" t="s">
        <v>40</v>
      </c>
      <c r="C21176">
        <v>12917</v>
      </c>
      <c r="D21176" t="str">
        <f>"12917"</f>
        <v>12917</v>
      </c>
      <c r="E21176">
        <v>71.19</v>
      </c>
    </row>
    <row r="21177" spans="1:5" x14ac:dyDescent="0.2">
      <c r="A21177">
        <v>12918</v>
      </c>
      <c r="B21177" t="s">
        <v>40</v>
      </c>
      <c r="C21177">
        <v>12918</v>
      </c>
      <c r="D21177" t="str">
        <f>"12918"</f>
        <v>12918</v>
      </c>
      <c r="E21177">
        <v>79.489999999999995</v>
      </c>
    </row>
    <row r="21178" spans="1:5" x14ac:dyDescent="0.2">
      <c r="A21178">
        <v>12919</v>
      </c>
      <c r="B21178" t="s">
        <v>40</v>
      </c>
      <c r="C21178">
        <v>12919</v>
      </c>
      <c r="D21178" t="str">
        <f>"12919"</f>
        <v>12919</v>
      </c>
      <c r="E21178">
        <v>72.150000000000006</v>
      </c>
    </row>
    <row r="21179" spans="1:5" x14ac:dyDescent="0.2">
      <c r="A21179">
        <v>12920</v>
      </c>
      <c r="B21179" t="s">
        <v>40</v>
      </c>
      <c r="C21179">
        <v>12920</v>
      </c>
      <c r="D21179" t="str">
        <f>"12920"</f>
        <v>12920</v>
      </c>
      <c r="E21179">
        <v>71.430000000000007</v>
      </c>
    </row>
    <row r="21180" spans="1:5" x14ac:dyDescent="0.2">
      <c r="A21180">
        <v>12921</v>
      </c>
      <c r="B21180" t="s">
        <v>40</v>
      </c>
      <c r="C21180">
        <v>12921</v>
      </c>
      <c r="D21180" t="str">
        <f>"12921"</f>
        <v>12921</v>
      </c>
      <c r="E21180">
        <v>75.19</v>
      </c>
    </row>
    <row r="21181" spans="1:5" x14ac:dyDescent="0.2">
      <c r="A21181">
        <v>12922</v>
      </c>
      <c r="B21181" t="s">
        <v>40</v>
      </c>
      <c r="C21181">
        <v>12922</v>
      </c>
      <c r="D21181" t="str">
        <f>"12922"</f>
        <v>12922</v>
      </c>
      <c r="E21181" t="s">
        <v>6</v>
      </c>
    </row>
    <row r="21182" spans="1:5" x14ac:dyDescent="0.2">
      <c r="A21182">
        <v>12923</v>
      </c>
      <c r="B21182" t="s">
        <v>40</v>
      </c>
      <c r="C21182">
        <v>12923</v>
      </c>
      <c r="D21182" t="str">
        <f>"12923"</f>
        <v>12923</v>
      </c>
      <c r="E21182">
        <v>72</v>
      </c>
    </row>
    <row r="21183" spans="1:5" x14ac:dyDescent="0.2">
      <c r="A21183">
        <v>12924</v>
      </c>
      <c r="B21183" t="s">
        <v>40</v>
      </c>
      <c r="C21183">
        <v>12924</v>
      </c>
      <c r="D21183" t="str">
        <f>"12924"</f>
        <v>12924</v>
      </c>
      <c r="E21183" t="s">
        <v>6</v>
      </c>
    </row>
    <row r="21184" spans="1:5" x14ac:dyDescent="0.2">
      <c r="A21184">
        <v>12926</v>
      </c>
      <c r="B21184" t="s">
        <v>40</v>
      </c>
      <c r="C21184">
        <v>12926</v>
      </c>
      <c r="D21184" t="str">
        <f>"12926"</f>
        <v>12926</v>
      </c>
      <c r="E21184">
        <v>71.59</v>
      </c>
    </row>
    <row r="21185" spans="1:5" x14ac:dyDescent="0.2">
      <c r="A21185">
        <v>12927</v>
      </c>
      <c r="B21185" t="s">
        <v>40</v>
      </c>
      <c r="C21185">
        <v>12927</v>
      </c>
      <c r="D21185" t="str">
        <f>"12927"</f>
        <v>12927</v>
      </c>
      <c r="E21185" t="s">
        <v>6</v>
      </c>
    </row>
    <row r="21186" spans="1:5" x14ac:dyDescent="0.2">
      <c r="A21186">
        <v>12928</v>
      </c>
      <c r="B21186" t="s">
        <v>40</v>
      </c>
      <c r="C21186">
        <v>12928</v>
      </c>
      <c r="D21186" t="str">
        <f>"12928"</f>
        <v>12928</v>
      </c>
      <c r="E21186">
        <v>72.73</v>
      </c>
    </row>
    <row r="21187" spans="1:5" x14ac:dyDescent="0.2">
      <c r="A21187">
        <v>12929</v>
      </c>
      <c r="B21187" t="s">
        <v>40</v>
      </c>
      <c r="C21187">
        <v>12929</v>
      </c>
      <c r="D21187" t="str">
        <f>"12929"</f>
        <v>12929</v>
      </c>
      <c r="E21187" t="s">
        <v>6</v>
      </c>
    </row>
    <row r="21188" spans="1:5" x14ac:dyDescent="0.2">
      <c r="A21188">
        <v>12930</v>
      </c>
      <c r="B21188" t="s">
        <v>40</v>
      </c>
      <c r="C21188">
        <v>12930</v>
      </c>
      <c r="D21188" t="str">
        <f>"12930"</f>
        <v>12930</v>
      </c>
      <c r="E21188">
        <v>66.67</v>
      </c>
    </row>
    <row r="21189" spans="1:5" x14ac:dyDescent="0.2">
      <c r="A21189">
        <v>12932</v>
      </c>
      <c r="B21189" t="s">
        <v>40</v>
      </c>
      <c r="C21189">
        <v>12932</v>
      </c>
      <c r="D21189" t="str">
        <f>"12932"</f>
        <v>12932</v>
      </c>
      <c r="E21189">
        <v>75.81</v>
      </c>
    </row>
    <row r="21190" spans="1:5" x14ac:dyDescent="0.2">
      <c r="A21190">
        <v>12934</v>
      </c>
      <c r="B21190" t="s">
        <v>40</v>
      </c>
      <c r="C21190">
        <v>12934</v>
      </c>
      <c r="D21190" t="str">
        <f>"12934"</f>
        <v>12934</v>
      </c>
      <c r="E21190">
        <v>72.09</v>
      </c>
    </row>
    <row r="21191" spans="1:5" x14ac:dyDescent="0.2">
      <c r="A21191">
        <v>12935</v>
      </c>
      <c r="B21191" t="s">
        <v>40</v>
      </c>
      <c r="C21191">
        <v>12935</v>
      </c>
      <c r="D21191" t="str">
        <f>"12935"</f>
        <v>12935</v>
      </c>
      <c r="E21191">
        <v>74.63</v>
      </c>
    </row>
    <row r="21192" spans="1:5" x14ac:dyDescent="0.2">
      <c r="A21192">
        <v>12936</v>
      </c>
      <c r="B21192" t="s">
        <v>40</v>
      </c>
      <c r="C21192">
        <v>12936</v>
      </c>
      <c r="D21192" t="str">
        <f>"12936"</f>
        <v>12936</v>
      </c>
      <c r="E21192">
        <v>70.97</v>
      </c>
    </row>
    <row r="21193" spans="1:5" x14ac:dyDescent="0.2">
      <c r="A21193">
        <v>12937</v>
      </c>
      <c r="B21193" t="s">
        <v>40</v>
      </c>
      <c r="C21193">
        <v>12937</v>
      </c>
      <c r="D21193" t="str">
        <f>"12937"</f>
        <v>12937</v>
      </c>
      <c r="E21193">
        <v>65.45</v>
      </c>
    </row>
    <row r="21194" spans="1:5" x14ac:dyDescent="0.2">
      <c r="A21194">
        <v>12941</v>
      </c>
      <c r="B21194" t="s">
        <v>40</v>
      </c>
      <c r="C21194">
        <v>12941</v>
      </c>
      <c r="D21194" t="str">
        <f>"12941"</f>
        <v>12941</v>
      </c>
      <c r="E21194">
        <v>74.599999999999994</v>
      </c>
    </row>
    <row r="21195" spans="1:5" x14ac:dyDescent="0.2">
      <c r="A21195">
        <v>12942</v>
      </c>
      <c r="B21195" t="s">
        <v>40</v>
      </c>
      <c r="C21195">
        <v>12942</v>
      </c>
      <c r="D21195" t="str">
        <f>"12942"</f>
        <v>12942</v>
      </c>
      <c r="E21195">
        <v>71.88</v>
      </c>
    </row>
    <row r="21196" spans="1:5" x14ac:dyDescent="0.2">
      <c r="A21196">
        <v>12943</v>
      </c>
      <c r="B21196" t="s">
        <v>40</v>
      </c>
      <c r="C21196">
        <v>12943</v>
      </c>
      <c r="D21196" t="str">
        <f>"12943"</f>
        <v>12943</v>
      </c>
      <c r="E21196">
        <v>76.19</v>
      </c>
    </row>
    <row r="21197" spans="1:5" x14ac:dyDescent="0.2">
      <c r="A21197">
        <v>12944</v>
      </c>
      <c r="B21197" t="s">
        <v>40</v>
      </c>
      <c r="C21197">
        <v>12944</v>
      </c>
      <c r="D21197" t="str">
        <f>"12944"</f>
        <v>12944</v>
      </c>
      <c r="E21197">
        <v>72.53</v>
      </c>
    </row>
    <row r="21198" spans="1:5" x14ac:dyDescent="0.2">
      <c r="A21198">
        <v>12945</v>
      </c>
      <c r="B21198" t="s">
        <v>40</v>
      </c>
      <c r="C21198">
        <v>12945</v>
      </c>
      <c r="D21198" t="str">
        <f>"12945"</f>
        <v>12945</v>
      </c>
      <c r="E21198">
        <v>75.760000000000005</v>
      </c>
    </row>
    <row r="21199" spans="1:5" x14ac:dyDescent="0.2">
      <c r="A21199">
        <v>12946</v>
      </c>
      <c r="B21199" t="s">
        <v>40</v>
      </c>
      <c r="C21199">
        <v>12946</v>
      </c>
      <c r="D21199" t="str">
        <f>"12946"</f>
        <v>12946</v>
      </c>
      <c r="E21199">
        <v>75.739999999999995</v>
      </c>
    </row>
    <row r="21200" spans="1:5" x14ac:dyDescent="0.2">
      <c r="A21200">
        <v>12950</v>
      </c>
      <c r="B21200" t="s">
        <v>40</v>
      </c>
      <c r="C21200">
        <v>12950</v>
      </c>
      <c r="D21200" t="str">
        <f>"12950"</f>
        <v>12950</v>
      </c>
      <c r="E21200">
        <v>65.790000000000006</v>
      </c>
    </row>
    <row r="21201" spans="1:5" x14ac:dyDescent="0.2">
      <c r="A21201">
        <v>12952</v>
      </c>
      <c r="B21201" t="s">
        <v>40</v>
      </c>
      <c r="C21201">
        <v>12952</v>
      </c>
      <c r="D21201" t="str">
        <f>"12952"</f>
        <v>12952</v>
      </c>
      <c r="E21201">
        <v>76.92</v>
      </c>
    </row>
    <row r="21202" spans="1:5" x14ac:dyDescent="0.2">
      <c r="A21202">
        <v>12953</v>
      </c>
      <c r="B21202" t="s">
        <v>40</v>
      </c>
      <c r="C21202">
        <v>12953</v>
      </c>
      <c r="D21202" t="str">
        <f>"12953"</f>
        <v>12953</v>
      </c>
      <c r="E21202">
        <v>70.44</v>
      </c>
    </row>
    <row r="21203" spans="1:5" x14ac:dyDescent="0.2">
      <c r="A21203">
        <v>12955</v>
      </c>
      <c r="B21203" t="s">
        <v>40</v>
      </c>
      <c r="C21203">
        <v>12955</v>
      </c>
      <c r="D21203" t="str">
        <f>"12955"</f>
        <v>12955</v>
      </c>
      <c r="E21203">
        <v>73.33</v>
      </c>
    </row>
    <row r="21204" spans="1:5" x14ac:dyDescent="0.2">
      <c r="A21204">
        <v>12956</v>
      </c>
      <c r="B21204" t="s">
        <v>40</v>
      </c>
      <c r="C21204">
        <v>12956</v>
      </c>
      <c r="D21204" t="str">
        <f>"12956"</f>
        <v>12956</v>
      </c>
      <c r="E21204">
        <v>69.23</v>
      </c>
    </row>
    <row r="21205" spans="1:5" x14ac:dyDescent="0.2">
      <c r="A21205">
        <v>12957</v>
      </c>
      <c r="B21205" t="s">
        <v>40</v>
      </c>
      <c r="C21205">
        <v>12957</v>
      </c>
      <c r="D21205" t="str">
        <f>"12957"</f>
        <v>12957</v>
      </c>
      <c r="E21205">
        <v>69.12</v>
      </c>
    </row>
    <row r="21206" spans="1:5" x14ac:dyDescent="0.2">
      <c r="A21206">
        <v>12958</v>
      </c>
      <c r="B21206" t="s">
        <v>40</v>
      </c>
      <c r="C21206">
        <v>12958</v>
      </c>
      <c r="D21206" t="str">
        <f>"12958"</f>
        <v>12958</v>
      </c>
      <c r="E21206">
        <v>76.83</v>
      </c>
    </row>
    <row r="21207" spans="1:5" x14ac:dyDescent="0.2">
      <c r="A21207">
        <v>12959</v>
      </c>
      <c r="B21207" t="s">
        <v>40</v>
      </c>
      <c r="C21207">
        <v>12959</v>
      </c>
      <c r="D21207" t="str">
        <f>"12959"</f>
        <v>12959</v>
      </c>
      <c r="E21207">
        <v>74.19</v>
      </c>
    </row>
    <row r="21208" spans="1:5" x14ac:dyDescent="0.2">
      <c r="A21208">
        <v>12960</v>
      </c>
      <c r="B21208" t="s">
        <v>40</v>
      </c>
      <c r="C21208">
        <v>12960</v>
      </c>
      <c r="D21208" t="str">
        <f>"12960"</f>
        <v>12960</v>
      </c>
      <c r="E21208">
        <v>74.510000000000005</v>
      </c>
    </row>
    <row r="21209" spans="1:5" x14ac:dyDescent="0.2">
      <c r="A21209">
        <v>12961</v>
      </c>
      <c r="B21209" t="s">
        <v>40</v>
      </c>
      <c r="C21209">
        <v>12961</v>
      </c>
      <c r="D21209" t="str">
        <f>"12961"</f>
        <v>12961</v>
      </c>
      <c r="E21209">
        <v>80</v>
      </c>
    </row>
    <row r="21210" spans="1:5" x14ac:dyDescent="0.2">
      <c r="A21210">
        <v>12962</v>
      </c>
      <c r="B21210" t="s">
        <v>40</v>
      </c>
      <c r="C21210">
        <v>12962</v>
      </c>
      <c r="D21210" t="str">
        <f>"12962"</f>
        <v>12962</v>
      </c>
      <c r="E21210">
        <v>79.7</v>
      </c>
    </row>
    <row r="21211" spans="1:5" x14ac:dyDescent="0.2">
      <c r="A21211">
        <v>12964</v>
      </c>
      <c r="B21211" t="s">
        <v>40</v>
      </c>
      <c r="C21211">
        <v>12964</v>
      </c>
      <c r="D21211" t="str">
        <f>"12964"</f>
        <v>12964</v>
      </c>
      <c r="E21211" t="s">
        <v>6</v>
      </c>
    </row>
    <row r="21212" spans="1:5" x14ac:dyDescent="0.2">
      <c r="A21212">
        <v>12965</v>
      </c>
      <c r="B21212" t="s">
        <v>40</v>
      </c>
      <c r="C21212">
        <v>12965</v>
      </c>
      <c r="D21212" t="str">
        <f>"12965"</f>
        <v>12965</v>
      </c>
      <c r="E21212">
        <v>61.9</v>
      </c>
    </row>
    <row r="21213" spans="1:5" x14ac:dyDescent="0.2">
      <c r="A21213">
        <v>12966</v>
      </c>
      <c r="B21213" t="s">
        <v>40</v>
      </c>
      <c r="C21213">
        <v>12966</v>
      </c>
      <c r="D21213" t="str">
        <f>"12966"</f>
        <v>12966</v>
      </c>
      <c r="E21213">
        <v>70.16</v>
      </c>
    </row>
    <row r="21214" spans="1:5" x14ac:dyDescent="0.2">
      <c r="A21214">
        <v>12967</v>
      </c>
      <c r="B21214" t="s">
        <v>40</v>
      </c>
      <c r="C21214">
        <v>12967</v>
      </c>
      <c r="D21214" t="str">
        <f>"12967"</f>
        <v>12967</v>
      </c>
      <c r="E21214">
        <v>75.56</v>
      </c>
    </row>
    <row r="21215" spans="1:5" x14ac:dyDescent="0.2">
      <c r="A21215">
        <v>12969</v>
      </c>
      <c r="B21215" t="s">
        <v>40</v>
      </c>
      <c r="C21215">
        <v>12969</v>
      </c>
      <c r="D21215" t="str">
        <f>"12969"</f>
        <v>12969</v>
      </c>
      <c r="E21215">
        <v>77.78</v>
      </c>
    </row>
    <row r="21216" spans="1:5" x14ac:dyDescent="0.2">
      <c r="A21216">
        <v>12970</v>
      </c>
      <c r="B21216" t="s">
        <v>40</v>
      </c>
      <c r="C21216">
        <v>12970</v>
      </c>
      <c r="D21216" t="str">
        <f>"12970"</f>
        <v>12970</v>
      </c>
      <c r="E21216">
        <v>70.59</v>
      </c>
    </row>
    <row r="21217" spans="1:5" x14ac:dyDescent="0.2">
      <c r="A21217">
        <v>12972</v>
      </c>
      <c r="B21217" t="s">
        <v>40</v>
      </c>
      <c r="C21217">
        <v>12972</v>
      </c>
      <c r="D21217" t="str">
        <f>"12972"</f>
        <v>12972</v>
      </c>
      <c r="E21217">
        <v>78.53</v>
      </c>
    </row>
    <row r="21218" spans="1:5" x14ac:dyDescent="0.2">
      <c r="A21218">
        <v>12973</v>
      </c>
      <c r="B21218" t="s">
        <v>40</v>
      </c>
      <c r="C21218">
        <v>12973</v>
      </c>
      <c r="D21218" t="str">
        <f>"12973"</f>
        <v>12973</v>
      </c>
      <c r="E21218" t="s">
        <v>6</v>
      </c>
    </row>
    <row r="21219" spans="1:5" x14ac:dyDescent="0.2">
      <c r="A21219">
        <v>12974</v>
      </c>
      <c r="B21219" t="s">
        <v>40</v>
      </c>
      <c r="C21219">
        <v>12974</v>
      </c>
      <c r="D21219" t="str">
        <f>"12974"</f>
        <v>12974</v>
      </c>
      <c r="E21219">
        <v>73.849999999999994</v>
      </c>
    </row>
    <row r="21220" spans="1:5" x14ac:dyDescent="0.2">
      <c r="A21220">
        <v>12975</v>
      </c>
      <c r="B21220" t="s">
        <v>40</v>
      </c>
      <c r="C21220">
        <v>12975</v>
      </c>
      <c r="D21220" t="str">
        <f>"12975"</f>
        <v>12975</v>
      </c>
      <c r="E21220" t="s">
        <v>6</v>
      </c>
    </row>
    <row r="21221" spans="1:5" x14ac:dyDescent="0.2">
      <c r="A21221">
        <v>12976</v>
      </c>
      <c r="B21221" t="s">
        <v>40</v>
      </c>
      <c r="C21221">
        <v>12976</v>
      </c>
      <c r="D21221" t="str">
        <f>"12976"</f>
        <v>12976</v>
      </c>
      <c r="E21221" t="s">
        <v>6</v>
      </c>
    </row>
    <row r="21222" spans="1:5" x14ac:dyDescent="0.2">
      <c r="A21222">
        <v>12977</v>
      </c>
      <c r="B21222" t="s">
        <v>40</v>
      </c>
      <c r="C21222">
        <v>12977</v>
      </c>
      <c r="D21222" t="str">
        <f>"12977"</f>
        <v>12977</v>
      </c>
      <c r="E21222" t="s">
        <v>6</v>
      </c>
    </row>
    <row r="21223" spans="1:5" x14ac:dyDescent="0.2">
      <c r="A21223">
        <v>12978</v>
      </c>
      <c r="B21223" t="s">
        <v>40</v>
      </c>
      <c r="C21223">
        <v>12978</v>
      </c>
      <c r="D21223" t="str">
        <f>"12978"</f>
        <v>12978</v>
      </c>
      <c r="E21223">
        <v>83.33</v>
      </c>
    </row>
    <row r="21224" spans="1:5" x14ac:dyDescent="0.2">
      <c r="A21224">
        <v>12979</v>
      </c>
      <c r="B21224" t="s">
        <v>40</v>
      </c>
      <c r="C21224">
        <v>12979</v>
      </c>
      <c r="D21224" t="str">
        <f>"12979"</f>
        <v>12979</v>
      </c>
      <c r="E21224">
        <v>73.11</v>
      </c>
    </row>
    <row r="21225" spans="1:5" x14ac:dyDescent="0.2">
      <c r="A21225">
        <v>12980</v>
      </c>
      <c r="B21225" t="s">
        <v>40</v>
      </c>
      <c r="C21225">
        <v>12980</v>
      </c>
      <c r="D21225" t="str">
        <f>"12980"</f>
        <v>12980</v>
      </c>
      <c r="E21225">
        <v>69.09</v>
      </c>
    </row>
    <row r="21226" spans="1:5" x14ac:dyDescent="0.2">
      <c r="A21226">
        <v>12981</v>
      </c>
      <c r="B21226" t="s">
        <v>40</v>
      </c>
      <c r="C21226">
        <v>12981</v>
      </c>
      <c r="D21226" t="str">
        <f>"12981"</f>
        <v>12981</v>
      </c>
      <c r="E21226">
        <v>78.569999999999993</v>
      </c>
    </row>
    <row r="21227" spans="1:5" x14ac:dyDescent="0.2">
      <c r="A21227">
        <v>12983</v>
      </c>
      <c r="B21227" t="s">
        <v>40</v>
      </c>
      <c r="C21227">
        <v>12983</v>
      </c>
      <c r="D21227" t="str">
        <f>"12983"</f>
        <v>12983</v>
      </c>
      <c r="E21227">
        <v>77.16</v>
      </c>
    </row>
    <row r="21228" spans="1:5" x14ac:dyDescent="0.2">
      <c r="A21228">
        <v>12985</v>
      </c>
      <c r="B21228" t="s">
        <v>40</v>
      </c>
      <c r="C21228">
        <v>12985</v>
      </c>
      <c r="D21228" t="str">
        <f>"12985"</f>
        <v>12985</v>
      </c>
      <c r="E21228">
        <v>71.430000000000007</v>
      </c>
    </row>
    <row r="21229" spans="1:5" x14ac:dyDescent="0.2">
      <c r="A21229">
        <v>12986</v>
      </c>
      <c r="B21229" t="s">
        <v>40</v>
      </c>
      <c r="C21229">
        <v>12986</v>
      </c>
      <c r="D21229" t="str">
        <f>"12986"</f>
        <v>12986</v>
      </c>
      <c r="E21229">
        <v>78.41</v>
      </c>
    </row>
    <row r="21230" spans="1:5" x14ac:dyDescent="0.2">
      <c r="A21230">
        <v>12987</v>
      </c>
      <c r="B21230" t="s">
        <v>40</v>
      </c>
      <c r="C21230">
        <v>12987</v>
      </c>
      <c r="D21230" t="str">
        <f>"12987"</f>
        <v>12987</v>
      </c>
      <c r="E21230">
        <v>58.33</v>
      </c>
    </row>
    <row r="21231" spans="1:5" x14ac:dyDescent="0.2">
      <c r="A21231">
        <v>12989</v>
      </c>
      <c r="B21231" t="s">
        <v>40</v>
      </c>
      <c r="C21231">
        <v>12989</v>
      </c>
      <c r="D21231" t="str">
        <f>"12989"</f>
        <v>12989</v>
      </c>
      <c r="E21231">
        <v>80</v>
      </c>
    </row>
    <row r="21232" spans="1:5" x14ac:dyDescent="0.2">
      <c r="A21232">
        <v>12992</v>
      </c>
      <c r="B21232" t="s">
        <v>40</v>
      </c>
      <c r="C21232">
        <v>12992</v>
      </c>
      <c r="D21232" t="str">
        <f>"12992"</f>
        <v>12992</v>
      </c>
      <c r="E21232">
        <v>75.53</v>
      </c>
    </row>
    <row r="21233" spans="1:5" x14ac:dyDescent="0.2">
      <c r="A21233">
        <v>12993</v>
      </c>
      <c r="B21233" t="s">
        <v>40</v>
      </c>
      <c r="C21233">
        <v>12993</v>
      </c>
      <c r="D21233" t="str">
        <f>"12993"</f>
        <v>12993</v>
      </c>
      <c r="E21233">
        <v>72.37</v>
      </c>
    </row>
    <row r="21234" spans="1:5" x14ac:dyDescent="0.2">
      <c r="A21234">
        <v>12996</v>
      </c>
      <c r="B21234" t="s">
        <v>40</v>
      </c>
      <c r="C21234">
        <v>12996</v>
      </c>
      <c r="D21234" t="str">
        <f>"12996"</f>
        <v>12996</v>
      </c>
      <c r="E21234">
        <v>72.040000000000006</v>
      </c>
    </row>
    <row r="21235" spans="1:5" x14ac:dyDescent="0.2">
      <c r="A21235">
        <v>12997</v>
      </c>
      <c r="B21235" t="s">
        <v>40</v>
      </c>
      <c r="C21235">
        <v>12997</v>
      </c>
      <c r="D21235" t="str">
        <f>"12997"</f>
        <v>12997</v>
      </c>
      <c r="E21235">
        <v>78.33</v>
      </c>
    </row>
    <row r="21236" spans="1:5" x14ac:dyDescent="0.2">
      <c r="A21236">
        <v>12998</v>
      </c>
      <c r="B21236" t="s">
        <v>40</v>
      </c>
      <c r="C21236">
        <v>12998</v>
      </c>
      <c r="D21236" t="str">
        <f>"12998"</f>
        <v>12998</v>
      </c>
      <c r="E21236">
        <v>60.87</v>
      </c>
    </row>
    <row r="21237" spans="1:5" x14ac:dyDescent="0.2">
      <c r="A21237">
        <v>13020</v>
      </c>
      <c r="B21237" t="s">
        <v>40</v>
      </c>
      <c r="C21237">
        <v>13020</v>
      </c>
      <c r="D21237" t="str">
        <f>"13020"</f>
        <v>13020</v>
      </c>
      <c r="E21237" t="s">
        <v>6</v>
      </c>
    </row>
    <row r="21238" spans="1:5" x14ac:dyDescent="0.2">
      <c r="A21238">
        <v>13021</v>
      </c>
      <c r="B21238" t="s">
        <v>40</v>
      </c>
      <c r="C21238">
        <v>13021</v>
      </c>
      <c r="D21238" t="str">
        <f>"13021"</f>
        <v>13021</v>
      </c>
      <c r="E21238">
        <v>73.040000000000006</v>
      </c>
    </row>
    <row r="21239" spans="1:5" x14ac:dyDescent="0.2">
      <c r="A21239">
        <v>13024</v>
      </c>
      <c r="B21239" t="s">
        <v>40</v>
      </c>
      <c r="C21239">
        <v>13024</v>
      </c>
      <c r="D21239" t="str">
        <f>"13024"</f>
        <v>13024</v>
      </c>
      <c r="E21239" t="s">
        <v>6</v>
      </c>
    </row>
    <row r="21240" spans="1:5" x14ac:dyDescent="0.2">
      <c r="A21240">
        <v>13026</v>
      </c>
      <c r="B21240" t="s">
        <v>40</v>
      </c>
      <c r="C21240">
        <v>13026</v>
      </c>
      <c r="D21240" t="str">
        <f>"13026"</f>
        <v>13026</v>
      </c>
      <c r="E21240">
        <v>77.42</v>
      </c>
    </row>
    <row r="21241" spans="1:5" x14ac:dyDescent="0.2">
      <c r="A21241">
        <v>13027</v>
      </c>
      <c r="B21241" t="s">
        <v>40</v>
      </c>
      <c r="C21241">
        <v>13027</v>
      </c>
      <c r="D21241" t="str">
        <f>"13027"</f>
        <v>13027</v>
      </c>
      <c r="E21241">
        <v>79.290000000000006</v>
      </c>
    </row>
    <row r="21242" spans="1:5" x14ac:dyDescent="0.2">
      <c r="A21242">
        <v>13028</v>
      </c>
      <c r="B21242" t="s">
        <v>40</v>
      </c>
      <c r="C21242">
        <v>13028</v>
      </c>
      <c r="D21242" t="str">
        <f>"13028"</f>
        <v>13028</v>
      </c>
      <c r="E21242">
        <v>72.41</v>
      </c>
    </row>
    <row r="21243" spans="1:5" x14ac:dyDescent="0.2">
      <c r="A21243">
        <v>13029</v>
      </c>
      <c r="B21243" t="s">
        <v>40</v>
      </c>
      <c r="C21243">
        <v>13029</v>
      </c>
      <c r="D21243" t="str">
        <f>"13029"</f>
        <v>13029</v>
      </c>
      <c r="E21243">
        <v>80.11</v>
      </c>
    </row>
    <row r="21244" spans="1:5" x14ac:dyDescent="0.2">
      <c r="A21244">
        <v>13030</v>
      </c>
      <c r="B21244" t="s">
        <v>40</v>
      </c>
      <c r="C21244">
        <v>13030</v>
      </c>
      <c r="D21244" t="str">
        <f>"13030"</f>
        <v>13030</v>
      </c>
      <c r="E21244">
        <v>78.39</v>
      </c>
    </row>
    <row r="21245" spans="1:5" x14ac:dyDescent="0.2">
      <c r="A21245">
        <v>13031</v>
      </c>
      <c r="B21245" t="s">
        <v>40</v>
      </c>
      <c r="C21245">
        <v>13031</v>
      </c>
      <c r="D21245" t="str">
        <f>"13031"</f>
        <v>13031</v>
      </c>
      <c r="E21245">
        <v>79.98</v>
      </c>
    </row>
    <row r="21246" spans="1:5" x14ac:dyDescent="0.2">
      <c r="A21246">
        <v>13032</v>
      </c>
      <c r="B21246" t="s">
        <v>40</v>
      </c>
      <c r="C21246">
        <v>13032</v>
      </c>
      <c r="D21246" t="str">
        <f>"13032"</f>
        <v>13032</v>
      </c>
      <c r="E21246">
        <v>73.83</v>
      </c>
    </row>
    <row r="21247" spans="1:5" x14ac:dyDescent="0.2">
      <c r="A21247">
        <v>13033</v>
      </c>
      <c r="B21247" t="s">
        <v>40</v>
      </c>
      <c r="C21247">
        <v>13033</v>
      </c>
      <c r="D21247" t="str">
        <f>"13033"</f>
        <v>13033</v>
      </c>
      <c r="E21247">
        <v>75.72</v>
      </c>
    </row>
    <row r="21248" spans="1:5" x14ac:dyDescent="0.2">
      <c r="A21248">
        <v>13034</v>
      </c>
      <c r="B21248" t="s">
        <v>40</v>
      </c>
      <c r="C21248">
        <v>13034</v>
      </c>
      <c r="D21248" t="str">
        <f>"13034"</f>
        <v>13034</v>
      </c>
      <c r="E21248">
        <v>81.180000000000007</v>
      </c>
    </row>
    <row r="21249" spans="1:5" x14ac:dyDescent="0.2">
      <c r="A21249">
        <v>13035</v>
      </c>
      <c r="B21249" t="s">
        <v>40</v>
      </c>
      <c r="C21249">
        <v>13035</v>
      </c>
      <c r="D21249" t="str">
        <f>"13035"</f>
        <v>13035</v>
      </c>
      <c r="E21249">
        <v>77.95</v>
      </c>
    </row>
    <row r="21250" spans="1:5" x14ac:dyDescent="0.2">
      <c r="A21250">
        <v>13036</v>
      </c>
      <c r="B21250" t="s">
        <v>40</v>
      </c>
      <c r="C21250">
        <v>13036</v>
      </c>
      <c r="D21250" t="str">
        <f>"13036"</f>
        <v>13036</v>
      </c>
      <c r="E21250">
        <v>75</v>
      </c>
    </row>
    <row r="21251" spans="1:5" x14ac:dyDescent="0.2">
      <c r="A21251">
        <v>13037</v>
      </c>
      <c r="B21251" t="s">
        <v>40</v>
      </c>
      <c r="C21251">
        <v>13037</v>
      </c>
      <c r="D21251" t="str">
        <f>"13037"</f>
        <v>13037</v>
      </c>
      <c r="E21251">
        <v>77.849999999999994</v>
      </c>
    </row>
    <row r="21252" spans="1:5" x14ac:dyDescent="0.2">
      <c r="A21252">
        <v>13039</v>
      </c>
      <c r="B21252" t="s">
        <v>40</v>
      </c>
      <c r="C21252">
        <v>13039</v>
      </c>
      <c r="D21252" t="str">
        <f>"13039"</f>
        <v>13039</v>
      </c>
      <c r="E21252">
        <v>80.22</v>
      </c>
    </row>
    <row r="21253" spans="1:5" x14ac:dyDescent="0.2">
      <c r="A21253">
        <v>13040</v>
      </c>
      <c r="B21253" t="s">
        <v>40</v>
      </c>
      <c r="C21253">
        <v>13040</v>
      </c>
      <c r="D21253" t="str">
        <f>"13040"</f>
        <v>13040</v>
      </c>
      <c r="E21253">
        <v>71.19</v>
      </c>
    </row>
    <row r="21254" spans="1:5" x14ac:dyDescent="0.2">
      <c r="A21254">
        <v>13041</v>
      </c>
      <c r="B21254" t="s">
        <v>40</v>
      </c>
      <c r="C21254">
        <v>13041</v>
      </c>
      <c r="D21254" t="str">
        <f>"13041"</f>
        <v>13041</v>
      </c>
      <c r="E21254">
        <v>81.25</v>
      </c>
    </row>
    <row r="21255" spans="1:5" x14ac:dyDescent="0.2">
      <c r="A21255">
        <v>13042</v>
      </c>
      <c r="B21255" t="s">
        <v>40</v>
      </c>
      <c r="C21255">
        <v>13042</v>
      </c>
      <c r="D21255" t="str">
        <f>"13042"</f>
        <v>13042</v>
      </c>
      <c r="E21255">
        <v>73.790000000000006</v>
      </c>
    </row>
    <row r="21256" spans="1:5" x14ac:dyDescent="0.2">
      <c r="A21256">
        <v>13043</v>
      </c>
      <c r="B21256" t="s">
        <v>40</v>
      </c>
      <c r="C21256">
        <v>13043</v>
      </c>
      <c r="D21256" t="str">
        <f>"13043"</f>
        <v>13043</v>
      </c>
      <c r="E21256" t="s">
        <v>6</v>
      </c>
    </row>
    <row r="21257" spans="1:5" x14ac:dyDescent="0.2">
      <c r="A21257">
        <v>13044</v>
      </c>
      <c r="B21257" t="s">
        <v>40</v>
      </c>
      <c r="C21257">
        <v>13044</v>
      </c>
      <c r="D21257" t="str">
        <f>"13044"</f>
        <v>13044</v>
      </c>
      <c r="E21257">
        <v>75.209999999999994</v>
      </c>
    </row>
    <row r="21258" spans="1:5" x14ac:dyDescent="0.2">
      <c r="A21258">
        <v>13045</v>
      </c>
      <c r="B21258" t="s">
        <v>40</v>
      </c>
      <c r="C21258">
        <v>13045</v>
      </c>
      <c r="D21258" t="str">
        <f>"13045"</f>
        <v>13045</v>
      </c>
      <c r="E21258">
        <v>73.11</v>
      </c>
    </row>
    <row r="21259" spans="1:5" x14ac:dyDescent="0.2">
      <c r="A21259">
        <v>13052</v>
      </c>
      <c r="B21259" t="s">
        <v>40</v>
      </c>
      <c r="C21259">
        <v>13052</v>
      </c>
      <c r="D21259" t="str">
        <f>"13052"</f>
        <v>13052</v>
      </c>
      <c r="E21259">
        <v>72.94</v>
      </c>
    </row>
    <row r="21260" spans="1:5" x14ac:dyDescent="0.2">
      <c r="A21260">
        <v>13053</v>
      </c>
      <c r="B21260" t="s">
        <v>40</v>
      </c>
      <c r="C21260">
        <v>13053</v>
      </c>
      <c r="D21260" t="str">
        <f>"13053"</f>
        <v>13053</v>
      </c>
      <c r="E21260">
        <v>75.11</v>
      </c>
    </row>
    <row r="21261" spans="1:5" x14ac:dyDescent="0.2">
      <c r="A21261">
        <v>13054</v>
      </c>
      <c r="B21261" t="s">
        <v>40</v>
      </c>
      <c r="C21261">
        <v>13054</v>
      </c>
      <c r="D21261" t="str">
        <f>"13054"</f>
        <v>13054</v>
      </c>
      <c r="E21261">
        <v>76.81</v>
      </c>
    </row>
    <row r="21262" spans="1:5" x14ac:dyDescent="0.2">
      <c r="A21262">
        <v>13057</v>
      </c>
      <c r="B21262" t="s">
        <v>40</v>
      </c>
      <c r="C21262">
        <v>13057</v>
      </c>
      <c r="D21262" t="str">
        <f>"13057"</f>
        <v>13057</v>
      </c>
      <c r="E21262">
        <v>76.61</v>
      </c>
    </row>
    <row r="21263" spans="1:5" x14ac:dyDescent="0.2">
      <c r="A21263">
        <v>13060</v>
      </c>
      <c r="B21263" t="s">
        <v>40</v>
      </c>
      <c r="C21263">
        <v>13060</v>
      </c>
      <c r="D21263" t="str">
        <f>"13060"</f>
        <v>13060</v>
      </c>
      <c r="E21263">
        <v>77.37</v>
      </c>
    </row>
    <row r="21264" spans="1:5" x14ac:dyDescent="0.2">
      <c r="A21264">
        <v>13061</v>
      </c>
      <c r="B21264" t="s">
        <v>40</v>
      </c>
      <c r="C21264">
        <v>13061</v>
      </c>
      <c r="D21264" t="str">
        <f>"13061"</f>
        <v>13061</v>
      </c>
      <c r="E21264">
        <v>80</v>
      </c>
    </row>
    <row r="21265" spans="1:5" x14ac:dyDescent="0.2">
      <c r="A21265">
        <v>13062</v>
      </c>
      <c r="B21265" t="s">
        <v>40</v>
      </c>
      <c r="C21265">
        <v>13062</v>
      </c>
      <c r="D21265" t="str">
        <f>"13062"</f>
        <v>13062</v>
      </c>
      <c r="E21265" t="s">
        <v>6</v>
      </c>
    </row>
    <row r="21266" spans="1:5" x14ac:dyDescent="0.2">
      <c r="A21266">
        <v>13063</v>
      </c>
      <c r="B21266" t="s">
        <v>40</v>
      </c>
      <c r="C21266">
        <v>13063</v>
      </c>
      <c r="D21266" t="str">
        <f>"13063"</f>
        <v>13063</v>
      </c>
      <c r="E21266">
        <v>77.27</v>
      </c>
    </row>
    <row r="21267" spans="1:5" x14ac:dyDescent="0.2">
      <c r="A21267">
        <v>13066</v>
      </c>
      <c r="B21267" t="s">
        <v>40</v>
      </c>
      <c r="C21267">
        <v>13066</v>
      </c>
      <c r="D21267" t="str">
        <f>"13066"</f>
        <v>13066</v>
      </c>
      <c r="E21267">
        <v>80.63</v>
      </c>
    </row>
    <row r="21268" spans="1:5" x14ac:dyDescent="0.2">
      <c r="A21268">
        <v>13068</v>
      </c>
      <c r="B21268" t="s">
        <v>40</v>
      </c>
      <c r="C21268">
        <v>13068</v>
      </c>
      <c r="D21268" t="str">
        <f>"13068"</f>
        <v>13068</v>
      </c>
      <c r="E21268">
        <v>76.45</v>
      </c>
    </row>
    <row r="21269" spans="1:5" x14ac:dyDescent="0.2">
      <c r="A21269">
        <v>13069</v>
      </c>
      <c r="B21269" t="s">
        <v>40</v>
      </c>
      <c r="C21269">
        <v>13069</v>
      </c>
      <c r="D21269" t="str">
        <f>"13069"</f>
        <v>13069</v>
      </c>
      <c r="E21269">
        <v>69.45</v>
      </c>
    </row>
    <row r="21270" spans="1:5" x14ac:dyDescent="0.2">
      <c r="A21270">
        <v>13071</v>
      </c>
      <c r="B21270" t="s">
        <v>40</v>
      </c>
      <c r="C21270">
        <v>13071</v>
      </c>
      <c r="D21270" t="str">
        <f>"13071"</f>
        <v>13071</v>
      </c>
      <c r="E21270">
        <v>76.09</v>
      </c>
    </row>
    <row r="21271" spans="1:5" x14ac:dyDescent="0.2">
      <c r="A21271">
        <v>13072</v>
      </c>
      <c r="B21271" t="s">
        <v>40</v>
      </c>
      <c r="C21271">
        <v>13072</v>
      </c>
      <c r="D21271" t="str">
        <f>"13072"</f>
        <v>13072</v>
      </c>
      <c r="E21271">
        <v>70.27</v>
      </c>
    </row>
    <row r="21272" spans="1:5" x14ac:dyDescent="0.2">
      <c r="A21272">
        <v>13073</v>
      </c>
      <c r="B21272" t="s">
        <v>40</v>
      </c>
      <c r="C21272">
        <v>13073</v>
      </c>
      <c r="D21272" t="str">
        <f>"13073"</f>
        <v>13073</v>
      </c>
      <c r="E21272">
        <v>75.989999999999995</v>
      </c>
    </row>
    <row r="21273" spans="1:5" x14ac:dyDescent="0.2">
      <c r="A21273">
        <v>13074</v>
      </c>
      <c r="B21273" t="s">
        <v>40</v>
      </c>
      <c r="C21273">
        <v>13074</v>
      </c>
      <c r="D21273" t="str">
        <f>"13074"</f>
        <v>13074</v>
      </c>
      <c r="E21273">
        <v>70.81</v>
      </c>
    </row>
    <row r="21274" spans="1:5" x14ac:dyDescent="0.2">
      <c r="A21274">
        <v>13076</v>
      </c>
      <c r="B21274" t="s">
        <v>40</v>
      </c>
      <c r="C21274">
        <v>13076</v>
      </c>
      <c r="D21274" t="str">
        <f>"13076"</f>
        <v>13076</v>
      </c>
      <c r="E21274">
        <v>77.78</v>
      </c>
    </row>
    <row r="21275" spans="1:5" x14ac:dyDescent="0.2">
      <c r="A21275">
        <v>13077</v>
      </c>
      <c r="B21275" t="s">
        <v>40</v>
      </c>
      <c r="C21275">
        <v>13077</v>
      </c>
      <c r="D21275" t="str">
        <f>"13077"</f>
        <v>13077</v>
      </c>
      <c r="E21275">
        <v>73.11</v>
      </c>
    </row>
    <row r="21276" spans="1:5" x14ac:dyDescent="0.2">
      <c r="A21276">
        <v>13078</v>
      </c>
      <c r="B21276" t="s">
        <v>40</v>
      </c>
      <c r="C21276">
        <v>13078</v>
      </c>
      <c r="D21276" t="str">
        <f>"13078"</f>
        <v>13078</v>
      </c>
      <c r="E21276">
        <v>79.650000000000006</v>
      </c>
    </row>
    <row r="21277" spans="1:5" x14ac:dyDescent="0.2">
      <c r="A21277">
        <v>13080</v>
      </c>
      <c r="B21277" t="s">
        <v>40</v>
      </c>
      <c r="C21277">
        <v>13080</v>
      </c>
      <c r="D21277" t="str">
        <f>"13080"</f>
        <v>13080</v>
      </c>
      <c r="E21277">
        <v>77.84</v>
      </c>
    </row>
    <row r="21278" spans="1:5" x14ac:dyDescent="0.2">
      <c r="A21278">
        <v>13081</v>
      </c>
      <c r="B21278" t="s">
        <v>40</v>
      </c>
      <c r="C21278">
        <v>13081</v>
      </c>
      <c r="D21278" t="str">
        <f>"13081"</f>
        <v>13081</v>
      </c>
      <c r="E21278">
        <v>76.47</v>
      </c>
    </row>
    <row r="21279" spans="1:5" x14ac:dyDescent="0.2">
      <c r="A21279">
        <v>13082</v>
      </c>
      <c r="B21279" t="s">
        <v>40</v>
      </c>
      <c r="C21279">
        <v>13082</v>
      </c>
      <c r="D21279" t="str">
        <f>"13082"</f>
        <v>13082</v>
      </c>
      <c r="E21279">
        <v>75</v>
      </c>
    </row>
    <row r="21280" spans="1:5" x14ac:dyDescent="0.2">
      <c r="A21280">
        <v>13083</v>
      </c>
      <c r="B21280" t="s">
        <v>40</v>
      </c>
      <c r="C21280">
        <v>13083</v>
      </c>
      <c r="D21280" t="str">
        <f>"13083"</f>
        <v>13083</v>
      </c>
      <c r="E21280">
        <v>71.25</v>
      </c>
    </row>
    <row r="21281" spans="1:5" x14ac:dyDescent="0.2">
      <c r="A21281">
        <v>13084</v>
      </c>
      <c r="B21281" t="s">
        <v>40</v>
      </c>
      <c r="C21281">
        <v>13084</v>
      </c>
      <c r="D21281" t="str">
        <f>"13084"</f>
        <v>13084</v>
      </c>
      <c r="E21281">
        <v>80.09</v>
      </c>
    </row>
    <row r="21282" spans="1:5" x14ac:dyDescent="0.2">
      <c r="A21282">
        <v>13087</v>
      </c>
      <c r="B21282" t="s">
        <v>40</v>
      </c>
      <c r="C21282">
        <v>13087</v>
      </c>
      <c r="D21282" t="str">
        <f>"13087"</f>
        <v>13087</v>
      </c>
      <c r="E21282" t="s">
        <v>6</v>
      </c>
    </row>
    <row r="21283" spans="1:5" x14ac:dyDescent="0.2">
      <c r="A21283">
        <v>13088</v>
      </c>
      <c r="B21283" t="s">
        <v>40</v>
      </c>
      <c r="C21283">
        <v>13088</v>
      </c>
      <c r="D21283" t="str">
        <f>"13088"</f>
        <v>13088</v>
      </c>
      <c r="E21283">
        <v>77.849999999999994</v>
      </c>
    </row>
    <row r="21284" spans="1:5" x14ac:dyDescent="0.2">
      <c r="A21284">
        <v>13090</v>
      </c>
      <c r="B21284" t="s">
        <v>40</v>
      </c>
      <c r="C21284">
        <v>13090</v>
      </c>
      <c r="D21284" t="str">
        <f>"13090"</f>
        <v>13090</v>
      </c>
      <c r="E21284">
        <v>78.34</v>
      </c>
    </row>
    <row r="21285" spans="1:5" x14ac:dyDescent="0.2">
      <c r="A21285">
        <v>13092</v>
      </c>
      <c r="B21285" t="s">
        <v>40</v>
      </c>
      <c r="C21285">
        <v>13092</v>
      </c>
      <c r="D21285" t="str">
        <f>"13092"</f>
        <v>13092</v>
      </c>
      <c r="E21285">
        <v>71.430000000000007</v>
      </c>
    </row>
    <row r="21286" spans="1:5" x14ac:dyDescent="0.2">
      <c r="A21286">
        <v>13101</v>
      </c>
      <c r="B21286" t="s">
        <v>40</v>
      </c>
      <c r="C21286">
        <v>13101</v>
      </c>
      <c r="D21286" t="str">
        <f>"13101"</f>
        <v>13101</v>
      </c>
      <c r="E21286">
        <v>71.540000000000006</v>
      </c>
    </row>
    <row r="21287" spans="1:5" x14ac:dyDescent="0.2">
      <c r="A21287">
        <v>13102</v>
      </c>
      <c r="B21287" t="s">
        <v>40</v>
      </c>
      <c r="C21287">
        <v>13102</v>
      </c>
      <c r="D21287" t="str">
        <f>"13102"</f>
        <v>13102</v>
      </c>
      <c r="E21287" t="s">
        <v>6</v>
      </c>
    </row>
    <row r="21288" spans="1:5" x14ac:dyDescent="0.2">
      <c r="A21288">
        <v>13103</v>
      </c>
      <c r="B21288" t="s">
        <v>40</v>
      </c>
      <c r="C21288">
        <v>13103</v>
      </c>
      <c r="D21288" t="str">
        <f>"13103"</f>
        <v>13103</v>
      </c>
      <c r="E21288">
        <v>69.23</v>
      </c>
    </row>
    <row r="21289" spans="1:5" x14ac:dyDescent="0.2">
      <c r="A21289">
        <v>13104</v>
      </c>
      <c r="B21289" t="s">
        <v>40</v>
      </c>
      <c r="C21289">
        <v>13104</v>
      </c>
      <c r="D21289" t="str">
        <f>"13104"</f>
        <v>13104</v>
      </c>
      <c r="E21289">
        <v>80.599999999999994</v>
      </c>
    </row>
    <row r="21290" spans="1:5" x14ac:dyDescent="0.2">
      <c r="A21290">
        <v>13108</v>
      </c>
      <c r="B21290" t="s">
        <v>40</v>
      </c>
      <c r="C21290">
        <v>13108</v>
      </c>
      <c r="D21290" t="str">
        <f>"13108"</f>
        <v>13108</v>
      </c>
      <c r="E21290">
        <v>78.73</v>
      </c>
    </row>
    <row r="21291" spans="1:5" x14ac:dyDescent="0.2">
      <c r="A21291">
        <v>13110</v>
      </c>
      <c r="B21291" t="s">
        <v>40</v>
      </c>
      <c r="C21291">
        <v>13110</v>
      </c>
      <c r="D21291" t="str">
        <f>"13110"</f>
        <v>13110</v>
      </c>
      <c r="E21291">
        <v>79.13</v>
      </c>
    </row>
    <row r="21292" spans="1:5" x14ac:dyDescent="0.2">
      <c r="A21292">
        <v>13111</v>
      </c>
      <c r="B21292" t="s">
        <v>40</v>
      </c>
      <c r="C21292">
        <v>13111</v>
      </c>
      <c r="D21292" t="str">
        <f>"13111"</f>
        <v>13111</v>
      </c>
      <c r="E21292">
        <v>70</v>
      </c>
    </row>
    <row r="21293" spans="1:5" x14ac:dyDescent="0.2">
      <c r="A21293">
        <v>13112</v>
      </c>
      <c r="B21293" t="s">
        <v>40</v>
      </c>
      <c r="C21293">
        <v>13112</v>
      </c>
      <c r="D21293" t="str">
        <f>"13112"</f>
        <v>13112</v>
      </c>
      <c r="E21293">
        <v>77.08</v>
      </c>
    </row>
    <row r="21294" spans="1:5" x14ac:dyDescent="0.2">
      <c r="A21294">
        <v>13113</v>
      </c>
      <c r="B21294" t="s">
        <v>40</v>
      </c>
      <c r="C21294">
        <v>13113</v>
      </c>
      <c r="D21294" t="str">
        <f>"13113"</f>
        <v>13113</v>
      </c>
      <c r="E21294" t="s">
        <v>6</v>
      </c>
    </row>
    <row r="21295" spans="1:5" x14ac:dyDescent="0.2">
      <c r="A21295">
        <v>13114</v>
      </c>
      <c r="B21295" t="s">
        <v>40</v>
      </c>
      <c r="C21295">
        <v>13114</v>
      </c>
      <c r="D21295" t="str">
        <f>"13114"</f>
        <v>13114</v>
      </c>
      <c r="E21295">
        <v>74.5</v>
      </c>
    </row>
    <row r="21296" spans="1:5" x14ac:dyDescent="0.2">
      <c r="A21296">
        <v>13115</v>
      </c>
      <c r="B21296" t="s">
        <v>40</v>
      </c>
      <c r="C21296">
        <v>13115</v>
      </c>
      <c r="D21296" t="str">
        <f>"13115"</f>
        <v>13115</v>
      </c>
      <c r="E21296" t="s">
        <v>6</v>
      </c>
    </row>
    <row r="21297" spans="1:5" x14ac:dyDescent="0.2">
      <c r="A21297">
        <v>13116</v>
      </c>
      <c r="B21297" t="s">
        <v>40</v>
      </c>
      <c r="C21297">
        <v>13116</v>
      </c>
      <c r="D21297" t="str">
        <f>"13116"</f>
        <v>13116</v>
      </c>
      <c r="E21297">
        <v>78.41</v>
      </c>
    </row>
    <row r="21298" spans="1:5" x14ac:dyDescent="0.2">
      <c r="A21298">
        <v>13117</v>
      </c>
      <c r="B21298" t="s">
        <v>40</v>
      </c>
      <c r="C21298">
        <v>13117</v>
      </c>
      <c r="D21298" t="str">
        <f>"13117"</f>
        <v>13117</v>
      </c>
      <c r="E21298" t="s">
        <v>6</v>
      </c>
    </row>
    <row r="21299" spans="1:5" x14ac:dyDescent="0.2">
      <c r="A21299">
        <v>13118</v>
      </c>
      <c r="B21299" t="s">
        <v>40</v>
      </c>
      <c r="C21299">
        <v>13118</v>
      </c>
      <c r="D21299" t="str">
        <f>"13118"</f>
        <v>13118</v>
      </c>
      <c r="E21299">
        <v>74.47</v>
      </c>
    </row>
    <row r="21300" spans="1:5" x14ac:dyDescent="0.2">
      <c r="A21300">
        <v>13120</v>
      </c>
      <c r="B21300" t="s">
        <v>40</v>
      </c>
      <c r="C21300">
        <v>13120</v>
      </c>
      <c r="D21300" t="str">
        <f>"13120"</f>
        <v>13120</v>
      </c>
      <c r="E21300">
        <v>69.72</v>
      </c>
    </row>
    <row r="21301" spans="1:5" x14ac:dyDescent="0.2">
      <c r="A21301">
        <v>13122</v>
      </c>
      <c r="B21301" t="s">
        <v>40</v>
      </c>
      <c r="C21301">
        <v>13122</v>
      </c>
      <c r="D21301" t="str">
        <f>"13122"</f>
        <v>13122</v>
      </c>
      <c r="E21301">
        <v>73.58</v>
      </c>
    </row>
    <row r="21302" spans="1:5" x14ac:dyDescent="0.2">
      <c r="A21302">
        <v>13123</v>
      </c>
      <c r="B21302" t="s">
        <v>40</v>
      </c>
      <c r="C21302">
        <v>13123</v>
      </c>
      <c r="D21302" t="str">
        <f>"13123"</f>
        <v>13123</v>
      </c>
      <c r="E21302" t="s">
        <v>6</v>
      </c>
    </row>
    <row r="21303" spans="1:5" x14ac:dyDescent="0.2">
      <c r="A21303">
        <v>13124</v>
      </c>
      <c r="B21303" t="s">
        <v>40</v>
      </c>
      <c r="C21303">
        <v>13124</v>
      </c>
      <c r="D21303" t="str">
        <f>"13124"</f>
        <v>13124</v>
      </c>
      <c r="E21303" t="s">
        <v>6</v>
      </c>
    </row>
    <row r="21304" spans="1:5" x14ac:dyDescent="0.2">
      <c r="A21304">
        <v>13126</v>
      </c>
      <c r="B21304" t="s">
        <v>40</v>
      </c>
      <c r="C21304">
        <v>13126</v>
      </c>
      <c r="D21304" t="str">
        <f>"13126"</f>
        <v>13126</v>
      </c>
      <c r="E21304">
        <v>73.63</v>
      </c>
    </row>
    <row r="21305" spans="1:5" x14ac:dyDescent="0.2">
      <c r="A21305">
        <v>13131</v>
      </c>
      <c r="B21305" t="s">
        <v>40</v>
      </c>
      <c r="C21305">
        <v>13131</v>
      </c>
      <c r="D21305" t="str">
        <f>"13131"</f>
        <v>13131</v>
      </c>
      <c r="E21305">
        <v>73.56</v>
      </c>
    </row>
    <row r="21306" spans="1:5" x14ac:dyDescent="0.2">
      <c r="A21306">
        <v>13132</v>
      </c>
      <c r="B21306" t="s">
        <v>40</v>
      </c>
      <c r="C21306">
        <v>13132</v>
      </c>
      <c r="D21306" t="str">
        <f>"13132"</f>
        <v>13132</v>
      </c>
      <c r="E21306">
        <v>75.260000000000005</v>
      </c>
    </row>
    <row r="21307" spans="1:5" x14ac:dyDescent="0.2">
      <c r="A21307">
        <v>13135</v>
      </c>
      <c r="B21307" t="s">
        <v>40</v>
      </c>
      <c r="C21307">
        <v>13135</v>
      </c>
      <c r="D21307" t="str">
        <f>"13135"</f>
        <v>13135</v>
      </c>
      <c r="E21307">
        <v>74.59</v>
      </c>
    </row>
    <row r="21308" spans="1:5" x14ac:dyDescent="0.2">
      <c r="A21308">
        <v>13136</v>
      </c>
      <c r="B21308" t="s">
        <v>40</v>
      </c>
      <c r="C21308">
        <v>13136</v>
      </c>
      <c r="D21308" t="str">
        <f>"13136"</f>
        <v>13136</v>
      </c>
      <c r="E21308">
        <v>63.16</v>
      </c>
    </row>
    <row r="21309" spans="1:5" x14ac:dyDescent="0.2">
      <c r="A21309">
        <v>13138</v>
      </c>
      <c r="B21309" t="s">
        <v>40</v>
      </c>
      <c r="C21309">
        <v>13138</v>
      </c>
      <c r="D21309" t="str">
        <f>"13138"</f>
        <v>13138</v>
      </c>
      <c r="E21309" t="s">
        <v>6</v>
      </c>
    </row>
    <row r="21310" spans="1:5" x14ac:dyDescent="0.2">
      <c r="A21310">
        <v>13140</v>
      </c>
      <c r="B21310" t="s">
        <v>40</v>
      </c>
      <c r="C21310">
        <v>13140</v>
      </c>
      <c r="D21310" t="str">
        <f>"13140"</f>
        <v>13140</v>
      </c>
      <c r="E21310">
        <v>71.72</v>
      </c>
    </row>
    <row r="21311" spans="1:5" x14ac:dyDescent="0.2">
      <c r="A21311">
        <v>13141</v>
      </c>
      <c r="B21311" t="s">
        <v>40</v>
      </c>
      <c r="C21311">
        <v>13141</v>
      </c>
      <c r="D21311" t="str">
        <f>"13141"</f>
        <v>13141</v>
      </c>
      <c r="E21311">
        <v>72.73</v>
      </c>
    </row>
    <row r="21312" spans="1:5" x14ac:dyDescent="0.2">
      <c r="A21312">
        <v>13142</v>
      </c>
      <c r="B21312" t="s">
        <v>40</v>
      </c>
      <c r="C21312">
        <v>13142</v>
      </c>
      <c r="D21312" t="str">
        <f>"13142"</f>
        <v>13142</v>
      </c>
      <c r="E21312">
        <v>71.13</v>
      </c>
    </row>
    <row r="21313" spans="1:5" x14ac:dyDescent="0.2">
      <c r="A21313">
        <v>13143</v>
      </c>
      <c r="B21313" t="s">
        <v>40</v>
      </c>
      <c r="C21313">
        <v>13143</v>
      </c>
      <c r="D21313" t="str">
        <f>"13143"</f>
        <v>13143</v>
      </c>
      <c r="E21313">
        <v>71.55</v>
      </c>
    </row>
    <row r="21314" spans="1:5" x14ac:dyDescent="0.2">
      <c r="A21314">
        <v>13144</v>
      </c>
      <c r="B21314" t="s">
        <v>40</v>
      </c>
      <c r="C21314">
        <v>13144</v>
      </c>
      <c r="D21314" t="str">
        <f>"13144"</f>
        <v>13144</v>
      </c>
      <c r="E21314">
        <v>64.81</v>
      </c>
    </row>
    <row r="21315" spans="1:5" x14ac:dyDescent="0.2">
      <c r="A21315">
        <v>13145</v>
      </c>
      <c r="B21315" t="s">
        <v>40</v>
      </c>
      <c r="C21315">
        <v>13145</v>
      </c>
      <c r="D21315" t="str">
        <f>"13145"</f>
        <v>13145</v>
      </c>
      <c r="E21315">
        <v>71.430000000000007</v>
      </c>
    </row>
    <row r="21316" spans="1:5" x14ac:dyDescent="0.2">
      <c r="A21316">
        <v>13146</v>
      </c>
      <c r="B21316" t="s">
        <v>40</v>
      </c>
      <c r="C21316">
        <v>13146</v>
      </c>
      <c r="D21316" t="str">
        <f>"13146"</f>
        <v>13146</v>
      </c>
      <c r="E21316">
        <v>68.540000000000006</v>
      </c>
    </row>
    <row r="21317" spans="1:5" x14ac:dyDescent="0.2">
      <c r="A21317">
        <v>13147</v>
      </c>
      <c r="B21317" t="s">
        <v>40</v>
      </c>
      <c r="C21317">
        <v>13147</v>
      </c>
      <c r="D21317" t="str">
        <f>"13147"</f>
        <v>13147</v>
      </c>
      <c r="E21317">
        <v>77.55</v>
      </c>
    </row>
    <row r="21318" spans="1:5" x14ac:dyDescent="0.2">
      <c r="A21318">
        <v>13148</v>
      </c>
      <c r="B21318" t="s">
        <v>40</v>
      </c>
      <c r="C21318">
        <v>13148</v>
      </c>
      <c r="D21318" t="str">
        <f>"13148"</f>
        <v>13148</v>
      </c>
      <c r="E21318">
        <v>72.69</v>
      </c>
    </row>
    <row r="21319" spans="1:5" x14ac:dyDescent="0.2">
      <c r="A21319">
        <v>13152</v>
      </c>
      <c r="B21319" t="s">
        <v>40</v>
      </c>
      <c r="C21319">
        <v>13152</v>
      </c>
      <c r="D21319" t="str">
        <f>"13152"</f>
        <v>13152</v>
      </c>
      <c r="E21319">
        <v>78.64</v>
      </c>
    </row>
    <row r="21320" spans="1:5" x14ac:dyDescent="0.2">
      <c r="A21320">
        <v>13153</v>
      </c>
      <c r="B21320" t="s">
        <v>40</v>
      </c>
      <c r="C21320">
        <v>13153</v>
      </c>
      <c r="D21320" t="str">
        <f>"13153"</f>
        <v>13153</v>
      </c>
      <c r="E21320" t="s">
        <v>6</v>
      </c>
    </row>
    <row r="21321" spans="1:5" x14ac:dyDescent="0.2">
      <c r="A21321">
        <v>13154</v>
      </c>
      <c r="B21321" t="s">
        <v>40</v>
      </c>
      <c r="C21321">
        <v>13154</v>
      </c>
      <c r="D21321" t="str">
        <f>"13154"</f>
        <v>13154</v>
      </c>
      <c r="E21321" t="s">
        <v>6</v>
      </c>
    </row>
    <row r="21322" spans="1:5" x14ac:dyDescent="0.2">
      <c r="A21322">
        <v>13155</v>
      </c>
      <c r="B21322" t="s">
        <v>40</v>
      </c>
      <c r="C21322">
        <v>13155</v>
      </c>
      <c r="D21322" t="str">
        <f>"13155"</f>
        <v>13155</v>
      </c>
      <c r="E21322">
        <v>71.430000000000007</v>
      </c>
    </row>
    <row r="21323" spans="1:5" x14ac:dyDescent="0.2">
      <c r="A21323">
        <v>13156</v>
      </c>
      <c r="B21323" t="s">
        <v>40</v>
      </c>
      <c r="C21323">
        <v>13156</v>
      </c>
      <c r="D21323" t="str">
        <f>"13156"</f>
        <v>13156</v>
      </c>
      <c r="E21323">
        <v>74.069999999999993</v>
      </c>
    </row>
    <row r="21324" spans="1:5" x14ac:dyDescent="0.2">
      <c r="A21324">
        <v>13157</v>
      </c>
      <c r="B21324" t="s">
        <v>40</v>
      </c>
      <c r="C21324">
        <v>13157</v>
      </c>
      <c r="D21324" t="str">
        <f>"13157"</f>
        <v>13157</v>
      </c>
      <c r="E21324" t="s">
        <v>6</v>
      </c>
    </row>
    <row r="21325" spans="1:5" x14ac:dyDescent="0.2">
      <c r="A21325">
        <v>13158</v>
      </c>
      <c r="B21325" t="s">
        <v>40</v>
      </c>
      <c r="C21325">
        <v>13158</v>
      </c>
      <c r="D21325" t="str">
        <f>"13158"</f>
        <v>13158</v>
      </c>
      <c r="E21325">
        <v>69.23</v>
      </c>
    </row>
    <row r="21326" spans="1:5" x14ac:dyDescent="0.2">
      <c r="A21326">
        <v>13159</v>
      </c>
      <c r="B21326" t="s">
        <v>40</v>
      </c>
      <c r="C21326">
        <v>13159</v>
      </c>
      <c r="D21326" t="str">
        <f>"13159"</f>
        <v>13159</v>
      </c>
      <c r="E21326">
        <v>79.459999999999994</v>
      </c>
    </row>
    <row r="21327" spans="1:5" x14ac:dyDescent="0.2">
      <c r="A21327">
        <v>13160</v>
      </c>
      <c r="B21327" t="s">
        <v>40</v>
      </c>
      <c r="C21327">
        <v>13160</v>
      </c>
      <c r="D21327" t="str">
        <f>"13160"</f>
        <v>13160</v>
      </c>
      <c r="E21327">
        <v>73.680000000000007</v>
      </c>
    </row>
    <row r="21328" spans="1:5" x14ac:dyDescent="0.2">
      <c r="A21328">
        <v>13162</v>
      </c>
      <c r="B21328" t="s">
        <v>40</v>
      </c>
      <c r="C21328">
        <v>13162</v>
      </c>
      <c r="D21328" t="str">
        <f>"13162"</f>
        <v>13162</v>
      </c>
      <c r="E21328" t="s">
        <v>6</v>
      </c>
    </row>
    <row r="21329" spans="1:5" x14ac:dyDescent="0.2">
      <c r="A21329">
        <v>13163</v>
      </c>
      <c r="B21329" t="s">
        <v>40</v>
      </c>
      <c r="C21329">
        <v>13163</v>
      </c>
      <c r="D21329" t="str">
        <f>"13163"</f>
        <v>13163</v>
      </c>
      <c r="E21329" t="s">
        <v>6</v>
      </c>
    </row>
    <row r="21330" spans="1:5" x14ac:dyDescent="0.2">
      <c r="A21330">
        <v>13164</v>
      </c>
      <c r="B21330" t="s">
        <v>40</v>
      </c>
      <c r="C21330">
        <v>13164</v>
      </c>
      <c r="D21330" t="str">
        <f>"13164"</f>
        <v>13164</v>
      </c>
      <c r="E21330">
        <v>78.13</v>
      </c>
    </row>
    <row r="21331" spans="1:5" x14ac:dyDescent="0.2">
      <c r="A21331">
        <v>13165</v>
      </c>
      <c r="B21331" t="s">
        <v>40</v>
      </c>
      <c r="C21331">
        <v>13165</v>
      </c>
      <c r="D21331" t="str">
        <f>"13165"</f>
        <v>13165</v>
      </c>
      <c r="E21331">
        <v>71.290000000000006</v>
      </c>
    </row>
    <row r="21332" spans="1:5" x14ac:dyDescent="0.2">
      <c r="A21332">
        <v>13166</v>
      </c>
      <c r="B21332" t="s">
        <v>40</v>
      </c>
      <c r="C21332">
        <v>13166</v>
      </c>
      <c r="D21332" t="str">
        <f>"13166"</f>
        <v>13166</v>
      </c>
      <c r="E21332">
        <v>75.58</v>
      </c>
    </row>
    <row r="21333" spans="1:5" x14ac:dyDescent="0.2">
      <c r="A21333">
        <v>13167</v>
      </c>
      <c r="B21333" t="s">
        <v>40</v>
      </c>
      <c r="C21333">
        <v>13167</v>
      </c>
      <c r="D21333" t="str">
        <f>"13167"</f>
        <v>13167</v>
      </c>
      <c r="E21333">
        <v>74.849999999999994</v>
      </c>
    </row>
    <row r="21334" spans="1:5" x14ac:dyDescent="0.2">
      <c r="A21334">
        <v>13202</v>
      </c>
      <c r="B21334" t="s">
        <v>40</v>
      </c>
      <c r="C21334">
        <v>13202</v>
      </c>
      <c r="D21334" t="str">
        <f>"13202"</f>
        <v>13202</v>
      </c>
      <c r="E21334">
        <v>57.07</v>
      </c>
    </row>
    <row r="21335" spans="1:5" x14ac:dyDescent="0.2">
      <c r="A21335">
        <v>13203</v>
      </c>
      <c r="B21335" t="s">
        <v>40</v>
      </c>
      <c r="C21335">
        <v>13203</v>
      </c>
      <c r="D21335" t="str">
        <f>"13203"</f>
        <v>13203</v>
      </c>
      <c r="E21335">
        <v>59.19</v>
      </c>
    </row>
    <row r="21336" spans="1:5" x14ac:dyDescent="0.2">
      <c r="A21336">
        <v>13204</v>
      </c>
      <c r="B21336" t="s">
        <v>40</v>
      </c>
      <c r="C21336">
        <v>13204</v>
      </c>
      <c r="D21336" t="str">
        <f>"13204"</f>
        <v>13204</v>
      </c>
      <c r="E21336">
        <v>57.05</v>
      </c>
    </row>
    <row r="21337" spans="1:5" x14ac:dyDescent="0.2">
      <c r="A21337">
        <v>13205</v>
      </c>
      <c r="B21337" t="s">
        <v>40</v>
      </c>
      <c r="C21337">
        <v>13205</v>
      </c>
      <c r="D21337" t="str">
        <f>"13205"</f>
        <v>13205</v>
      </c>
      <c r="E21337">
        <v>57.38</v>
      </c>
    </row>
    <row r="21338" spans="1:5" x14ac:dyDescent="0.2">
      <c r="A21338">
        <v>13206</v>
      </c>
      <c r="B21338" t="s">
        <v>40</v>
      </c>
      <c r="C21338">
        <v>13206</v>
      </c>
      <c r="D21338" t="str">
        <f>"13206"</f>
        <v>13206</v>
      </c>
      <c r="E21338">
        <v>69.260000000000005</v>
      </c>
    </row>
    <row r="21339" spans="1:5" x14ac:dyDescent="0.2">
      <c r="A21339">
        <v>13207</v>
      </c>
      <c r="B21339" t="s">
        <v>40</v>
      </c>
      <c r="C21339">
        <v>13207</v>
      </c>
      <c r="D21339" t="str">
        <f>"13207"</f>
        <v>13207</v>
      </c>
      <c r="E21339">
        <v>65.55</v>
      </c>
    </row>
    <row r="21340" spans="1:5" x14ac:dyDescent="0.2">
      <c r="A21340">
        <v>13208</v>
      </c>
      <c r="B21340" t="s">
        <v>40</v>
      </c>
      <c r="C21340">
        <v>13208</v>
      </c>
      <c r="D21340" t="str">
        <f>"13208"</f>
        <v>13208</v>
      </c>
      <c r="E21340">
        <v>55.76</v>
      </c>
    </row>
    <row r="21341" spans="1:5" x14ac:dyDescent="0.2">
      <c r="A21341">
        <v>13209</v>
      </c>
      <c r="B21341" t="s">
        <v>40</v>
      </c>
      <c r="C21341">
        <v>13209</v>
      </c>
      <c r="D21341" t="str">
        <f>"13209"</f>
        <v>13209</v>
      </c>
      <c r="E21341">
        <v>73.72</v>
      </c>
    </row>
    <row r="21342" spans="1:5" x14ac:dyDescent="0.2">
      <c r="A21342">
        <v>13210</v>
      </c>
      <c r="B21342" t="s">
        <v>40</v>
      </c>
      <c r="C21342">
        <v>13210</v>
      </c>
      <c r="D21342" t="str">
        <f>"13210"</f>
        <v>13210</v>
      </c>
      <c r="E21342">
        <v>64.56</v>
      </c>
    </row>
    <row r="21343" spans="1:5" x14ac:dyDescent="0.2">
      <c r="A21343">
        <v>13211</v>
      </c>
      <c r="B21343" t="s">
        <v>40</v>
      </c>
      <c r="C21343">
        <v>13211</v>
      </c>
      <c r="D21343" t="str">
        <f>"13211"</f>
        <v>13211</v>
      </c>
      <c r="E21343">
        <v>71.430000000000007</v>
      </c>
    </row>
    <row r="21344" spans="1:5" x14ac:dyDescent="0.2">
      <c r="A21344">
        <v>13212</v>
      </c>
      <c r="B21344" t="s">
        <v>40</v>
      </c>
      <c r="C21344">
        <v>13212</v>
      </c>
      <c r="D21344" t="str">
        <f>"13212"</f>
        <v>13212</v>
      </c>
      <c r="E21344">
        <v>76.900000000000006</v>
      </c>
    </row>
    <row r="21345" spans="1:5" x14ac:dyDescent="0.2">
      <c r="A21345">
        <v>13214</v>
      </c>
      <c r="B21345" t="s">
        <v>40</v>
      </c>
      <c r="C21345">
        <v>13214</v>
      </c>
      <c r="D21345" t="str">
        <f>"13214"</f>
        <v>13214</v>
      </c>
      <c r="E21345">
        <v>76</v>
      </c>
    </row>
    <row r="21346" spans="1:5" x14ac:dyDescent="0.2">
      <c r="A21346">
        <v>13215</v>
      </c>
      <c r="B21346" t="s">
        <v>40</v>
      </c>
      <c r="C21346">
        <v>13215</v>
      </c>
      <c r="D21346" t="str">
        <f>"13215"</f>
        <v>13215</v>
      </c>
      <c r="E21346">
        <v>79.2</v>
      </c>
    </row>
    <row r="21347" spans="1:5" x14ac:dyDescent="0.2">
      <c r="A21347">
        <v>13219</v>
      </c>
      <c r="B21347" t="s">
        <v>40</v>
      </c>
      <c r="C21347">
        <v>13219</v>
      </c>
      <c r="D21347" t="str">
        <f>"13219"</f>
        <v>13219</v>
      </c>
      <c r="E21347">
        <v>79.2</v>
      </c>
    </row>
    <row r="21348" spans="1:5" x14ac:dyDescent="0.2">
      <c r="A21348">
        <v>13224</v>
      </c>
      <c r="B21348" t="s">
        <v>40</v>
      </c>
      <c r="C21348">
        <v>13224</v>
      </c>
      <c r="D21348" t="str">
        <f>"13224"</f>
        <v>13224</v>
      </c>
      <c r="E21348">
        <v>70.64</v>
      </c>
    </row>
    <row r="21349" spans="1:5" x14ac:dyDescent="0.2">
      <c r="A21349">
        <v>13244</v>
      </c>
      <c r="B21349" t="s">
        <v>40</v>
      </c>
      <c r="C21349">
        <v>13244</v>
      </c>
      <c r="D21349" t="str">
        <f>"13244"</f>
        <v>13244</v>
      </c>
      <c r="E21349" t="s">
        <v>6</v>
      </c>
    </row>
    <row r="21350" spans="1:5" x14ac:dyDescent="0.2">
      <c r="A21350">
        <v>13261</v>
      </c>
      <c r="B21350" t="s">
        <v>40</v>
      </c>
      <c r="C21350">
        <v>13261</v>
      </c>
      <c r="D21350" t="str">
        <f>"13261"</f>
        <v>13261</v>
      </c>
      <c r="E21350" t="s">
        <v>6</v>
      </c>
    </row>
    <row r="21351" spans="1:5" x14ac:dyDescent="0.2">
      <c r="A21351">
        <v>13290</v>
      </c>
      <c r="B21351" t="s">
        <v>40</v>
      </c>
      <c r="C21351">
        <v>13290</v>
      </c>
      <c r="D21351" t="str">
        <f>"13290"</f>
        <v>13290</v>
      </c>
      <c r="E21351" t="s">
        <v>6</v>
      </c>
    </row>
    <row r="21352" spans="1:5" x14ac:dyDescent="0.2">
      <c r="A21352">
        <v>13301</v>
      </c>
      <c r="B21352" t="s">
        <v>40</v>
      </c>
      <c r="C21352">
        <v>13301</v>
      </c>
      <c r="D21352" t="str">
        <f>"13301"</f>
        <v>13301</v>
      </c>
      <c r="E21352" t="s">
        <v>6</v>
      </c>
    </row>
    <row r="21353" spans="1:5" x14ac:dyDescent="0.2">
      <c r="A21353">
        <v>13302</v>
      </c>
      <c r="B21353" t="s">
        <v>40</v>
      </c>
      <c r="C21353">
        <v>13302</v>
      </c>
      <c r="D21353" t="str">
        <f>"13302"</f>
        <v>13302</v>
      </c>
      <c r="E21353">
        <v>65.150000000000006</v>
      </c>
    </row>
    <row r="21354" spans="1:5" x14ac:dyDescent="0.2">
      <c r="A21354">
        <v>13303</v>
      </c>
      <c r="B21354" t="s">
        <v>40</v>
      </c>
      <c r="C21354">
        <v>13303</v>
      </c>
      <c r="D21354" t="str">
        <f>"13303"</f>
        <v>13303</v>
      </c>
      <c r="E21354">
        <v>75.44</v>
      </c>
    </row>
    <row r="21355" spans="1:5" x14ac:dyDescent="0.2">
      <c r="A21355">
        <v>13304</v>
      </c>
      <c r="B21355" t="s">
        <v>40</v>
      </c>
      <c r="C21355">
        <v>13304</v>
      </c>
      <c r="D21355" t="str">
        <f>"13304"</f>
        <v>13304</v>
      </c>
      <c r="E21355">
        <v>78.89</v>
      </c>
    </row>
    <row r="21356" spans="1:5" x14ac:dyDescent="0.2">
      <c r="A21356">
        <v>13308</v>
      </c>
      <c r="B21356" t="s">
        <v>40</v>
      </c>
      <c r="C21356">
        <v>13308</v>
      </c>
      <c r="D21356" t="str">
        <f>"13308"</f>
        <v>13308</v>
      </c>
      <c r="E21356">
        <v>69.680000000000007</v>
      </c>
    </row>
    <row r="21357" spans="1:5" x14ac:dyDescent="0.2">
      <c r="A21357">
        <v>13309</v>
      </c>
      <c r="B21357" t="s">
        <v>40</v>
      </c>
      <c r="C21357">
        <v>13309</v>
      </c>
      <c r="D21357" t="str">
        <f>"13309"</f>
        <v>13309</v>
      </c>
      <c r="E21357">
        <v>71.59</v>
      </c>
    </row>
    <row r="21358" spans="1:5" x14ac:dyDescent="0.2">
      <c r="A21358">
        <v>13310</v>
      </c>
      <c r="B21358" t="s">
        <v>40</v>
      </c>
      <c r="C21358">
        <v>13310</v>
      </c>
      <c r="D21358" t="str">
        <f>"13310"</f>
        <v>13310</v>
      </c>
      <c r="E21358">
        <v>73.33</v>
      </c>
    </row>
    <row r="21359" spans="1:5" x14ac:dyDescent="0.2">
      <c r="A21359">
        <v>13312</v>
      </c>
      <c r="B21359" t="s">
        <v>40</v>
      </c>
      <c r="C21359">
        <v>13312</v>
      </c>
      <c r="D21359" t="str">
        <f>"13312"</f>
        <v>13312</v>
      </c>
      <c r="E21359" t="s">
        <v>6</v>
      </c>
    </row>
    <row r="21360" spans="1:5" x14ac:dyDescent="0.2">
      <c r="A21360">
        <v>13313</v>
      </c>
      <c r="B21360" t="s">
        <v>40</v>
      </c>
      <c r="C21360">
        <v>13313</v>
      </c>
      <c r="D21360" t="str">
        <f>"13313"</f>
        <v>13313</v>
      </c>
      <c r="E21360" t="s">
        <v>6</v>
      </c>
    </row>
    <row r="21361" spans="1:5" x14ac:dyDescent="0.2">
      <c r="A21361">
        <v>13314</v>
      </c>
      <c r="B21361" t="s">
        <v>40</v>
      </c>
      <c r="C21361">
        <v>13314</v>
      </c>
      <c r="D21361" t="str">
        <f>"13314"</f>
        <v>13314</v>
      </c>
      <c r="E21361">
        <v>70</v>
      </c>
    </row>
    <row r="21362" spans="1:5" x14ac:dyDescent="0.2">
      <c r="A21362">
        <v>13315</v>
      </c>
      <c r="B21362" t="s">
        <v>40</v>
      </c>
      <c r="C21362">
        <v>13315</v>
      </c>
      <c r="D21362" t="str">
        <f>"13315"</f>
        <v>13315</v>
      </c>
      <c r="E21362">
        <v>68.849999999999994</v>
      </c>
    </row>
    <row r="21363" spans="1:5" x14ac:dyDescent="0.2">
      <c r="A21363">
        <v>13316</v>
      </c>
      <c r="B21363" t="s">
        <v>40</v>
      </c>
      <c r="C21363">
        <v>13316</v>
      </c>
      <c r="D21363" t="str">
        <f>"13316"</f>
        <v>13316</v>
      </c>
      <c r="E21363">
        <v>72.790000000000006</v>
      </c>
    </row>
    <row r="21364" spans="1:5" x14ac:dyDescent="0.2">
      <c r="A21364">
        <v>13317</v>
      </c>
      <c r="B21364" t="s">
        <v>40</v>
      </c>
      <c r="C21364">
        <v>13317</v>
      </c>
      <c r="D21364" t="str">
        <f>"13317"</f>
        <v>13317</v>
      </c>
      <c r="E21364">
        <v>68.260000000000005</v>
      </c>
    </row>
    <row r="21365" spans="1:5" x14ac:dyDescent="0.2">
      <c r="A21365">
        <v>13318</v>
      </c>
      <c r="B21365" t="s">
        <v>40</v>
      </c>
      <c r="C21365">
        <v>13318</v>
      </c>
      <c r="D21365" t="str">
        <f>"13318"</f>
        <v>13318</v>
      </c>
      <c r="E21365">
        <v>77.05</v>
      </c>
    </row>
    <row r="21366" spans="1:5" x14ac:dyDescent="0.2">
      <c r="A21366">
        <v>13319</v>
      </c>
      <c r="B21366" t="s">
        <v>40</v>
      </c>
      <c r="C21366">
        <v>13319</v>
      </c>
      <c r="D21366" t="str">
        <f>"13319"</f>
        <v>13319</v>
      </c>
      <c r="E21366">
        <v>71.11</v>
      </c>
    </row>
    <row r="21367" spans="1:5" x14ac:dyDescent="0.2">
      <c r="A21367">
        <v>13320</v>
      </c>
      <c r="B21367" t="s">
        <v>40</v>
      </c>
      <c r="C21367">
        <v>13320</v>
      </c>
      <c r="D21367" t="str">
        <f>"13320"</f>
        <v>13320</v>
      </c>
      <c r="E21367">
        <v>70.209999999999994</v>
      </c>
    </row>
    <row r="21368" spans="1:5" x14ac:dyDescent="0.2">
      <c r="A21368">
        <v>13321</v>
      </c>
      <c r="B21368" t="s">
        <v>40</v>
      </c>
      <c r="C21368">
        <v>13321</v>
      </c>
      <c r="D21368" t="str">
        <f>"13321"</f>
        <v>13321</v>
      </c>
      <c r="E21368" t="s">
        <v>6</v>
      </c>
    </row>
    <row r="21369" spans="1:5" x14ac:dyDescent="0.2">
      <c r="A21369">
        <v>13322</v>
      </c>
      <c r="B21369" t="s">
        <v>40</v>
      </c>
      <c r="C21369">
        <v>13322</v>
      </c>
      <c r="D21369" t="str">
        <f>"13322"</f>
        <v>13322</v>
      </c>
      <c r="E21369">
        <v>76.92</v>
      </c>
    </row>
    <row r="21370" spans="1:5" x14ac:dyDescent="0.2">
      <c r="A21370">
        <v>13323</v>
      </c>
      <c r="B21370" t="s">
        <v>40</v>
      </c>
      <c r="C21370">
        <v>13323</v>
      </c>
      <c r="D21370" t="str">
        <f>"13323"</f>
        <v>13323</v>
      </c>
      <c r="E21370">
        <v>78.81</v>
      </c>
    </row>
    <row r="21371" spans="1:5" x14ac:dyDescent="0.2">
      <c r="A21371">
        <v>13324</v>
      </c>
      <c r="B21371" t="s">
        <v>40</v>
      </c>
      <c r="C21371">
        <v>13324</v>
      </c>
      <c r="D21371" t="str">
        <f>"13324"</f>
        <v>13324</v>
      </c>
      <c r="E21371">
        <v>74.73</v>
      </c>
    </row>
    <row r="21372" spans="1:5" x14ac:dyDescent="0.2">
      <c r="A21372">
        <v>13325</v>
      </c>
      <c r="B21372" t="s">
        <v>40</v>
      </c>
      <c r="C21372">
        <v>13325</v>
      </c>
      <c r="D21372" t="str">
        <f>"13325"</f>
        <v>13325</v>
      </c>
      <c r="E21372">
        <v>64.290000000000006</v>
      </c>
    </row>
    <row r="21373" spans="1:5" x14ac:dyDescent="0.2">
      <c r="A21373">
        <v>13326</v>
      </c>
      <c r="B21373" t="s">
        <v>40</v>
      </c>
      <c r="C21373">
        <v>13326</v>
      </c>
      <c r="D21373" t="str">
        <f>"13326"</f>
        <v>13326</v>
      </c>
      <c r="E21373">
        <v>77.08</v>
      </c>
    </row>
    <row r="21374" spans="1:5" x14ac:dyDescent="0.2">
      <c r="A21374">
        <v>13327</v>
      </c>
      <c r="B21374" t="s">
        <v>40</v>
      </c>
      <c r="C21374">
        <v>13327</v>
      </c>
      <c r="D21374" t="str">
        <f>"13327"</f>
        <v>13327</v>
      </c>
      <c r="E21374">
        <v>70.41</v>
      </c>
    </row>
    <row r="21375" spans="1:5" x14ac:dyDescent="0.2">
      <c r="A21375">
        <v>13328</v>
      </c>
      <c r="B21375" t="s">
        <v>40</v>
      </c>
      <c r="C21375">
        <v>13328</v>
      </c>
      <c r="D21375" t="str">
        <f>"13328"</f>
        <v>13328</v>
      </c>
      <c r="E21375">
        <v>77.78</v>
      </c>
    </row>
    <row r="21376" spans="1:5" x14ac:dyDescent="0.2">
      <c r="A21376">
        <v>13329</v>
      </c>
      <c r="B21376" t="s">
        <v>40</v>
      </c>
      <c r="C21376">
        <v>13329</v>
      </c>
      <c r="D21376" t="str">
        <f>"13329"</f>
        <v>13329</v>
      </c>
      <c r="E21376">
        <v>68.94</v>
      </c>
    </row>
    <row r="21377" spans="1:5" x14ac:dyDescent="0.2">
      <c r="A21377">
        <v>13331</v>
      </c>
      <c r="B21377" t="s">
        <v>40</v>
      </c>
      <c r="C21377">
        <v>13331</v>
      </c>
      <c r="D21377" t="str">
        <f>"13331"</f>
        <v>13331</v>
      </c>
      <c r="E21377">
        <v>84.62</v>
      </c>
    </row>
    <row r="21378" spans="1:5" x14ac:dyDescent="0.2">
      <c r="A21378">
        <v>13332</v>
      </c>
      <c r="B21378" t="s">
        <v>40</v>
      </c>
      <c r="C21378">
        <v>13332</v>
      </c>
      <c r="D21378" t="str">
        <f>"13332"</f>
        <v>13332</v>
      </c>
      <c r="E21378">
        <v>69.3</v>
      </c>
    </row>
    <row r="21379" spans="1:5" x14ac:dyDescent="0.2">
      <c r="A21379">
        <v>13333</v>
      </c>
      <c r="B21379" t="s">
        <v>40</v>
      </c>
      <c r="C21379">
        <v>13333</v>
      </c>
      <c r="D21379" t="str">
        <f>"13333"</f>
        <v>13333</v>
      </c>
      <c r="E21379" t="s">
        <v>6</v>
      </c>
    </row>
    <row r="21380" spans="1:5" x14ac:dyDescent="0.2">
      <c r="A21380">
        <v>13334</v>
      </c>
      <c r="B21380" t="s">
        <v>40</v>
      </c>
      <c r="C21380">
        <v>13334</v>
      </c>
      <c r="D21380" t="str">
        <f>"13334"</f>
        <v>13334</v>
      </c>
      <c r="E21380">
        <v>72.73</v>
      </c>
    </row>
    <row r="21381" spans="1:5" x14ac:dyDescent="0.2">
      <c r="A21381">
        <v>13335</v>
      </c>
      <c r="B21381" t="s">
        <v>40</v>
      </c>
      <c r="C21381">
        <v>13335</v>
      </c>
      <c r="D21381" t="str">
        <f>"13335"</f>
        <v>13335</v>
      </c>
      <c r="E21381">
        <v>65.75</v>
      </c>
    </row>
    <row r="21382" spans="1:5" x14ac:dyDescent="0.2">
      <c r="A21382">
        <v>13337</v>
      </c>
      <c r="B21382" t="s">
        <v>40</v>
      </c>
      <c r="C21382">
        <v>13337</v>
      </c>
      <c r="D21382" t="str">
        <f>"13337"</f>
        <v>13337</v>
      </c>
      <c r="E21382">
        <v>77.5</v>
      </c>
    </row>
    <row r="21383" spans="1:5" x14ac:dyDescent="0.2">
      <c r="A21383">
        <v>13338</v>
      </c>
      <c r="B21383" t="s">
        <v>40</v>
      </c>
      <c r="C21383">
        <v>13338</v>
      </c>
      <c r="D21383" t="str">
        <f>"13338"</f>
        <v>13338</v>
      </c>
      <c r="E21383">
        <v>72.13</v>
      </c>
    </row>
    <row r="21384" spans="1:5" x14ac:dyDescent="0.2">
      <c r="A21384">
        <v>13339</v>
      </c>
      <c r="B21384" t="s">
        <v>40</v>
      </c>
      <c r="C21384">
        <v>13339</v>
      </c>
      <c r="D21384" t="str">
        <f>"13339"</f>
        <v>13339</v>
      </c>
      <c r="E21384">
        <v>66.03</v>
      </c>
    </row>
    <row r="21385" spans="1:5" x14ac:dyDescent="0.2">
      <c r="A21385">
        <v>13340</v>
      </c>
      <c r="B21385" t="s">
        <v>40</v>
      </c>
      <c r="C21385">
        <v>13340</v>
      </c>
      <c r="D21385" t="str">
        <f>"13340"</f>
        <v>13340</v>
      </c>
      <c r="E21385">
        <v>73.680000000000007</v>
      </c>
    </row>
    <row r="21386" spans="1:5" x14ac:dyDescent="0.2">
      <c r="A21386">
        <v>13342</v>
      </c>
      <c r="B21386" t="s">
        <v>40</v>
      </c>
      <c r="C21386">
        <v>13342</v>
      </c>
      <c r="D21386" t="str">
        <f>"13342"</f>
        <v>13342</v>
      </c>
      <c r="E21386" t="s">
        <v>6</v>
      </c>
    </row>
    <row r="21387" spans="1:5" x14ac:dyDescent="0.2">
      <c r="A21387">
        <v>13343</v>
      </c>
      <c r="B21387" t="s">
        <v>40</v>
      </c>
      <c r="C21387">
        <v>13343</v>
      </c>
      <c r="D21387" t="str">
        <f>"13343"</f>
        <v>13343</v>
      </c>
      <c r="E21387">
        <v>70.510000000000005</v>
      </c>
    </row>
    <row r="21388" spans="1:5" x14ac:dyDescent="0.2">
      <c r="A21388">
        <v>13345</v>
      </c>
      <c r="B21388" t="s">
        <v>40</v>
      </c>
      <c r="C21388">
        <v>13345</v>
      </c>
      <c r="D21388" t="str">
        <f>"13345"</f>
        <v>13345</v>
      </c>
      <c r="E21388" t="s">
        <v>6</v>
      </c>
    </row>
    <row r="21389" spans="1:5" x14ac:dyDescent="0.2">
      <c r="A21389">
        <v>13346</v>
      </c>
      <c r="B21389" t="s">
        <v>40</v>
      </c>
      <c r="C21389">
        <v>13346</v>
      </c>
      <c r="D21389" t="str">
        <f>"13346"</f>
        <v>13346</v>
      </c>
      <c r="E21389">
        <v>79.17</v>
      </c>
    </row>
    <row r="21390" spans="1:5" x14ac:dyDescent="0.2">
      <c r="A21390">
        <v>13348</v>
      </c>
      <c r="B21390" t="s">
        <v>40</v>
      </c>
      <c r="C21390">
        <v>13348</v>
      </c>
      <c r="D21390" t="str">
        <f>"13348"</f>
        <v>13348</v>
      </c>
      <c r="E21390">
        <v>70.31</v>
      </c>
    </row>
    <row r="21391" spans="1:5" x14ac:dyDescent="0.2">
      <c r="A21391">
        <v>13350</v>
      </c>
      <c r="B21391" t="s">
        <v>40</v>
      </c>
      <c r="C21391">
        <v>13350</v>
      </c>
      <c r="D21391" t="str">
        <f>"13350"</f>
        <v>13350</v>
      </c>
      <c r="E21391">
        <v>70.59</v>
      </c>
    </row>
    <row r="21392" spans="1:5" x14ac:dyDescent="0.2">
      <c r="A21392">
        <v>13352</v>
      </c>
      <c r="B21392" t="s">
        <v>40</v>
      </c>
      <c r="C21392">
        <v>13352</v>
      </c>
      <c r="D21392" t="str">
        <f>"13352"</f>
        <v>13352</v>
      </c>
      <c r="E21392" t="s">
        <v>6</v>
      </c>
    </row>
    <row r="21393" spans="1:5" x14ac:dyDescent="0.2">
      <c r="A21393">
        <v>13353</v>
      </c>
      <c r="B21393" t="s">
        <v>40</v>
      </c>
      <c r="C21393">
        <v>13353</v>
      </c>
      <c r="D21393" t="str">
        <f>"13353"</f>
        <v>13353</v>
      </c>
      <c r="E21393" t="s">
        <v>6</v>
      </c>
    </row>
    <row r="21394" spans="1:5" x14ac:dyDescent="0.2">
      <c r="A21394">
        <v>13354</v>
      </c>
      <c r="B21394" t="s">
        <v>40</v>
      </c>
      <c r="C21394">
        <v>13354</v>
      </c>
      <c r="D21394" t="str">
        <f>"13354"</f>
        <v>13354</v>
      </c>
      <c r="E21394">
        <v>77.22</v>
      </c>
    </row>
    <row r="21395" spans="1:5" x14ac:dyDescent="0.2">
      <c r="A21395">
        <v>13355</v>
      </c>
      <c r="B21395" t="s">
        <v>40</v>
      </c>
      <c r="C21395">
        <v>13355</v>
      </c>
      <c r="D21395" t="str">
        <f>"13355"</f>
        <v>13355</v>
      </c>
      <c r="E21395">
        <v>75</v>
      </c>
    </row>
    <row r="21396" spans="1:5" x14ac:dyDescent="0.2">
      <c r="A21396">
        <v>13357</v>
      </c>
      <c r="B21396" t="s">
        <v>40</v>
      </c>
      <c r="C21396">
        <v>13357</v>
      </c>
      <c r="D21396" t="str">
        <f>"13357"</f>
        <v>13357</v>
      </c>
      <c r="E21396">
        <v>69.87</v>
      </c>
    </row>
    <row r="21397" spans="1:5" x14ac:dyDescent="0.2">
      <c r="A21397">
        <v>13360</v>
      </c>
      <c r="B21397" t="s">
        <v>40</v>
      </c>
      <c r="C21397">
        <v>13360</v>
      </c>
      <c r="D21397" t="str">
        <f>"13360"</f>
        <v>13360</v>
      </c>
      <c r="E21397">
        <v>73.91</v>
      </c>
    </row>
    <row r="21398" spans="1:5" x14ac:dyDescent="0.2">
      <c r="A21398">
        <v>13361</v>
      </c>
      <c r="B21398" t="s">
        <v>40</v>
      </c>
      <c r="C21398">
        <v>13361</v>
      </c>
      <c r="D21398" t="str">
        <f>"13361"</f>
        <v>13361</v>
      </c>
      <c r="E21398">
        <v>67.86</v>
      </c>
    </row>
    <row r="21399" spans="1:5" x14ac:dyDescent="0.2">
      <c r="A21399">
        <v>13363</v>
      </c>
      <c r="B21399" t="s">
        <v>40</v>
      </c>
      <c r="C21399">
        <v>13363</v>
      </c>
      <c r="D21399" t="str">
        <f>"13363"</f>
        <v>13363</v>
      </c>
      <c r="E21399">
        <v>76.36</v>
      </c>
    </row>
    <row r="21400" spans="1:5" x14ac:dyDescent="0.2">
      <c r="A21400">
        <v>13364</v>
      </c>
      <c r="B21400" t="s">
        <v>40</v>
      </c>
      <c r="C21400">
        <v>13364</v>
      </c>
      <c r="D21400" t="str">
        <f>"13364"</f>
        <v>13364</v>
      </c>
      <c r="E21400" t="s">
        <v>6</v>
      </c>
    </row>
    <row r="21401" spans="1:5" x14ac:dyDescent="0.2">
      <c r="A21401">
        <v>13365</v>
      </c>
      <c r="B21401" t="s">
        <v>40</v>
      </c>
      <c r="C21401">
        <v>13365</v>
      </c>
      <c r="D21401" t="str">
        <f>"13365"</f>
        <v>13365</v>
      </c>
      <c r="E21401">
        <v>70.209999999999994</v>
      </c>
    </row>
    <row r="21402" spans="1:5" x14ac:dyDescent="0.2">
      <c r="A21402">
        <v>13367</v>
      </c>
      <c r="B21402" t="s">
        <v>40</v>
      </c>
      <c r="C21402">
        <v>13367</v>
      </c>
      <c r="D21402" t="str">
        <f>"13367"</f>
        <v>13367</v>
      </c>
      <c r="E21402">
        <v>70.91</v>
      </c>
    </row>
    <row r="21403" spans="1:5" x14ac:dyDescent="0.2">
      <c r="A21403">
        <v>13368</v>
      </c>
      <c r="B21403" t="s">
        <v>40</v>
      </c>
      <c r="C21403">
        <v>13368</v>
      </c>
      <c r="D21403" t="str">
        <f>"13368"</f>
        <v>13368</v>
      </c>
      <c r="E21403">
        <v>67.31</v>
      </c>
    </row>
    <row r="21404" spans="1:5" x14ac:dyDescent="0.2">
      <c r="A21404">
        <v>13402</v>
      </c>
      <c r="B21404" t="s">
        <v>40</v>
      </c>
      <c r="C21404">
        <v>13402</v>
      </c>
      <c r="D21404" t="str">
        <f>"13402"</f>
        <v>13402</v>
      </c>
      <c r="E21404">
        <v>70.77</v>
      </c>
    </row>
    <row r="21405" spans="1:5" x14ac:dyDescent="0.2">
      <c r="A21405">
        <v>13403</v>
      </c>
      <c r="B21405" t="s">
        <v>40</v>
      </c>
      <c r="C21405">
        <v>13403</v>
      </c>
      <c r="D21405" t="str">
        <f>"13403"</f>
        <v>13403</v>
      </c>
      <c r="E21405">
        <v>75.58</v>
      </c>
    </row>
    <row r="21406" spans="1:5" x14ac:dyDescent="0.2">
      <c r="A21406">
        <v>13406</v>
      </c>
      <c r="B21406" t="s">
        <v>40</v>
      </c>
      <c r="C21406">
        <v>13406</v>
      </c>
      <c r="D21406" t="str">
        <f>"13406"</f>
        <v>13406</v>
      </c>
      <c r="E21406">
        <v>76</v>
      </c>
    </row>
    <row r="21407" spans="1:5" x14ac:dyDescent="0.2">
      <c r="A21407">
        <v>13407</v>
      </c>
      <c r="B21407" t="s">
        <v>40</v>
      </c>
      <c r="C21407">
        <v>13407</v>
      </c>
      <c r="D21407" t="str">
        <f>"13407"</f>
        <v>13407</v>
      </c>
      <c r="E21407">
        <v>73.44</v>
      </c>
    </row>
    <row r="21408" spans="1:5" x14ac:dyDescent="0.2">
      <c r="A21408">
        <v>13408</v>
      </c>
      <c r="B21408" t="s">
        <v>40</v>
      </c>
      <c r="C21408">
        <v>13408</v>
      </c>
      <c r="D21408" t="str">
        <f>"13408"</f>
        <v>13408</v>
      </c>
      <c r="E21408">
        <v>71.17</v>
      </c>
    </row>
    <row r="21409" spans="1:5" x14ac:dyDescent="0.2">
      <c r="A21409">
        <v>13409</v>
      </c>
      <c r="B21409" t="s">
        <v>40</v>
      </c>
      <c r="C21409">
        <v>13409</v>
      </c>
      <c r="D21409" t="str">
        <f>"13409"</f>
        <v>13409</v>
      </c>
      <c r="E21409">
        <v>71.430000000000007</v>
      </c>
    </row>
    <row r="21410" spans="1:5" x14ac:dyDescent="0.2">
      <c r="A21410">
        <v>13410</v>
      </c>
      <c r="B21410" t="s">
        <v>40</v>
      </c>
      <c r="C21410">
        <v>13410</v>
      </c>
      <c r="D21410" t="str">
        <f>"13410"</f>
        <v>13410</v>
      </c>
      <c r="E21410" t="s">
        <v>6</v>
      </c>
    </row>
    <row r="21411" spans="1:5" x14ac:dyDescent="0.2">
      <c r="A21411">
        <v>13411</v>
      </c>
      <c r="B21411" t="s">
        <v>40</v>
      </c>
      <c r="C21411">
        <v>13411</v>
      </c>
      <c r="D21411" t="str">
        <f>"13411"</f>
        <v>13411</v>
      </c>
      <c r="E21411">
        <v>65.930000000000007</v>
      </c>
    </row>
    <row r="21412" spans="1:5" x14ac:dyDescent="0.2">
      <c r="A21412">
        <v>13413</v>
      </c>
      <c r="B21412" t="s">
        <v>40</v>
      </c>
      <c r="C21412">
        <v>13413</v>
      </c>
      <c r="D21412" t="str">
        <f>"13413"</f>
        <v>13413</v>
      </c>
      <c r="E21412">
        <v>80.099999999999994</v>
      </c>
    </row>
    <row r="21413" spans="1:5" x14ac:dyDescent="0.2">
      <c r="A21413">
        <v>13415</v>
      </c>
      <c r="B21413" t="s">
        <v>40</v>
      </c>
      <c r="C21413">
        <v>13415</v>
      </c>
      <c r="D21413" t="str">
        <f>"13415"</f>
        <v>13415</v>
      </c>
      <c r="E21413" t="s">
        <v>6</v>
      </c>
    </row>
    <row r="21414" spans="1:5" x14ac:dyDescent="0.2">
      <c r="A21414">
        <v>13416</v>
      </c>
      <c r="B21414" t="s">
        <v>40</v>
      </c>
      <c r="C21414">
        <v>13416</v>
      </c>
      <c r="D21414" t="str">
        <f>"13416"</f>
        <v>13416</v>
      </c>
      <c r="E21414">
        <v>74</v>
      </c>
    </row>
    <row r="21415" spans="1:5" x14ac:dyDescent="0.2">
      <c r="A21415">
        <v>13417</v>
      </c>
      <c r="B21415" t="s">
        <v>40</v>
      </c>
      <c r="C21415">
        <v>13417</v>
      </c>
      <c r="D21415" t="str">
        <f>"13417"</f>
        <v>13417</v>
      </c>
      <c r="E21415">
        <v>77.33</v>
      </c>
    </row>
    <row r="21416" spans="1:5" x14ac:dyDescent="0.2">
      <c r="A21416">
        <v>13418</v>
      </c>
      <c r="B21416" t="s">
        <v>40</v>
      </c>
      <c r="C21416">
        <v>13418</v>
      </c>
      <c r="D21416" t="str">
        <f>"13418"</f>
        <v>13418</v>
      </c>
      <c r="E21416" t="s">
        <v>6</v>
      </c>
    </row>
    <row r="21417" spans="1:5" x14ac:dyDescent="0.2">
      <c r="A21417">
        <v>13420</v>
      </c>
      <c r="B21417" t="s">
        <v>40</v>
      </c>
      <c r="C21417">
        <v>13420</v>
      </c>
      <c r="D21417" t="str">
        <f>"13420"</f>
        <v>13420</v>
      </c>
      <c r="E21417">
        <v>75.290000000000006</v>
      </c>
    </row>
    <row r="21418" spans="1:5" x14ac:dyDescent="0.2">
      <c r="A21418">
        <v>13421</v>
      </c>
      <c r="B21418" t="s">
        <v>40</v>
      </c>
      <c r="C21418">
        <v>13421</v>
      </c>
      <c r="D21418" t="str">
        <f>"13421"</f>
        <v>13421</v>
      </c>
      <c r="E21418">
        <v>72.209999999999994</v>
      </c>
    </row>
    <row r="21419" spans="1:5" x14ac:dyDescent="0.2">
      <c r="A21419">
        <v>13424</v>
      </c>
      <c r="B21419" t="s">
        <v>40</v>
      </c>
      <c r="C21419">
        <v>13424</v>
      </c>
      <c r="D21419" t="str">
        <f>"13424"</f>
        <v>13424</v>
      </c>
      <c r="E21419">
        <v>78.569999999999993</v>
      </c>
    </row>
    <row r="21420" spans="1:5" x14ac:dyDescent="0.2">
      <c r="A21420">
        <v>13425</v>
      </c>
      <c r="B21420" t="s">
        <v>40</v>
      </c>
      <c r="C21420">
        <v>13425</v>
      </c>
      <c r="D21420" t="str">
        <f>"13425"</f>
        <v>13425</v>
      </c>
      <c r="E21420">
        <v>71.91</v>
      </c>
    </row>
    <row r="21421" spans="1:5" x14ac:dyDescent="0.2">
      <c r="A21421">
        <v>13426</v>
      </c>
      <c r="B21421" t="s">
        <v>40</v>
      </c>
      <c r="C21421">
        <v>13426</v>
      </c>
      <c r="D21421" t="str">
        <f>"13426"</f>
        <v>13426</v>
      </c>
      <c r="E21421" t="s">
        <v>6</v>
      </c>
    </row>
    <row r="21422" spans="1:5" x14ac:dyDescent="0.2">
      <c r="A21422">
        <v>13428</v>
      </c>
      <c r="B21422" t="s">
        <v>40</v>
      </c>
      <c r="C21422">
        <v>13428</v>
      </c>
      <c r="D21422" t="str">
        <f>"13428"</f>
        <v>13428</v>
      </c>
      <c r="E21422">
        <v>70.97</v>
      </c>
    </row>
    <row r="21423" spans="1:5" x14ac:dyDescent="0.2">
      <c r="A21423">
        <v>13431</v>
      </c>
      <c r="B21423" t="s">
        <v>40</v>
      </c>
      <c r="C21423">
        <v>13431</v>
      </c>
      <c r="D21423" t="str">
        <f>"13431"</f>
        <v>13431</v>
      </c>
      <c r="E21423">
        <v>74.44</v>
      </c>
    </row>
    <row r="21424" spans="1:5" x14ac:dyDescent="0.2">
      <c r="A21424">
        <v>13433</v>
      </c>
      <c r="B21424" t="s">
        <v>40</v>
      </c>
      <c r="C21424">
        <v>13433</v>
      </c>
      <c r="D21424" t="str">
        <f>"13433"</f>
        <v>13433</v>
      </c>
      <c r="E21424">
        <v>61.11</v>
      </c>
    </row>
    <row r="21425" spans="1:5" x14ac:dyDescent="0.2">
      <c r="A21425">
        <v>13435</v>
      </c>
      <c r="B21425" t="s">
        <v>40</v>
      </c>
      <c r="C21425">
        <v>13435</v>
      </c>
      <c r="D21425" t="str">
        <f>"13435"</f>
        <v>13435</v>
      </c>
      <c r="E21425" t="s">
        <v>6</v>
      </c>
    </row>
    <row r="21426" spans="1:5" x14ac:dyDescent="0.2">
      <c r="A21426">
        <v>13436</v>
      </c>
      <c r="B21426" t="s">
        <v>40</v>
      </c>
      <c r="C21426">
        <v>13436</v>
      </c>
      <c r="D21426" t="str">
        <f>"13436"</f>
        <v>13436</v>
      </c>
      <c r="E21426" t="s">
        <v>6</v>
      </c>
    </row>
    <row r="21427" spans="1:5" x14ac:dyDescent="0.2">
      <c r="A21427">
        <v>13437</v>
      </c>
      <c r="B21427" t="s">
        <v>40</v>
      </c>
      <c r="C21427">
        <v>13437</v>
      </c>
      <c r="D21427" t="str">
        <f>"13437"</f>
        <v>13437</v>
      </c>
      <c r="E21427">
        <v>78.95</v>
      </c>
    </row>
    <row r="21428" spans="1:5" x14ac:dyDescent="0.2">
      <c r="A21428">
        <v>13438</v>
      </c>
      <c r="B21428" t="s">
        <v>40</v>
      </c>
      <c r="C21428">
        <v>13438</v>
      </c>
      <c r="D21428" t="str">
        <f>"13438"</f>
        <v>13438</v>
      </c>
      <c r="E21428">
        <v>76.650000000000006</v>
      </c>
    </row>
    <row r="21429" spans="1:5" x14ac:dyDescent="0.2">
      <c r="A21429">
        <v>13439</v>
      </c>
      <c r="B21429" t="s">
        <v>40</v>
      </c>
      <c r="C21429">
        <v>13439</v>
      </c>
      <c r="D21429" t="str">
        <f>"13439"</f>
        <v>13439</v>
      </c>
      <c r="E21429">
        <v>72.02</v>
      </c>
    </row>
    <row r="21430" spans="1:5" x14ac:dyDescent="0.2">
      <c r="A21430">
        <v>13440</v>
      </c>
      <c r="B21430" t="s">
        <v>40</v>
      </c>
      <c r="C21430">
        <v>13440</v>
      </c>
      <c r="D21430" t="str">
        <f>"13440"</f>
        <v>13440</v>
      </c>
      <c r="E21430">
        <v>73.03</v>
      </c>
    </row>
    <row r="21431" spans="1:5" x14ac:dyDescent="0.2">
      <c r="A21431">
        <v>13441</v>
      </c>
      <c r="B21431" t="s">
        <v>40</v>
      </c>
      <c r="C21431">
        <v>13441</v>
      </c>
      <c r="D21431" t="str">
        <f>"13441"</f>
        <v>13441</v>
      </c>
      <c r="E21431" t="s">
        <v>6</v>
      </c>
    </row>
    <row r="21432" spans="1:5" x14ac:dyDescent="0.2">
      <c r="A21432">
        <v>13450</v>
      </c>
      <c r="B21432" t="s">
        <v>40</v>
      </c>
      <c r="C21432">
        <v>13450</v>
      </c>
      <c r="D21432" t="str">
        <f>"13450"</f>
        <v>13450</v>
      </c>
      <c r="E21432">
        <v>66.67</v>
      </c>
    </row>
    <row r="21433" spans="1:5" x14ac:dyDescent="0.2">
      <c r="A21433">
        <v>13452</v>
      </c>
      <c r="B21433" t="s">
        <v>40</v>
      </c>
      <c r="C21433">
        <v>13452</v>
      </c>
      <c r="D21433" t="str">
        <f>"13452"</f>
        <v>13452</v>
      </c>
      <c r="E21433">
        <v>68.78</v>
      </c>
    </row>
    <row r="21434" spans="1:5" x14ac:dyDescent="0.2">
      <c r="A21434">
        <v>13454</v>
      </c>
      <c r="B21434" t="s">
        <v>40</v>
      </c>
      <c r="C21434">
        <v>13454</v>
      </c>
      <c r="D21434" t="str">
        <f>"13454"</f>
        <v>13454</v>
      </c>
      <c r="E21434">
        <v>75.760000000000005</v>
      </c>
    </row>
    <row r="21435" spans="1:5" x14ac:dyDescent="0.2">
      <c r="A21435">
        <v>13455</v>
      </c>
      <c r="B21435" t="s">
        <v>40</v>
      </c>
      <c r="C21435">
        <v>13455</v>
      </c>
      <c r="D21435" t="str">
        <f>"13455"</f>
        <v>13455</v>
      </c>
      <c r="E21435" t="s">
        <v>6</v>
      </c>
    </row>
    <row r="21436" spans="1:5" x14ac:dyDescent="0.2">
      <c r="A21436">
        <v>13456</v>
      </c>
      <c r="B21436" t="s">
        <v>40</v>
      </c>
      <c r="C21436">
        <v>13456</v>
      </c>
      <c r="D21436" t="str">
        <f>"13456"</f>
        <v>13456</v>
      </c>
      <c r="E21436">
        <v>76.349999999999994</v>
      </c>
    </row>
    <row r="21437" spans="1:5" x14ac:dyDescent="0.2">
      <c r="A21437">
        <v>13457</v>
      </c>
      <c r="B21437" t="s">
        <v>40</v>
      </c>
      <c r="C21437">
        <v>13457</v>
      </c>
      <c r="D21437" t="str">
        <f>"13457"</f>
        <v>13457</v>
      </c>
      <c r="E21437" t="s">
        <v>6</v>
      </c>
    </row>
    <row r="21438" spans="1:5" x14ac:dyDescent="0.2">
      <c r="A21438">
        <v>13459</v>
      </c>
      <c r="B21438" t="s">
        <v>40</v>
      </c>
      <c r="C21438">
        <v>13459</v>
      </c>
      <c r="D21438" t="str">
        <f>"13459"</f>
        <v>13459</v>
      </c>
      <c r="E21438">
        <v>72.63</v>
      </c>
    </row>
    <row r="21439" spans="1:5" x14ac:dyDescent="0.2">
      <c r="A21439">
        <v>13460</v>
      </c>
      <c r="B21439" t="s">
        <v>40</v>
      </c>
      <c r="C21439">
        <v>13460</v>
      </c>
      <c r="D21439" t="str">
        <f>"13460"</f>
        <v>13460</v>
      </c>
      <c r="E21439">
        <v>71.7</v>
      </c>
    </row>
    <row r="21440" spans="1:5" x14ac:dyDescent="0.2">
      <c r="A21440">
        <v>13461</v>
      </c>
      <c r="B21440" t="s">
        <v>40</v>
      </c>
      <c r="C21440">
        <v>13461</v>
      </c>
      <c r="D21440" t="str">
        <f>"13461"</f>
        <v>13461</v>
      </c>
      <c r="E21440">
        <v>79.010000000000005</v>
      </c>
    </row>
    <row r="21441" spans="1:5" x14ac:dyDescent="0.2">
      <c r="A21441">
        <v>13464</v>
      </c>
      <c r="B21441" t="s">
        <v>40</v>
      </c>
      <c r="C21441">
        <v>13464</v>
      </c>
      <c r="D21441" t="str">
        <f>"13464"</f>
        <v>13464</v>
      </c>
      <c r="E21441">
        <v>67.31</v>
      </c>
    </row>
    <row r="21442" spans="1:5" x14ac:dyDescent="0.2">
      <c r="A21442">
        <v>13468</v>
      </c>
      <c r="B21442" t="s">
        <v>40</v>
      </c>
      <c r="C21442">
        <v>13468</v>
      </c>
      <c r="D21442" t="str">
        <f>"13468"</f>
        <v>13468</v>
      </c>
      <c r="E21442">
        <v>66.67</v>
      </c>
    </row>
    <row r="21443" spans="1:5" x14ac:dyDescent="0.2">
      <c r="A21443">
        <v>13469</v>
      </c>
      <c r="B21443" t="s">
        <v>40</v>
      </c>
      <c r="C21443">
        <v>13469</v>
      </c>
      <c r="D21443" t="str">
        <f>"13469"</f>
        <v>13469</v>
      </c>
      <c r="E21443">
        <v>77.5</v>
      </c>
    </row>
    <row r="21444" spans="1:5" x14ac:dyDescent="0.2">
      <c r="A21444">
        <v>13470</v>
      </c>
      <c r="B21444" t="s">
        <v>40</v>
      </c>
      <c r="C21444">
        <v>13470</v>
      </c>
      <c r="D21444" t="str">
        <f>"13470"</f>
        <v>13470</v>
      </c>
      <c r="E21444">
        <v>74.19</v>
      </c>
    </row>
    <row r="21445" spans="1:5" x14ac:dyDescent="0.2">
      <c r="A21445">
        <v>13471</v>
      </c>
      <c r="B21445" t="s">
        <v>40</v>
      </c>
      <c r="C21445">
        <v>13471</v>
      </c>
      <c r="D21445" t="str">
        <f>"13471"</f>
        <v>13471</v>
      </c>
      <c r="E21445">
        <v>68.61</v>
      </c>
    </row>
    <row r="21446" spans="1:5" x14ac:dyDescent="0.2">
      <c r="A21446">
        <v>13472</v>
      </c>
      <c r="B21446" t="s">
        <v>40</v>
      </c>
      <c r="C21446">
        <v>13472</v>
      </c>
      <c r="D21446" t="str">
        <f>"13472"</f>
        <v>13472</v>
      </c>
      <c r="E21446" t="s">
        <v>6</v>
      </c>
    </row>
    <row r="21447" spans="1:5" x14ac:dyDescent="0.2">
      <c r="A21447">
        <v>13473</v>
      </c>
      <c r="B21447" t="s">
        <v>40</v>
      </c>
      <c r="C21447">
        <v>13473</v>
      </c>
      <c r="D21447" t="str">
        <f>"13473"</f>
        <v>13473</v>
      </c>
      <c r="E21447">
        <v>72.73</v>
      </c>
    </row>
    <row r="21448" spans="1:5" x14ac:dyDescent="0.2">
      <c r="A21448">
        <v>13475</v>
      </c>
      <c r="B21448" t="s">
        <v>40</v>
      </c>
      <c r="C21448">
        <v>13475</v>
      </c>
      <c r="D21448" t="str">
        <f>"13475"</f>
        <v>13475</v>
      </c>
      <c r="E21448" t="s">
        <v>6</v>
      </c>
    </row>
    <row r="21449" spans="1:5" x14ac:dyDescent="0.2">
      <c r="A21449">
        <v>13476</v>
      </c>
      <c r="B21449" t="s">
        <v>40</v>
      </c>
      <c r="C21449">
        <v>13476</v>
      </c>
      <c r="D21449" t="str">
        <f>"13476"</f>
        <v>13476</v>
      </c>
      <c r="E21449">
        <v>75.459999999999994</v>
      </c>
    </row>
    <row r="21450" spans="1:5" x14ac:dyDescent="0.2">
      <c r="A21450">
        <v>13477</v>
      </c>
      <c r="B21450" t="s">
        <v>40</v>
      </c>
      <c r="C21450">
        <v>13477</v>
      </c>
      <c r="D21450" t="str">
        <f>"13477"</f>
        <v>13477</v>
      </c>
      <c r="E21450">
        <v>73.77</v>
      </c>
    </row>
    <row r="21451" spans="1:5" x14ac:dyDescent="0.2">
      <c r="A21451">
        <v>13478</v>
      </c>
      <c r="B21451" t="s">
        <v>40</v>
      </c>
      <c r="C21451">
        <v>13478</v>
      </c>
      <c r="D21451" t="str">
        <f>"13478"</f>
        <v>13478</v>
      </c>
      <c r="E21451">
        <v>75.84</v>
      </c>
    </row>
    <row r="21452" spans="1:5" x14ac:dyDescent="0.2">
      <c r="A21452">
        <v>13480</v>
      </c>
      <c r="B21452" t="s">
        <v>40</v>
      </c>
      <c r="C21452">
        <v>13480</v>
      </c>
      <c r="D21452" t="str">
        <f>"13480"</f>
        <v>13480</v>
      </c>
      <c r="E21452">
        <v>74.680000000000007</v>
      </c>
    </row>
    <row r="21453" spans="1:5" x14ac:dyDescent="0.2">
      <c r="A21453">
        <v>13482</v>
      </c>
      <c r="B21453" t="s">
        <v>40</v>
      </c>
      <c r="C21453">
        <v>13482</v>
      </c>
      <c r="D21453" t="str">
        <f>"13482"</f>
        <v>13482</v>
      </c>
      <c r="E21453" t="s">
        <v>6</v>
      </c>
    </row>
    <row r="21454" spans="1:5" x14ac:dyDescent="0.2">
      <c r="A21454">
        <v>13483</v>
      </c>
      <c r="B21454" t="s">
        <v>40</v>
      </c>
      <c r="C21454">
        <v>13483</v>
      </c>
      <c r="D21454" t="str">
        <f>"13483"</f>
        <v>13483</v>
      </c>
      <c r="E21454">
        <v>61.54</v>
      </c>
    </row>
    <row r="21455" spans="1:5" x14ac:dyDescent="0.2">
      <c r="A21455">
        <v>13484</v>
      </c>
      <c r="B21455" t="s">
        <v>40</v>
      </c>
      <c r="C21455">
        <v>13484</v>
      </c>
      <c r="D21455" t="str">
        <f>"13484"</f>
        <v>13484</v>
      </c>
      <c r="E21455" t="s">
        <v>6</v>
      </c>
    </row>
    <row r="21456" spans="1:5" x14ac:dyDescent="0.2">
      <c r="A21456">
        <v>13485</v>
      </c>
      <c r="B21456" t="s">
        <v>40</v>
      </c>
      <c r="C21456">
        <v>13485</v>
      </c>
      <c r="D21456" t="str">
        <f>"13485"</f>
        <v>13485</v>
      </c>
      <c r="E21456">
        <v>64</v>
      </c>
    </row>
    <row r="21457" spans="1:5" x14ac:dyDescent="0.2">
      <c r="A21457">
        <v>13486</v>
      </c>
      <c r="B21457" t="s">
        <v>40</v>
      </c>
      <c r="C21457">
        <v>13486</v>
      </c>
      <c r="D21457" t="str">
        <f>"13486"</f>
        <v>13486</v>
      </c>
      <c r="E21457">
        <v>76.19</v>
      </c>
    </row>
    <row r="21458" spans="1:5" x14ac:dyDescent="0.2">
      <c r="A21458">
        <v>13488</v>
      </c>
      <c r="B21458" t="s">
        <v>40</v>
      </c>
      <c r="C21458">
        <v>13488</v>
      </c>
      <c r="D21458" t="str">
        <f>"13488"</f>
        <v>13488</v>
      </c>
      <c r="E21458">
        <v>61.54</v>
      </c>
    </row>
    <row r="21459" spans="1:5" x14ac:dyDescent="0.2">
      <c r="A21459">
        <v>13489</v>
      </c>
      <c r="B21459" t="s">
        <v>40</v>
      </c>
      <c r="C21459">
        <v>13489</v>
      </c>
      <c r="D21459" t="str">
        <f>"13489"</f>
        <v>13489</v>
      </c>
      <c r="E21459">
        <v>73.33</v>
      </c>
    </row>
    <row r="21460" spans="1:5" x14ac:dyDescent="0.2">
      <c r="A21460">
        <v>13490</v>
      </c>
      <c r="B21460" t="s">
        <v>40</v>
      </c>
      <c r="C21460">
        <v>13490</v>
      </c>
      <c r="D21460" t="str">
        <f>"13490"</f>
        <v>13490</v>
      </c>
      <c r="E21460">
        <v>78.08</v>
      </c>
    </row>
    <row r="21461" spans="1:5" x14ac:dyDescent="0.2">
      <c r="A21461">
        <v>13491</v>
      </c>
      <c r="B21461" t="s">
        <v>40</v>
      </c>
      <c r="C21461">
        <v>13491</v>
      </c>
      <c r="D21461" t="str">
        <f>"13491"</f>
        <v>13491</v>
      </c>
      <c r="E21461">
        <v>71.86</v>
      </c>
    </row>
    <row r="21462" spans="1:5" x14ac:dyDescent="0.2">
      <c r="A21462">
        <v>13492</v>
      </c>
      <c r="B21462" t="s">
        <v>40</v>
      </c>
      <c r="C21462">
        <v>13492</v>
      </c>
      <c r="D21462" t="str">
        <f>"13492"</f>
        <v>13492</v>
      </c>
      <c r="E21462">
        <v>78.86</v>
      </c>
    </row>
    <row r="21463" spans="1:5" x14ac:dyDescent="0.2">
      <c r="A21463">
        <v>13493</v>
      </c>
      <c r="B21463" t="s">
        <v>40</v>
      </c>
      <c r="C21463">
        <v>13493</v>
      </c>
      <c r="D21463" t="str">
        <f>"13493"</f>
        <v>13493</v>
      </c>
      <c r="E21463">
        <v>68.67</v>
      </c>
    </row>
    <row r="21464" spans="1:5" x14ac:dyDescent="0.2">
      <c r="A21464">
        <v>13494</v>
      </c>
      <c r="B21464" t="s">
        <v>40</v>
      </c>
      <c r="C21464">
        <v>13494</v>
      </c>
      <c r="D21464" t="str">
        <f>"13494"</f>
        <v>13494</v>
      </c>
      <c r="E21464">
        <v>68.75</v>
      </c>
    </row>
    <row r="21465" spans="1:5" x14ac:dyDescent="0.2">
      <c r="A21465">
        <v>13495</v>
      </c>
      <c r="B21465" t="s">
        <v>40</v>
      </c>
      <c r="C21465">
        <v>13495</v>
      </c>
      <c r="D21465" t="str">
        <f>"13495"</f>
        <v>13495</v>
      </c>
      <c r="E21465">
        <v>75.47</v>
      </c>
    </row>
    <row r="21466" spans="1:5" x14ac:dyDescent="0.2">
      <c r="A21466">
        <v>13501</v>
      </c>
      <c r="B21466" t="s">
        <v>40</v>
      </c>
      <c r="C21466">
        <v>13501</v>
      </c>
      <c r="D21466" t="str">
        <f>"13501"</f>
        <v>13501</v>
      </c>
      <c r="E21466">
        <v>56.39</v>
      </c>
    </row>
    <row r="21467" spans="1:5" x14ac:dyDescent="0.2">
      <c r="A21467">
        <v>13502</v>
      </c>
      <c r="B21467" t="s">
        <v>40</v>
      </c>
      <c r="C21467">
        <v>13502</v>
      </c>
      <c r="D21467" t="str">
        <f>"13502"</f>
        <v>13502</v>
      </c>
      <c r="E21467">
        <v>66.849999999999994</v>
      </c>
    </row>
    <row r="21468" spans="1:5" x14ac:dyDescent="0.2">
      <c r="A21468">
        <v>13601</v>
      </c>
      <c r="B21468" t="s">
        <v>40</v>
      </c>
      <c r="C21468">
        <v>13601</v>
      </c>
      <c r="D21468" t="str">
        <f>"13601"</f>
        <v>13601</v>
      </c>
      <c r="E21468">
        <v>69.41</v>
      </c>
    </row>
    <row r="21469" spans="1:5" x14ac:dyDescent="0.2">
      <c r="A21469">
        <v>13602</v>
      </c>
      <c r="B21469" t="s">
        <v>40</v>
      </c>
      <c r="C21469">
        <v>13602</v>
      </c>
      <c r="D21469" t="str">
        <f>"13602"</f>
        <v>13602</v>
      </c>
      <c r="E21469" t="s">
        <v>6</v>
      </c>
    </row>
    <row r="21470" spans="1:5" x14ac:dyDescent="0.2">
      <c r="A21470">
        <v>13603</v>
      </c>
      <c r="B21470" t="s">
        <v>40</v>
      </c>
      <c r="C21470">
        <v>13603</v>
      </c>
      <c r="D21470" t="str">
        <f>"13603"</f>
        <v>13603</v>
      </c>
      <c r="E21470">
        <v>58.66</v>
      </c>
    </row>
    <row r="21471" spans="1:5" x14ac:dyDescent="0.2">
      <c r="A21471">
        <v>13605</v>
      </c>
      <c r="B21471" t="s">
        <v>40</v>
      </c>
      <c r="C21471">
        <v>13605</v>
      </c>
      <c r="D21471" t="str">
        <f>"13605"</f>
        <v>13605</v>
      </c>
      <c r="E21471">
        <v>72.959999999999994</v>
      </c>
    </row>
    <row r="21472" spans="1:5" x14ac:dyDescent="0.2">
      <c r="A21472">
        <v>13606</v>
      </c>
      <c r="B21472" t="s">
        <v>40</v>
      </c>
      <c r="C21472">
        <v>13606</v>
      </c>
      <c r="D21472" t="str">
        <f>"13606"</f>
        <v>13606</v>
      </c>
      <c r="E21472">
        <v>74.19</v>
      </c>
    </row>
    <row r="21473" spans="1:5" x14ac:dyDescent="0.2">
      <c r="A21473">
        <v>13607</v>
      </c>
      <c r="B21473" t="s">
        <v>40</v>
      </c>
      <c r="C21473">
        <v>13607</v>
      </c>
      <c r="D21473" t="str">
        <f>"13607"</f>
        <v>13607</v>
      </c>
      <c r="E21473">
        <v>71</v>
      </c>
    </row>
    <row r="21474" spans="1:5" x14ac:dyDescent="0.2">
      <c r="A21474">
        <v>13608</v>
      </c>
      <c r="B21474" t="s">
        <v>40</v>
      </c>
      <c r="C21474">
        <v>13608</v>
      </c>
      <c r="D21474" t="str">
        <f>"13608"</f>
        <v>13608</v>
      </c>
      <c r="E21474">
        <v>72.58</v>
      </c>
    </row>
    <row r="21475" spans="1:5" x14ac:dyDescent="0.2">
      <c r="A21475">
        <v>13611</v>
      </c>
      <c r="B21475" t="s">
        <v>40</v>
      </c>
      <c r="C21475">
        <v>13611</v>
      </c>
      <c r="D21475" t="str">
        <f>"13611"</f>
        <v>13611</v>
      </c>
      <c r="E21475" t="s">
        <v>6</v>
      </c>
    </row>
    <row r="21476" spans="1:5" x14ac:dyDescent="0.2">
      <c r="A21476">
        <v>13612</v>
      </c>
      <c r="B21476" t="s">
        <v>40</v>
      </c>
      <c r="C21476">
        <v>13612</v>
      </c>
      <c r="D21476" t="str">
        <f>"13612"</f>
        <v>13612</v>
      </c>
      <c r="E21476">
        <v>74.17</v>
      </c>
    </row>
    <row r="21477" spans="1:5" x14ac:dyDescent="0.2">
      <c r="A21477">
        <v>13613</v>
      </c>
      <c r="B21477" t="s">
        <v>40</v>
      </c>
      <c r="C21477">
        <v>13613</v>
      </c>
      <c r="D21477" t="str">
        <f>"13613"</f>
        <v>13613</v>
      </c>
      <c r="E21477">
        <v>67.31</v>
      </c>
    </row>
    <row r="21478" spans="1:5" x14ac:dyDescent="0.2">
      <c r="A21478">
        <v>13614</v>
      </c>
      <c r="B21478" t="s">
        <v>40</v>
      </c>
      <c r="C21478">
        <v>13614</v>
      </c>
      <c r="D21478" t="str">
        <f>"13614"</f>
        <v>13614</v>
      </c>
      <c r="E21478">
        <v>50</v>
      </c>
    </row>
    <row r="21479" spans="1:5" x14ac:dyDescent="0.2">
      <c r="A21479">
        <v>13615</v>
      </c>
      <c r="B21479" t="s">
        <v>40</v>
      </c>
      <c r="C21479">
        <v>13615</v>
      </c>
      <c r="D21479" t="str">
        <f>"13615"</f>
        <v>13615</v>
      </c>
      <c r="E21479" t="s">
        <v>6</v>
      </c>
    </row>
    <row r="21480" spans="1:5" x14ac:dyDescent="0.2">
      <c r="A21480">
        <v>13616</v>
      </c>
      <c r="B21480" t="s">
        <v>40</v>
      </c>
      <c r="C21480">
        <v>13616</v>
      </c>
      <c r="D21480" t="str">
        <f>"13616"</f>
        <v>13616</v>
      </c>
      <c r="E21480">
        <v>69.14</v>
      </c>
    </row>
    <row r="21481" spans="1:5" x14ac:dyDescent="0.2">
      <c r="A21481">
        <v>13617</v>
      </c>
      <c r="B21481" t="s">
        <v>40</v>
      </c>
      <c r="C21481">
        <v>13617</v>
      </c>
      <c r="D21481" t="str">
        <f>"13617"</f>
        <v>13617</v>
      </c>
      <c r="E21481">
        <v>77.2</v>
      </c>
    </row>
    <row r="21482" spans="1:5" x14ac:dyDescent="0.2">
      <c r="A21482">
        <v>13618</v>
      </c>
      <c r="B21482" t="s">
        <v>40</v>
      </c>
      <c r="C21482">
        <v>13618</v>
      </c>
      <c r="D21482" t="str">
        <f>"13618"</f>
        <v>13618</v>
      </c>
      <c r="E21482">
        <v>71.739999999999995</v>
      </c>
    </row>
    <row r="21483" spans="1:5" x14ac:dyDescent="0.2">
      <c r="A21483">
        <v>13619</v>
      </c>
      <c r="B21483" t="s">
        <v>40</v>
      </c>
      <c r="C21483">
        <v>13619</v>
      </c>
      <c r="D21483" t="str">
        <f>"13619"</f>
        <v>13619</v>
      </c>
      <c r="E21483">
        <v>71.260000000000005</v>
      </c>
    </row>
    <row r="21484" spans="1:5" x14ac:dyDescent="0.2">
      <c r="A21484">
        <v>13620</v>
      </c>
      <c r="B21484" t="s">
        <v>40</v>
      </c>
      <c r="C21484">
        <v>13620</v>
      </c>
      <c r="D21484" t="str">
        <f>"13620"</f>
        <v>13620</v>
      </c>
      <c r="E21484">
        <v>71.91</v>
      </c>
    </row>
    <row r="21485" spans="1:5" x14ac:dyDescent="0.2">
      <c r="A21485">
        <v>13621</v>
      </c>
      <c r="B21485" t="s">
        <v>40</v>
      </c>
      <c r="C21485">
        <v>13621</v>
      </c>
      <c r="D21485" t="str">
        <f>"13621"</f>
        <v>13621</v>
      </c>
      <c r="E21485">
        <v>70.37</v>
      </c>
    </row>
    <row r="21486" spans="1:5" x14ac:dyDescent="0.2">
      <c r="A21486">
        <v>13622</v>
      </c>
      <c r="B21486" t="s">
        <v>40</v>
      </c>
      <c r="C21486">
        <v>13622</v>
      </c>
      <c r="D21486" t="str">
        <f>"13622"</f>
        <v>13622</v>
      </c>
      <c r="E21486">
        <v>72.900000000000006</v>
      </c>
    </row>
    <row r="21487" spans="1:5" x14ac:dyDescent="0.2">
      <c r="A21487">
        <v>13624</v>
      </c>
      <c r="B21487" t="s">
        <v>40</v>
      </c>
      <c r="C21487">
        <v>13624</v>
      </c>
      <c r="D21487" t="str">
        <f>"13624"</f>
        <v>13624</v>
      </c>
      <c r="E21487">
        <v>73.06</v>
      </c>
    </row>
    <row r="21488" spans="1:5" x14ac:dyDescent="0.2">
      <c r="A21488">
        <v>13625</v>
      </c>
      <c r="B21488" t="s">
        <v>40</v>
      </c>
      <c r="C21488">
        <v>13625</v>
      </c>
      <c r="D21488" t="str">
        <f>"13625"</f>
        <v>13625</v>
      </c>
      <c r="E21488">
        <v>77.27</v>
      </c>
    </row>
    <row r="21489" spans="1:5" x14ac:dyDescent="0.2">
      <c r="A21489">
        <v>13626</v>
      </c>
      <c r="B21489" t="s">
        <v>40</v>
      </c>
      <c r="C21489">
        <v>13626</v>
      </c>
      <c r="D21489" t="str">
        <f>"13626"</f>
        <v>13626</v>
      </c>
      <c r="E21489">
        <v>70.97</v>
      </c>
    </row>
    <row r="21490" spans="1:5" x14ac:dyDescent="0.2">
      <c r="A21490">
        <v>13628</v>
      </c>
      <c r="B21490" t="s">
        <v>40</v>
      </c>
      <c r="C21490">
        <v>13628</v>
      </c>
      <c r="D21490" t="str">
        <f>"13628"</f>
        <v>13628</v>
      </c>
      <c r="E21490" t="s">
        <v>6</v>
      </c>
    </row>
    <row r="21491" spans="1:5" x14ac:dyDescent="0.2">
      <c r="A21491">
        <v>13630</v>
      </c>
      <c r="B21491" t="s">
        <v>40</v>
      </c>
      <c r="C21491">
        <v>13630</v>
      </c>
      <c r="D21491" t="str">
        <f>"13630"</f>
        <v>13630</v>
      </c>
      <c r="E21491">
        <v>71.150000000000006</v>
      </c>
    </row>
    <row r="21492" spans="1:5" x14ac:dyDescent="0.2">
      <c r="A21492">
        <v>13632</v>
      </c>
      <c r="B21492" t="s">
        <v>40</v>
      </c>
      <c r="C21492">
        <v>13632</v>
      </c>
      <c r="D21492" t="str">
        <f>"13632"</f>
        <v>13632</v>
      </c>
      <c r="E21492" t="s">
        <v>6</v>
      </c>
    </row>
    <row r="21493" spans="1:5" x14ac:dyDescent="0.2">
      <c r="A21493">
        <v>13633</v>
      </c>
      <c r="B21493" t="s">
        <v>40</v>
      </c>
      <c r="C21493">
        <v>13633</v>
      </c>
      <c r="D21493" t="str">
        <f>"13633"</f>
        <v>13633</v>
      </c>
      <c r="E21493" t="s">
        <v>6</v>
      </c>
    </row>
    <row r="21494" spans="1:5" x14ac:dyDescent="0.2">
      <c r="A21494">
        <v>13634</v>
      </c>
      <c r="B21494" t="s">
        <v>40</v>
      </c>
      <c r="C21494">
        <v>13634</v>
      </c>
      <c r="D21494" t="str">
        <f>"13634"</f>
        <v>13634</v>
      </c>
      <c r="E21494">
        <v>76.63</v>
      </c>
    </row>
    <row r="21495" spans="1:5" x14ac:dyDescent="0.2">
      <c r="A21495">
        <v>13635</v>
      </c>
      <c r="B21495" t="s">
        <v>40</v>
      </c>
      <c r="C21495">
        <v>13635</v>
      </c>
      <c r="D21495" t="str">
        <f>"13635"</f>
        <v>13635</v>
      </c>
      <c r="E21495">
        <v>69.77</v>
      </c>
    </row>
    <row r="21496" spans="1:5" x14ac:dyDescent="0.2">
      <c r="A21496">
        <v>13636</v>
      </c>
      <c r="B21496" t="s">
        <v>40</v>
      </c>
      <c r="C21496">
        <v>13636</v>
      </c>
      <c r="D21496" t="str">
        <f>"13636"</f>
        <v>13636</v>
      </c>
      <c r="E21496">
        <v>71.430000000000007</v>
      </c>
    </row>
    <row r="21497" spans="1:5" x14ac:dyDescent="0.2">
      <c r="A21497">
        <v>13637</v>
      </c>
      <c r="B21497" t="s">
        <v>40</v>
      </c>
      <c r="C21497">
        <v>13637</v>
      </c>
      <c r="D21497" t="str">
        <f>"13637"</f>
        <v>13637</v>
      </c>
      <c r="E21497">
        <v>71.569999999999993</v>
      </c>
    </row>
    <row r="21498" spans="1:5" x14ac:dyDescent="0.2">
      <c r="A21498">
        <v>13638</v>
      </c>
      <c r="B21498" t="s">
        <v>40</v>
      </c>
      <c r="C21498">
        <v>13638</v>
      </c>
      <c r="D21498" t="str">
        <f>"13638"</f>
        <v>13638</v>
      </c>
      <c r="E21498">
        <v>66.67</v>
      </c>
    </row>
    <row r="21499" spans="1:5" x14ac:dyDescent="0.2">
      <c r="A21499">
        <v>13639</v>
      </c>
      <c r="B21499" t="s">
        <v>40</v>
      </c>
      <c r="C21499">
        <v>13639</v>
      </c>
      <c r="D21499" t="str">
        <f>"13639"</f>
        <v>13639</v>
      </c>
      <c r="E21499" t="s">
        <v>6</v>
      </c>
    </row>
    <row r="21500" spans="1:5" x14ac:dyDescent="0.2">
      <c r="A21500">
        <v>13640</v>
      </c>
      <c r="B21500" t="s">
        <v>40</v>
      </c>
      <c r="C21500">
        <v>13640</v>
      </c>
      <c r="D21500" t="str">
        <f>"13640"</f>
        <v>13640</v>
      </c>
      <c r="E21500">
        <v>79.17</v>
      </c>
    </row>
    <row r="21501" spans="1:5" x14ac:dyDescent="0.2">
      <c r="A21501">
        <v>13641</v>
      </c>
      <c r="B21501" t="s">
        <v>40</v>
      </c>
      <c r="C21501">
        <v>13641</v>
      </c>
      <c r="D21501" t="str">
        <f>"13641"</f>
        <v>13641</v>
      </c>
      <c r="E21501" t="s">
        <v>6</v>
      </c>
    </row>
    <row r="21502" spans="1:5" x14ac:dyDescent="0.2">
      <c r="A21502">
        <v>13642</v>
      </c>
      <c r="B21502" t="s">
        <v>40</v>
      </c>
      <c r="C21502">
        <v>13642</v>
      </c>
      <c r="D21502" t="str">
        <f>"13642"</f>
        <v>13642</v>
      </c>
      <c r="E21502">
        <v>69.3</v>
      </c>
    </row>
    <row r="21503" spans="1:5" x14ac:dyDescent="0.2">
      <c r="A21503">
        <v>13645</v>
      </c>
      <c r="B21503" t="s">
        <v>40</v>
      </c>
      <c r="C21503">
        <v>13645</v>
      </c>
      <c r="D21503" t="str">
        <f>"13645"</f>
        <v>13645</v>
      </c>
      <c r="E21503" t="s">
        <v>6</v>
      </c>
    </row>
    <row r="21504" spans="1:5" x14ac:dyDescent="0.2">
      <c r="A21504">
        <v>13646</v>
      </c>
      <c r="B21504" t="s">
        <v>40</v>
      </c>
      <c r="C21504">
        <v>13646</v>
      </c>
      <c r="D21504" t="str">
        <f>"13646"</f>
        <v>13646</v>
      </c>
      <c r="E21504">
        <v>65.91</v>
      </c>
    </row>
    <row r="21505" spans="1:5" x14ac:dyDescent="0.2">
      <c r="A21505">
        <v>13648</v>
      </c>
      <c r="B21505" t="s">
        <v>40</v>
      </c>
      <c r="C21505">
        <v>13648</v>
      </c>
      <c r="D21505" t="str">
        <f>"13648"</f>
        <v>13648</v>
      </c>
      <c r="E21505">
        <v>77.08</v>
      </c>
    </row>
    <row r="21506" spans="1:5" x14ac:dyDescent="0.2">
      <c r="A21506">
        <v>13649</v>
      </c>
      <c r="B21506" t="s">
        <v>40</v>
      </c>
      <c r="C21506">
        <v>13649</v>
      </c>
      <c r="D21506" t="str">
        <f>"13649"</f>
        <v>13649</v>
      </c>
      <c r="E21506" t="s">
        <v>6</v>
      </c>
    </row>
    <row r="21507" spans="1:5" x14ac:dyDescent="0.2">
      <c r="A21507">
        <v>13650</v>
      </c>
      <c r="B21507" t="s">
        <v>40</v>
      </c>
      <c r="C21507">
        <v>13650</v>
      </c>
      <c r="D21507" t="str">
        <f>"13650"</f>
        <v>13650</v>
      </c>
      <c r="E21507">
        <v>69.489999999999995</v>
      </c>
    </row>
    <row r="21508" spans="1:5" x14ac:dyDescent="0.2">
      <c r="A21508">
        <v>13651</v>
      </c>
      <c r="B21508" t="s">
        <v>40</v>
      </c>
      <c r="C21508">
        <v>13651</v>
      </c>
      <c r="D21508" t="str">
        <f>"13651"</f>
        <v>13651</v>
      </c>
      <c r="E21508" t="s">
        <v>6</v>
      </c>
    </row>
    <row r="21509" spans="1:5" x14ac:dyDescent="0.2">
      <c r="A21509">
        <v>13652</v>
      </c>
      <c r="B21509" t="s">
        <v>40</v>
      </c>
      <c r="C21509">
        <v>13652</v>
      </c>
      <c r="D21509" t="str">
        <f>"13652"</f>
        <v>13652</v>
      </c>
      <c r="E21509">
        <v>66.23</v>
      </c>
    </row>
    <row r="21510" spans="1:5" x14ac:dyDescent="0.2">
      <c r="A21510">
        <v>13654</v>
      </c>
      <c r="B21510" t="s">
        <v>40</v>
      </c>
      <c r="C21510">
        <v>13654</v>
      </c>
      <c r="D21510" t="str">
        <f>"13654"</f>
        <v>13654</v>
      </c>
      <c r="E21510">
        <v>70.239999999999995</v>
      </c>
    </row>
    <row r="21511" spans="1:5" x14ac:dyDescent="0.2">
      <c r="A21511">
        <v>13655</v>
      </c>
      <c r="B21511" t="s">
        <v>40</v>
      </c>
      <c r="C21511">
        <v>13655</v>
      </c>
      <c r="D21511" t="str">
        <f>"13655"</f>
        <v>13655</v>
      </c>
      <c r="E21511">
        <v>53.75</v>
      </c>
    </row>
    <row r="21512" spans="1:5" x14ac:dyDescent="0.2">
      <c r="A21512">
        <v>13656</v>
      </c>
      <c r="B21512" t="s">
        <v>40</v>
      </c>
      <c r="C21512">
        <v>13656</v>
      </c>
      <c r="D21512" t="str">
        <f>"13656"</f>
        <v>13656</v>
      </c>
      <c r="E21512">
        <v>65.81</v>
      </c>
    </row>
    <row r="21513" spans="1:5" x14ac:dyDescent="0.2">
      <c r="A21513">
        <v>13658</v>
      </c>
      <c r="B21513" t="s">
        <v>40</v>
      </c>
      <c r="C21513">
        <v>13658</v>
      </c>
      <c r="D21513" t="str">
        <f>"13658"</f>
        <v>13658</v>
      </c>
      <c r="E21513">
        <v>74.040000000000006</v>
      </c>
    </row>
    <row r="21514" spans="1:5" x14ac:dyDescent="0.2">
      <c r="A21514">
        <v>13659</v>
      </c>
      <c r="B21514" t="s">
        <v>40</v>
      </c>
      <c r="C21514">
        <v>13659</v>
      </c>
      <c r="D21514" t="str">
        <f>"13659"</f>
        <v>13659</v>
      </c>
      <c r="E21514">
        <v>69.569999999999993</v>
      </c>
    </row>
    <row r="21515" spans="1:5" x14ac:dyDescent="0.2">
      <c r="A21515">
        <v>13660</v>
      </c>
      <c r="B21515" t="s">
        <v>40</v>
      </c>
      <c r="C21515">
        <v>13660</v>
      </c>
      <c r="D21515" t="str">
        <f>"13660"</f>
        <v>13660</v>
      </c>
      <c r="E21515">
        <v>72.94</v>
      </c>
    </row>
    <row r="21516" spans="1:5" x14ac:dyDescent="0.2">
      <c r="A21516">
        <v>13661</v>
      </c>
      <c r="B21516" t="s">
        <v>40</v>
      </c>
      <c r="C21516">
        <v>13661</v>
      </c>
      <c r="D21516" t="str">
        <f>"13661"</f>
        <v>13661</v>
      </c>
      <c r="E21516">
        <v>71.209999999999994</v>
      </c>
    </row>
    <row r="21517" spans="1:5" x14ac:dyDescent="0.2">
      <c r="A21517">
        <v>13662</v>
      </c>
      <c r="B21517" t="s">
        <v>40</v>
      </c>
      <c r="C21517">
        <v>13662</v>
      </c>
      <c r="D21517" t="str">
        <f>"13662"</f>
        <v>13662</v>
      </c>
      <c r="E21517">
        <v>70.66</v>
      </c>
    </row>
    <row r="21518" spans="1:5" x14ac:dyDescent="0.2">
      <c r="A21518">
        <v>13664</v>
      </c>
      <c r="B21518" t="s">
        <v>40</v>
      </c>
      <c r="C21518">
        <v>13664</v>
      </c>
      <c r="D21518" t="str">
        <f>"13664"</f>
        <v>13664</v>
      </c>
      <c r="E21518">
        <v>76</v>
      </c>
    </row>
    <row r="21519" spans="1:5" x14ac:dyDescent="0.2">
      <c r="A21519">
        <v>13665</v>
      </c>
      <c r="B21519" t="s">
        <v>40</v>
      </c>
      <c r="C21519">
        <v>13665</v>
      </c>
      <c r="D21519" t="str">
        <f>"13665"</f>
        <v>13665</v>
      </c>
      <c r="E21519">
        <v>72.22</v>
      </c>
    </row>
    <row r="21520" spans="1:5" x14ac:dyDescent="0.2">
      <c r="A21520">
        <v>13666</v>
      </c>
      <c r="B21520" t="s">
        <v>40</v>
      </c>
      <c r="C21520">
        <v>13666</v>
      </c>
      <c r="D21520" t="str">
        <f>"13666"</f>
        <v>13666</v>
      </c>
      <c r="E21520" t="s">
        <v>6</v>
      </c>
    </row>
    <row r="21521" spans="1:5" x14ac:dyDescent="0.2">
      <c r="A21521">
        <v>13667</v>
      </c>
      <c r="B21521" t="s">
        <v>40</v>
      </c>
      <c r="C21521">
        <v>13667</v>
      </c>
      <c r="D21521" t="str">
        <f>"13667"</f>
        <v>13667</v>
      </c>
      <c r="E21521">
        <v>68.349999999999994</v>
      </c>
    </row>
    <row r="21522" spans="1:5" x14ac:dyDescent="0.2">
      <c r="A21522">
        <v>13668</v>
      </c>
      <c r="B21522" t="s">
        <v>40</v>
      </c>
      <c r="C21522">
        <v>13668</v>
      </c>
      <c r="D21522" t="str">
        <f>"13668"</f>
        <v>13668</v>
      </c>
      <c r="E21522">
        <v>75.86</v>
      </c>
    </row>
    <row r="21523" spans="1:5" x14ac:dyDescent="0.2">
      <c r="A21523">
        <v>13669</v>
      </c>
      <c r="B21523" t="s">
        <v>40</v>
      </c>
      <c r="C21523">
        <v>13669</v>
      </c>
      <c r="D21523" t="str">
        <f>"13669"</f>
        <v>13669</v>
      </c>
      <c r="E21523">
        <v>72.25</v>
      </c>
    </row>
    <row r="21524" spans="1:5" x14ac:dyDescent="0.2">
      <c r="A21524">
        <v>13670</v>
      </c>
      <c r="B21524" t="s">
        <v>40</v>
      </c>
      <c r="C21524">
        <v>13670</v>
      </c>
      <c r="D21524" t="str">
        <f>"13670"</f>
        <v>13670</v>
      </c>
      <c r="E21524">
        <v>69.23</v>
      </c>
    </row>
    <row r="21525" spans="1:5" x14ac:dyDescent="0.2">
      <c r="A21525">
        <v>13672</v>
      </c>
      <c r="B21525" t="s">
        <v>40</v>
      </c>
      <c r="C21525">
        <v>13672</v>
      </c>
      <c r="D21525" t="str">
        <f>"13672"</f>
        <v>13672</v>
      </c>
      <c r="E21525">
        <v>71.88</v>
      </c>
    </row>
    <row r="21526" spans="1:5" x14ac:dyDescent="0.2">
      <c r="A21526">
        <v>13673</v>
      </c>
      <c r="B21526" t="s">
        <v>40</v>
      </c>
      <c r="C21526">
        <v>13673</v>
      </c>
      <c r="D21526" t="str">
        <f>"13673"</f>
        <v>13673</v>
      </c>
      <c r="E21526">
        <v>67.02</v>
      </c>
    </row>
    <row r="21527" spans="1:5" x14ac:dyDescent="0.2">
      <c r="A21527">
        <v>13675</v>
      </c>
      <c r="B21527" t="s">
        <v>40</v>
      </c>
      <c r="C21527">
        <v>13675</v>
      </c>
      <c r="D21527" t="str">
        <f>"13675"</f>
        <v>13675</v>
      </c>
      <c r="E21527" t="s">
        <v>6</v>
      </c>
    </row>
    <row r="21528" spans="1:5" x14ac:dyDescent="0.2">
      <c r="A21528">
        <v>13676</v>
      </c>
      <c r="B21528" t="s">
        <v>40</v>
      </c>
      <c r="C21528">
        <v>13676</v>
      </c>
      <c r="D21528" t="str">
        <f>"13676"</f>
        <v>13676</v>
      </c>
      <c r="E21528">
        <v>74.64</v>
      </c>
    </row>
    <row r="21529" spans="1:5" x14ac:dyDescent="0.2">
      <c r="A21529">
        <v>13679</v>
      </c>
      <c r="B21529" t="s">
        <v>40</v>
      </c>
      <c r="C21529">
        <v>13679</v>
      </c>
      <c r="D21529" t="str">
        <f>"13679"</f>
        <v>13679</v>
      </c>
      <c r="E21529">
        <v>71.430000000000007</v>
      </c>
    </row>
    <row r="21530" spans="1:5" x14ac:dyDescent="0.2">
      <c r="A21530">
        <v>13680</v>
      </c>
      <c r="B21530" t="s">
        <v>40</v>
      </c>
      <c r="C21530">
        <v>13680</v>
      </c>
      <c r="D21530" t="str">
        <f>"13680"</f>
        <v>13680</v>
      </c>
      <c r="E21530">
        <v>68.180000000000007</v>
      </c>
    </row>
    <row r="21531" spans="1:5" x14ac:dyDescent="0.2">
      <c r="A21531">
        <v>13681</v>
      </c>
      <c r="B21531" t="s">
        <v>40</v>
      </c>
      <c r="C21531">
        <v>13681</v>
      </c>
      <c r="D21531" t="str">
        <f>"13681"</f>
        <v>13681</v>
      </c>
      <c r="E21531">
        <v>64.709999999999994</v>
      </c>
    </row>
    <row r="21532" spans="1:5" x14ac:dyDescent="0.2">
      <c r="A21532">
        <v>13682</v>
      </c>
      <c r="B21532" t="s">
        <v>40</v>
      </c>
      <c r="C21532">
        <v>13682</v>
      </c>
      <c r="D21532" t="str">
        <f>"13682"</f>
        <v>13682</v>
      </c>
      <c r="E21532">
        <v>74.42</v>
      </c>
    </row>
    <row r="21533" spans="1:5" x14ac:dyDescent="0.2">
      <c r="A21533">
        <v>13684</v>
      </c>
      <c r="B21533" t="s">
        <v>40</v>
      </c>
      <c r="C21533">
        <v>13684</v>
      </c>
      <c r="D21533" t="str">
        <f>"13684"</f>
        <v>13684</v>
      </c>
      <c r="E21533">
        <v>69.39</v>
      </c>
    </row>
    <row r="21534" spans="1:5" x14ac:dyDescent="0.2">
      <c r="A21534">
        <v>13685</v>
      </c>
      <c r="B21534" t="s">
        <v>40</v>
      </c>
      <c r="C21534">
        <v>13685</v>
      </c>
      <c r="D21534" t="str">
        <f>"13685"</f>
        <v>13685</v>
      </c>
      <c r="E21534">
        <v>79.13</v>
      </c>
    </row>
    <row r="21535" spans="1:5" x14ac:dyDescent="0.2">
      <c r="A21535">
        <v>13687</v>
      </c>
      <c r="B21535" t="s">
        <v>40</v>
      </c>
      <c r="C21535">
        <v>13687</v>
      </c>
      <c r="D21535" t="str">
        <f>"13687"</f>
        <v>13687</v>
      </c>
      <c r="E21535">
        <v>82.61</v>
      </c>
    </row>
    <row r="21536" spans="1:5" x14ac:dyDescent="0.2">
      <c r="A21536">
        <v>13690</v>
      </c>
      <c r="B21536" t="s">
        <v>40</v>
      </c>
      <c r="C21536">
        <v>13690</v>
      </c>
      <c r="D21536" t="str">
        <f>"13690"</f>
        <v>13690</v>
      </c>
      <c r="E21536">
        <v>70.59</v>
      </c>
    </row>
    <row r="21537" spans="1:5" x14ac:dyDescent="0.2">
      <c r="A21537">
        <v>13691</v>
      </c>
      <c r="B21537" t="s">
        <v>40</v>
      </c>
      <c r="C21537">
        <v>13691</v>
      </c>
      <c r="D21537" t="str">
        <f>"13691"</f>
        <v>13691</v>
      </c>
      <c r="E21537">
        <v>71.88</v>
      </c>
    </row>
    <row r="21538" spans="1:5" x14ac:dyDescent="0.2">
      <c r="A21538">
        <v>13692</v>
      </c>
      <c r="B21538" t="s">
        <v>40</v>
      </c>
      <c r="C21538">
        <v>13692</v>
      </c>
      <c r="D21538" t="str">
        <f>"13692"</f>
        <v>13692</v>
      </c>
      <c r="E21538" t="s">
        <v>6</v>
      </c>
    </row>
    <row r="21539" spans="1:5" x14ac:dyDescent="0.2">
      <c r="A21539">
        <v>13693</v>
      </c>
      <c r="B21539" t="s">
        <v>40</v>
      </c>
      <c r="C21539">
        <v>13693</v>
      </c>
      <c r="D21539" t="str">
        <f>"13693"</f>
        <v>13693</v>
      </c>
      <c r="E21539">
        <v>73.08</v>
      </c>
    </row>
    <row r="21540" spans="1:5" x14ac:dyDescent="0.2">
      <c r="A21540">
        <v>13694</v>
      </c>
      <c r="B21540" t="s">
        <v>40</v>
      </c>
      <c r="C21540">
        <v>13694</v>
      </c>
      <c r="D21540" t="str">
        <f>"13694"</f>
        <v>13694</v>
      </c>
      <c r="E21540">
        <v>76.06</v>
      </c>
    </row>
    <row r="21541" spans="1:5" x14ac:dyDescent="0.2">
      <c r="A21541">
        <v>13695</v>
      </c>
      <c r="B21541" t="s">
        <v>40</v>
      </c>
      <c r="C21541">
        <v>13695</v>
      </c>
      <c r="D21541" t="str">
        <f>"13695"</f>
        <v>13695</v>
      </c>
      <c r="E21541" t="s">
        <v>6</v>
      </c>
    </row>
    <row r="21542" spans="1:5" x14ac:dyDescent="0.2">
      <c r="A21542">
        <v>13696</v>
      </c>
      <c r="B21542" t="s">
        <v>40</v>
      </c>
      <c r="C21542">
        <v>13696</v>
      </c>
      <c r="D21542" t="str">
        <f>"13696"</f>
        <v>13696</v>
      </c>
      <c r="E21542">
        <v>70</v>
      </c>
    </row>
    <row r="21543" spans="1:5" x14ac:dyDescent="0.2">
      <c r="A21543">
        <v>13697</v>
      </c>
      <c r="B21543" t="s">
        <v>40</v>
      </c>
      <c r="C21543">
        <v>13697</v>
      </c>
      <c r="D21543" t="str">
        <f>"13697"</f>
        <v>13697</v>
      </c>
      <c r="E21543">
        <v>71.739999999999995</v>
      </c>
    </row>
    <row r="21544" spans="1:5" x14ac:dyDescent="0.2">
      <c r="A21544">
        <v>13730</v>
      </c>
      <c r="B21544" t="s">
        <v>40</v>
      </c>
      <c r="C21544">
        <v>13730</v>
      </c>
      <c r="D21544" t="str">
        <f>"13730"</f>
        <v>13730</v>
      </c>
      <c r="E21544">
        <v>74.02</v>
      </c>
    </row>
    <row r="21545" spans="1:5" x14ac:dyDescent="0.2">
      <c r="A21545">
        <v>13731</v>
      </c>
      <c r="B21545" t="s">
        <v>40</v>
      </c>
      <c r="C21545">
        <v>13731</v>
      </c>
      <c r="D21545" t="str">
        <f>"13731"</f>
        <v>13731</v>
      </c>
      <c r="E21545">
        <v>72.92</v>
      </c>
    </row>
    <row r="21546" spans="1:5" x14ac:dyDescent="0.2">
      <c r="A21546">
        <v>13732</v>
      </c>
      <c r="B21546" t="s">
        <v>40</v>
      </c>
      <c r="C21546">
        <v>13732</v>
      </c>
      <c r="D21546" t="str">
        <f>"13732"</f>
        <v>13732</v>
      </c>
      <c r="E21546">
        <v>77.66</v>
      </c>
    </row>
    <row r="21547" spans="1:5" x14ac:dyDescent="0.2">
      <c r="A21547">
        <v>13733</v>
      </c>
      <c r="B21547" t="s">
        <v>40</v>
      </c>
      <c r="C21547">
        <v>13733</v>
      </c>
      <c r="D21547" t="str">
        <f>"13733"</f>
        <v>13733</v>
      </c>
      <c r="E21547">
        <v>72.489999999999995</v>
      </c>
    </row>
    <row r="21548" spans="1:5" x14ac:dyDescent="0.2">
      <c r="A21548">
        <v>13734</v>
      </c>
      <c r="B21548" t="s">
        <v>40</v>
      </c>
      <c r="C21548">
        <v>13734</v>
      </c>
      <c r="D21548" t="str">
        <f>"13734"</f>
        <v>13734</v>
      </c>
      <c r="E21548">
        <v>69.61</v>
      </c>
    </row>
    <row r="21549" spans="1:5" x14ac:dyDescent="0.2">
      <c r="A21549">
        <v>13736</v>
      </c>
      <c r="B21549" t="s">
        <v>40</v>
      </c>
      <c r="C21549">
        <v>13736</v>
      </c>
      <c r="D21549" t="str">
        <f>"13736"</f>
        <v>13736</v>
      </c>
      <c r="E21549">
        <v>69.44</v>
      </c>
    </row>
    <row r="21550" spans="1:5" x14ac:dyDescent="0.2">
      <c r="A21550">
        <v>13738</v>
      </c>
      <c r="B21550" t="s">
        <v>40</v>
      </c>
      <c r="C21550">
        <v>13738</v>
      </c>
      <c r="D21550" t="str">
        <f>"13738"</f>
        <v>13738</v>
      </c>
      <c r="E21550" t="s">
        <v>6</v>
      </c>
    </row>
    <row r="21551" spans="1:5" x14ac:dyDescent="0.2">
      <c r="A21551">
        <v>13739</v>
      </c>
      <c r="B21551" t="s">
        <v>40</v>
      </c>
      <c r="C21551">
        <v>13739</v>
      </c>
      <c r="D21551" t="str">
        <f>"13739"</f>
        <v>13739</v>
      </c>
      <c r="E21551">
        <v>69.77</v>
      </c>
    </row>
    <row r="21552" spans="1:5" x14ac:dyDescent="0.2">
      <c r="A21552">
        <v>13740</v>
      </c>
      <c r="B21552" t="s">
        <v>40</v>
      </c>
      <c r="C21552">
        <v>13740</v>
      </c>
      <c r="D21552" t="str">
        <f>"13740"</f>
        <v>13740</v>
      </c>
      <c r="E21552">
        <v>69.569999999999993</v>
      </c>
    </row>
    <row r="21553" spans="1:5" x14ac:dyDescent="0.2">
      <c r="A21553">
        <v>13743</v>
      </c>
      <c r="B21553" t="s">
        <v>40</v>
      </c>
      <c r="C21553">
        <v>13743</v>
      </c>
      <c r="D21553" t="str">
        <f>"13743"</f>
        <v>13743</v>
      </c>
      <c r="E21553">
        <v>72.62</v>
      </c>
    </row>
    <row r="21554" spans="1:5" x14ac:dyDescent="0.2">
      <c r="A21554">
        <v>13744</v>
      </c>
      <c r="B21554" t="s">
        <v>40</v>
      </c>
      <c r="C21554">
        <v>13744</v>
      </c>
      <c r="D21554" t="str">
        <f>"13744"</f>
        <v>13744</v>
      </c>
      <c r="E21554">
        <v>71.150000000000006</v>
      </c>
    </row>
    <row r="21555" spans="1:5" x14ac:dyDescent="0.2">
      <c r="A21555">
        <v>13746</v>
      </c>
      <c r="B21555" t="s">
        <v>40</v>
      </c>
      <c r="C21555">
        <v>13746</v>
      </c>
      <c r="D21555" t="str">
        <f>"13746"</f>
        <v>13746</v>
      </c>
      <c r="E21555">
        <v>75.81</v>
      </c>
    </row>
    <row r="21556" spans="1:5" x14ac:dyDescent="0.2">
      <c r="A21556">
        <v>13748</v>
      </c>
      <c r="B21556" t="s">
        <v>40</v>
      </c>
      <c r="C21556">
        <v>13748</v>
      </c>
      <c r="D21556" t="str">
        <f>"13748"</f>
        <v>13748</v>
      </c>
      <c r="E21556">
        <v>72.680000000000007</v>
      </c>
    </row>
    <row r="21557" spans="1:5" x14ac:dyDescent="0.2">
      <c r="A21557">
        <v>13750</v>
      </c>
      <c r="B21557" t="s">
        <v>40</v>
      </c>
      <c r="C21557">
        <v>13750</v>
      </c>
      <c r="D21557" t="str">
        <f>"13750"</f>
        <v>13750</v>
      </c>
      <c r="E21557">
        <v>68.75</v>
      </c>
    </row>
    <row r="21558" spans="1:5" x14ac:dyDescent="0.2">
      <c r="A21558">
        <v>13751</v>
      </c>
      <c r="B21558" t="s">
        <v>40</v>
      </c>
      <c r="C21558">
        <v>13751</v>
      </c>
      <c r="D21558" t="str">
        <f>"13751"</f>
        <v>13751</v>
      </c>
      <c r="E21558">
        <v>63.64</v>
      </c>
    </row>
    <row r="21559" spans="1:5" x14ac:dyDescent="0.2">
      <c r="A21559">
        <v>13752</v>
      </c>
      <c r="B21559" t="s">
        <v>40</v>
      </c>
      <c r="C21559">
        <v>13752</v>
      </c>
      <c r="D21559" t="str">
        <f>"13752"</f>
        <v>13752</v>
      </c>
      <c r="E21559">
        <v>68.75</v>
      </c>
    </row>
    <row r="21560" spans="1:5" x14ac:dyDescent="0.2">
      <c r="A21560">
        <v>13753</v>
      </c>
      <c r="B21560" t="s">
        <v>40</v>
      </c>
      <c r="C21560">
        <v>13753</v>
      </c>
      <c r="D21560" t="str">
        <f>"13753"</f>
        <v>13753</v>
      </c>
      <c r="E21560">
        <v>73.400000000000006</v>
      </c>
    </row>
    <row r="21561" spans="1:5" x14ac:dyDescent="0.2">
      <c r="A21561">
        <v>13754</v>
      </c>
      <c r="B21561" t="s">
        <v>40</v>
      </c>
      <c r="C21561">
        <v>13754</v>
      </c>
      <c r="D21561" t="str">
        <f>"13754"</f>
        <v>13754</v>
      </c>
      <c r="E21561">
        <v>65.41</v>
      </c>
    </row>
    <row r="21562" spans="1:5" x14ac:dyDescent="0.2">
      <c r="A21562">
        <v>13755</v>
      </c>
      <c r="B21562" t="s">
        <v>40</v>
      </c>
      <c r="C21562">
        <v>13755</v>
      </c>
      <c r="D21562" t="str">
        <f>"13755"</f>
        <v>13755</v>
      </c>
      <c r="E21562">
        <v>77.59</v>
      </c>
    </row>
    <row r="21563" spans="1:5" x14ac:dyDescent="0.2">
      <c r="A21563">
        <v>13756</v>
      </c>
      <c r="B21563" t="s">
        <v>40</v>
      </c>
      <c r="C21563">
        <v>13756</v>
      </c>
      <c r="D21563" t="str">
        <f>"13756"</f>
        <v>13756</v>
      </c>
      <c r="E21563">
        <v>68.180000000000007</v>
      </c>
    </row>
    <row r="21564" spans="1:5" x14ac:dyDescent="0.2">
      <c r="A21564">
        <v>13757</v>
      </c>
      <c r="B21564" t="s">
        <v>40</v>
      </c>
      <c r="C21564">
        <v>13757</v>
      </c>
      <c r="D21564" t="str">
        <f>"13757"</f>
        <v>13757</v>
      </c>
      <c r="E21564">
        <v>72.92</v>
      </c>
    </row>
    <row r="21565" spans="1:5" x14ac:dyDescent="0.2">
      <c r="A21565">
        <v>13760</v>
      </c>
      <c r="B21565" t="s">
        <v>40</v>
      </c>
      <c r="C21565">
        <v>13760</v>
      </c>
      <c r="D21565" t="str">
        <f>"13760"</f>
        <v>13760</v>
      </c>
      <c r="E21565">
        <v>73.930000000000007</v>
      </c>
    </row>
    <row r="21566" spans="1:5" x14ac:dyDescent="0.2">
      <c r="A21566">
        <v>13774</v>
      </c>
      <c r="B21566" t="s">
        <v>40</v>
      </c>
      <c r="C21566">
        <v>13774</v>
      </c>
      <c r="D21566" t="str">
        <f>"13774"</f>
        <v>13774</v>
      </c>
      <c r="E21566" t="s">
        <v>6</v>
      </c>
    </row>
    <row r="21567" spans="1:5" x14ac:dyDescent="0.2">
      <c r="A21567">
        <v>13775</v>
      </c>
      <c r="B21567" t="s">
        <v>40</v>
      </c>
      <c r="C21567">
        <v>13775</v>
      </c>
      <c r="D21567" t="str">
        <f>"13775"</f>
        <v>13775</v>
      </c>
      <c r="E21567">
        <v>72.73</v>
      </c>
    </row>
    <row r="21568" spans="1:5" x14ac:dyDescent="0.2">
      <c r="A21568">
        <v>13776</v>
      </c>
      <c r="B21568" t="s">
        <v>40</v>
      </c>
      <c r="C21568">
        <v>13776</v>
      </c>
      <c r="D21568" t="str">
        <f>"13776"</f>
        <v>13776</v>
      </c>
      <c r="E21568">
        <v>70.59</v>
      </c>
    </row>
    <row r="21569" spans="1:5" x14ac:dyDescent="0.2">
      <c r="A21569">
        <v>13777</v>
      </c>
      <c r="B21569" t="s">
        <v>40</v>
      </c>
      <c r="C21569">
        <v>13777</v>
      </c>
      <c r="D21569" t="str">
        <f>"13777"</f>
        <v>13777</v>
      </c>
      <c r="E21569">
        <v>72.97</v>
      </c>
    </row>
    <row r="21570" spans="1:5" x14ac:dyDescent="0.2">
      <c r="A21570">
        <v>13778</v>
      </c>
      <c r="B21570" t="s">
        <v>40</v>
      </c>
      <c r="C21570">
        <v>13778</v>
      </c>
      <c r="D21570" t="str">
        <f>"13778"</f>
        <v>13778</v>
      </c>
      <c r="E21570">
        <v>76.03</v>
      </c>
    </row>
    <row r="21571" spans="1:5" x14ac:dyDescent="0.2">
      <c r="A21571">
        <v>13780</v>
      </c>
      <c r="B21571" t="s">
        <v>40</v>
      </c>
      <c r="C21571">
        <v>13780</v>
      </c>
      <c r="D21571" t="str">
        <f>"13780"</f>
        <v>13780</v>
      </c>
      <c r="E21571">
        <v>72.92</v>
      </c>
    </row>
    <row r="21572" spans="1:5" x14ac:dyDescent="0.2">
      <c r="A21572">
        <v>13782</v>
      </c>
      <c r="B21572" t="s">
        <v>40</v>
      </c>
      <c r="C21572">
        <v>13782</v>
      </c>
      <c r="D21572" t="str">
        <f>"13782"</f>
        <v>13782</v>
      </c>
      <c r="E21572">
        <v>70.97</v>
      </c>
    </row>
    <row r="21573" spans="1:5" x14ac:dyDescent="0.2">
      <c r="A21573">
        <v>13783</v>
      </c>
      <c r="B21573" t="s">
        <v>40</v>
      </c>
      <c r="C21573">
        <v>13783</v>
      </c>
      <c r="D21573" t="str">
        <f>"13783"</f>
        <v>13783</v>
      </c>
      <c r="E21573">
        <v>67</v>
      </c>
    </row>
    <row r="21574" spans="1:5" x14ac:dyDescent="0.2">
      <c r="A21574">
        <v>13784</v>
      </c>
      <c r="B21574" t="s">
        <v>40</v>
      </c>
      <c r="C21574">
        <v>13784</v>
      </c>
      <c r="D21574" t="str">
        <f>"13784"</f>
        <v>13784</v>
      </c>
      <c r="E21574" t="s">
        <v>6</v>
      </c>
    </row>
    <row r="21575" spans="1:5" x14ac:dyDescent="0.2">
      <c r="A21575">
        <v>13786</v>
      </c>
      <c r="B21575" t="s">
        <v>40</v>
      </c>
      <c r="C21575">
        <v>13786</v>
      </c>
      <c r="D21575" t="str">
        <f>"13786"</f>
        <v>13786</v>
      </c>
      <c r="E21575">
        <v>68.75</v>
      </c>
    </row>
    <row r="21576" spans="1:5" x14ac:dyDescent="0.2">
      <c r="A21576">
        <v>13787</v>
      </c>
      <c r="B21576" t="s">
        <v>40</v>
      </c>
      <c r="C21576">
        <v>13787</v>
      </c>
      <c r="D21576" t="str">
        <f>"13787"</f>
        <v>13787</v>
      </c>
      <c r="E21576">
        <v>69.13</v>
      </c>
    </row>
    <row r="21577" spans="1:5" x14ac:dyDescent="0.2">
      <c r="A21577">
        <v>13788</v>
      </c>
      <c r="B21577" t="s">
        <v>40</v>
      </c>
      <c r="C21577">
        <v>13788</v>
      </c>
      <c r="D21577" t="str">
        <f>"13788"</f>
        <v>13788</v>
      </c>
      <c r="E21577">
        <v>71.430000000000007</v>
      </c>
    </row>
    <row r="21578" spans="1:5" x14ac:dyDescent="0.2">
      <c r="A21578">
        <v>13790</v>
      </c>
      <c r="B21578" t="s">
        <v>40</v>
      </c>
      <c r="C21578">
        <v>13790</v>
      </c>
      <c r="D21578" t="str">
        <f>"13790"</f>
        <v>13790</v>
      </c>
      <c r="E21578">
        <v>69.849999999999994</v>
      </c>
    </row>
    <row r="21579" spans="1:5" x14ac:dyDescent="0.2">
      <c r="A21579">
        <v>13795</v>
      </c>
      <c r="B21579" t="s">
        <v>40</v>
      </c>
      <c r="C21579">
        <v>13795</v>
      </c>
      <c r="D21579" t="str">
        <f>"13795"</f>
        <v>13795</v>
      </c>
      <c r="E21579">
        <v>71.510000000000005</v>
      </c>
    </row>
    <row r="21580" spans="1:5" x14ac:dyDescent="0.2">
      <c r="A21580">
        <v>13796</v>
      </c>
      <c r="B21580" t="s">
        <v>40</v>
      </c>
      <c r="C21580">
        <v>13796</v>
      </c>
      <c r="D21580" t="str">
        <f>"13796"</f>
        <v>13796</v>
      </c>
      <c r="E21580">
        <v>71.67</v>
      </c>
    </row>
    <row r="21581" spans="1:5" x14ac:dyDescent="0.2">
      <c r="A21581">
        <v>13797</v>
      </c>
      <c r="B21581" t="s">
        <v>40</v>
      </c>
      <c r="C21581">
        <v>13797</v>
      </c>
      <c r="D21581" t="str">
        <f>"13797"</f>
        <v>13797</v>
      </c>
      <c r="E21581">
        <v>70.33</v>
      </c>
    </row>
    <row r="21582" spans="1:5" x14ac:dyDescent="0.2">
      <c r="A21582">
        <v>13801</v>
      </c>
      <c r="B21582" t="s">
        <v>40</v>
      </c>
      <c r="C21582">
        <v>13801</v>
      </c>
      <c r="D21582" t="str">
        <f>"13801"</f>
        <v>13801</v>
      </c>
      <c r="E21582">
        <v>66.67</v>
      </c>
    </row>
    <row r="21583" spans="1:5" x14ac:dyDescent="0.2">
      <c r="A21583">
        <v>13802</v>
      </c>
      <c r="B21583" t="s">
        <v>40</v>
      </c>
      <c r="C21583">
        <v>13802</v>
      </c>
      <c r="D21583" t="str">
        <f>"13802"</f>
        <v>13802</v>
      </c>
      <c r="E21583">
        <v>74.36</v>
      </c>
    </row>
    <row r="21584" spans="1:5" x14ac:dyDescent="0.2">
      <c r="A21584">
        <v>13803</v>
      </c>
      <c r="B21584" t="s">
        <v>40</v>
      </c>
      <c r="C21584">
        <v>13803</v>
      </c>
      <c r="D21584" t="str">
        <f>"13803"</f>
        <v>13803</v>
      </c>
      <c r="E21584">
        <v>70.31</v>
      </c>
    </row>
    <row r="21585" spans="1:5" x14ac:dyDescent="0.2">
      <c r="A21585">
        <v>13804</v>
      </c>
      <c r="B21585" t="s">
        <v>40</v>
      </c>
      <c r="C21585">
        <v>13804</v>
      </c>
      <c r="D21585" t="str">
        <f>"13804"</f>
        <v>13804</v>
      </c>
      <c r="E21585">
        <v>75</v>
      </c>
    </row>
    <row r="21586" spans="1:5" x14ac:dyDescent="0.2">
      <c r="A21586">
        <v>13806</v>
      </c>
      <c r="B21586" t="s">
        <v>40</v>
      </c>
      <c r="C21586">
        <v>13806</v>
      </c>
      <c r="D21586" t="str">
        <f>"13806"</f>
        <v>13806</v>
      </c>
      <c r="E21586" t="s">
        <v>6</v>
      </c>
    </row>
    <row r="21587" spans="1:5" x14ac:dyDescent="0.2">
      <c r="A21587">
        <v>13807</v>
      </c>
      <c r="B21587" t="s">
        <v>40</v>
      </c>
      <c r="C21587">
        <v>13807</v>
      </c>
      <c r="D21587" t="str">
        <f>"13807"</f>
        <v>13807</v>
      </c>
      <c r="E21587">
        <v>72.58</v>
      </c>
    </row>
    <row r="21588" spans="1:5" x14ac:dyDescent="0.2">
      <c r="A21588">
        <v>13808</v>
      </c>
      <c r="B21588" t="s">
        <v>40</v>
      </c>
      <c r="C21588">
        <v>13808</v>
      </c>
      <c r="D21588" t="str">
        <f>"13808"</f>
        <v>13808</v>
      </c>
      <c r="E21588">
        <v>73.33</v>
      </c>
    </row>
    <row r="21589" spans="1:5" x14ac:dyDescent="0.2">
      <c r="A21589">
        <v>13809</v>
      </c>
      <c r="B21589" t="s">
        <v>40</v>
      </c>
      <c r="C21589">
        <v>13809</v>
      </c>
      <c r="D21589" t="str">
        <f>"13809"</f>
        <v>13809</v>
      </c>
      <c r="E21589">
        <v>72.06</v>
      </c>
    </row>
    <row r="21590" spans="1:5" x14ac:dyDescent="0.2">
      <c r="A21590">
        <v>13810</v>
      </c>
      <c r="B21590" t="s">
        <v>40</v>
      </c>
      <c r="C21590">
        <v>13810</v>
      </c>
      <c r="D21590" t="str">
        <f>"13810"</f>
        <v>13810</v>
      </c>
      <c r="E21590">
        <v>72.22</v>
      </c>
    </row>
    <row r="21591" spans="1:5" x14ac:dyDescent="0.2">
      <c r="A21591">
        <v>13811</v>
      </c>
      <c r="B21591" t="s">
        <v>40</v>
      </c>
      <c r="C21591">
        <v>13811</v>
      </c>
      <c r="D21591" t="str">
        <f>"13811"</f>
        <v>13811</v>
      </c>
      <c r="E21591">
        <v>74.11</v>
      </c>
    </row>
    <row r="21592" spans="1:5" x14ac:dyDescent="0.2">
      <c r="A21592">
        <v>13812</v>
      </c>
      <c r="B21592" t="s">
        <v>40</v>
      </c>
      <c r="C21592">
        <v>13812</v>
      </c>
      <c r="D21592" t="str">
        <f>"13812"</f>
        <v>13812</v>
      </c>
      <c r="E21592">
        <v>73.27</v>
      </c>
    </row>
    <row r="21593" spans="1:5" x14ac:dyDescent="0.2">
      <c r="A21593">
        <v>13813</v>
      </c>
      <c r="B21593" t="s">
        <v>40</v>
      </c>
      <c r="C21593">
        <v>13813</v>
      </c>
      <c r="D21593" t="str">
        <f>"13813"</f>
        <v>13813</v>
      </c>
      <c r="E21593">
        <v>70.73</v>
      </c>
    </row>
    <row r="21594" spans="1:5" x14ac:dyDescent="0.2">
      <c r="A21594">
        <v>13815</v>
      </c>
      <c r="B21594" t="s">
        <v>40</v>
      </c>
      <c r="C21594">
        <v>13815</v>
      </c>
      <c r="D21594" t="str">
        <f>"13815"</f>
        <v>13815</v>
      </c>
      <c r="E21594">
        <v>69.78</v>
      </c>
    </row>
    <row r="21595" spans="1:5" x14ac:dyDescent="0.2">
      <c r="A21595">
        <v>13820</v>
      </c>
      <c r="B21595" t="s">
        <v>40</v>
      </c>
      <c r="C21595">
        <v>13820</v>
      </c>
      <c r="D21595" t="str">
        <f>"13820"</f>
        <v>13820</v>
      </c>
      <c r="E21595">
        <v>73.16</v>
      </c>
    </row>
    <row r="21596" spans="1:5" x14ac:dyDescent="0.2">
      <c r="A21596">
        <v>13825</v>
      </c>
      <c r="B21596" t="s">
        <v>40</v>
      </c>
      <c r="C21596">
        <v>13825</v>
      </c>
      <c r="D21596" t="str">
        <f>"13825"</f>
        <v>13825</v>
      </c>
      <c r="E21596">
        <v>73.25</v>
      </c>
    </row>
    <row r="21597" spans="1:5" x14ac:dyDescent="0.2">
      <c r="A21597">
        <v>13826</v>
      </c>
      <c r="B21597" t="s">
        <v>40</v>
      </c>
      <c r="C21597">
        <v>13826</v>
      </c>
      <c r="D21597" t="str">
        <f>"13826"</f>
        <v>13826</v>
      </c>
      <c r="E21597" t="s">
        <v>6</v>
      </c>
    </row>
    <row r="21598" spans="1:5" x14ac:dyDescent="0.2">
      <c r="A21598">
        <v>13827</v>
      </c>
      <c r="B21598" t="s">
        <v>40</v>
      </c>
      <c r="C21598">
        <v>13827</v>
      </c>
      <c r="D21598" t="str">
        <f>"13827"</f>
        <v>13827</v>
      </c>
      <c r="E21598">
        <v>73.349999999999994</v>
      </c>
    </row>
    <row r="21599" spans="1:5" x14ac:dyDescent="0.2">
      <c r="A21599">
        <v>13830</v>
      </c>
      <c r="B21599" t="s">
        <v>40</v>
      </c>
      <c r="C21599">
        <v>13830</v>
      </c>
      <c r="D21599" t="str">
        <f>"13830"</f>
        <v>13830</v>
      </c>
      <c r="E21599">
        <v>71.77</v>
      </c>
    </row>
    <row r="21600" spans="1:5" x14ac:dyDescent="0.2">
      <c r="A21600">
        <v>13832</v>
      </c>
      <c r="B21600" t="s">
        <v>40</v>
      </c>
      <c r="C21600">
        <v>13832</v>
      </c>
      <c r="D21600" t="str">
        <f>"13832"</f>
        <v>13832</v>
      </c>
      <c r="E21600">
        <v>64</v>
      </c>
    </row>
    <row r="21601" spans="1:5" x14ac:dyDescent="0.2">
      <c r="A21601">
        <v>13833</v>
      </c>
      <c r="B21601" t="s">
        <v>40</v>
      </c>
      <c r="C21601">
        <v>13833</v>
      </c>
      <c r="D21601" t="str">
        <f>"13833"</f>
        <v>13833</v>
      </c>
      <c r="E21601">
        <v>72.31</v>
      </c>
    </row>
    <row r="21602" spans="1:5" x14ac:dyDescent="0.2">
      <c r="A21602">
        <v>13834</v>
      </c>
      <c r="B21602" t="s">
        <v>40</v>
      </c>
      <c r="C21602">
        <v>13834</v>
      </c>
      <c r="D21602" t="str">
        <f>"13834"</f>
        <v>13834</v>
      </c>
      <c r="E21602" t="s">
        <v>6</v>
      </c>
    </row>
    <row r="21603" spans="1:5" x14ac:dyDescent="0.2">
      <c r="A21603">
        <v>13835</v>
      </c>
      <c r="B21603" t="s">
        <v>40</v>
      </c>
      <c r="C21603">
        <v>13835</v>
      </c>
      <c r="D21603" t="str">
        <f>"13835"</f>
        <v>13835</v>
      </c>
      <c r="E21603">
        <v>72.13</v>
      </c>
    </row>
    <row r="21604" spans="1:5" x14ac:dyDescent="0.2">
      <c r="A21604">
        <v>13838</v>
      </c>
      <c r="B21604" t="s">
        <v>40</v>
      </c>
      <c r="C21604">
        <v>13838</v>
      </c>
      <c r="D21604" t="str">
        <f>"13838"</f>
        <v>13838</v>
      </c>
      <c r="E21604">
        <v>67.69</v>
      </c>
    </row>
    <row r="21605" spans="1:5" x14ac:dyDescent="0.2">
      <c r="A21605">
        <v>13839</v>
      </c>
      <c r="B21605" t="s">
        <v>40</v>
      </c>
      <c r="C21605">
        <v>13839</v>
      </c>
      <c r="D21605" t="str">
        <f>"13839"</f>
        <v>13839</v>
      </c>
      <c r="E21605">
        <v>70.97</v>
      </c>
    </row>
    <row r="21606" spans="1:5" x14ac:dyDescent="0.2">
      <c r="A21606">
        <v>13841</v>
      </c>
      <c r="B21606" t="s">
        <v>40</v>
      </c>
      <c r="C21606">
        <v>13841</v>
      </c>
      <c r="D21606" t="str">
        <f>"13841"</f>
        <v>13841</v>
      </c>
      <c r="E21606">
        <v>68.180000000000007</v>
      </c>
    </row>
    <row r="21607" spans="1:5" x14ac:dyDescent="0.2">
      <c r="A21607">
        <v>13842</v>
      </c>
      <c r="B21607" t="s">
        <v>40</v>
      </c>
      <c r="C21607">
        <v>13842</v>
      </c>
      <c r="D21607" t="str">
        <f>"13842"</f>
        <v>13842</v>
      </c>
      <c r="E21607">
        <v>66.67</v>
      </c>
    </row>
    <row r="21608" spans="1:5" x14ac:dyDescent="0.2">
      <c r="A21608">
        <v>13843</v>
      </c>
      <c r="B21608" t="s">
        <v>40</v>
      </c>
      <c r="C21608">
        <v>13843</v>
      </c>
      <c r="D21608" t="str">
        <f>"13843"</f>
        <v>13843</v>
      </c>
      <c r="E21608">
        <v>73.33</v>
      </c>
    </row>
    <row r="21609" spans="1:5" x14ac:dyDescent="0.2">
      <c r="A21609">
        <v>13844</v>
      </c>
      <c r="B21609" t="s">
        <v>40</v>
      </c>
      <c r="C21609">
        <v>13844</v>
      </c>
      <c r="D21609" t="str">
        <f>"13844"</f>
        <v>13844</v>
      </c>
      <c r="E21609">
        <v>66.67</v>
      </c>
    </row>
    <row r="21610" spans="1:5" x14ac:dyDescent="0.2">
      <c r="A21610">
        <v>13846</v>
      </c>
      <c r="B21610" t="s">
        <v>40</v>
      </c>
      <c r="C21610">
        <v>13846</v>
      </c>
      <c r="D21610" t="str">
        <f>"13846"</f>
        <v>13846</v>
      </c>
      <c r="E21610">
        <v>68.75</v>
      </c>
    </row>
    <row r="21611" spans="1:5" x14ac:dyDescent="0.2">
      <c r="A21611">
        <v>13848</v>
      </c>
      <c r="B21611" t="s">
        <v>40</v>
      </c>
      <c r="C21611">
        <v>13848</v>
      </c>
      <c r="D21611" t="str">
        <f>"13848"</f>
        <v>13848</v>
      </c>
      <c r="E21611" t="s">
        <v>6</v>
      </c>
    </row>
    <row r="21612" spans="1:5" x14ac:dyDescent="0.2">
      <c r="A21612">
        <v>13849</v>
      </c>
      <c r="B21612" t="s">
        <v>40</v>
      </c>
      <c r="C21612">
        <v>13849</v>
      </c>
      <c r="D21612" t="str">
        <f>"13849"</f>
        <v>13849</v>
      </c>
      <c r="E21612">
        <v>71.430000000000007</v>
      </c>
    </row>
    <row r="21613" spans="1:5" x14ac:dyDescent="0.2">
      <c r="A21613">
        <v>13850</v>
      </c>
      <c r="B21613" t="s">
        <v>40</v>
      </c>
      <c r="C21613">
        <v>13850</v>
      </c>
      <c r="D21613" t="str">
        <f>"13850"</f>
        <v>13850</v>
      </c>
      <c r="E21613">
        <v>78.27</v>
      </c>
    </row>
    <row r="21614" spans="1:5" x14ac:dyDescent="0.2">
      <c r="A21614">
        <v>13856</v>
      </c>
      <c r="B21614" t="s">
        <v>40</v>
      </c>
      <c r="C21614">
        <v>13856</v>
      </c>
      <c r="D21614" t="str">
        <f>"13856"</f>
        <v>13856</v>
      </c>
      <c r="E21614">
        <v>68.819999999999993</v>
      </c>
    </row>
    <row r="21615" spans="1:5" x14ac:dyDescent="0.2">
      <c r="A21615">
        <v>13859</v>
      </c>
      <c r="B21615" t="s">
        <v>40</v>
      </c>
      <c r="C21615">
        <v>13859</v>
      </c>
      <c r="D21615" t="str">
        <f>"13859"</f>
        <v>13859</v>
      </c>
      <c r="E21615" t="s">
        <v>6</v>
      </c>
    </row>
    <row r="21616" spans="1:5" x14ac:dyDescent="0.2">
      <c r="A21616">
        <v>13860</v>
      </c>
      <c r="B21616" t="s">
        <v>40</v>
      </c>
      <c r="C21616">
        <v>13860</v>
      </c>
      <c r="D21616" t="str">
        <f>"13860"</f>
        <v>13860</v>
      </c>
      <c r="E21616" t="s">
        <v>6</v>
      </c>
    </row>
    <row r="21617" spans="1:5" x14ac:dyDescent="0.2">
      <c r="A21617">
        <v>13861</v>
      </c>
      <c r="B21617" t="s">
        <v>40</v>
      </c>
      <c r="C21617">
        <v>13861</v>
      </c>
      <c r="D21617" t="str">
        <f>"13861"</f>
        <v>13861</v>
      </c>
      <c r="E21617">
        <v>76.67</v>
      </c>
    </row>
    <row r="21618" spans="1:5" x14ac:dyDescent="0.2">
      <c r="A21618">
        <v>13862</v>
      </c>
      <c r="B21618" t="s">
        <v>40</v>
      </c>
      <c r="C21618">
        <v>13862</v>
      </c>
      <c r="D21618" t="str">
        <f>"13862"</f>
        <v>13862</v>
      </c>
      <c r="E21618">
        <v>71.89</v>
      </c>
    </row>
    <row r="21619" spans="1:5" x14ac:dyDescent="0.2">
      <c r="A21619">
        <v>13863</v>
      </c>
      <c r="B21619" t="s">
        <v>40</v>
      </c>
      <c r="C21619">
        <v>13863</v>
      </c>
      <c r="D21619" t="str">
        <f>"13863"</f>
        <v>13863</v>
      </c>
      <c r="E21619">
        <v>63.16</v>
      </c>
    </row>
    <row r="21620" spans="1:5" x14ac:dyDescent="0.2">
      <c r="A21620">
        <v>13864</v>
      </c>
      <c r="B21620" t="s">
        <v>40</v>
      </c>
      <c r="C21620">
        <v>13864</v>
      </c>
      <c r="D21620" t="str">
        <f>"13864"</f>
        <v>13864</v>
      </c>
      <c r="E21620">
        <v>71.150000000000006</v>
      </c>
    </row>
    <row r="21621" spans="1:5" x14ac:dyDescent="0.2">
      <c r="A21621">
        <v>13865</v>
      </c>
      <c r="B21621" t="s">
        <v>40</v>
      </c>
      <c r="C21621">
        <v>13865</v>
      </c>
      <c r="D21621" t="str">
        <f>"13865"</f>
        <v>13865</v>
      </c>
      <c r="E21621">
        <v>72.59</v>
      </c>
    </row>
    <row r="21622" spans="1:5" x14ac:dyDescent="0.2">
      <c r="A21622">
        <v>13901</v>
      </c>
      <c r="B21622" t="s">
        <v>40</v>
      </c>
      <c r="C21622">
        <v>13901</v>
      </c>
      <c r="D21622" t="str">
        <f>"13901"</f>
        <v>13901</v>
      </c>
      <c r="E21622">
        <v>70.599999999999994</v>
      </c>
    </row>
    <row r="21623" spans="1:5" x14ac:dyDescent="0.2">
      <c r="A21623">
        <v>13903</v>
      </c>
      <c r="B21623" t="s">
        <v>40</v>
      </c>
      <c r="C21623">
        <v>13903</v>
      </c>
      <c r="D21623" t="str">
        <f>"13903"</f>
        <v>13903</v>
      </c>
      <c r="E21623">
        <v>70.8</v>
      </c>
    </row>
    <row r="21624" spans="1:5" x14ac:dyDescent="0.2">
      <c r="A21624">
        <v>13904</v>
      </c>
      <c r="B21624" t="s">
        <v>40</v>
      </c>
      <c r="C21624">
        <v>13904</v>
      </c>
      <c r="D21624" t="str">
        <f>"13904"</f>
        <v>13904</v>
      </c>
      <c r="E21624">
        <v>70.12</v>
      </c>
    </row>
    <row r="21625" spans="1:5" x14ac:dyDescent="0.2">
      <c r="A21625">
        <v>13905</v>
      </c>
      <c r="B21625" t="s">
        <v>40</v>
      </c>
      <c r="C21625">
        <v>13905</v>
      </c>
      <c r="D21625" t="str">
        <f>"13905"</f>
        <v>13905</v>
      </c>
      <c r="E21625">
        <v>69.680000000000007</v>
      </c>
    </row>
    <row r="21626" spans="1:5" x14ac:dyDescent="0.2">
      <c r="A21626">
        <v>14001</v>
      </c>
      <c r="B21626" t="s">
        <v>40</v>
      </c>
      <c r="C21626">
        <v>14001</v>
      </c>
      <c r="D21626" t="str">
        <f>"14001"</f>
        <v>14001</v>
      </c>
      <c r="E21626">
        <v>78.150000000000006</v>
      </c>
    </row>
    <row r="21627" spans="1:5" x14ac:dyDescent="0.2">
      <c r="A21627">
        <v>14004</v>
      </c>
      <c r="B21627" t="s">
        <v>40</v>
      </c>
      <c r="C21627">
        <v>14004</v>
      </c>
      <c r="D21627" t="str">
        <f>"14004"</f>
        <v>14004</v>
      </c>
      <c r="E21627">
        <v>78.56</v>
      </c>
    </row>
    <row r="21628" spans="1:5" x14ac:dyDescent="0.2">
      <c r="A21628">
        <v>14005</v>
      </c>
      <c r="B21628" t="s">
        <v>40</v>
      </c>
      <c r="C21628">
        <v>14005</v>
      </c>
      <c r="D21628" t="str">
        <f>"14005"</f>
        <v>14005</v>
      </c>
      <c r="E21628">
        <v>73.959999999999994</v>
      </c>
    </row>
    <row r="21629" spans="1:5" x14ac:dyDescent="0.2">
      <c r="A21629">
        <v>14006</v>
      </c>
      <c r="B21629" t="s">
        <v>40</v>
      </c>
      <c r="C21629">
        <v>14006</v>
      </c>
      <c r="D21629" t="str">
        <f>"14006"</f>
        <v>14006</v>
      </c>
      <c r="E21629">
        <v>77.05</v>
      </c>
    </row>
    <row r="21630" spans="1:5" x14ac:dyDescent="0.2">
      <c r="A21630">
        <v>14008</v>
      </c>
      <c r="B21630" t="s">
        <v>40</v>
      </c>
      <c r="C21630">
        <v>14008</v>
      </c>
      <c r="D21630" t="str">
        <f>"14008"</f>
        <v>14008</v>
      </c>
      <c r="E21630">
        <v>73.239999999999995</v>
      </c>
    </row>
    <row r="21631" spans="1:5" x14ac:dyDescent="0.2">
      <c r="A21631">
        <v>14009</v>
      </c>
      <c r="B21631" t="s">
        <v>40</v>
      </c>
      <c r="C21631">
        <v>14009</v>
      </c>
      <c r="D21631" t="str">
        <f>"14009"</f>
        <v>14009</v>
      </c>
      <c r="E21631">
        <v>75</v>
      </c>
    </row>
    <row r="21632" spans="1:5" x14ac:dyDescent="0.2">
      <c r="A21632">
        <v>14011</v>
      </c>
      <c r="B21632" t="s">
        <v>40</v>
      </c>
      <c r="C21632">
        <v>14011</v>
      </c>
      <c r="D21632" t="str">
        <f>"14011"</f>
        <v>14011</v>
      </c>
      <c r="E21632">
        <v>77.430000000000007</v>
      </c>
    </row>
    <row r="21633" spans="1:5" x14ac:dyDescent="0.2">
      <c r="A21633">
        <v>14012</v>
      </c>
      <c r="B21633" t="s">
        <v>40</v>
      </c>
      <c r="C21633">
        <v>14012</v>
      </c>
      <c r="D21633" t="str">
        <f>"14012"</f>
        <v>14012</v>
      </c>
      <c r="E21633">
        <v>72.319999999999993</v>
      </c>
    </row>
    <row r="21634" spans="1:5" x14ac:dyDescent="0.2">
      <c r="A21634">
        <v>14013</v>
      </c>
      <c r="B21634" t="s">
        <v>40</v>
      </c>
      <c r="C21634">
        <v>14013</v>
      </c>
      <c r="D21634" t="str">
        <f>"14013"</f>
        <v>14013</v>
      </c>
      <c r="E21634">
        <v>70</v>
      </c>
    </row>
    <row r="21635" spans="1:5" x14ac:dyDescent="0.2">
      <c r="A21635">
        <v>14020</v>
      </c>
      <c r="B21635" t="s">
        <v>40</v>
      </c>
      <c r="C21635">
        <v>14020</v>
      </c>
      <c r="D21635" t="str">
        <f>"14020"</f>
        <v>14020</v>
      </c>
      <c r="E21635">
        <v>71.430000000000007</v>
      </c>
    </row>
    <row r="21636" spans="1:5" x14ac:dyDescent="0.2">
      <c r="A21636">
        <v>14024</v>
      </c>
      <c r="B21636" t="s">
        <v>40</v>
      </c>
      <c r="C21636">
        <v>14024</v>
      </c>
      <c r="D21636" t="str">
        <f>"14024"</f>
        <v>14024</v>
      </c>
      <c r="E21636">
        <v>74.650000000000006</v>
      </c>
    </row>
    <row r="21637" spans="1:5" x14ac:dyDescent="0.2">
      <c r="A21637">
        <v>14025</v>
      </c>
      <c r="B21637" t="s">
        <v>40</v>
      </c>
      <c r="C21637">
        <v>14025</v>
      </c>
      <c r="D21637" t="str">
        <f>"14025"</f>
        <v>14025</v>
      </c>
      <c r="E21637">
        <v>82.17</v>
      </c>
    </row>
    <row r="21638" spans="1:5" x14ac:dyDescent="0.2">
      <c r="A21638">
        <v>14026</v>
      </c>
      <c r="B21638" t="s">
        <v>40</v>
      </c>
      <c r="C21638">
        <v>14026</v>
      </c>
      <c r="D21638" t="str">
        <f>"14026"</f>
        <v>14026</v>
      </c>
      <c r="E21638">
        <v>76.09</v>
      </c>
    </row>
    <row r="21639" spans="1:5" x14ac:dyDescent="0.2">
      <c r="A21639">
        <v>14028</v>
      </c>
      <c r="B21639" t="s">
        <v>40</v>
      </c>
      <c r="C21639">
        <v>14028</v>
      </c>
      <c r="D21639" t="str">
        <f>"14028"</f>
        <v>14028</v>
      </c>
      <c r="E21639">
        <v>78.08</v>
      </c>
    </row>
    <row r="21640" spans="1:5" x14ac:dyDescent="0.2">
      <c r="A21640">
        <v>14030</v>
      </c>
      <c r="B21640" t="s">
        <v>40</v>
      </c>
      <c r="C21640">
        <v>14030</v>
      </c>
      <c r="D21640" t="str">
        <f>"14030"</f>
        <v>14030</v>
      </c>
      <c r="E21640">
        <v>75.709999999999994</v>
      </c>
    </row>
    <row r="21641" spans="1:5" x14ac:dyDescent="0.2">
      <c r="A21641">
        <v>14031</v>
      </c>
      <c r="B21641" t="s">
        <v>40</v>
      </c>
      <c r="C21641">
        <v>14031</v>
      </c>
      <c r="D21641" t="str">
        <f>"14031"</f>
        <v>14031</v>
      </c>
      <c r="E21641">
        <v>78.98</v>
      </c>
    </row>
    <row r="21642" spans="1:5" x14ac:dyDescent="0.2">
      <c r="A21642">
        <v>14032</v>
      </c>
      <c r="B21642" t="s">
        <v>40</v>
      </c>
      <c r="C21642">
        <v>14032</v>
      </c>
      <c r="D21642" t="str">
        <f>"14032"</f>
        <v>14032</v>
      </c>
      <c r="E21642">
        <v>80.900000000000006</v>
      </c>
    </row>
    <row r="21643" spans="1:5" x14ac:dyDescent="0.2">
      <c r="A21643">
        <v>14033</v>
      </c>
      <c r="B21643" t="s">
        <v>40</v>
      </c>
      <c r="C21643">
        <v>14033</v>
      </c>
      <c r="D21643" t="str">
        <f>"14033"</f>
        <v>14033</v>
      </c>
      <c r="E21643">
        <v>83.19</v>
      </c>
    </row>
    <row r="21644" spans="1:5" x14ac:dyDescent="0.2">
      <c r="A21644">
        <v>14034</v>
      </c>
      <c r="B21644" t="s">
        <v>40</v>
      </c>
      <c r="C21644">
        <v>14034</v>
      </c>
      <c r="D21644" t="str">
        <f>"14034"</f>
        <v>14034</v>
      </c>
      <c r="E21644">
        <v>77.91</v>
      </c>
    </row>
    <row r="21645" spans="1:5" x14ac:dyDescent="0.2">
      <c r="A21645">
        <v>14036</v>
      </c>
      <c r="B21645" t="s">
        <v>40</v>
      </c>
      <c r="C21645">
        <v>14036</v>
      </c>
      <c r="D21645" t="str">
        <f>"14036"</f>
        <v>14036</v>
      </c>
      <c r="E21645">
        <v>77.97</v>
      </c>
    </row>
    <row r="21646" spans="1:5" x14ac:dyDescent="0.2">
      <c r="A21646">
        <v>14037</v>
      </c>
      <c r="B21646" t="s">
        <v>40</v>
      </c>
      <c r="C21646">
        <v>14037</v>
      </c>
      <c r="D21646" t="str">
        <f>"14037"</f>
        <v>14037</v>
      </c>
      <c r="E21646">
        <v>80</v>
      </c>
    </row>
    <row r="21647" spans="1:5" x14ac:dyDescent="0.2">
      <c r="A21647">
        <v>14039</v>
      </c>
      <c r="B21647" t="s">
        <v>40</v>
      </c>
      <c r="C21647">
        <v>14039</v>
      </c>
      <c r="D21647" t="str">
        <f>"14039"</f>
        <v>14039</v>
      </c>
      <c r="E21647" t="s">
        <v>6</v>
      </c>
    </row>
    <row r="21648" spans="1:5" x14ac:dyDescent="0.2">
      <c r="A21648">
        <v>14040</v>
      </c>
      <c r="B21648" t="s">
        <v>40</v>
      </c>
      <c r="C21648">
        <v>14040</v>
      </c>
      <c r="D21648" t="str">
        <f>"14040"</f>
        <v>14040</v>
      </c>
      <c r="E21648">
        <v>75.930000000000007</v>
      </c>
    </row>
    <row r="21649" spans="1:5" x14ac:dyDescent="0.2">
      <c r="A21649">
        <v>14041</v>
      </c>
      <c r="B21649" t="s">
        <v>40</v>
      </c>
      <c r="C21649">
        <v>14041</v>
      </c>
      <c r="D21649" t="str">
        <f>"14041"</f>
        <v>14041</v>
      </c>
      <c r="E21649" t="s">
        <v>6</v>
      </c>
    </row>
    <row r="21650" spans="1:5" x14ac:dyDescent="0.2">
      <c r="A21650">
        <v>14042</v>
      </c>
      <c r="B21650" t="s">
        <v>40</v>
      </c>
      <c r="C21650">
        <v>14042</v>
      </c>
      <c r="D21650" t="str">
        <f>"14042"</f>
        <v>14042</v>
      </c>
      <c r="E21650">
        <v>71.349999999999994</v>
      </c>
    </row>
    <row r="21651" spans="1:5" x14ac:dyDescent="0.2">
      <c r="A21651">
        <v>14043</v>
      </c>
      <c r="B21651" t="s">
        <v>40</v>
      </c>
      <c r="C21651">
        <v>14043</v>
      </c>
      <c r="D21651" t="str">
        <f>"14043"</f>
        <v>14043</v>
      </c>
      <c r="E21651">
        <v>79.02</v>
      </c>
    </row>
    <row r="21652" spans="1:5" x14ac:dyDescent="0.2">
      <c r="A21652">
        <v>14047</v>
      </c>
      <c r="B21652" t="s">
        <v>40</v>
      </c>
      <c r="C21652">
        <v>14047</v>
      </c>
      <c r="D21652" t="str">
        <f>"14047"</f>
        <v>14047</v>
      </c>
      <c r="E21652">
        <v>79.56</v>
      </c>
    </row>
    <row r="21653" spans="1:5" x14ac:dyDescent="0.2">
      <c r="A21653">
        <v>14048</v>
      </c>
      <c r="B21653" t="s">
        <v>40</v>
      </c>
      <c r="C21653">
        <v>14048</v>
      </c>
      <c r="D21653" t="str">
        <f>"14048"</f>
        <v>14048</v>
      </c>
      <c r="E21653">
        <v>64.77</v>
      </c>
    </row>
    <row r="21654" spans="1:5" x14ac:dyDescent="0.2">
      <c r="A21654">
        <v>14051</v>
      </c>
      <c r="B21654" t="s">
        <v>40</v>
      </c>
      <c r="C21654">
        <v>14051</v>
      </c>
      <c r="D21654" t="str">
        <f>"14051"</f>
        <v>14051</v>
      </c>
      <c r="E21654">
        <v>81.849999999999994</v>
      </c>
    </row>
    <row r="21655" spans="1:5" x14ac:dyDescent="0.2">
      <c r="A21655">
        <v>14052</v>
      </c>
      <c r="B21655" t="s">
        <v>40</v>
      </c>
      <c r="C21655">
        <v>14052</v>
      </c>
      <c r="D21655" t="str">
        <f>"14052"</f>
        <v>14052</v>
      </c>
      <c r="E21655">
        <v>80.44</v>
      </c>
    </row>
    <row r="21656" spans="1:5" x14ac:dyDescent="0.2">
      <c r="A21656">
        <v>14054</v>
      </c>
      <c r="B21656" t="s">
        <v>40</v>
      </c>
      <c r="C21656">
        <v>14054</v>
      </c>
      <c r="D21656" t="str">
        <f>"14054"</f>
        <v>14054</v>
      </c>
      <c r="E21656">
        <v>75</v>
      </c>
    </row>
    <row r="21657" spans="1:5" x14ac:dyDescent="0.2">
      <c r="A21657">
        <v>14055</v>
      </c>
      <c r="B21657" t="s">
        <v>40</v>
      </c>
      <c r="C21657">
        <v>14055</v>
      </c>
      <c r="D21657" t="str">
        <f>"14055"</f>
        <v>14055</v>
      </c>
      <c r="E21657">
        <v>77.459999999999994</v>
      </c>
    </row>
    <row r="21658" spans="1:5" x14ac:dyDescent="0.2">
      <c r="A21658">
        <v>14056</v>
      </c>
      <c r="B21658" t="s">
        <v>40</v>
      </c>
      <c r="C21658">
        <v>14056</v>
      </c>
      <c r="D21658" t="str">
        <f>"14056"</f>
        <v>14056</v>
      </c>
      <c r="E21658" t="s">
        <v>6</v>
      </c>
    </row>
    <row r="21659" spans="1:5" x14ac:dyDescent="0.2">
      <c r="A21659">
        <v>14057</v>
      </c>
      <c r="B21659" t="s">
        <v>40</v>
      </c>
      <c r="C21659">
        <v>14057</v>
      </c>
      <c r="D21659" t="str">
        <f>"14057"</f>
        <v>14057</v>
      </c>
      <c r="E21659">
        <v>79.41</v>
      </c>
    </row>
    <row r="21660" spans="1:5" x14ac:dyDescent="0.2">
      <c r="A21660">
        <v>14058</v>
      </c>
      <c r="B21660" t="s">
        <v>40</v>
      </c>
      <c r="C21660">
        <v>14058</v>
      </c>
      <c r="D21660" t="str">
        <f>"14058"</f>
        <v>14058</v>
      </c>
      <c r="E21660">
        <v>75</v>
      </c>
    </row>
    <row r="21661" spans="1:5" x14ac:dyDescent="0.2">
      <c r="A21661">
        <v>14059</v>
      </c>
      <c r="B21661" t="s">
        <v>40</v>
      </c>
      <c r="C21661">
        <v>14059</v>
      </c>
      <c r="D21661" t="str">
        <f>"14059"</f>
        <v>14059</v>
      </c>
      <c r="E21661">
        <v>81.75</v>
      </c>
    </row>
    <row r="21662" spans="1:5" x14ac:dyDescent="0.2">
      <c r="A21662">
        <v>14060</v>
      </c>
      <c r="B21662" t="s">
        <v>40</v>
      </c>
      <c r="C21662">
        <v>14060</v>
      </c>
      <c r="D21662" t="str">
        <f>"14060"</f>
        <v>14060</v>
      </c>
      <c r="E21662">
        <v>75</v>
      </c>
    </row>
    <row r="21663" spans="1:5" x14ac:dyDescent="0.2">
      <c r="A21663">
        <v>14062</v>
      </c>
      <c r="B21663" t="s">
        <v>40</v>
      </c>
      <c r="C21663">
        <v>14062</v>
      </c>
      <c r="D21663" t="str">
        <f>"14062"</f>
        <v>14062</v>
      </c>
      <c r="E21663">
        <v>72.900000000000006</v>
      </c>
    </row>
    <row r="21664" spans="1:5" x14ac:dyDescent="0.2">
      <c r="A21664">
        <v>14063</v>
      </c>
      <c r="B21664" t="s">
        <v>40</v>
      </c>
      <c r="C21664">
        <v>14063</v>
      </c>
      <c r="D21664" t="str">
        <f>"14063"</f>
        <v>14063</v>
      </c>
      <c r="E21664">
        <v>74.2</v>
      </c>
    </row>
    <row r="21665" spans="1:5" x14ac:dyDescent="0.2">
      <c r="A21665">
        <v>14065</v>
      </c>
      <c r="B21665" t="s">
        <v>40</v>
      </c>
      <c r="C21665">
        <v>14065</v>
      </c>
      <c r="D21665" t="str">
        <f>"14065"</f>
        <v>14065</v>
      </c>
      <c r="E21665">
        <v>72.5</v>
      </c>
    </row>
    <row r="21666" spans="1:5" x14ac:dyDescent="0.2">
      <c r="A21666">
        <v>14066</v>
      </c>
      <c r="B21666" t="s">
        <v>40</v>
      </c>
      <c r="C21666">
        <v>14066</v>
      </c>
      <c r="D21666" t="str">
        <f>"14066"</f>
        <v>14066</v>
      </c>
      <c r="E21666">
        <v>76.599999999999994</v>
      </c>
    </row>
    <row r="21667" spans="1:5" x14ac:dyDescent="0.2">
      <c r="A21667">
        <v>14067</v>
      </c>
      <c r="B21667" t="s">
        <v>40</v>
      </c>
      <c r="C21667">
        <v>14067</v>
      </c>
      <c r="D21667" t="str">
        <f>"14067"</f>
        <v>14067</v>
      </c>
      <c r="E21667">
        <v>76.52</v>
      </c>
    </row>
    <row r="21668" spans="1:5" x14ac:dyDescent="0.2">
      <c r="A21668">
        <v>14068</v>
      </c>
      <c r="B21668" t="s">
        <v>40</v>
      </c>
      <c r="C21668">
        <v>14068</v>
      </c>
      <c r="D21668" t="str">
        <f>"14068"</f>
        <v>14068</v>
      </c>
      <c r="E21668">
        <v>78.989999999999995</v>
      </c>
    </row>
    <row r="21669" spans="1:5" x14ac:dyDescent="0.2">
      <c r="A21669">
        <v>14069</v>
      </c>
      <c r="B21669" t="s">
        <v>40</v>
      </c>
      <c r="C21669">
        <v>14069</v>
      </c>
      <c r="D21669" t="str">
        <f>"14069"</f>
        <v>14069</v>
      </c>
      <c r="E21669">
        <v>80</v>
      </c>
    </row>
    <row r="21670" spans="1:5" x14ac:dyDescent="0.2">
      <c r="A21670">
        <v>14070</v>
      </c>
      <c r="B21670" t="s">
        <v>40</v>
      </c>
      <c r="C21670">
        <v>14070</v>
      </c>
      <c r="D21670" t="str">
        <f>"14070"</f>
        <v>14070</v>
      </c>
      <c r="E21670">
        <v>72.930000000000007</v>
      </c>
    </row>
    <row r="21671" spans="1:5" x14ac:dyDescent="0.2">
      <c r="A21671">
        <v>14072</v>
      </c>
      <c r="B21671" t="s">
        <v>40</v>
      </c>
      <c r="C21671">
        <v>14072</v>
      </c>
      <c r="D21671" t="str">
        <f>"14072"</f>
        <v>14072</v>
      </c>
      <c r="E21671">
        <v>80.56</v>
      </c>
    </row>
    <row r="21672" spans="1:5" x14ac:dyDescent="0.2">
      <c r="A21672">
        <v>14075</v>
      </c>
      <c r="B21672" t="s">
        <v>40</v>
      </c>
      <c r="C21672">
        <v>14075</v>
      </c>
      <c r="D21672" t="str">
        <f>"14075"</f>
        <v>14075</v>
      </c>
      <c r="E21672">
        <v>80.06</v>
      </c>
    </row>
    <row r="21673" spans="1:5" x14ac:dyDescent="0.2">
      <c r="A21673">
        <v>14080</v>
      </c>
      <c r="B21673" t="s">
        <v>40</v>
      </c>
      <c r="C21673">
        <v>14080</v>
      </c>
      <c r="D21673" t="str">
        <f>"14080"</f>
        <v>14080</v>
      </c>
      <c r="E21673">
        <v>79.34</v>
      </c>
    </row>
    <row r="21674" spans="1:5" x14ac:dyDescent="0.2">
      <c r="A21674">
        <v>14081</v>
      </c>
      <c r="B21674" t="s">
        <v>40</v>
      </c>
      <c r="C21674">
        <v>14081</v>
      </c>
      <c r="D21674" t="str">
        <f>"14081"</f>
        <v>14081</v>
      </c>
      <c r="E21674">
        <v>69.77</v>
      </c>
    </row>
    <row r="21675" spans="1:5" x14ac:dyDescent="0.2">
      <c r="A21675">
        <v>14082</v>
      </c>
      <c r="B21675" t="s">
        <v>40</v>
      </c>
      <c r="C21675">
        <v>14082</v>
      </c>
      <c r="D21675" t="str">
        <f>"14082"</f>
        <v>14082</v>
      </c>
      <c r="E21675">
        <v>80</v>
      </c>
    </row>
    <row r="21676" spans="1:5" x14ac:dyDescent="0.2">
      <c r="A21676">
        <v>14083</v>
      </c>
      <c r="B21676" t="s">
        <v>40</v>
      </c>
      <c r="C21676">
        <v>14083</v>
      </c>
      <c r="D21676" t="str">
        <f>"14083"</f>
        <v>14083</v>
      </c>
      <c r="E21676" t="s">
        <v>6</v>
      </c>
    </row>
    <row r="21677" spans="1:5" x14ac:dyDescent="0.2">
      <c r="A21677">
        <v>14085</v>
      </c>
      <c r="B21677" t="s">
        <v>40</v>
      </c>
      <c r="C21677">
        <v>14085</v>
      </c>
      <c r="D21677" t="str">
        <f>"14085"</f>
        <v>14085</v>
      </c>
      <c r="E21677">
        <v>83.04</v>
      </c>
    </row>
    <row r="21678" spans="1:5" x14ac:dyDescent="0.2">
      <c r="A21678">
        <v>14086</v>
      </c>
      <c r="B21678" t="s">
        <v>40</v>
      </c>
      <c r="C21678">
        <v>14086</v>
      </c>
      <c r="D21678" t="str">
        <f>"14086"</f>
        <v>14086</v>
      </c>
      <c r="E21678">
        <v>82.59</v>
      </c>
    </row>
    <row r="21679" spans="1:5" x14ac:dyDescent="0.2">
      <c r="A21679">
        <v>14091</v>
      </c>
      <c r="B21679" t="s">
        <v>40</v>
      </c>
      <c r="C21679">
        <v>14091</v>
      </c>
      <c r="D21679" t="str">
        <f>"14091"</f>
        <v>14091</v>
      </c>
      <c r="E21679">
        <v>70.180000000000007</v>
      </c>
    </row>
    <row r="21680" spans="1:5" x14ac:dyDescent="0.2">
      <c r="A21680">
        <v>14092</v>
      </c>
      <c r="B21680" t="s">
        <v>40</v>
      </c>
      <c r="C21680">
        <v>14092</v>
      </c>
      <c r="D21680" t="str">
        <f>"14092"</f>
        <v>14092</v>
      </c>
      <c r="E21680">
        <v>78.790000000000006</v>
      </c>
    </row>
    <row r="21681" spans="1:5" x14ac:dyDescent="0.2">
      <c r="A21681">
        <v>14094</v>
      </c>
      <c r="B21681" t="s">
        <v>40</v>
      </c>
      <c r="C21681">
        <v>14094</v>
      </c>
      <c r="D21681" t="str">
        <f>"14094"</f>
        <v>14094</v>
      </c>
      <c r="E21681">
        <v>75.52</v>
      </c>
    </row>
    <row r="21682" spans="1:5" x14ac:dyDescent="0.2">
      <c r="A21682">
        <v>14098</v>
      </c>
      <c r="B21682" t="s">
        <v>40</v>
      </c>
      <c r="C21682">
        <v>14098</v>
      </c>
      <c r="D21682" t="str">
        <f>"14098"</f>
        <v>14098</v>
      </c>
      <c r="E21682">
        <v>70.5</v>
      </c>
    </row>
    <row r="21683" spans="1:5" x14ac:dyDescent="0.2">
      <c r="A21683">
        <v>14101</v>
      </c>
      <c r="B21683" t="s">
        <v>40</v>
      </c>
      <c r="C21683">
        <v>14101</v>
      </c>
      <c r="D21683" t="str">
        <f>"14101"</f>
        <v>14101</v>
      </c>
      <c r="E21683">
        <v>68.67</v>
      </c>
    </row>
    <row r="21684" spans="1:5" x14ac:dyDescent="0.2">
      <c r="A21684">
        <v>14102</v>
      </c>
      <c r="B21684" t="s">
        <v>40</v>
      </c>
      <c r="C21684">
        <v>14102</v>
      </c>
      <c r="D21684" t="str">
        <f>"14102"</f>
        <v>14102</v>
      </c>
      <c r="E21684">
        <v>81.540000000000006</v>
      </c>
    </row>
    <row r="21685" spans="1:5" x14ac:dyDescent="0.2">
      <c r="A21685">
        <v>14103</v>
      </c>
      <c r="B21685" t="s">
        <v>40</v>
      </c>
      <c r="C21685">
        <v>14103</v>
      </c>
      <c r="D21685" t="str">
        <f>"14103"</f>
        <v>14103</v>
      </c>
      <c r="E21685">
        <v>70.349999999999994</v>
      </c>
    </row>
    <row r="21686" spans="1:5" x14ac:dyDescent="0.2">
      <c r="A21686">
        <v>14105</v>
      </c>
      <c r="B21686" t="s">
        <v>40</v>
      </c>
      <c r="C21686">
        <v>14105</v>
      </c>
      <c r="D21686" t="str">
        <f>"14105"</f>
        <v>14105</v>
      </c>
      <c r="E21686">
        <v>73.849999999999994</v>
      </c>
    </row>
    <row r="21687" spans="1:5" x14ac:dyDescent="0.2">
      <c r="A21687">
        <v>14108</v>
      </c>
      <c r="B21687" t="s">
        <v>40</v>
      </c>
      <c r="C21687">
        <v>14108</v>
      </c>
      <c r="D21687" t="str">
        <f>"14108"</f>
        <v>14108</v>
      </c>
      <c r="E21687">
        <v>77.03</v>
      </c>
    </row>
    <row r="21688" spans="1:5" x14ac:dyDescent="0.2">
      <c r="A21688">
        <v>14109</v>
      </c>
      <c r="B21688" t="s">
        <v>40</v>
      </c>
      <c r="C21688">
        <v>14109</v>
      </c>
      <c r="D21688" t="str">
        <f>"14109"</f>
        <v>14109</v>
      </c>
      <c r="E21688" t="s">
        <v>6</v>
      </c>
    </row>
    <row r="21689" spans="1:5" x14ac:dyDescent="0.2">
      <c r="A21689">
        <v>14111</v>
      </c>
      <c r="B21689" t="s">
        <v>40</v>
      </c>
      <c r="C21689">
        <v>14111</v>
      </c>
      <c r="D21689" t="str">
        <f>"14111"</f>
        <v>14111</v>
      </c>
      <c r="E21689">
        <v>76.430000000000007</v>
      </c>
    </row>
    <row r="21690" spans="1:5" x14ac:dyDescent="0.2">
      <c r="A21690">
        <v>14113</v>
      </c>
      <c r="B21690" t="s">
        <v>40</v>
      </c>
      <c r="C21690">
        <v>14113</v>
      </c>
      <c r="D21690" t="str">
        <f>"14113"</f>
        <v>14113</v>
      </c>
      <c r="E21690">
        <v>76.319999999999993</v>
      </c>
    </row>
    <row r="21691" spans="1:5" x14ac:dyDescent="0.2">
      <c r="A21691">
        <v>14120</v>
      </c>
      <c r="B21691" t="s">
        <v>40</v>
      </c>
      <c r="C21691">
        <v>14120</v>
      </c>
      <c r="D21691" t="str">
        <f>"14120"</f>
        <v>14120</v>
      </c>
      <c r="E21691">
        <v>78.37</v>
      </c>
    </row>
    <row r="21692" spans="1:5" x14ac:dyDescent="0.2">
      <c r="A21692">
        <v>14125</v>
      </c>
      <c r="B21692" t="s">
        <v>40</v>
      </c>
      <c r="C21692">
        <v>14125</v>
      </c>
      <c r="D21692" t="str">
        <f>"14125"</f>
        <v>14125</v>
      </c>
      <c r="E21692">
        <v>73.959999999999994</v>
      </c>
    </row>
    <row r="21693" spans="1:5" x14ac:dyDescent="0.2">
      <c r="A21693">
        <v>14126</v>
      </c>
      <c r="B21693" t="s">
        <v>40</v>
      </c>
      <c r="C21693">
        <v>14126</v>
      </c>
      <c r="D21693" t="str">
        <f>"14126"</f>
        <v>14126</v>
      </c>
      <c r="E21693" t="s">
        <v>6</v>
      </c>
    </row>
    <row r="21694" spans="1:5" x14ac:dyDescent="0.2">
      <c r="A21694">
        <v>14127</v>
      </c>
      <c r="B21694" t="s">
        <v>40</v>
      </c>
      <c r="C21694">
        <v>14127</v>
      </c>
      <c r="D21694" t="str">
        <f>"14127"</f>
        <v>14127</v>
      </c>
      <c r="E21694">
        <v>81.489999999999995</v>
      </c>
    </row>
    <row r="21695" spans="1:5" x14ac:dyDescent="0.2">
      <c r="A21695">
        <v>14129</v>
      </c>
      <c r="B21695" t="s">
        <v>40</v>
      </c>
      <c r="C21695">
        <v>14129</v>
      </c>
      <c r="D21695" t="str">
        <f>"14129"</f>
        <v>14129</v>
      </c>
      <c r="E21695">
        <v>73.02</v>
      </c>
    </row>
    <row r="21696" spans="1:5" x14ac:dyDescent="0.2">
      <c r="A21696">
        <v>14130</v>
      </c>
      <c r="B21696" t="s">
        <v>40</v>
      </c>
      <c r="C21696">
        <v>14130</v>
      </c>
      <c r="D21696" t="str">
        <f>"14130"</f>
        <v>14130</v>
      </c>
      <c r="E21696" t="s">
        <v>6</v>
      </c>
    </row>
    <row r="21697" spans="1:5" x14ac:dyDescent="0.2">
      <c r="A21697">
        <v>14131</v>
      </c>
      <c r="B21697" t="s">
        <v>40</v>
      </c>
      <c r="C21697">
        <v>14131</v>
      </c>
      <c r="D21697" t="str">
        <f>"14131"</f>
        <v>14131</v>
      </c>
      <c r="E21697">
        <v>75.760000000000005</v>
      </c>
    </row>
    <row r="21698" spans="1:5" x14ac:dyDescent="0.2">
      <c r="A21698">
        <v>14132</v>
      </c>
      <c r="B21698" t="s">
        <v>40</v>
      </c>
      <c r="C21698">
        <v>14132</v>
      </c>
      <c r="D21698" t="str">
        <f>"14132"</f>
        <v>14132</v>
      </c>
      <c r="E21698">
        <v>78.569999999999993</v>
      </c>
    </row>
    <row r="21699" spans="1:5" x14ac:dyDescent="0.2">
      <c r="A21699">
        <v>14134</v>
      </c>
      <c r="B21699" t="s">
        <v>40</v>
      </c>
      <c r="C21699">
        <v>14134</v>
      </c>
      <c r="D21699" t="str">
        <f>"14134"</f>
        <v>14134</v>
      </c>
      <c r="E21699">
        <v>66.67</v>
      </c>
    </row>
    <row r="21700" spans="1:5" x14ac:dyDescent="0.2">
      <c r="A21700">
        <v>14135</v>
      </c>
      <c r="B21700" t="s">
        <v>40</v>
      </c>
      <c r="C21700">
        <v>14135</v>
      </c>
      <c r="D21700" t="str">
        <f>"14135"</f>
        <v>14135</v>
      </c>
      <c r="E21700" t="s">
        <v>6</v>
      </c>
    </row>
    <row r="21701" spans="1:5" x14ac:dyDescent="0.2">
      <c r="A21701">
        <v>14136</v>
      </c>
      <c r="B21701" t="s">
        <v>40</v>
      </c>
      <c r="C21701">
        <v>14136</v>
      </c>
      <c r="D21701" t="str">
        <f>"14136"</f>
        <v>14136</v>
      </c>
      <c r="E21701">
        <v>73.16</v>
      </c>
    </row>
    <row r="21702" spans="1:5" x14ac:dyDescent="0.2">
      <c r="A21702">
        <v>14138</v>
      </c>
      <c r="B21702" t="s">
        <v>40</v>
      </c>
      <c r="C21702">
        <v>14138</v>
      </c>
      <c r="D21702" t="str">
        <f>"14138"</f>
        <v>14138</v>
      </c>
      <c r="E21702">
        <v>71.599999999999994</v>
      </c>
    </row>
    <row r="21703" spans="1:5" x14ac:dyDescent="0.2">
      <c r="A21703">
        <v>14139</v>
      </c>
      <c r="B21703" t="s">
        <v>40</v>
      </c>
      <c r="C21703">
        <v>14139</v>
      </c>
      <c r="D21703" t="str">
        <f>"14139"</f>
        <v>14139</v>
      </c>
      <c r="E21703">
        <v>79.17</v>
      </c>
    </row>
    <row r="21704" spans="1:5" x14ac:dyDescent="0.2">
      <c r="A21704">
        <v>14141</v>
      </c>
      <c r="B21704" t="s">
        <v>40</v>
      </c>
      <c r="C21704">
        <v>14141</v>
      </c>
      <c r="D21704" t="str">
        <f>"14141"</f>
        <v>14141</v>
      </c>
      <c r="E21704">
        <v>77.13</v>
      </c>
    </row>
    <row r="21705" spans="1:5" x14ac:dyDescent="0.2">
      <c r="A21705">
        <v>14143</v>
      </c>
      <c r="B21705" t="s">
        <v>40</v>
      </c>
      <c r="C21705">
        <v>14143</v>
      </c>
      <c r="D21705" t="str">
        <f>"14143"</f>
        <v>14143</v>
      </c>
      <c r="E21705">
        <v>79.69</v>
      </c>
    </row>
    <row r="21706" spans="1:5" x14ac:dyDescent="0.2">
      <c r="A21706">
        <v>14145</v>
      </c>
      <c r="B21706" t="s">
        <v>40</v>
      </c>
      <c r="C21706">
        <v>14145</v>
      </c>
      <c r="D21706" t="str">
        <f>"14145"</f>
        <v>14145</v>
      </c>
      <c r="E21706">
        <v>77.22</v>
      </c>
    </row>
    <row r="21707" spans="1:5" x14ac:dyDescent="0.2">
      <c r="A21707">
        <v>14150</v>
      </c>
      <c r="B21707" t="s">
        <v>40</v>
      </c>
      <c r="C21707">
        <v>14150</v>
      </c>
      <c r="D21707" t="str">
        <f>"14150"</f>
        <v>14150</v>
      </c>
      <c r="E21707">
        <v>78.650000000000006</v>
      </c>
    </row>
    <row r="21708" spans="1:5" x14ac:dyDescent="0.2">
      <c r="A21708">
        <v>14166</v>
      </c>
      <c r="B21708" t="s">
        <v>40</v>
      </c>
      <c r="C21708">
        <v>14166</v>
      </c>
      <c r="D21708" t="str">
        <f>"14166"</f>
        <v>14166</v>
      </c>
      <c r="E21708" t="s">
        <v>6</v>
      </c>
    </row>
    <row r="21709" spans="1:5" x14ac:dyDescent="0.2">
      <c r="A21709">
        <v>14167</v>
      </c>
      <c r="B21709" t="s">
        <v>40</v>
      </c>
      <c r="C21709">
        <v>14167</v>
      </c>
      <c r="D21709" t="str">
        <f>"14167"</f>
        <v>14167</v>
      </c>
      <c r="E21709">
        <v>78.209999999999994</v>
      </c>
    </row>
    <row r="21710" spans="1:5" x14ac:dyDescent="0.2">
      <c r="A21710">
        <v>14169</v>
      </c>
      <c r="B21710" t="s">
        <v>40</v>
      </c>
      <c r="C21710">
        <v>14169</v>
      </c>
      <c r="D21710" t="str">
        <f>"14169"</f>
        <v>14169</v>
      </c>
      <c r="E21710" t="s">
        <v>6</v>
      </c>
    </row>
    <row r="21711" spans="1:5" x14ac:dyDescent="0.2">
      <c r="A21711">
        <v>14170</v>
      </c>
      <c r="B21711" t="s">
        <v>40</v>
      </c>
      <c r="C21711">
        <v>14170</v>
      </c>
      <c r="D21711" t="str">
        <f>"14170"</f>
        <v>14170</v>
      </c>
      <c r="E21711">
        <v>79.84</v>
      </c>
    </row>
    <row r="21712" spans="1:5" x14ac:dyDescent="0.2">
      <c r="A21712">
        <v>14171</v>
      </c>
      <c r="B21712" t="s">
        <v>40</v>
      </c>
      <c r="C21712">
        <v>14171</v>
      </c>
      <c r="D21712" t="str">
        <f>"14171"</f>
        <v>14171</v>
      </c>
      <c r="E21712">
        <v>77.08</v>
      </c>
    </row>
    <row r="21713" spans="1:5" x14ac:dyDescent="0.2">
      <c r="A21713">
        <v>14172</v>
      </c>
      <c r="B21713" t="s">
        <v>40</v>
      </c>
      <c r="C21713">
        <v>14172</v>
      </c>
      <c r="D21713" t="str">
        <f>"14172"</f>
        <v>14172</v>
      </c>
      <c r="E21713">
        <v>76.25</v>
      </c>
    </row>
    <row r="21714" spans="1:5" x14ac:dyDescent="0.2">
      <c r="A21714">
        <v>14173</v>
      </c>
      <c r="B21714" t="s">
        <v>40</v>
      </c>
      <c r="C21714">
        <v>14173</v>
      </c>
      <c r="D21714" t="str">
        <f>"14173"</f>
        <v>14173</v>
      </c>
      <c r="E21714" t="s">
        <v>6</v>
      </c>
    </row>
    <row r="21715" spans="1:5" x14ac:dyDescent="0.2">
      <c r="A21715">
        <v>14174</v>
      </c>
      <c r="B21715" t="s">
        <v>40</v>
      </c>
      <c r="C21715">
        <v>14174</v>
      </c>
      <c r="D21715" t="str">
        <f>"14174"</f>
        <v>14174</v>
      </c>
      <c r="E21715">
        <v>78.16</v>
      </c>
    </row>
    <row r="21716" spans="1:5" x14ac:dyDescent="0.2">
      <c r="A21716">
        <v>14201</v>
      </c>
      <c r="B21716" t="s">
        <v>40</v>
      </c>
      <c r="C21716">
        <v>14201</v>
      </c>
      <c r="D21716" t="str">
        <f>"14201"</f>
        <v>14201</v>
      </c>
      <c r="E21716">
        <v>62</v>
      </c>
    </row>
    <row r="21717" spans="1:5" x14ac:dyDescent="0.2">
      <c r="A21717">
        <v>14202</v>
      </c>
      <c r="B21717" t="s">
        <v>40</v>
      </c>
      <c r="C21717">
        <v>14202</v>
      </c>
      <c r="D21717" t="str">
        <f>"14202"</f>
        <v>14202</v>
      </c>
      <c r="E21717">
        <v>76.84</v>
      </c>
    </row>
    <row r="21718" spans="1:5" x14ac:dyDescent="0.2">
      <c r="A21718">
        <v>14203</v>
      </c>
      <c r="B21718" t="s">
        <v>40</v>
      </c>
      <c r="C21718">
        <v>14203</v>
      </c>
      <c r="D21718" t="str">
        <f>"14203"</f>
        <v>14203</v>
      </c>
      <c r="E21718">
        <v>71.91</v>
      </c>
    </row>
    <row r="21719" spans="1:5" x14ac:dyDescent="0.2">
      <c r="A21719">
        <v>14204</v>
      </c>
      <c r="B21719" t="s">
        <v>40</v>
      </c>
      <c r="C21719">
        <v>14204</v>
      </c>
      <c r="D21719" t="str">
        <f>"14204"</f>
        <v>14204</v>
      </c>
      <c r="E21719">
        <v>58.72</v>
      </c>
    </row>
    <row r="21720" spans="1:5" x14ac:dyDescent="0.2">
      <c r="A21720">
        <v>14206</v>
      </c>
      <c r="B21720" t="s">
        <v>40</v>
      </c>
      <c r="C21720">
        <v>14206</v>
      </c>
      <c r="D21720" t="str">
        <f>"14206"</f>
        <v>14206</v>
      </c>
      <c r="E21720">
        <v>66.2</v>
      </c>
    </row>
    <row r="21721" spans="1:5" x14ac:dyDescent="0.2">
      <c r="A21721">
        <v>14207</v>
      </c>
      <c r="B21721" t="s">
        <v>40</v>
      </c>
      <c r="C21721">
        <v>14207</v>
      </c>
      <c r="D21721" t="str">
        <f>"14207"</f>
        <v>14207</v>
      </c>
      <c r="E21721">
        <v>51.89</v>
      </c>
    </row>
    <row r="21722" spans="1:5" x14ac:dyDescent="0.2">
      <c r="A21722">
        <v>14208</v>
      </c>
      <c r="B21722" t="s">
        <v>40</v>
      </c>
      <c r="C21722">
        <v>14208</v>
      </c>
      <c r="D21722" t="str">
        <f>"14208"</f>
        <v>14208</v>
      </c>
      <c r="E21722">
        <v>53.75</v>
      </c>
    </row>
    <row r="21723" spans="1:5" x14ac:dyDescent="0.2">
      <c r="A21723">
        <v>14209</v>
      </c>
      <c r="B21723" t="s">
        <v>40</v>
      </c>
      <c r="C21723">
        <v>14209</v>
      </c>
      <c r="D21723" t="str">
        <f>"14209"</f>
        <v>14209</v>
      </c>
      <c r="E21723">
        <v>74.14</v>
      </c>
    </row>
    <row r="21724" spans="1:5" x14ac:dyDescent="0.2">
      <c r="A21724">
        <v>14210</v>
      </c>
      <c r="B21724" t="s">
        <v>40</v>
      </c>
      <c r="C21724">
        <v>14210</v>
      </c>
      <c r="D21724" t="str">
        <f>"14210"</f>
        <v>14210</v>
      </c>
      <c r="E21724">
        <v>64.180000000000007</v>
      </c>
    </row>
    <row r="21725" spans="1:5" x14ac:dyDescent="0.2">
      <c r="A21725">
        <v>14211</v>
      </c>
      <c r="B21725" t="s">
        <v>40</v>
      </c>
      <c r="C21725">
        <v>14211</v>
      </c>
      <c r="D21725" t="str">
        <f>"14211"</f>
        <v>14211</v>
      </c>
      <c r="E21725">
        <v>47.56</v>
      </c>
    </row>
    <row r="21726" spans="1:5" x14ac:dyDescent="0.2">
      <c r="A21726">
        <v>14212</v>
      </c>
      <c r="B21726" t="s">
        <v>40</v>
      </c>
      <c r="C21726">
        <v>14212</v>
      </c>
      <c r="D21726" t="str">
        <f>"14212"</f>
        <v>14212</v>
      </c>
      <c r="E21726">
        <v>52.66</v>
      </c>
    </row>
    <row r="21727" spans="1:5" x14ac:dyDescent="0.2">
      <c r="A21727">
        <v>14213</v>
      </c>
      <c r="B21727" t="s">
        <v>40</v>
      </c>
      <c r="C21727">
        <v>14213</v>
      </c>
      <c r="D21727" t="str">
        <f>"14213"</f>
        <v>14213</v>
      </c>
      <c r="E21727">
        <v>56.08</v>
      </c>
    </row>
    <row r="21728" spans="1:5" x14ac:dyDescent="0.2">
      <c r="A21728">
        <v>14214</v>
      </c>
      <c r="B21728" t="s">
        <v>40</v>
      </c>
      <c r="C21728">
        <v>14214</v>
      </c>
      <c r="D21728" t="str">
        <f>"14214"</f>
        <v>14214</v>
      </c>
      <c r="E21728">
        <v>68.48</v>
      </c>
    </row>
    <row r="21729" spans="1:5" x14ac:dyDescent="0.2">
      <c r="A21729">
        <v>14215</v>
      </c>
      <c r="B21729" t="s">
        <v>40</v>
      </c>
      <c r="C21729">
        <v>14215</v>
      </c>
      <c r="D21729" t="str">
        <f>"14215"</f>
        <v>14215</v>
      </c>
      <c r="E21729">
        <v>57.04</v>
      </c>
    </row>
    <row r="21730" spans="1:5" x14ac:dyDescent="0.2">
      <c r="A21730">
        <v>14216</v>
      </c>
      <c r="B21730" t="s">
        <v>40</v>
      </c>
      <c r="C21730">
        <v>14216</v>
      </c>
      <c r="D21730" t="str">
        <f>"14216"</f>
        <v>14216</v>
      </c>
      <c r="E21730">
        <v>79.16</v>
      </c>
    </row>
    <row r="21731" spans="1:5" x14ac:dyDescent="0.2">
      <c r="A21731">
        <v>14217</v>
      </c>
      <c r="B21731" t="s">
        <v>40</v>
      </c>
      <c r="C21731">
        <v>14217</v>
      </c>
      <c r="D21731" t="str">
        <f>"14217"</f>
        <v>14217</v>
      </c>
      <c r="E21731">
        <v>78.319999999999993</v>
      </c>
    </row>
    <row r="21732" spans="1:5" x14ac:dyDescent="0.2">
      <c r="A21732">
        <v>14218</v>
      </c>
      <c r="B21732" t="s">
        <v>40</v>
      </c>
      <c r="C21732">
        <v>14218</v>
      </c>
      <c r="D21732" t="str">
        <f>"14218"</f>
        <v>14218</v>
      </c>
      <c r="E21732">
        <v>67.45</v>
      </c>
    </row>
    <row r="21733" spans="1:5" x14ac:dyDescent="0.2">
      <c r="A21733">
        <v>14219</v>
      </c>
      <c r="B21733" t="s">
        <v>40</v>
      </c>
      <c r="C21733">
        <v>14219</v>
      </c>
      <c r="D21733" t="str">
        <f>"14219"</f>
        <v>14219</v>
      </c>
      <c r="E21733">
        <v>77.489999999999995</v>
      </c>
    </row>
    <row r="21734" spans="1:5" x14ac:dyDescent="0.2">
      <c r="A21734">
        <v>14220</v>
      </c>
      <c r="B21734" t="s">
        <v>40</v>
      </c>
      <c r="C21734">
        <v>14220</v>
      </c>
      <c r="D21734" t="str">
        <f>"14220"</f>
        <v>14220</v>
      </c>
      <c r="E21734">
        <v>75.36</v>
      </c>
    </row>
    <row r="21735" spans="1:5" x14ac:dyDescent="0.2">
      <c r="A21735">
        <v>14221</v>
      </c>
      <c r="B21735" t="s">
        <v>40</v>
      </c>
      <c r="C21735">
        <v>14221</v>
      </c>
      <c r="D21735" t="str">
        <f>"14221"</f>
        <v>14221</v>
      </c>
      <c r="E21735">
        <v>80.39</v>
      </c>
    </row>
    <row r="21736" spans="1:5" x14ac:dyDescent="0.2">
      <c r="A21736">
        <v>14222</v>
      </c>
      <c r="B21736" t="s">
        <v>40</v>
      </c>
      <c r="C21736">
        <v>14222</v>
      </c>
      <c r="D21736" t="str">
        <f>"14222"</f>
        <v>14222</v>
      </c>
      <c r="E21736">
        <v>84.03</v>
      </c>
    </row>
    <row r="21737" spans="1:5" x14ac:dyDescent="0.2">
      <c r="A21737">
        <v>14223</v>
      </c>
      <c r="B21737" t="s">
        <v>40</v>
      </c>
      <c r="C21737">
        <v>14223</v>
      </c>
      <c r="D21737" t="str">
        <f>"14223"</f>
        <v>14223</v>
      </c>
      <c r="E21737">
        <v>79.599999999999994</v>
      </c>
    </row>
    <row r="21738" spans="1:5" x14ac:dyDescent="0.2">
      <c r="A21738">
        <v>14224</v>
      </c>
      <c r="B21738" t="s">
        <v>40</v>
      </c>
      <c r="C21738">
        <v>14224</v>
      </c>
      <c r="D21738" t="str">
        <f>"14224"</f>
        <v>14224</v>
      </c>
      <c r="E21738">
        <v>80.52</v>
      </c>
    </row>
    <row r="21739" spans="1:5" x14ac:dyDescent="0.2">
      <c r="A21739">
        <v>14225</v>
      </c>
      <c r="B21739" t="s">
        <v>40</v>
      </c>
      <c r="C21739">
        <v>14225</v>
      </c>
      <c r="D21739" t="str">
        <f>"14225"</f>
        <v>14225</v>
      </c>
      <c r="E21739">
        <v>75.489999999999995</v>
      </c>
    </row>
    <row r="21740" spans="1:5" x14ac:dyDescent="0.2">
      <c r="A21740">
        <v>14226</v>
      </c>
      <c r="B21740" t="s">
        <v>40</v>
      </c>
      <c r="C21740">
        <v>14226</v>
      </c>
      <c r="D21740" t="str">
        <f>"14226"</f>
        <v>14226</v>
      </c>
      <c r="E21740">
        <v>77.12</v>
      </c>
    </row>
    <row r="21741" spans="1:5" x14ac:dyDescent="0.2">
      <c r="A21741">
        <v>14227</v>
      </c>
      <c r="B21741" t="s">
        <v>40</v>
      </c>
      <c r="C21741">
        <v>14227</v>
      </c>
      <c r="D21741" t="str">
        <f>"14227"</f>
        <v>14227</v>
      </c>
      <c r="E21741">
        <v>78.42</v>
      </c>
    </row>
    <row r="21742" spans="1:5" x14ac:dyDescent="0.2">
      <c r="A21742">
        <v>14228</v>
      </c>
      <c r="B21742" t="s">
        <v>40</v>
      </c>
      <c r="C21742">
        <v>14228</v>
      </c>
      <c r="D21742" t="str">
        <f>"14228"</f>
        <v>14228</v>
      </c>
      <c r="E21742">
        <v>74.53</v>
      </c>
    </row>
    <row r="21743" spans="1:5" x14ac:dyDescent="0.2">
      <c r="A21743">
        <v>14301</v>
      </c>
      <c r="B21743" t="s">
        <v>40</v>
      </c>
      <c r="C21743">
        <v>14301</v>
      </c>
      <c r="D21743" t="str">
        <f>"14301"</f>
        <v>14301</v>
      </c>
      <c r="E21743">
        <v>56.97</v>
      </c>
    </row>
    <row r="21744" spans="1:5" x14ac:dyDescent="0.2">
      <c r="A21744">
        <v>14303</v>
      </c>
      <c r="B21744" t="s">
        <v>40</v>
      </c>
      <c r="C21744">
        <v>14303</v>
      </c>
      <c r="D21744" t="str">
        <f>"14303"</f>
        <v>14303</v>
      </c>
      <c r="E21744">
        <v>57.68</v>
      </c>
    </row>
    <row r="21745" spans="1:5" x14ac:dyDescent="0.2">
      <c r="A21745">
        <v>14304</v>
      </c>
      <c r="B21745" t="s">
        <v>40</v>
      </c>
      <c r="C21745">
        <v>14304</v>
      </c>
      <c r="D21745" t="str">
        <f>"14304"</f>
        <v>14304</v>
      </c>
      <c r="E21745">
        <v>74.900000000000006</v>
      </c>
    </row>
    <row r="21746" spans="1:5" x14ac:dyDescent="0.2">
      <c r="A21746">
        <v>14305</v>
      </c>
      <c r="B21746" t="s">
        <v>40</v>
      </c>
      <c r="C21746">
        <v>14305</v>
      </c>
      <c r="D21746" t="str">
        <f>"14305"</f>
        <v>14305</v>
      </c>
      <c r="E21746">
        <v>63.51</v>
      </c>
    </row>
    <row r="21747" spans="1:5" x14ac:dyDescent="0.2">
      <c r="A21747">
        <v>14411</v>
      </c>
      <c r="B21747" t="s">
        <v>40</v>
      </c>
      <c r="C21747">
        <v>14411</v>
      </c>
      <c r="D21747" t="str">
        <f>"14411"</f>
        <v>14411</v>
      </c>
      <c r="E21747">
        <v>70.36</v>
      </c>
    </row>
    <row r="21748" spans="1:5" x14ac:dyDescent="0.2">
      <c r="A21748">
        <v>14414</v>
      </c>
      <c r="B21748" t="s">
        <v>40</v>
      </c>
      <c r="C21748">
        <v>14414</v>
      </c>
      <c r="D21748" t="str">
        <f>"14414"</f>
        <v>14414</v>
      </c>
      <c r="E21748">
        <v>77.91</v>
      </c>
    </row>
    <row r="21749" spans="1:5" x14ac:dyDescent="0.2">
      <c r="A21749">
        <v>14415</v>
      </c>
      <c r="B21749" t="s">
        <v>40</v>
      </c>
      <c r="C21749">
        <v>14415</v>
      </c>
      <c r="D21749" t="str">
        <f>"14415"</f>
        <v>14415</v>
      </c>
      <c r="E21749" t="s">
        <v>6</v>
      </c>
    </row>
    <row r="21750" spans="1:5" x14ac:dyDescent="0.2">
      <c r="A21750">
        <v>14416</v>
      </c>
      <c r="B21750" t="s">
        <v>40</v>
      </c>
      <c r="C21750">
        <v>14416</v>
      </c>
      <c r="D21750" t="str">
        <f>"14416"</f>
        <v>14416</v>
      </c>
      <c r="E21750">
        <v>77.25</v>
      </c>
    </row>
    <row r="21751" spans="1:5" x14ac:dyDescent="0.2">
      <c r="A21751">
        <v>14418</v>
      </c>
      <c r="B21751" t="s">
        <v>40</v>
      </c>
      <c r="C21751">
        <v>14418</v>
      </c>
      <c r="D21751" t="str">
        <f>"14418"</f>
        <v>14418</v>
      </c>
      <c r="E21751">
        <v>69.64</v>
      </c>
    </row>
    <row r="21752" spans="1:5" x14ac:dyDescent="0.2">
      <c r="A21752">
        <v>14420</v>
      </c>
      <c r="B21752" t="s">
        <v>40</v>
      </c>
      <c r="C21752">
        <v>14420</v>
      </c>
      <c r="D21752" t="str">
        <f>"14420"</f>
        <v>14420</v>
      </c>
      <c r="E21752">
        <v>76.56</v>
      </c>
    </row>
    <row r="21753" spans="1:5" x14ac:dyDescent="0.2">
      <c r="A21753">
        <v>14422</v>
      </c>
      <c r="B21753" t="s">
        <v>40</v>
      </c>
      <c r="C21753">
        <v>14422</v>
      </c>
      <c r="D21753" t="str">
        <f>"14422"</f>
        <v>14422</v>
      </c>
      <c r="E21753">
        <v>78.7</v>
      </c>
    </row>
    <row r="21754" spans="1:5" x14ac:dyDescent="0.2">
      <c r="A21754">
        <v>14423</v>
      </c>
      <c r="B21754" t="s">
        <v>40</v>
      </c>
      <c r="C21754">
        <v>14423</v>
      </c>
      <c r="D21754" t="str">
        <f>"14423"</f>
        <v>14423</v>
      </c>
      <c r="E21754">
        <v>78.45</v>
      </c>
    </row>
    <row r="21755" spans="1:5" x14ac:dyDescent="0.2">
      <c r="A21755">
        <v>14424</v>
      </c>
      <c r="B21755" t="s">
        <v>40</v>
      </c>
      <c r="C21755">
        <v>14424</v>
      </c>
      <c r="D21755" t="str">
        <f>"14424"</f>
        <v>14424</v>
      </c>
      <c r="E21755">
        <v>76.260000000000005</v>
      </c>
    </row>
    <row r="21756" spans="1:5" x14ac:dyDescent="0.2">
      <c r="A21756">
        <v>14425</v>
      </c>
      <c r="B21756" t="s">
        <v>40</v>
      </c>
      <c r="C21756">
        <v>14425</v>
      </c>
      <c r="D21756" t="str">
        <f>"14425"</f>
        <v>14425</v>
      </c>
      <c r="E21756">
        <v>77.38</v>
      </c>
    </row>
    <row r="21757" spans="1:5" x14ac:dyDescent="0.2">
      <c r="A21757">
        <v>14427</v>
      </c>
      <c r="B21757" t="s">
        <v>40</v>
      </c>
      <c r="C21757">
        <v>14427</v>
      </c>
      <c r="D21757" t="str">
        <f>"14427"</f>
        <v>14427</v>
      </c>
      <c r="E21757">
        <v>74.47</v>
      </c>
    </row>
    <row r="21758" spans="1:5" x14ac:dyDescent="0.2">
      <c r="A21758">
        <v>14428</v>
      </c>
      <c r="B21758" t="s">
        <v>40</v>
      </c>
      <c r="C21758">
        <v>14428</v>
      </c>
      <c r="D21758" t="str">
        <f>"14428"</f>
        <v>14428</v>
      </c>
      <c r="E21758">
        <v>80.489999999999995</v>
      </c>
    </row>
    <row r="21759" spans="1:5" x14ac:dyDescent="0.2">
      <c r="A21759">
        <v>14432</v>
      </c>
      <c r="B21759" t="s">
        <v>40</v>
      </c>
      <c r="C21759">
        <v>14432</v>
      </c>
      <c r="D21759" t="str">
        <f>"14432"</f>
        <v>14432</v>
      </c>
      <c r="E21759">
        <v>75.88</v>
      </c>
    </row>
    <row r="21760" spans="1:5" x14ac:dyDescent="0.2">
      <c r="A21760">
        <v>14433</v>
      </c>
      <c r="B21760" t="s">
        <v>40</v>
      </c>
      <c r="C21760">
        <v>14433</v>
      </c>
      <c r="D21760" t="str">
        <f>"14433"</f>
        <v>14433</v>
      </c>
      <c r="E21760">
        <v>70.849999999999994</v>
      </c>
    </row>
    <row r="21761" spans="1:5" x14ac:dyDescent="0.2">
      <c r="A21761">
        <v>14435</v>
      </c>
      <c r="B21761" t="s">
        <v>40</v>
      </c>
      <c r="C21761">
        <v>14435</v>
      </c>
      <c r="D21761" t="str">
        <f>"14435"</f>
        <v>14435</v>
      </c>
      <c r="E21761">
        <v>78.62</v>
      </c>
    </row>
    <row r="21762" spans="1:5" x14ac:dyDescent="0.2">
      <c r="A21762">
        <v>14437</v>
      </c>
      <c r="B21762" t="s">
        <v>40</v>
      </c>
      <c r="C21762">
        <v>14437</v>
      </c>
      <c r="D21762" t="str">
        <f>"14437"</f>
        <v>14437</v>
      </c>
      <c r="E21762">
        <v>74.599999999999994</v>
      </c>
    </row>
    <row r="21763" spans="1:5" x14ac:dyDescent="0.2">
      <c r="A21763">
        <v>14441</v>
      </c>
      <c r="B21763" t="s">
        <v>40</v>
      </c>
      <c r="C21763">
        <v>14441</v>
      </c>
      <c r="D21763" t="str">
        <f>"14441"</f>
        <v>14441</v>
      </c>
      <c r="E21763">
        <v>70.59</v>
      </c>
    </row>
    <row r="21764" spans="1:5" x14ac:dyDescent="0.2">
      <c r="A21764">
        <v>14445</v>
      </c>
      <c r="B21764" t="s">
        <v>40</v>
      </c>
      <c r="C21764">
        <v>14445</v>
      </c>
      <c r="D21764" t="str">
        <f>"14445"</f>
        <v>14445</v>
      </c>
      <c r="E21764">
        <v>75.680000000000007</v>
      </c>
    </row>
    <row r="21765" spans="1:5" x14ac:dyDescent="0.2">
      <c r="A21765">
        <v>14450</v>
      </c>
      <c r="B21765" t="s">
        <v>40</v>
      </c>
      <c r="C21765">
        <v>14450</v>
      </c>
      <c r="D21765" t="str">
        <f>"14450"</f>
        <v>14450</v>
      </c>
      <c r="E21765">
        <v>80.88</v>
      </c>
    </row>
    <row r="21766" spans="1:5" x14ac:dyDescent="0.2">
      <c r="A21766">
        <v>14452</v>
      </c>
      <c r="B21766" t="s">
        <v>40</v>
      </c>
      <c r="C21766">
        <v>14452</v>
      </c>
      <c r="D21766" t="str">
        <f>"14452"</f>
        <v>14452</v>
      </c>
      <c r="E21766" t="s">
        <v>6</v>
      </c>
    </row>
    <row r="21767" spans="1:5" x14ac:dyDescent="0.2">
      <c r="A21767">
        <v>14453</v>
      </c>
      <c r="B21767" t="s">
        <v>40</v>
      </c>
      <c r="C21767">
        <v>14453</v>
      </c>
      <c r="D21767" t="str">
        <f>"14453"</f>
        <v>14453</v>
      </c>
      <c r="E21767" t="s">
        <v>6</v>
      </c>
    </row>
    <row r="21768" spans="1:5" x14ac:dyDescent="0.2">
      <c r="A21768">
        <v>14454</v>
      </c>
      <c r="B21768" t="s">
        <v>40</v>
      </c>
      <c r="C21768">
        <v>14454</v>
      </c>
      <c r="D21768" t="str">
        <f>"14454"</f>
        <v>14454</v>
      </c>
      <c r="E21768">
        <v>76.8</v>
      </c>
    </row>
    <row r="21769" spans="1:5" x14ac:dyDescent="0.2">
      <c r="A21769">
        <v>14456</v>
      </c>
      <c r="B21769" t="s">
        <v>40</v>
      </c>
      <c r="C21769">
        <v>14456</v>
      </c>
      <c r="D21769" t="str">
        <f>"14456"</f>
        <v>14456</v>
      </c>
      <c r="E21769">
        <v>70.13</v>
      </c>
    </row>
    <row r="21770" spans="1:5" x14ac:dyDescent="0.2">
      <c r="A21770">
        <v>14462</v>
      </c>
      <c r="B21770" t="s">
        <v>40</v>
      </c>
      <c r="C21770">
        <v>14462</v>
      </c>
      <c r="D21770" t="str">
        <f>"14462"</f>
        <v>14462</v>
      </c>
      <c r="E21770">
        <v>72.41</v>
      </c>
    </row>
    <row r="21771" spans="1:5" x14ac:dyDescent="0.2">
      <c r="A21771">
        <v>14463</v>
      </c>
      <c r="B21771" t="s">
        <v>40</v>
      </c>
      <c r="C21771">
        <v>14463</v>
      </c>
      <c r="D21771" t="str">
        <f>"14463"</f>
        <v>14463</v>
      </c>
      <c r="E21771" t="s">
        <v>6</v>
      </c>
    </row>
    <row r="21772" spans="1:5" x14ac:dyDescent="0.2">
      <c r="A21772">
        <v>14464</v>
      </c>
      <c r="B21772" t="s">
        <v>40</v>
      </c>
      <c r="C21772">
        <v>14464</v>
      </c>
      <c r="D21772" t="str">
        <f>"14464"</f>
        <v>14464</v>
      </c>
      <c r="E21772">
        <v>75.81</v>
      </c>
    </row>
    <row r="21773" spans="1:5" x14ac:dyDescent="0.2">
      <c r="A21773">
        <v>14466</v>
      </c>
      <c r="B21773" t="s">
        <v>40</v>
      </c>
      <c r="C21773">
        <v>14466</v>
      </c>
      <c r="D21773" t="str">
        <f>"14466"</f>
        <v>14466</v>
      </c>
      <c r="E21773">
        <v>75</v>
      </c>
    </row>
    <row r="21774" spans="1:5" x14ac:dyDescent="0.2">
      <c r="A21774">
        <v>14467</v>
      </c>
      <c r="B21774" t="s">
        <v>40</v>
      </c>
      <c r="C21774">
        <v>14467</v>
      </c>
      <c r="D21774" t="str">
        <f>"14467"</f>
        <v>14467</v>
      </c>
      <c r="E21774">
        <v>77.069999999999993</v>
      </c>
    </row>
    <row r="21775" spans="1:5" x14ac:dyDescent="0.2">
      <c r="A21775">
        <v>14468</v>
      </c>
      <c r="B21775" t="s">
        <v>40</v>
      </c>
      <c r="C21775">
        <v>14468</v>
      </c>
      <c r="D21775" t="str">
        <f>"14468"</f>
        <v>14468</v>
      </c>
      <c r="E21775">
        <v>78.97</v>
      </c>
    </row>
    <row r="21776" spans="1:5" x14ac:dyDescent="0.2">
      <c r="A21776">
        <v>14469</v>
      </c>
      <c r="B21776" t="s">
        <v>40</v>
      </c>
      <c r="C21776">
        <v>14469</v>
      </c>
      <c r="D21776" t="str">
        <f>"14469"</f>
        <v>14469</v>
      </c>
      <c r="E21776">
        <v>75.52</v>
      </c>
    </row>
    <row r="21777" spans="1:5" x14ac:dyDescent="0.2">
      <c r="A21777">
        <v>14470</v>
      </c>
      <c r="B21777" t="s">
        <v>40</v>
      </c>
      <c r="C21777">
        <v>14470</v>
      </c>
      <c r="D21777" t="str">
        <f>"14470"</f>
        <v>14470</v>
      </c>
      <c r="E21777">
        <v>76</v>
      </c>
    </row>
    <row r="21778" spans="1:5" x14ac:dyDescent="0.2">
      <c r="A21778">
        <v>14471</v>
      </c>
      <c r="B21778" t="s">
        <v>40</v>
      </c>
      <c r="C21778">
        <v>14471</v>
      </c>
      <c r="D21778" t="str">
        <f>"14471"</f>
        <v>14471</v>
      </c>
      <c r="E21778">
        <v>77.78</v>
      </c>
    </row>
    <row r="21779" spans="1:5" x14ac:dyDescent="0.2">
      <c r="A21779">
        <v>14472</v>
      </c>
      <c r="B21779" t="s">
        <v>40</v>
      </c>
      <c r="C21779">
        <v>14472</v>
      </c>
      <c r="D21779" t="str">
        <f>"14472"</f>
        <v>14472</v>
      </c>
      <c r="E21779">
        <v>78.91</v>
      </c>
    </row>
    <row r="21780" spans="1:5" x14ac:dyDescent="0.2">
      <c r="A21780">
        <v>14475</v>
      </c>
      <c r="B21780" t="s">
        <v>40</v>
      </c>
      <c r="C21780">
        <v>14475</v>
      </c>
      <c r="D21780" t="str">
        <f>"14475"</f>
        <v>14475</v>
      </c>
      <c r="E21780">
        <v>66.67</v>
      </c>
    </row>
    <row r="21781" spans="1:5" x14ac:dyDescent="0.2">
      <c r="A21781">
        <v>14476</v>
      </c>
      <c r="B21781" t="s">
        <v>40</v>
      </c>
      <c r="C21781">
        <v>14476</v>
      </c>
      <c r="D21781" t="str">
        <f>"14476"</f>
        <v>14476</v>
      </c>
      <c r="E21781">
        <v>75.959999999999994</v>
      </c>
    </row>
    <row r="21782" spans="1:5" x14ac:dyDescent="0.2">
      <c r="A21782">
        <v>14477</v>
      </c>
      <c r="B21782" t="s">
        <v>40</v>
      </c>
      <c r="C21782">
        <v>14477</v>
      </c>
      <c r="D21782" t="str">
        <f>"14477"</f>
        <v>14477</v>
      </c>
      <c r="E21782">
        <v>73.680000000000007</v>
      </c>
    </row>
    <row r="21783" spans="1:5" x14ac:dyDescent="0.2">
      <c r="A21783">
        <v>14478</v>
      </c>
      <c r="B21783" t="s">
        <v>40</v>
      </c>
      <c r="C21783">
        <v>14478</v>
      </c>
      <c r="D21783" t="str">
        <f>"14478"</f>
        <v>14478</v>
      </c>
      <c r="E21783">
        <v>78.569999999999993</v>
      </c>
    </row>
    <row r="21784" spans="1:5" x14ac:dyDescent="0.2">
      <c r="A21784">
        <v>14479</v>
      </c>
      <c r="B21784" t="s">
        <v>40</v>
      </c>
      <c r="C21784">
        <v>14479</v>
      </c>
      <c r="D21784" t="str">
        <f>"14479"</f>
        <v>14479</v>
      </c>
      <c r="E21784" t="s">
        <v>6</v>
      </c>
    </row>
    <row r="21785" spans="1:5" x14ac:dyDescent="0.2">
      <c r="A21785">
        <v>14480</v>
      </c>
      <c r="B21785" t="s">
        <v>40</v>
      </c>
      <c r="C21785">
        <v>14480</v>
      </c>
      <c r="D21785" t="str">
        <f>"14480"</f>
        <v>14480</v>
      </c>
      <c r="E21785">
        <v>71.739999999999995</v>
      </c>
    </row>
    <row r="21786" spans="1:5" x14ac:dyDescent="0.2">
      <c r="A21786">
        <v>14481</v>
      </c>
      <c r="B21786" t="s">
        <v>40</v>
      </c>
      <c r="C21786">
        <v>14481</v>
      </c>
      <c r="D21786" t="str">
        <f>"14481"</f>
        <v>14481</v>
      </c>
      <c r="E21786">
        <v>77.53</v>
      </c>
    </row>
    <row r="21787" spans="1:5" x14ac:dyDescent="0.2">
      <c r="A21787">
        <v>14482</v>
      </c>
      <c r="B21787" t="s">
        <v>40</v>
      </c>
      <c r="C21787">
        <v>14482</v>
      </c>
      <c r="D21787" t="str">
        <f>"14482"</f>
        <v>14482</v>
      </c>
      <c r="E21787">
        <v>76.09</v>
      </c>
    </row>
    <row r="21788" spans="1:5" x14ac:dyDescent="0.2">
      <c r="A21788">
        <v>14485</v>
      </c>
      <c r="B21788" t="s">
        <v>40</v>
      </c>
      <c r="C21788">
        <v>14485</v>
      </c>
      <c r="D21788" t="str">
        <f>"14485"</f>
        <v>14485</v>
      </c>
      <c r="E21788">
        <v>75.62</v>
      </c>
    </row>
    <row r="21789" spans="1:5" x14ac:dyDescent="0.2">
      <c r="A21789">
        <v>14486</v>
      </c>
      <c r="B21789" t="s">
        <v>40</v>
      </c>
      <c r="C21789">
        <v>14486</v>
      </c>
      <c r="D21789" t="str">
        <f>"14486"</f>
        <v>14486</v>
      </c>
      <c r="E21789">
        <v>81.25</v>
      </c>
    </row>
    <row r="21790" spans="1:5" x14ac:dyDescent="0.2">
      <c r="A21790">
        <v>14487</v>
      </c>
      <c r="B21790" t="s">
        <v>40</v>
      </c>
      <c r="C21790">
        <v>14487</v>
      </c>
      <c r="D21790" t="str">
        <f>"14487"</f>
        <v>14487</v>
      </c>
      <c r="E21790">
        <v>77.41</v>
      </c>
    </row>
    <row r="21791" spans="1:5" x14ac:dyDescent="0.2">
      <c r="A21791">
        <v>14489</v>
      </c>
      <c r="B21791" t="s">
        <v>40</v>
      </c>
      <c r="C21791">
        <v>14489</v>
      </c>
      <c r="D21791" t="str">
        <f>"14489"</f>
        <v>14489</v>
      </c>
      <c r="E21791">
        <v>70.349999999999994</v>
      </c>
    </row>
    <row r="21792" spans="1:5" x14ac:dyDescent="0.2">
      <c r="A21792">
        <v>14502</v>
      </c>
      <c r="B21792" t="s">
        <v>40</v>
      </c>
      <c r="C21792">
        <v>14502</v>
      </c>
      <c r="D21792" t="str">
        <f>"14502"</f>
        <v>14502</v>
      </c>
      <c r="E21792">
        <v>77.25</v>
      </c>
    </row>
    <row r="21793" spans="1:5" x14ac:dyDescent="0.2">
      <c r="A21793">
        <v>14504</v>
      </c>
      <c r="B21793" t="s">
        <v>40</v>
      </c>
      <c r="C21793">
        <v>14504</v>
      </c>
      <c r="D21793" t="str">
        <f>"14504"</f>
        <v>14504</v>
      </c>
      <c r="E21793">
        <v>75.28</v>
      </c>
    </row>
    <row r="21794" spans="1:5" x14ac:dyDescent="0.2">
      <c r="A21794">
        <v>14505</v>
      </c>
      <c r="B21794" t="s">
        <v>40</v>
      </c>
      <c r="C21794">
        <v>14505</v>
      </c>
      <c r="D21794" t="str">
        <f>"14505"</f>
        <v>14505</v>
      </c>
      <c r="E21794">
        <v>74.23</v>
      </c>
    </row>
    <row r="21795" spans="1:5" x14ac:dyDescent="0.2">
      <c r="A21795">
        <v>14506</v>
      </c>
      <c r="B21795" t="s">
        <v>40</v>
      </c>
      <c r="C21795">
        <v>14506</v>
      </c>
      <c r="D21795" t="str">
        <f>"14506"</f>
        <v>14506</v>
      </c>
      <c r="E21795">
        <v>82.54</v>
      </c>
    </row>
    <row r="21796" spans="1:5" x14ac:dyDescent="0.2">
      <c r="A21796">
        <v>14507</v>
      </c>
      <c r="B21796" t="s">
        <v>40</v>
      </c>
      <c r="C21796">
        <v>14507</v>
      </c>
      <c r="D21796" t="str">
        <f>"14507"</f>
        <v>14507</v>
      </c>
      <c r="E21796">
        <v>75.38</v>
      </c>
    </row>
    <row r="21797" spans="1:5" x14ac:dyDescent="0.2">
      <c r="A21797">
        <v>14510</v>
      </c>
      <c r="B21797" t="s">
        <v>40</v>
      </c>
      <c r="C21797">
        <v>14510</v>
      </c>
      <c r="D21797" t="str">
        <f>"14510"</f>
        <v>14510</v>
      </c>
      <c r="E21797">
        <v>68.02</v>
      </c>
    </row>
    <row r="21798" spans="1:5" x14ac:dyDescent="0.2">
      <c r="A21798">
        <v>14511</v>
      </c>
      <c r="B21798" t="s">
        <v>40</v>
      </c>
      <c r="C21798">
        <v>14511</v>
      </c>
      <c r="D21798" t="str">
        <f>"14511"</f>
        <v>14511</v>
      </c>
      <c r="E21798" t="s">
        <v>6</v>
      </c>
    </row>
    <row r="21799" spans="1:5" x14ac:dyDescent="0.2">
      <c r="A21799">
        <v>14512</v>
      </c>
      <c r="B21799" t="s">
        <v>40</v>
      </c>
      <c r="C21799">
        <v>14512</v>
      </c>
      <c r="D21799" t="str">
        <f>"14512"</f>
        <v>14512</v>
      </c>
      <c r="E21799">
        <v>71.239999999999995</v>
      </c>
    </row>
    <row r="21800" spans="1:5" x14ac:dyDescent="0.2">
      <c r="A21800">
        <v>14513</v>
      </c>
      <c r="B21800" t="s">
        <v>40</v>
      </c>
      <c r="C21800">
        <v>14513</v>
      </c>
      <c r="D21800" t="str">
        <f>"14513"</f>
        <v>14513</v>
      </c>
      <c r="E21800">
        <v>71.03</v>
      </c>
    </row>
    <row r="21801" spans="1:5" x14ac:dyDescent="0.2">
      <c r="A21801">
        <v>14514</v>
      </c>
      <c r="B21801" t="s">
        <v>40</v>
      </c>
      <c r="C21801">
        <v>14514</v>
      </c>
      <c r="D21801" t="str">
        <f>"14514"</f>
        <v>14514</v>
      </c>
      <c r="E21801">
        <v>78.569999999999993</v>
      </c>
    </row>
    <row r="21802" spans="1:5" x14ac:dyDescent="0.2">
      <c r="A21802">
        <v>14515</v>
      </c>
      <c r="B21802" t="s">
        <v>40</v>
      </c>
      <c r="C21802">
        <v>14515</v>
      </c>
      <c r="D21802" t="str">
        <f>"14515"</f>
        <v>14515</v>
      </c>
      <c r="E21802" t="s">
        <v>6</v>
      </c>
    </row>
    <row r="21803" spans="1:5" x14ac:dyDescent="0.2">
      <c r="A21803">
        <v>14516</v>
      </c>
      <c r="B21803" t="s">
        <v>40</v>
      </c>
      <c r="C21803">
        <v>14516</v>
      </c>
      <c r="D21803" t="str">
        <f>"14516"</f>
        <v>14516</v>
      </c>
      <c r="E21803">
        <v>75.239999999999995</v>
      </c>
    </row>
    <row r="21804" spans="1:5" x14ac:dyDescent="0.2">
      <c r="A21804">
        <v>14517</v>
      </c>
      <c r="B21804" t="s">
        <v>40</v>
      </c>
      <c r="C21804">
        <v>14517</v>
      </c>
      <c r="D21804" t="str">
        <f>"14517"</f>
        <v>14517</v>
      </c>
      <c r="E21804">
        <v>72.52</v>
      </c>
    </row>
    <row r="21805" spans="1:5" x14ac:dyDescent="0.2">
      <c r="A21805">
        <v>14519</v>
      </c>
      <c r="B21805" t="s">
        <v>40</v>
      </c>
      <c r="C21805">
        <v>14519</v>
      </c>
      <c r="D21805" t="str">
        <f>"14519"</f>
        <v>14519</v>
      </c>
      <c r="E21805">
        <v>78.58</v>
      </c>
    </row>
    <row r="21806" spans="1:5" x14ac:dyDescent="0.2">
      <c r="A21806">
        <v>14521</v>
      </c>
      <c r="B21806" t="s">
        <v>40</v>
      </c>
      <c r="C21806">
        <v>14521</v>
      </c>
      <c r="D21806" t="str">
        <f>"14521"</f>
        <v>14521</v>
      </c>
      <c r="E21806">
        <v>72.58</v>
      </c>
    </row>
    <row r="21807" spans="1:5" x14ac:dyDescent="0.2">
      <c r="A21807">
        <v>14522</v>
      </c>
      <c r="B21807" t="s">
        <v>40</v>
      </c>
      <c r="C21807">
        <v>14522</v>
      </c>
      <c r="D21807" t="str">
        <f>"14522"</f>
        <v>14522</v>
      </c>
      <c r="E21807">
        <v>74.77</v>
      </c>
    </row>
    <row r="21808" spans="1:5" x14ac:dyDescent="0.2">
      <c r="A21808">
        <v>14525</v>
      </c>
      <c r="B21808" t="s">
        <v>40</v>
      </c>
      <c r="C21808">
        <v>14525</v>
      </c>
      <c r="D21808" t="str">
        <f>"14525"</f>
        <v>14525</v>
      </c>
      <c r="E21808">
        <v>75</v>
      </c>
    </row>
    <row r="21809" spans="1:5" x14ac:dyDescent="0.2">
      <c r="A21809">
        <v>14526</v>
      </c>
      <c r="B21809" t="s">
        <v>40</v>
      </c>
      <c r="C21809">
        <v>14526</v>
      </c>
      <c r="D21809" t="str">
        <f>"14526"</f>
        <v>14526</v>
      </c>
      <c r="E21809">
        <v>80.73</v>
      </c>
    </row>
    <row r="21810" spans="1:5" x14ac:dyDescent="0.2">
      <c r="A21810">
        <v>14527</v>
      </c>
      <c r="B21810" t="s">
        <v>40</v>
      </c>
      <c r="C21810">
        <v>14527</v>
      </c>
      <c r="D21810" t="str">
        <f>"14527"</f>
        <v>14527</v>
      </c>
      <c r="E21810">
        <v>70.489999999999995</v>
      </c>
    </row>
    <row r="21811" spans="1:5" x14ac:dyDescent="0.2">
      <c r="A21811">
        <v>14530</v>
      </c>
      <c r="B21811" t="s">
        <v>40</v>
      </c>
      <c r="C21811">
        <v>14530</v>
      </c>
      <c r="D21811" t="str">
        <f>"14530"</f>
        <v>14530</v>
      </c>
      <c r="E21811">
        <v>73.98</v>
      </c>
    </row>
    <row r="21812" spans="1:5" x14ac:dyDescent="0.2">
      <c r="A21812">
        <v>14532</v>
      </c>
      <c r="B21812" t="s">
        <v>40</v>
      </c>
      <c r="C21812">
        <v>14532</v>
      </c>
      <c r="D21812" t="str">
        <f>"14532"</f>
        <v>14532</v>
      </c>
      <c r="E21812">
        <v>76.28</v>
      </c>
    </row>
    <row r="21813" spans="1:5" x14ac:dyDescent="0.2">
      <c r="A21813">
        <v>14533</v>
      </c>
      <c r="B21813" t="s">
        <v>40</v>
      </c>
      <c r="C21813">
        <v>14533</v>
      </c>
      <c r="D21813" t="str">
        <f>"14533"</f>
        <v>14533</v>
      </c>
      <c r="E21813">
        <v>77.63</v>
      </c>
    </row>
    <row r="21814" spans="1:5" x14ac:dyDescent="0.2">
      <c r="A21814">
        <v>14534</v>
      </c>
      <c r="B21814" t="s">
        <v>40</v>
      </c>
      <c r="C21814">
        <v>14534</v>
      </c>
      <c r="D21814" t="str">
        <f>"14534"</f>
        <v>14534</v>
      </c>
      <c r="E21814">
        <v>81.19</v>
      </c>
    </row>
    <row r="21815" spans="1:5" x14ac:dyDescent="0.2">
      <c r="A21815">
        <v>14536</v>
      </c>
      <c r="B21815" t="s">
        <v>40</v>
      </c>
      <c r="C21815">
        <v>14536</v>
      </c>
      <c r="D21815" t="str">
        <f>"14536"</f>
        <v>14536</v>
      </c>
      <c r="E21815">
        <v>66.67</v>
      </c>
    </row>
    <row r="21816" spans="1:5" x14ac:dyDescent="0.2">
      <c r="A21816">
        <v>14537</v>
      </c>
      <c r="B21816" t="s">
        <v>40</v>
      </c>
      <c r="C21816">
        <v>14537</v>
      </c>
      <c r="D21816" t="str">
        <f>"14537"</f>
        <v>14537</v>
      </c>
      <c r="E21816" t="s">
        <v>6</v>
      </c>
    </row>
    <row r="21817" spans="1:5" x14ac:dyDescent="0.2">
      <c r="A21817">
        <v>14539</v>
      </c>
      <c r="B21817" t="s">
        <v>40</v>
      </c>
      <c r="C21817">
        <v>14539</v>
      </c>
      <c r="D21817" t="str">
        <f>"14539"</f>
        <v>14539</v>
      </c>
      <c r="E21817" t="s">
        <v>6</v>
      </c>
    </row>
    <row r="21818" spans="1:5" x14ac:dyDescent="0.2">
      <c r="A21818">
        <v>14541</v>
      </c>
      <c r="B21818" t="s">
        <v>40</v>
      </c>
      <c r="C21818">
        <v>14541</v>
      </c>
      <c r="D21818" t="str">
        <f>"14541"</f>
        <v>14541</v>
      </c>
      <c r="E21818">
        <v>70.48</v>
      </c>
    </row>
    <row r="21819" spans="1:5" x14ac:dyDescent="0.2">
      <c r="A21819">
        <v>14543</v>
      </c>
      <c r="B21819" t="s">
        <v>40</v>
      </c>
      <c r="C21819">
        <v>14543</v>
      </c>
      <c r="D21819" t="str">
        <f>"14543"</f>
        <v>14543</v>
      </c>
      <c r="E21819">
        <v>81.180000000000007</v>
      </c>
    </row>
    <row r="21820" spans="1:5" x14ac:dyDescent="0.2">
      <c r="A21820">
        <v>14544</v>
      </c>
      <c r="B21820" t="s">
        <v>40</v>
      </c>
      <c r="C21820">
        <v>14544</v>
      </c>
      <c r="D21820" t="str">
        <f>"14544"</f>
        <v>14544</v>
      </c>
      <c r="E21820">
        <v>70</v>
      </c>
    </row>
    <row r="21821" spans="1:5" x14ac:dyDescent="0.2">
      <c r="A21821">
        <v>14545</v>
      </c>
      <c r="B21821" t="s">
        <v>40</v>
      </c>
      <c r="C21821">
        <v>14545</v>
      </c>
      <c r="D21821" t="str">
        <f>"14545"</f>
        <v>14545</v>
      </c>
      <c r="E21821" t="s">
        <v>6</v>
      </c>
    </row>
    <row r="21822" spans="1:5" x14ac:dyDescent="0.2">
      <c r="A21822">
        <v>14546</v>
      </c>
      <c r="B21822" t="s">
        <v>40</v>
      </c>
      <c r="C21822">
        <v>14546</v>
      </c>
      <c r="D21822" t="str">
        <f>"14546"</f>
        <v>14546</v>
      </c>
      <c r="E21822">
        <v>77.91</v>
      </c>
    </row>
    <row r="21823" spans="1:5" x14ac:dyDescent="0.2">
      <c r="A21823">
        <v>14548</v>
      </c>
      <c r="B21823" t="s">
        <v>40</v>
      </c>
      <c r="C21823">
        <v>14548</v>
      </c>
      <c r="D21823" t="str">
        <f>"14548"</f>
        <v>14548</v>
      </c>
      <c r="E21823">
        <v>74.48</v>
      </c>
    </row>
    <row r="21824" spans="1:5" x14ac:dyDescent="0.2">
      <c r="A21824">
        <v>14549</v>
      </c>
      <c r="B21824" t="s">
        <v>40</v>
      </c>
      <c r="C21824">
        <v>14549</v>
      </c>
      <c r="D21824" t="str">
        <f>"14549"</f>
        <v>14549</v>
      </c>
      <c r="E21824" t="s">
        <v>6</v>
      </c>
    </row>
    <row r="21825" spans="1:5" x14ac:dyDescent="0.2">
      <c r="A21825">
        <v>14550</v>
      </c>
      <c r="B21825" t="s">
        <v>40</v>
      </c>
      <c r="C21825">
        <v>14550</v>
      </c>
      <c r="D21825" t="str">
        <f>"14550"</f>
        <v>14550</v>
      </c>
      <c r="E21825">
        <v>74.319999999999993</v>
      </c>
    </row>
    <row r="21826" spans="1:5" x14ac:dyDescent="0.2">
      <c r="A21826">
        <v>14551</v>
      </c>
      <c r="B21826" t="s">
        <v>40</v>
      </c>
      <c r="C21826">
        <v>14551</v>
      </c>
      <c r="D21826" t="str">
        <f>"14551"</f>
        <v>14551</v>
      </c>
      <c r="E21826">
        <v>70.239999999999995</v>
      </c>
    </row>
    <row r="21827" spans="1:5" x14ac:dyDescent="0.2">
      <c r="A21827">
        <v>14555</v>
      </c>
      <c r="B21827" t="s">
        <v>40</v>
      </c>
      <c r="C21827">
        <v>14555</v>
      </c>
      <c r="D21827" t="str">
        <f>"14555"</f>
        <v>14555</v>
      </c>
      <c r="E21827">
        <v>73.91</v>
      </c>
    </row>
    <row r="21828" spans="1:5" x14ac:dyDescent="0.2">
      <c r="A21828">
        <v>14556</v>
      </c>
      <c r="B21828" t="s">
        <v>40</v>
      </c>
      <c r="C21828">
        <v>14556</v>
      </c>
      <c r="D21828" t="str">
        <f>"14556"</f>
        <v>14556</v>
      </c>
      <c r="E21828" t="s">
        <v>6</v>
      </c>
    </row>
    <row r="21829" spans="1:5" x14ac:dyDescent="0.2">
      <c r="A21829">
        <v>14557</v>
      </c>
      <c r="B21829" t="s">
        <v>40</v>
      </c>
      <c r="C21829">
        <v>14557</v>
      </c>
      <c r="D21829" t="str">
        <f>"14557"</f>
        <v>14557</v>
      </c>
      <c r="E21829" t="s">
        <v>6</v>
      </c>
    </row>
    <row r="21830" spans="1:5" x14ac:dyDescent="0.2">
      <c r="A21830">
        <v>14559</v>
      </c>
      <c r="B21830" t="s">
        <v>40</v>
      </c>
      <c r="C21830">
        <v>14559</v>
      </c>
      <c r="D21830" t="str">
        <f>"14559"</f>
        <v>14559</v>
      </c>
      <c r="E21830">
        <v>79.040000000000006</v>
      </c>
    </row>
    <row r="21831" spans="1:5" x14ac:dyDescent="0.2">
      <c r="A21831">
        <v>14560</v>
      </c>
      <c r="B21831" t="s">
        <v>40</v>
      </c>
      <c r="C21831">
        <v>14560</v>
      </c>
      <c r="D21831" t="str">
        <f>"14560"</f>
        <v>14560</v>
      </c>
      <c r="E21831">
        <v>78.13</v>
      </c>
    </row>
    <row r="21832" spans="1:5" x14ac:dyDescent="0.2">
      <c r="A21832">
        <v>14561</v>
      </c>
      <c r="B21832" t="s">
        <v>40</v>
      </c>
      <c r="C21832">
        <v>14561</v>
      </c>
      <c r="D21832" t="str">
        <f>"14561"</f>
        <v>14561</v>
      </c>
      <c r="E21832">
        <v>74.81</v>
      </c>
    </row>
    <row r="21833" spans="1:5" x14ac:dyDescent="0.2">
      <c r="A21833">
        <v>14564</v>
      </c>
      <c r="B21833" t="s">
        <v>40</v>
      </c>
      <c r="C21833">
        <v>14564</v>
      </c>
      <c r="D21833" t="str">
        <f>"14564"</f>
        <v>14564</v>
      </c>
      <c r="E21833">
        <v>80.47</v>
      </c>
    </row>
    <row r="21834" spans="1:5" x14ac:dyDescent="0.2">
      <c r="A21834">
        <v>14568</v>
      </c>
      <c r="B21834" t="s">
        <v>40</v>
      </c>
      <c r="C21834">
        <v>14568</v>
      </c>
      <c r="D21834" t="str">
        <f>"14568"</f>
        <v>14568</v>
      </c>
      <c r="E21834">
        <v>80.84</v>
      </c>
    </row>
    <row r="21835" spans="1:5" x14ac:dyDescent="0.2">
      <c r="A21835">
        <v>14569</v>
      </c>
      <c r="B21835" t="s">
        <v>40</v>
      </c>
      <c r="C21835">
        <v>14569</v>
      </c>
      <c r="D21835" t="str">
        <f>"14569"</f>
        <v>14569</v>
      </c>
      <c r="E21835">
        <v>74.91</v>
      </c>
    </row>
    <row r="21836" spans="1:5" x14ac:dyDescent="0.2">
      <c r="A21836">
        <v>14571</v>
      </c>
      <c r="B21836" t="s">
        <v>40</v>
      </c>
      <c r="C21836">
        <v>14571</v>
      </c>
      <c r="D21836" t="str">
        <f>"14571"</f>
        <v>14571</v>
      </c>
      <c r="E21836">
        <v>74.599999999999994</v>
      </c>
    </row>
    <row r="21837" spans="1:5" x14ac:dyDescent="0.2">
      <c r="A21837">
        <v>14572</v>
      </c>
      <c r="B21837" t="s">
        <v>40</v>
      </c>
      <c r="C21837">
        <v>14572</v>
      </c>
      <c r="D21837" t="str">
        <f>"14572"</f>
        <v>14572</v>
      </c>
      <c r="E21837">
        <v>72.319999999999993</v>
      </c>
    </row>
    <row r="21838" spans="1:5" x14ac:dyDescent="0.2">
      <c r="A21838">
        <v>14580</v>
      </c>
      <c r="B21838" t="s">
        <v>40</v>
      </c>
      <c r="C21838">
        <v>14580</v>
      </c>
      <c r="D21838" t="str">
        <f>"14580"</f>
        <v>14580</v>
      </c>
      <c r="E21838">
        <v>79.81</v>
      </c>
    </row>
    <row r="21839" spans="1:5" x14ac:dyDescent="0.2">
      <c r="A21839">
        <v>14586</v>
      </c>
      <c r="B21839" t="s">
        <v>40</v>
      </c>
      <c r="C21839">
        <v>14586</v>
      </c>
      <c r="D21839" t="str">
        <f>"14586"</f>
        <v>14586</v>
      </c>
      <c r="E21839">
        <v>78.099999999999994</v>
      </c>
    </row>
    <row r="21840" spans="1:5" x14ac:dyDescent="0.2">
      <c r="A21840">
        <v>14589</v>
      </c>
      <c r="B21840" t="s">
        <v>40</v>
      </c>
      <c r="C21840">
        <v>14589</v>
      </c>
      <c r="D21840" t="str">
        <f>"14589"</f>
        <v>14589</v>
      </c>
      <c r="E21840">
        <v>74.34</v>
      </c>
    </row>
    <row r="21841" spans="1:5" x14ac:dyDescent="0.2">
      <c r="A21841">
        <v>14590</v>
      </c>
      <c r="B21841" t="s">
        <v>40</v>
      </c>
      <c r="C21841">
        <v>14590</v>
      </c>
      <c r="D21841" t="str">
        <f>"14590"</f>
        <v>14590</v>
      </c>
      <c r="E21841">
        <v>69.430000000000007</v>
      </c>
    </row>
    <row r="21842" spans="1:5" x14ac:dyDescent="0.2">
      <c r="A21842">
        <v>14591</v>
      </c>
      <c r="B21842" t="s">
        <v>40</v>
      </c>
      <c r="C21842">
        <v>14591</v>
      </c>
      <c r="D21842" t="str">
        <f>"14591"</f>
        <v>14591</v>
      </c>
      <c r="E21842">
        <v>73.75</v>
      </c>
    </row>
    <row r="21843" spans="1:5" x14ac:dyDescent="0.2">
      <c r="A21843">
        <v>14592</v>
      </c>
      <c r="B21843" t="s">
        <v>40</v>
      </c>
      <c r="C21843">
        <v>14592</v>
      </c>
      <c r="D21843" t="str">
        <f>"14592"</f>
        <v>14592</v>
      </c>
      <c r="E21843" t="s">
        <v>6</v>
      </c>
    </row>
    <row r="21844" spans="1:5" x14ac:dyDescent="0.2">
      <c r="A21844">
        <v>14604</v>
      </c>
      <c r="B21844" t="s">
        <v>40</v>
      </c>
      <c r="C21844">
        <v>14604</v>
      </c>
      <c r="D21844" t="str">
        <f>"14604"</f>
        <v>14604</v>
      </c>
      <c r="E21844">
        <v>78.180000000000007</v>
      </c>
    </row>
    <row r="21845" spans="1:5" x14ac:dyDescent="0.2">
      <c r="A21845">
        <v>14605</v>
      </c>
      <c r="B21845" t="s">
        <v>40</v>
      </c>
      <c r="C21845">
        <v>14605</v>
      </c>
      <c r="D21845" t="str">
        <f>"14605"</f>
        <v>14605</v>
      </c>
      <c r="E21845">
        <v>39.36</v>
      </c>
    </row>
    <row r="21846" spans="1:5" x14ac:dyDescent="0.2">
      <c r="A21846">
        <v>14606</v>
      </c>
      <c r="B21846" t="s">
        <v>40</v>
      </c>
      <c r="C21846">
        <v>14606</v>
      </c>
      <c r="D21846" t="str">
        <f>"14606"</f>
        <v>14606</v>
      </c>
      <c r="E21846">
        <v>66.47</v>
      </c>
    </row>
    <row r="21847" spans="1:5" x14ac:dyDescent="0.2">
      <c r="A21847">
        <v>14607</v>
      </c>
      <c r="B21847" t="s">
        <v>40</v>
      </c>
      <c r="C21847">
        <v>14607</v>
      </c>
      <c r="D21847" t="str">
        <f>"14607"</f>
        <v>14607</v>
      </c>
      <c r="E21847">
        <v>81.81</v>
      </c>
    </row>
    <row r="21848" spans="1:5" x14ac:dyDescent="0.2">
      <c r="A21848">
        <v>14608</v>
      </c>
      <c r="B21848" t="s">
        <v>40</v>
      </c>
      <c r="C21848">
        <v>14608</v>
      </c>
      <c r="D21848" t="str">
        <f>"14608"</f>
        <v>14608</v>
      </c>
      <c r="E21848">
        <v>51.36</v>
      </c>
    </row>
    <row r="21849" spans="1:5" x14ac:dyDescent="0.2">
      <c r="A21849">
        <v>14609</v>
      </c>
      <c r="B21849" t="s">
        <v>40</v>
      </c>
      <c r="C21849">
        <v>14609</v>
      </c>
      <c r="D21849" t="str">
        <f>"14609"</f>
        <v>14609</v>
      </c>
      <c r="E21849">
        <v>67.069999999999993</v>
      </c>
    </row>
    <row r="21850" spans="1:5" x14ac:dyDescent="0.2">
      <c r="A21850">
        <v>14610</v>
      </c>
      <c r="B21850" t="s">
        <v>40</v>
      </c>
      <c r="C21850">
        <v>14610</v>
      </c>
      <c r="D21850" t="str">
        <f>"14610"</f>
        <v>14610</v>
      </c>
      <c r="E21850">
        <v>82.65</v>
      </c>
    </row>
    <row r="21851" spans="1:5" x14ac:dyDescent="0.2">
      <c r="A21851">
        <v>14611</v>
      </c>
      <c r="B21851" t="s">
        <v>40</v>
      </c>
      <c r="C21851">
        <v>14611</v>
      </c>
      <c r="D21851" t="str">
        <f>"14611"</f>
        <v>14611</v>
      </c>
      <c r="E21851">
        <v>47.27</v>
      </c>
    </row>
    <row r="21852" spans="1:5" x14ac:dyDescent="0.2">
      <c r="A21852">
        <v>14612</v>
      </c>
      <c r="B21852" t="s">
        <v>40</v>
      </c>
      <c r="C21852">
        <v>14612</v>
      </c>
      <c r="D21852" t="str">
        <f>"14612"</f>
        <v>14612</v>
      </c>
      <c r="E21852">
        <v>77.84</v>
      </c>
    </row>
    <row r="21853" spans="1:5" x14ac:dyDescent="0.2">
      <c r="A21853">
        <v>14613</v>
      </c>
      <c r="B21853" t="s">
        <v>40</v>
      </c>
      <c r="C21853">
        <v>14613</v>
      </c>
      <c r="D21853" t="str">
        <f>"14613"</f>
        <v>14613</v>
      </c>
      <c r="E21853">
        <v>48.57</v>
      </c>
    </row>
    <row r="21854" spans="1:5" x14ac:dyDescent="0.2">
      <c r="A21854">
        <v>14614</v>
      </c>
      <c r="B21854" t="s">
        <v>40</v>
      </c>
      <c r="C21854">
        <v>14614</v>
      </c>
      <c r="D21854" t="str">
        <f>"14614"</f>
        <v>14614</v>
      </c>
      <c r="E21854">
        <v>78.260000000000005</v>
      </c>
    </row>
    <row r="21855" spans="1:5" x14ac:dyDescent="0.2">
      <c r="A21855">
        <v>14615</v>
      </c>
      <c r="B21855" t="s">
        <v>40</v>
      </c>
      <c r="C21855">
        <v>14615</v>
      </c>
      <c r="D21855" t="str">
        <f>"14615"</f>
        <v>14615</v>
      </c>
      <c r="E21855">
        <v>67.89</v>
      </c>
    </row>
    <row r="21856" spans="1:5" x14ac:dyDescent="0.2">
      <c r="A21856">
        <v>14616</v>
      </c>
      <c r="B21856" t="s">
        <v>40</v>
      </c>
      <c r="C21856">
        <v>14616</v>
      </c>
      <c r="D21856" t="str">
        <f>"14616"</f>
        <v>14616</v>
      </c>
      <c r="E21856">
        <v>72.34</v>
      </c>
    </row>
    <row r="21857" spans="1:5" x14ac:dyDescent="0.2">
      <c r="A21857">
        <v>14617</v>
      </c>
      <c r="B21857" t="s">
        <v>40</v>
      </c>
      <c r="C21857">
        <v>14617</v>
      </c>
      <c r="D21857" t="str">
        <f>"14617"</f>
        <v>14617</v>
      </c>
      <c r="E21857">
        <v>77.8</v>
      </c>
    </row>
    <row r="21858" spans="1:5" x14ac:dyDescent="0.2">
      <c r="A21858">
        <v>14618</v>
      </c>
      <c r="B21858" t="s">
        <v>40</v>
      </c>
      <c r="C21858">
        <v>14618</v>
      </c>
      <c r="D21858" t="str">
        <f>"14618"</f>
        <v>14618</v>
      </c>
      <c r="E21858">
        <v>80.459999999999994</v>
      </c>
    </row>
    <row r="21859" spans="1:5" x14ac:dyDescent="0.2">
      <c r="A21859">
        <v>14619</v>
      </c>
      <c r="B21859" t="s">
        <v>40</v>
      </c>
      <c r="C21859">
        <v>14619</v>
      </c>
      <c r="D21859" t="str">
        <f>"14619"</f>
        <v>14619</v>
      </c>
      <c r="E21859">
        <v>61.64</v>
      </c>
    </row>
    <row r="21860" spans="1:5" x14ac:dyDescent="0.2">
      <c r="A21860">
        <v>14620</v>
      </c>
      <c r="B21860" t="s">
        <v>40</v>
      </c>
      <c r="C21860">
        <v>14620</v>
      </c>
      <c r="D21860" t="str">
        <f>"14620"</f>
        <v>14620</v>
      </c>
      <c r="E21860">
        <v>77.260000000000005</v>
      </c>
    </row>
    <row r="21861" spans="1:5" x14ac:dyDescent="0.2">
      <c r="A21861">
        <v>14621</v>
      </c>
      <c r="B21861" t="s">
        <v>40</v>
      </c>
      <c r="C21861">
        <v>14621</v>
      </c>
      <c r="D21861" t="str">
        <f>"14621"</f>
        <v>14621</v>
      </c>
      <c r="E21861">
        <v>49.23</v>
      </c>
    </row>
    <row r="21862" spans="1:5" x14ac:dyDescent="0.2">
      <c r="A21862">
        <v>14622</v>
      </c>
      <c r="B21862" t="s">
        <v>40</v>
      </c>
      <c r="C21862">
        <v>14622</v>
      </c>
      <c r="D21862" t="str">
        <f>"14622"</f>
        <v>14622</v>
      </c>
      <c r="E21862">
        <v>78.13</v>
      </c>
    </row>
    <row r="21863" spans="1:5" x14ac:dyDescent="0.2">
      <c r="A21863">
        <v>14623</v>
      </c>
      <c r="B21863" t="s">
        <v>40</v>
      </c>
      <c r="C21863">
        <v>14623</v>
      </c>
      <c r="D21863" t="str">
        <f>"14623"</f>
        <v>14623</v>
      </c>
      <c r="E21863">
        <v>75.66</v>
      </c>
    </row>
    <row r="21864" spans="1:5" x14ac:dyDescent="0.2">
      <c r="A21864">
        <v>14624</v>
      </c>
      <c r="B21864" t="s">
        <v>40</v>
      </c>
      <c r="C21864">
        <v>14624</v>
      </c>
      <c r="D21864" t="str">
        <f>"14624"</f>
        <v>14624</v>
      </c>
      <c r="E21864">
        <v>78.650000000000006</v>
      </c>
    </row>
    <row r="21865" spans="1:5" x14ac:dyDescent="0.2">
      <c r="A21865">
        <v>14625</v>
      </c>
      <c r="B21865" t="s">
        <v>40</v>
      </c>
      <c r="C21865">
        <v>14625</v>
      </c>
      <c r="D21865" t="str">
        <f>"14625"</f>
        <v>14625</v>
      </c>
      <c r="E21865">
        <v>81.06</v>
      </c>
    </row>
    <row r="21866" spans="1:5" x14ac:dyDescent="0.2">
      <c r="A21866">
        <v>14626</v>
      </c>
      <c r="B21866" t="s">
        <v>40</v>
      </c>
      <c r="C21866">
        <v>14626</v>
      </c>
      <c r="D21866" t="str">
        <f>"14626"</f>
        <v>14626</v>
      </c>
      <c r="E21866">
        <v>76.760000000000005</v>
      </c>
    </row>
    <row r="21867" spans="1:5" x14ac:dyDescent="0.2">
      <c r="A21867">
        <v>14627</v>
      </c>
      <c r="B21867" t="s">
        <v>40</v>
      </c>
      <c r="C21867">
        <v>14627</v>
      </c>
      <c r="D21867" t="str">
        <f>"14627"</f>
        <v>14627</v>
      </c>
      <c r="E21867" t="s">
        <v>6</v>
      </c>
    </row>
    <row r="21868" spans="1:5" x14ac:dyDescent="0.2">
      <c r="A21868">
        <v>14647</v>
      </c>
      <c r="B21868" t="s">
        <v>40</v>
      </c>
      <c r="C21868">
        <v>14647</v>
      </c>
      <c r="D21868" t="str">
        <f>"14647"</f>
        <v>14647</v>
      </c>
      <c r="E21868" t="s">
        <v>6</v>
      </c>
    </row>
    <row r="21869" spans="1:5" x14ac:dyDescent="0.2">
      <c r="A21869">
        <v>14653</v>
      </c>
      <c r="B21869" t="s">
        <v>40</v>
      </c>
      <c r="C21869">
        <v>14653</v>
      </c>
      <c r="D21869" t="str">
        <f>"14653"</f>
        <v>14653</v>
      </c>
      <c r="E21869" t="s">
        <v>6</v>
      </c>
    </row>
    <row r="21870" spans="1:5" x14ac:dyDescent="0.2">
      <c r="A21870">
        <v>14701</v>
      </c>
      <c r="B21870" t="s">
        <v>40</v>
      </c>
      <c r="C21870">
        <v>14701</v>
      </c>
      <c r="D21870" t="str">
        <f>"14701"</f>
        <v>14701</v>
      </c>
      <c r="E21870">
        <v>65.05</v>
      </c>
    </row>
    <row r="21871" spans="1:5" x14ac:dyDescent="0.2">
      <c r="A21871">
        <v>14706</v>
      </c>
      <c r="B21871" t="s">
        <v>40</v>
      </c>
      <c r="C21871">
        <v>14706</v>
      </c>
      <c r="D21871" t="str">
        <f>"14706"</f>
        <v>14706</v>
      </c>
      <c r="E21871">
        <v>73.209999999999994</v>
      </c>
    </row>
    <row r="21872" spans="1:5" x14ac:dyDescent="0.2">
      <c r="A21872">
        <v>14707</v>
      </c>
      <c r="B21872" t="s">
        <v>40</v>
      </c>
      <c r="C21872">
        <v>14707</v>
      </c>
      <c r="D21872" t="str">
        <f>"14707"</f>
        <v>14707</v>
      </c>
      <c r="E21872" t="s">
        <v>6</v>
      </c>
    </row>
    <row r="21873" spans="1:5" x14ac:dyDescent="0.2">
      <c r="A21873">
        <v>14708</v>
      </c>
      <c r="B21873" t="s">
        <v>40</v>
      </c>
      <c r="C21873">
        <v>14708</v>
      </c>
      <c r="D21873" t="str">
        <f>"14708"</f>
        <v>14708</v>
      </c>
      <c r="E21873" t="s">
        <v>6</v>
      </c>
    </row>
    <row r="21874" spans="1:5" x14ac:dyDescent="0.2">
      <c r="A21874">
        <v>14709</v>
      </c>
      <c r="B21874" t="s">
        <v>40</v>
      </c>
      <c r="C21874">
        <v>14709</v>
      </c>
      <c r="D21874" t="str">
        <f>"14709"</f>
        <v>14709</v>
      </c>
      <c r="E21874">
        <v>68.180000000000007</v>
      </c>
    </row>
    <row r="21875" spans="1:5" x14ac:dyDescent="0.2">
      <c r="A21875">
        <v>14710</v>
      </c>
      <c r="B21875" t="s">
        <v>40</v>
      </c>
      <c r="C21875">
        <v>14710</v>
      </c>
      <c r="D21875" t="str">
        <f>"14710"</f>
        <v>14710</v>
      </c>
      <c r="E21875">
        <v>73.62</v>
      </c>
    </row>
    <row r="21876" spans="1:5" x14ac:dyDescent="0.2">
      <c r="A21876">
        <v>14711</v>
      </c>
      <c r="B21876" t="s">
        <v>40</v>
      </c>
      <c r="C21876">
        <v>14711</v>
      </c>
      <c r="D21876" t="str">
        <f>"14711"</f>
        <v>14711</v>
      </c>
      <c r="E21876">
        <v>70</v>
      </c>
    </row>
    <row r="21877" spans="1:5" x14ac:dyDescent="0.2">
      <c r="A21877">
        <v>14712</v>
      </c>
      <c r="B21877" t="s">
        <v>40</v>
      </c>
      <c r="C21877">
        <v>14712</v>
      </c>
      <c r="D21877" t="str">
        <f>"14712"</f>
        <v>14712</v>
      </c>
      <c r="E21877">
        <v>73.38</v>
      </c>
    </row>
    <row r="21878" spans="1:5" x14ac:dyDescent="0.2">
      <c r="A21878">
        <v>14714</v>
      </c>
      <c r="B21878" t="s">
        <v>40</v>
      </c>
      <c r="C21878">
        <v>14714</v>
      </c>
      <c r="D21878" t="str">
        <f>"14714"</f>
        <v>14714</v>
      </c>
      <c r="E21878">
        <v>64.709999999999994</v>
      </c>
    </row>
    <row r="21879" spans="1:5" x14ac:dyDescent="0.2">
      <c r="A21879">
        <v>14715</v>
      </c>
      <c r="B21879" t="s">
        <v>40</v>
      </c>
      <c r="C21879">
        <v>14715</v>
      </c>
      <c r="D21879" t="str">
        <f>"14715"</f>
        <v>14715</v>
      </c>
      <c r="E21879">
        <v>64.599999999999994</v>
      </c>
    </row>
    <row r="21880" spans="1:5" x14ac:dyDescent="0.2">
      <c r="A21880">
        <v>14716</v>
      </c>
      <c r="B21880" t="s">
        <v>40</v>
      </c>
      <c r="C21880">
        <v>14716</v>
      </c>
      <c r="D21880" t="str">
        <f>"14716"</f>
        <v>14716</v>
      </c>
      <c r="E21880">
        <v>68.42</v>
      </c>
    </row>
    <row r="21881" spans="1:5" x14ac:dyDescent="0.2">
      <c r="A21881">
        <v>14717</v>
      </c>
      <c r="B21881" t="s">
        <v>40</v>
      </c>
      <c r="C21881">
        <v>14717</v>
      </c>
      <c r="D21881" t="str">
        <f>"14717"</f>
        <v>14717</v>
      </c>
      <c r="E21881">
        <v>68.75</v>
      </c>
    </row>
    <row r="21882" spans="1:5" x14ac:dyDescent="0.2">
      <c r="A21882">
        <v>14718</v>
      </c>
      <c r="B21882" t="s">
        <v>40</v>
      </c>
      <c r="C21882">
        <v>14718</v>
      </c>
      <c r="D21882" t="str">
        <f>"14718"</f>
        <v>14718</v>
      </c>
      <c r="E21882">
        <v>75.56</v>
      </c>
    </row>
    <row r="21883" spans="1:5" x14ac:dyDescent="0.2">
      <c r="A21883">
        <v>14719</v>
      </c>
      <c r="B21883" t="s">
        <v>40</v>
      </c>
      <c r="C21883">
        <v>14719</v>
      </c>
      <c r="D21883" t="str">
        <f>"14719"</f>
        <v>14719</v>
      </c>
      <c r="E21883">
        <v>71.92</v>
      </c>
    </row>
    <row r="21884" spans="1:5" x14ac:dyDescent="0.2">
      <c r="A21884">
        <v>14720</v>
      </c>
      <c r="B21884" t="s">
        <v>40</v>
      </c>
      <c r="C21884">
        <v>14720</v>
      </c>
      <c r="D21884" t="str">
        <f>"14720"</f>
        <v>14720</v>
      </c>
      <c r="E21884" t="s">
        <v>6</v>
      </c>
    </row>
    <row r="21885" spans="1:5" x14ac:dyDescent="0.2">
      <c r="A21885">
        <v>14721</v>
      </c>
      <c r="B21885" t="s">
        <v>40</v>
      </c>
      <c r="C21885">
        <v>14721</v>
      </c>
      <c r="D21885" t="str">
        <f>"14721"</f>
        <v>14721</v>
      </c>
      <c r="E21885" t="s">
        <v>6</v>
      </c>
    </row>
    <row r="21886" spans="1:5" x14ac:dyDescent="0.2">
      <c r="A21886">
        <v>14722</v>
      </c>
      <c r="B21886" t="s">
        <v>40</v>
      </c>
      <c r="C21886">
        <v>14722</v>
      </c>
      <c r="D21886" t="str">
        <f>"14722"</f>
        <v>14722</v>
      </c>
      <c r="E21886" t="s">
        <v>6</v>
      </c>
    </row>
    <row r="21887" spans="1:5" x14ac:dyDescent="0.2">
      <c r="A21887">
        <v>14723</v>
      </c>
      <c r="B21887" t="s">
        <v>40</v>
      </c>
      <c r="C21887">
        <v>14723</v>
      </c>
      <c r="D21887" t="str">
        <f>"14723"</f>
        <v>14723</v>
      </c>
      <c r="E21887">
        <v>72.73</v>
      </c>
    </row>
    <row r="21888" spans="1:5" x14ac:dyDescent="0.2">
      <c r="A21888">
        <v>14724</v>
      </c>
      <c r="B21888" t="s">
        <v>40</v>
      </c>
      <c r="C21888">
        <v>14724</v>
      </c>
      <c r="D21888" t="str">
        <f>"14724"</f>
        <v>14724</v>
      </c>
      <c r="E21888">
        <v>64.08</v>
      </c>
    </row>
    <row r="21889" spans="1:5" x14ac:dyDescent="0.2">
      <c r="A21889">
        <v>14726</v>
      </c>
      <c r="B21889" t="s">
        <v>40</v>
      </c>
      <c r="C21889">
        <v>14726</v>
      </c>
      <c r="D21889" t="str">
        <f>"14726"</f>
        <v>14726</v>
      </c>
      <c r="E21889">
        <v>63.41</v>
      </c>
    </row>
    <row r="21890" spans="1:5" x14ac:dyDescent="0.2">
      <c r="A21890">
        <v>14727</v>
      </c>
      <c r="B21890" t="s">
        <v>40</v>
      </c>
      <c r="C21890">
        <v>14727</v>
      </c>
      <c r="D21890" t="str">
        <f>"14727"</f>
        <v>14727</v>
      </c>
      <c r="E21890">
        <v>68.260000000000005</v>
      </c>
    </row>
    <row r="21891" spans="1:5" x14ac:dyDescent="0.2">
      <c r="A21891">
        <v>14728</v>
      </c>
      <c r="B21891" t="s">
        <v>40</v>
      </c>
      <c r="C21891">
        <v>14728</v>
      </c>
      <c r="D21891" t="str">
        <f>"14728"</f>
        <v>14728</v>
      </c>
      <c r="E21891">
        <v>71.11</v>
      </c>
    </row>
    <row r="21892" spans="1:5" x14ac:dyDescent="0.2">
      <c r="A21892">
        <v>14729</v>
      </c>
      <c r="B21892" t="s">
        <v>40</v>
      </c>
      <c r="C21892">
        <v>14729</v>
      </c>
      <c r="D21892" t="str">
        <f>"14729"</f>
        <v>14729</v>
      </c>
      <c r="E21892">
        <v>77.5</v>
      </c>
    </row>
    <row r="21893" spans="1:5" x14ac:dyDescent="0.2">
      <c r="A21893">
        <v>14731</v>
      </c>
      <c r="B21893" t="s">
        <v>40</v>
      </c>
      <c r="C21893">
        <v>14731</v>
      </c>
      <c r="D21893" t="str">
        <f>"14731"</f>
        <v>14731</v>
      </c>
      <c r="E21893">
        <v>78.95</v>
      </c>
    </row>
    <row r="21894" spans="1:5" x14ac:dyDescent="0.2">
      <c r="A21894">
        <v>14732</v>
      </c>
      <c r="B21894" t="s">
        <v>40</v>
      </c>
      <c r="C21894">
        <v>14732</v>
      </c>
      <c r="D21894" t="str">
        <f>"14732"</f>
        <v>14732</v>
      </c>
      <c r="E21894" t="s">
        <v>6</v>
      </c>
    </row>
    <row r="21895" spans="1:5" x14ac:dyDescent="0.2">
      <c r="A21895">
        <v>14733</v>
      </c>
      <c r="B21895" t="s">
        <v>40</v>
      </c>
      <c r="C21895">
        <v>14733</v>
      </c>
      <c r="D21895" t="str">
        <f>"14733"</f>
        <v>14733</v>
      </c>
      <c r="E21895">
        <v>69.27</v>
      </c>
    </row>
    <row r="21896" spans="1:5" x14ac:dyDescent="0.2">
      <c r="A21896">
        <v>14735</v>
      </c>
      <c r="B21896" t="s">
        <v>40</v>
      </c>
      <c r="C21896">
        <v>14735</v>
      </c>
      <c r="D21896" t="str">
        <f>"14735"</f>
        <v>14735</v>
      </c>
      <c r="E21896">
        <v>62.14</v>
      </c>
    </row>
    <row r="21897" spans="1:5" x14ac:dyDescent="0.2">
      <c r="A21897">
        <v>14736</v>
      </c>
      <c r="B21897" t="s">
        <v>40</v>
      </c>
      <c r="C21897">
        <v>14736</v>
      </c>
      <c r="D21897" t="str">
        <f>"14736"</f>
        <v>14736</v>
      </c>
      <c r="E21897">
        <v>73.08</v>
      </c>
    </row>
    <row r="21898" spans="1:5" x14ac:dyDescent="0.2">
      <c r="A21898">
        <v>14737</v>
      </c>
      <c r="B21898" t="s">
        <v>40</v>
      </c>
      <c r="C21898">
        <v>14737</v>
      </c>
      <c r="D21898" t="str">
        <f>"14737"</f>
        <v>14737</v>
      </c>
      <c r="E21898">
        <v>68.599999999999994</v>
      </c>
    </row>
    <row r="21899" spans="1:5" x14ac:dyDescent="0.2">
      <c r="A21899">
        <v>14738</v>
      </c>
      <c r="B21899" t="s">
        <v>40</v>
      </c>
      <c r="C21899">
        <v>14738</v>
      </c>
      <c r="D21899" t="str">
        <f>"14738"</f>
        <v>14738</v>
      </c>
      <c r="E21899">
        <v>73.17</v>
      </c>
    </row>
    <row r="21900" spans="1:5" x14ac:dyDescent="0.2">
      <c r="A21900">
        <v>14739</v>
      </c>
      <c r="B21900" t="s">
        <v>40</v>
      </c>
      <c r="C21900">
        <v>14739</v>
      </c>
      <c r="D21900" t="str">
        <f>"14739"</f>
        <v>14739</v>
      </c>
      <c r="E21900">
        <v>61.61</v>
      </c>
    </row>
    <row r="21901" spans="1:5" x14ac:dyDescent="0.2">
      <c r="A21901">
        <v>14740</v>
      </c>
      <c r="B21901" t="s">
        <v>40</v>
      </c>
      <c r="C21901">
        <v>14740</v>
      </c>
      <c r="D21901" t="str">
        <f>"14740"</f>
        <v>14740</v>
      </c>
      <c r="E21901">
        <v>73.58</v>
      </c>
    </row>
    <row r="21902" spans="1:5" x14ac:dyDescent="0.2">
      <c r="A21902">
        <v>14741</v>
      </c>
      <c r="B21902" t="s">
        <v>40</v>
      </c>
      <c r="C21902">
        <v>14741</v>
      </c>
      <c r="D21902" t="str">
        <f>"14741"</f>
        <v>14741</v>
      </c>
      <c r="E21902">
        <v>69.569999999999993</v>
      </c>
    </row>
    <row r="21903" spans="1:5" x14ac:dyDescent="0.2">
      <c r="A21903">
        <v>14742</v>
      </c>
      <c r="B21903" t="s">
        <v>40</v>
      </c>
      <c r="C21903">
        <v>14742</v>
      </c>
      <c r="D21903" t="str">
        <f>"14742"</f>
        <v>14742</v>
      </c>
      <c r="E21903" t="s">
        <v>6</v>
      </c>
    </row>
    <row r="21904" spans="1:5" x14ac:dyDescent="0.2">
      <c r="A21904">
        <v>14743</v>
      </c>
      <c r="B21904" t="s">
        <v>40</v>
      </c>
      <c r="C21904">
        <v>14743</v>
      </c>
      <c r="D21904" t="str">
        <f>"14743"</f>
        <v>14743</v>
      </c>
      <c r="E21904">
        <v>67.5</v>
      </c>
    </row>
    <row r="21905" spans="1:5" x14ac:dyDescent="0.2">
      <c r="A21905">
        <v>14744</v>
      </c>
      <c r="B21905" t="s">
        <v>40</v>
      </c>
      <c r="C21905">
        <v>14744</v>
      </c>
      <c r="D21905" t="str">
        <f>"14744"</f>
        <v>14744</v>
      </c>
      <c r="E21905">
        <v>63.64</v>
      </c>
    </row>
    <row r="21906" spans="1:5" x14ac:dyDescent="0.2">
      <c r="A21906">
        <v>14747</v>
      </c>
      <c r="B21906" t="s">
        <v>40</v>
      </c>
      <c r="C21906">
        <v>14747</v>
      </c>
      <c r="D21906" t="str">
        <f>"14747"</f>
        <v>14747</v>
      </c>
      <c r="E21906">
        <v>72.16</v>
      </c>
    </row>
    <row r="21907" spans="1:5" x14ac:dyDescent="0.2">
      <c r="A21907">
        <v>14748</v>
      </c>
      <c r="B21907" t="s">
        <v>40</v>
      </c>
      <c r="C21907">
        <v>14748</v>
      </c>
      <c r="D21907" t="str">
        <f>"14748"</f>
        <v>14748</v>
      </c>
      <c r="E21907">
        <v>65.52</v>
      </c>
    </row>
    <row r="21908" spans="1:5" x14ac:dyDescent="0.2">
      <c r="A21908">
        <v>14750</v>
      </c>
      <c r="B21908" t="s">
        <v>40</v>
      </c>
      <c r="C21908">
        <v>14750</v>
      </c>
      <c r="D21908" t="str">
        <f>"14750"</f>
        <v>14750</v>
      </c>
      <c r="E21908">
        <v>74.37</v>
      </c>
    </row>
    <row r="21909" spans="1:5" x14ac:dyDescent="0.2">
      <c r="A21909">
        <v>14752</v>
      </c>
      <c r="B21909" t="s">
        <v>40</v>
      </c>
      <c r="C21909">
        <v>14752</v>
      </c>
      <c r="D21909" t="str">
        <f>"14752"</f>
        <v>14752</v>
      </c>
      <c r="E21909" t="s">
        <v>6</v>
      </c>
    </row>
    <row r="21910" spans="1:5" x14ac:dyDescent="0.2">
      <c r="A21910">
        <v>14753</v>
      </c>
      <c r="B21910" t="s">
        <v>40</v>
      </c>
      <c r="C21910">
        <v>14753</v>
      </c>
      <c r="D21910" t="str">
        <f>"14753"</f>
        <v>14753</v>
      </c>
      <c r="E21910">
        <v>67.349999999999994</v>
      </c>
    </row>
    <row r="21911" spans="1:5" x14ac:dyDescent="0.2">
      <c r="A21911">
        <v>14754</v>
      </c>
      <c r="B21911" t="s">
        <v>40</v>
      </c>
      <c r="C21911">
        <v>14754</v>
      </c>
      <c r="D21911" t="str">
        <f>"14754"</f>
        <v>14754</v>
      </c>
      <c r="E21911">
        <v>70.37</v>
      </c>
    </row>
    <row r="21912" spans="1:5" x14ac:dyDescent="0.2">
      <c r="A21912">
        <v>14755</v>
      </c>
      <c r="B21912" t="s">
        <v>40</v>
      </c>
      <c r="C21912">
        <v>14755</v>
      </c>
      <c r="D21912" t="str">
        <f>"14755"</f>
        <v>14755</v>
      </c>
      <c r="E21912">
        <v>73.95</v>
      </c>
    </row>
    <row r="21913" spans="1:5" x14ac:dyDescent="0.2">
      <c r="A21913">
        <v>14757</v>
      </c>
      <c r="B21913" t="s">
        <v>40</v>
      </c>
      <c r="C21913">
        <v>14757</v>
      </c>
      <c r="D21913" t="str">
        <f>"14757"</f>
        <v>14757</v>
      </c>
      <c r="E21913">
        <v>72.73</v>
      </c>
    </row>
    <row r="21914" spans="1:5" x14ac:dyDescent="0.2">
      <c r="A21914">
        <v>14760</v>
      </c>
      <c r="B21914" t="s">
        <v>40</v>
      </c>
      <c r="C21914">
        <v>14760</v>
      </c>
      <c r="D21914" t="str">
        <f>"14760"</f>
        <v>14760</v>
      </c>
      <c r="E21914">
        <v>68.510000000000005</v>
      </c>
    </row>
    <row r="21915" spans="1:5" x14ac:dyDescent="0.2">
      <c r="A21915">
        <v>14767</v>
      </c>
      <c r="B21915" t="s">
        <v>40</v>
      </c>
      <c r="C21915">
        <v>14767</v>
      </c>
      <c r="D21915" t="str">
        <f>"14767"</f>
        <v>14767</v>
      </c>
      <c r="E21915">
        <v>63.89</v>
      </c>
    </row>
    <row r="21916" spans="1:5" x14ac:dyDescent="0.2">
      <c r="A21916">
        <v>14769</v>
      </c>
      <c r="B21916" t="s">
        <v>40</v>
      </c>
      <c r="C21916">
        <v>14769</v>
      </c>
      <c r="D21916" t="str">
        <f>"14769"</f>
        <v>14769</v>
      </c>
      <c r="E21916">
        <v>65.849999999999994</v>
      </c>
    </row>
    <row r="21917" spans="1:5" x14ac:dyDescent="0.2">
      <c r="A21917">
        <v>14770</v>
      </c>
      <c r="B21917" t="s">
        <v>40</v>
      </c>
      <c r="C21917">
        <v>14770</v>
      </c>
      <c r="D21917" t="str">
        <f>"14770"</f>
        <v>14770</v>
      </c>
      <c r="E21917">
        <v>71.97</v>
      </c>
    </row>
    <row r="21918" spans="1:5" x14ac:dyDescent="0.2">
      <c r="A21918">
        <v>14772</v>
      </c>
      <c r="B21918" t="s">
        <v>40</v>
      </c>
      <c r="C21918">
        <v>14772</v>
      </c>
      <c r="D21918" t="str">
        <f>"14772"</f>
        <v>14772</v>
      </c>
      <c r="E21918">
        <v>67.27</v>
      </c>
    </row>
    <row r="21919" spans="1:5" x14ac:dyDescent="0.2">
      <c r="A21919">
        <v>14774</v>
      </c>
      <c r="B21919" t="s">
        <v>40</v>
      </c>
      <c r="C21919">
        <v>14774</v>
      </c>
      <c r="D21919" t="str">
        <f>"14774"</f>
        <v>14774</v>
      </c>
      <c r="E21919" t="s">
        <v>6</v>
      </c>
    </row>
    <row r="21920" spans="1:5" x14ac:dyDescent="0.2">
      <c r="A21920">
        <v>14775</v>
      </c>
      <c r="B21920" t="s">
        <v>40</v>
      </c>
      <c r="C21920">
        <v>14775</v>
      </c>
      <c r="D21920" t="str">
        <f>"14775"</f>
        <v>14775</v>
      </c>
      <c r="E21920">
        <v>66.67</v>
      </c>
    </row>
    <row r="21921" spans="1:5" x14ac:dyDescent="0.2">
      <c r="A21921">
        <v>14777</v>
      </c>
      <c r="B21921" t="s">
        <v>40</v>
      </c>
      <c r="C21921">
        <v>14777</v>
      </c>
      <c r="D21921" t="str">
        <f>"14777"</f>
        <v>14777</v>
      </c>
      <c r="E21921">
        <v>60</v>
      </c>
    </row>
    <row r="21922" spans="1:5" x14ac:dyDescent="0.2">
      <c r="A21922">
        <v>14779</v>
      </c>
      <c r="B21922" t="s">
        <v>40</v>
      </c>
      <c r="C21922">
        <v>14779</v>
      </c>
      <c r="D21922" t="str">
        <f>"14779"</f>
        <v>14779</v>
      </c>
      <c r="E21922">
        <v>65.760000000000005</v>
      </c>
    </row>
    <row r="21923" spans="1:5" x14ac:dyDescent="0.2">
      <c r="A21923">
        <v>14781</v>
      </c>
      <c r="B21923" t="s">
        <v>40</v>
      </c>
      <c r="C21923">
        <v>14781</v>
      </c>
      <c r="D21923" t="str">
        <f>"14781"</f>
        <v>14781</v>
      </c>
      <c r="E21923">
        <v>63.54</v>
      </c>
    </row>
    <row r="21924" spans="1:5" x14ac:dyDescent="0.2">
      <c r="A21924">
        <v>14782</v>
      </c>
      <c r="B21924" t="s">
        <v>40</v>
      </c>
      <c r="C21924">
        <v>14782</v>
      </c>
      <c r="D21924" t="str">
        <f>"14782"</f>
        <v>14782</v>
      </c>
      <c r="E21924">
        <v>67.739999999999995</v>
      </c>
    </row>
    <row r="21925" spans="1:5" x14ac:dyDescent="0.2">
      <c r="A21925">
        <v>14783</v>
      </c>
      <c r="B21925" t="s">
        <v>40</v>
      </c>
      <c r="C21925">
        <v>14783</v>
      </c>
      <c r="D21925" t="str">
        <f>"14783"</f>
        <v>14783</v>
      </c>
      <c r="E21925" t="s">
        <v>6</v>
      </c>
    </row>
    <row r="21926" spans="1:5" x14ac:dyDescent="0.2">
      <c r="A21926">
        <v>14784</v>
      </c>
      <c r="B21926" t="s">
        <v>40</v>
      </c>
      <c r="C21926">
        <v>14784</v>
      </c>
      <c r="D21926" t="str">
        <f>"14784"</f>
        <v>14784</v>
      </c>
      <c r="E21926">
        <v>71.430000000000007</v>
      </c>
    </row>
    <row r="21927" spans="1:5" x14ac:dyDescent="0.2">
      <c r="A21927">
        <v>14785</v>
      </c>
      <c r="B21927" t="s">
        <v>40</v>
      </c>
      <c r="C21927">
        <v>14785</v>
      </c>
      <c r="D21927" t="str">
        <f>"14785"</f>
        <v>14785</v>
      </c>
      <c r="E21927" t="s">
        <v>6</v>
      </c>
    </row>
    <row r="21928" spans="1:5" x14ac:dyDescent="0.2">
      <c r="A21928">
        <v>14787</v>
      </c>
      <c r="B21928" t="s">
        <v>40</v>
      </c>
      <c r="C21928">
        <v>14787</v>
      </c>
      <c r="D21928" t="str">
        <f>"14787"</f>
        <v>14787</v>
      </c>
      <c r="E21928">
        <v>68.64</v>
      </c>
    </row>
    <row r="21929" spans="1:5" x14ac:dyDescent="0.2">
      <c r="A21929">
        <v>14788</v>
      </c>
      <c r="B21929" t="s">
        <v>40</v>
      </c>
      <c r="C21929">
        <v>14788</v>
      </c>
      <c r="D21929" t="str">
        <f>"14788"</f>
        <v>14788</v>
      </c>
      <c r="E21929" t="s">
        <v>6</v>
      </c>
    </row>
    <row r="21930" spans="1:5" x14ac:dyDescent="0.2">
      <c r="A21930">
        <v>14801</v>
      </c>
      <c r="B21930" t="s">
        <v>40</v>
      </c>
      <c r="C21930">
        <v>14801</v>
      </c>
      <c r="D21930" t="str">
        <f>"14801"</f>
        <v>14801</v>
      </c>
      <c r="E21930">
        <v>68.47</v>
      </c>
    </row>
    <row r="21931" spans="1:5" x14ac:dyDescent="0.2">
      <c r="A21931">
        <v>14802</v>
      </c>
      <c r="B21931" t="s">
        <v>40</v>
      </c>
      <c r="C21931">
        <v>14802</v>
      </c>
      <c r="D21931" t="str">
        <f>"14802"</f>
        <v>14802</v>
      </c>
      <c r="E21931">
        <v>71.05</v>
      </c>
    </row>
    <row r="21932" spans="1:5" x14ac:dyDescent="0.2">
      <c r="A21932">
        <v>14803</v>
      </c>
      <c r="B21932" t="s">
        <v>40</v>
      </c>
      <c r="C21932">
        <v>14803</v>
      </c>
      <c r="D21932" t="str">
        <f>"14803"</f>
        <v>14803</v>
      </c>
      <c r="E21932">
        <v>74.069999999999993</v>
      </c>
    </row>
    <row r="21933" spans="1:5" x14ac:dyDescent="0.2">
      <c r="A21933">
        <v>14804</v>
      </c>
      <c r="B21933" t="s">
        <v>40</v>
      </c>
      <c r="C21933">
        <v>14804</v>
      </c>
      <c r="D21933" t="str">
        <f>"14804"</f>
        <v>14804</v>
      </c>
      <c r="E21933">
        <v>74.19</v>
      </c>
    </row>
    <row r="21934" spans="1:5" x14ac:dyDescent="0.2">
      <c r="A21934">
        <v>14805</v>
      </c>
      <c r="B21934" t="s">
        <v>40</v>
      </c>
      <c r="C21934">
        <v>14805</v>
      </c>
      <c r="D21934" t="str">
        <f>"14805"</f>
        <v>14805</v>
      </c>
      <c r="E21934">
        <v>72.55</v>
      </c>
    </row>
    <row r="21935" spans="1:5" x14ac:dyDescent="0.2">
      <c r="A21935">
        <v>14806</v>
      </c>
      <c r="B21935" t="s">
        <v>40</v>
      </c>
      <c r="C21935">
        <v>14806</v>
      </c>
      <c r="D21935" t="str">
        <f>"14806"</f>
        <v>14806</v>
      </c>
      <c r="E21935">
        <v>70.41</v>
      </c>
    </row>
    <row r="21936" spans="1:5" x14ac:dyDescent="0.2">
      <c r="A21936">
        <v>14807</v>
      </c>
      <c r="B21936" t="s">
        <v>40</v>
      </c>
      <c r="C21936">
        <v>14807</v>
      </c>
      <c r="D21936" t="str">
        <f>"14807"</f>
        <v>14807</v>
      </c>
      <c r="E21936">
        <v>75.739999999999995</v>
      </c>
    </row>
    <row r="21937" spans="1:5" x14ac:dyDescent="0.2">
      <c r="A21937">
        <v>14808</v>
      </c>
      <c r="B21937" t="s">
        <v>40</v>
      </c>
      <c r="C21937">
        <v>14808</v>
      </c>
      <c r="D21937" t="str">
        <f>"14808"</f>
        <v>14808</v>
      </c>
      <c r="E21937">
        <v>55.56</v>
      </c>
    </row>
    <row r="21938" spans="1:5" x14ac:dyDescent="0.2">
      <c r="A21938">
        <v>14809</v>
      </c>
      <c r="B21938" t="s">
        <v>40</v>
      </c>
      <c r="C21938">
        <v>14809</v>
      </c>
      <c r="D21938" t="str">
        <f>"14809"</f>
        <v>14809</v>
      </c>
      <c r="E21938">
        <v>70.37</v>
      </c>
    </row>
    <row r="21939" spans="1:5" x14ac:dyDescent="0.2">
      <c r="A21939">
        <v>14810</v>
      </c>
      <c r="B21939" t="s">
        <v>40</v>
      </c>
      <c r="C21939">
        <v>14810</v>
      </c>
      <c r="D21939" t="str">
        <f>"14810"</f>
        <v>14810</v>
      </c>
      <c r="E21939">
        <v>69.72</v>
      </c>
    </row>
    <row r="21940" spans="1:5" x14ac:dyDescent="0.2">
      <c r="A21940">
        <v>14812</v>
      </c>
      <c r="B21940" t="s">
        <v>40</v>
      </c>
      <c r="C21940">
        <v>14812</v>
      </c>
      <c r="D21940" t="str">
        <f>"14812"</f>
        <v>14812</v>
      </c>
      <c r="E21940">
        <v>70.95</v>
      </c>
    </row>
    <row r="21941" spans="1:5" x14ac:dyDescent="0.2">
      <c r="A21941">
        <v>14813</v>
      </c>
      <c r="B21941" t="s">
        <v>40</v>
      </c>
      <c r="C21941">
        <v>14813</v>
      </c>
      <c r="D21941" t="str">
        <f>"14813"</f>
        <v>14813</v>
      </c>
      <c r="E21941">
        <v>69.900000000000006</v>
      </c>
    </row>
    <row r="21942" spans="1:5" x14ac:dyDescent="0.2">
      <c r="A21942">
        <v>14814</v>
      </c>
      <c r="B21942" t="s">
        <v>40</v>
      </c>
      <c r="C21942">
        <v>14814</v>
      </c>
      <c r="D21942" t="str">
        <f>"14814"</f>
        <v>14814</v>
      </c>
      <c r="E21942">
        <v>79.41</v>
      </c>
    </row>
    <row r="21943" spans="1:5" x14ac:dyDescent="0.2">
      <c r="A21943">
        <v>14815</v>
      </c>
      <c r="B21943" t="s">
        <v>40</v>
      </c>
      <c r="C21943">
        <v>14815</v>
      </c>
      <c r="D21943" t="str">
        <f>"14815"</f>
        <v>14815</v>
      </c>
      <c r="E21943">
        <v>71.430000000000007</v>
      </c>
    </row>
    <row r="21944" spans="1:5" x14ac:dyDescent="0.2">
      <c r="A21944">
        <v>14816</v>
      </c>
      <c r="B21944" t="s">
        <v>40</v>
      </c>
      <c r="C21944">
        <v>14816</v>
      </c>
      <c r="D21944" t="str">
        <f>"14816"</f>
        <v>14816</v>
      </c>
      <c r="E21944">
        <v>69.7</v>
      </c>
    </row>
    <row r="21945" spans="1:5" x14ac:dyDescent="0.2">
      <c r="A21945">
        <v>14817</v>
      </c>
      <c r="B21945" t="s">
        <v>40</v>
      </c>
      <c r="C21945">
        <v>14817</v>
      </c>
      <c r="D21945" t="str">
        <f>"14817"</f>
        <v>14817</v>
      </c>
      <c r="E21945">
        <v>75.19</v>
      </c>
    </row>
    <row r="21946" spans="1:5" x14ac:dyDescent="0.2">
      <c r="A21946">
        <v>14818</v>
      </c>
      <c r="B21946" t="s">
        <v>40</v>
      </c>
      <c r="C21946">
        <v>14818</v>
      </c>
      <c r="D21946" t="str">
        <f>"14818"</f>
        <v>14818</v>
      </c>
      <c r="E21946">
        <v>74.44</v>
      </c>
    </row>
    <row r="21947" spans="1:5" x14ac:dyDescent="0.2">
      <c r="A21947">
        <v>14819</v>
      </c>
      <c r="B21947" t="s">
        <v>40</v>
      </c>
      <c r="C21947">
        <v>14819</v>
      </c>
      <c r="D21947" t="str">
        <f>"14819"</f>
        <v>14819</v>
      </c>
      <c r="E21947">
        <v>65.52</v>
      </c>
    </row>
    <row r="21948" spans="1:5" x14ac:dyDescent="0.2">
      <c r="A21948">
        <v>14820</v>
      </c>
      <c r="B21948" t="s">
        <v>40</v>
      </c>
      <c r="C21948">
        <v>14820</v>
      </c>
      <c r="D21948" t="str">
        <f>"14820"</f>
        <v>14820</v>
      </c>
      <c r="E21948">
        <v>74.069999999999993</v>
      </c>
    </row>
    <row r="21949" spans="1:5" x14ac:dyDescent="0.2">
      <c r="A21949">
        <v>14821</v>
      </c>
      <c r="B21949" t="s">
        <v>40</v>
      </c>
      <c r="C21949">
        <v>14821</v>
      </c>
      <c r="D21949" t="str">
        <f>"14821"</f>
        <v>14821</v>
      </c>
      <c r="E21949">
        <v>73.510000000000005</v>
      </c>
    </row>
    <row r="21950" spans="1:5" x14ac:dyDescent="0.2">
      <c r="A21950">
        <v>14822</v>
      </c>
      <c r="B21950" t="s">
        <v>40</v>
      </c>
      <c r="C21950">
        <v>14822</v>
      </c>
      <c r="D21950" t="str">
        <f>"14822"</f>
        <v>14822</v>
      </c>
      <c r="E21950">
        <v>72.34</v>
      </c>
    </row>
    <row r="21951" spans="1:5" x14ac:dyDescent="0.2">
      <c r="A21951">
        <v>14823</v>
      </c>
      <c r="B21951" t="s">
        <v>40</v>
      </c>
      <c r="C21951">
        <v>14823</v>
      </c>
      <c r="D21951" t="str">
        <f>"14823"</f>
        <v>14823</v>
      </c>
      <c r="E21951">
        <v>72.22</v>
      </c>
    </row>
    <row r="21952" spans="1:5" x14ac:dyDescent="0.2">
      <c r="A21952">
        <v>14824</v>
      </c>
      <c r="B21952" t="s">
        <v>40</v>
      </c>
      <c r="C21952">
        <v>14824</v>
      </c>
      <c r="D21952" t="str">
        <f>"14824"</f>
        <v>14824</v>
      </c>
      <c r="E21952">
        <v>75.760000000000005</v>
      </c>
    </row>
    <row r="21953" spans="1:5" x14ac:dyDescent="0.2">
      <c r="A21953">
        <v>14825</v>
      </c>
      <c r="B21953" t="s">
        <v>40</v>
      </c>
      <c r="C21953">
        <v>14825</v>
      </c>
      <c r="D21953" t="str">
        <f>"14825"</f>
        <v>14825</v>
      </c>
      <c r="E21953">
        <v>66.67</v>
      </c>
    </row>
    <row r="21954" spans="1:5" x14ac:dyDescent="0.2">
      <c r="A21954">
        <v>14826</v>
      </c>
      <c r="B21954" t="s">
        <v>40</v>
      </c>
      <c r="C21954">
        <v>14826</v>
      </c>
      <c r="D21954" t="str">
        <f>"14826"</f>
        <v>14826</v>
      </c>
      <c r="E21954">
        <v>71.91</v>
      </c>
    </row>
    <row r="21955" spans="1:5" x14ac:dyDescent="0.2">
      <c r="A21955">
        <v>14830</v>
      </c>
      <c r="B21955" t="s">
        <v>40</v>
      </c>
      <c r="C21955">
        <v>14830</v>
      </c>
      <c r="D21955" t="str">
        <f>"14830"</f>
        <v>14830</v>
      </c>
      <c r="E21955">
        <v>75.37</v>
      </c>
    </row>
    <row r="21956" spans="1:5" x14ac:dyDescent="0.2">
      <c r="A21956">
        <v>14831</v>
      </c>
      <c r="B21956" t="s">
        <v>40</v>
      </c>
      <c r="C21956">
        <v>14831</v>
      </c>
      <c r="D21956" t="str">
        <f>"14831"</f>
        <v>14831</v>
      </c>
      <c r="E21956" t="s">
        <v>6</v>
      </c>
    </row>
    <row r="21957" spans="1:5" x14ac:dyDescent="0.2">
      <c r="A21957">
        <v>14836</v>
      </c>
      <c r="B21957" t="s">
        <v>40</v>
      </c>
      <c r="C21957">
        <v>14836</v>
      </c>
      <c r="D21957" t="str">
        <f>"14836"</f>
        <v>14836</v>
      </c>
      <c r="E21957">
        <v>80</v>
      </c>
    </row>
    <row r="21958" spans="1:5" x14ac:dyDescent="0.2">
      <c r="A21958">
        <v>14837</v>
      </c>
      <c r="B21958" t="s">
        <v>40</v>
      </c>
      <c r="C21958">
        <v>14837</v>
      </c>
      <c r="D21958" t="str">
        <f>"14837"</f>
        <v>14837</v>
      </c>
      <c r="E21958">
        <v>66.36</v>
      </c>
    </row>
    <row r="21959" spans="1:5" x14ac:dyDescent="0.2">
      <c r="A21959">
        <v>14838</v>
      </c>
      <c r="B21959" t="s">
        <v>40</v>
      </c>
      <c r="C21959">
        <v>14838</v>
      </c>
      <c r="D21959" t="str">
        <f>"14838"</f>
        <v>14838</v>
      </c>
      <c r="E21959">
        <v>74.16</v>
      </c>
    </row>
    <row r="21960" spans="1:5" x14ac:dyDescent="0.2">
      <c r="A21960">
        <v>14839</v>
      </c>
      <c r="B21960" t="s">
        <v>40</v>
      </c>
      <c r="C21960">
        <v>14839</v>
      </c>
      <c r="D21960" t="str">
        <f>"14839"</f>
        <v>14839</v>
      </c>
      <c r="E21960">
        <v>66.67</v>
      </c>
    </row>
    <row r="21961" spans="1:5" x14ac:dyDescent="0.2">
      <c r="A21961">
        <v>14840</v>
      </c>
      <c r="B21961" t="s">
        <v>40</v>
      </c>
      <c r="C21961">
        <v>14840</v>
      </c>
      <c r="D21961" t="str">
        <f>"14840"</f>
        <v>14840</v>
      </c>
      <c r="E21961">
        <v>74</v>
      </c>
    </row>
    <row r="21962" spans="1:5" x14ac:dyDescent="0.2">
      <c r="A21962">
        <v>14841</v>
      </c>
      <c r="B21962" t="s">
        <v>40</v>
      </c>
      <c r="C21962">
        <v>14841</v>
      </c>
      <c r="D21962" t="str">
        <f>"14841"</f>
        <v>14841</v>
      </c>
      <c r="E21962">
        <v>76.739999999999995</v>
      </c>
    </row>
    <row r="21963" spans="1:5" x14ac:dyDescent="0.2">
      <c r="A21963">
        <v>14842</v>
      </c>
      <c r="B21963" t="s">
        <v>40</v>
      </c>
      <c r="C21963">
        <v>14842</v>
      </c>
      <c r="D21963" t="str">
        <f>"14842"</f>
        <v>14842</v>
      </c>
      <c r="E21963">
        <v>66.67</v>
      </c>
    </row>
    <row r="21964" spans="1:5" x14ac:dyDescent="0.2">
      <c r="A21964">
        <v>14843</v>
      </c>
      <c r="B21964" t="s">
        <v>40</v>
      </c>
      <c r="C21964">
        <v>14843</v>
      </c>
      <c r="D21964" t="str">
        <f>"14843"</f>
        <v>14843</v>
      </c>
      <c r="E21964">
        <v>69.5</v>
      </c>
    </row>
    <row r="21965" spans="1:5" x14ac:dyDescent="0.2">
      <c r="A21965">
        <v>14845</v>
      </c>
      <c r="B21965" t="s">
        <v>40</v>
      </c>
      <c r="C21965">
        <v>14845</v>
      </c>
      <c r="D21965" t="str">
        <f>"14845"</f>
        <v>14845</v>
      </c>
      <c r="E21965">
        <v>77.44</v>
      </c>
    </row>
    <row r="21966" spans="1:5" x14ac:dyDescent="0.2">
      <c r="A21966">
        <v>14846</v>
      </c>
      <c r="B21966" t="s">
        <v>40</v>
      </c>
      <c r="C21966">
        <v>14846</v>
      </c>
      <c r="D21966" t="str">
        <f>"14846"</f>
        <v>14846</v>
      </c>
      <c r="E21966">
        <v>73.33</v>
      </c>
    </row>
    <row r="21967" spans="1:5" x14ac:dyDescent="0.2">
      <c r="A21967">
        <v>14847</v>
      </c>
      <c r="B21967" t="s">
        <v>40</v>
      </c>
      <c r="C21967">
        <v>14847</v>
      </c>
      <c r="D21967" t="str">
        <f>"14847"</f>
        <v>14847</v>
      </c>
      <c r="E21967">
        <v>72.97</v>
      </c>
    </row>
    <row r="21968" spans="1:5" x14ac:dyDescent="0.2">
      <c r="A21968">
        <v>14850</v>
      </c>
      <c r="B21968" t="s">
        <v>40</v>
      </c>
      <c r="C21968">
        <v>14850</v>
      </c>
      <c r="D21968" t="str">
        <f>"14850"</f>
        <v>14850</v>
      </c>
      <c r="E21968">
        <v>77.540000000000006</v>
      </c>
    </row>
    <row r="21969" spans="1:5" x14ac:dyDescent="0.2">
      <c r="A21969">
        <v>14852</v>
      </c>
      <c r="B21969" t="s">
        <v>40</v>
      </c>
      <c r="C21969">
        <v>14852</v>
      </c>
      <c r="D21969" t="str">
        <f>"14852"</f>
        <v>14852</v>
      </c>
      <c r="E21969" t="s">
        <v>6</v>
      </c>
    </row>
    <row r="21970" spans="1:5" x14ac:dyDescent="0.2">
      <c r="A21970">
        <v>14853</v>
      </c>
      <c r="B21970" t="s">
        <v>40</v>
      </c>
      <c r="C21970">
        <v>14853</v>
      </c>
      <c r="D21970" t="str">
        <f>"14853"</f>
        <v>14853</v>
      </c>
      <c r="E21970">
        <v>50</v>
      </c>
    </row>
    <row r="21971" spans="1:5" x14ac:dyDescent="0.2">
      <c r="A21971">
        <v>14855</v>
      </c>
      <c r="B21971" t="s">
        <v>40</v>
      </c>
      <c r="C21971">
        <v>14855</v>
      </c>
      <c r="D21971" t="str">
        <f>"14855"</f>
        <v>14855</v>
      </c>
      <c r="E21971">
        <v>55.26</v>
      </c>
    </row>
    <row r="21972" spans="1:5" x14ac:dyDescent="0.2">
      <c r="A21972">
        <v>14858</v>
      </c>
      <c r="B21972" t="s">
        <v>40</v>
      </c>
      <c r="C21972">
        <v>14858</v>
      </c>
      <c r="D21972" t="str">
        <f>"14858"</f>
        <v>14858</v>
      </c>
      <c r="E21972">
        <v>73.61</v>
      </c>
    </row>
    <row r="21973" spans="1:5" x14ac:dyDescent="0.2">
      <c r="A21973">
        <v>14859</v>
      </c>
      <c r="B21973" t="s">
        <v>40</v>
      </c>
      <c r="C21973">
        <v>14859</v>
      </c>
      <c r="D21973" t="str">
        <f>"14859"</f>
        <v>14859</v>
      </c>
      <c r="E21973">
        <v>67.31</v>
      </c>
    </row>
    <row r="21974" spans="1:5" x14ac:dyDescent="0.2">
      <c r="A21974">
        <v>14860</v>
      </c>
      <c r="B21974" t="s">
        <v>40</v>
      </c>
      <c r="C21974">
        <v>14860</v>
      </c>
      <c r="D21974" t="str">
        <f>"14860"</f>
        <v>14860</v>
      </c>
      <c r="E21974">
        <v>71.430000000000007</v>
      </c>
    </row>
    <row r="21975" spans="1:5" x14ac:dyDescent="0.2">
      <c r="A21975">
        <v>14861</v>
      </c>
      <c r="B21975" t="s">
        <v>40</v>
      </c>
      <c r="C21975">
        <v>14861</v>
      </c>
      <c r="D21975" t="str">
        <f>"14861"</f>
        <v>14861</v>
      </c>
      <c r="E21975">
        <v>72.13</v>
      </c>
    </row>
    <row r="21976" spans="1:5" x14ac:dyDescent="0.2">
      <c r="A21976">
        <v>14864</v>
      </c>
      <c r="B21976" t="s">
        <v>40</v>
      </c>
      <c r="C21976">
        <v>14864</v>
      </c>
      <c r="D21976" t="str">
        <f>"14864"</f>
        <v>14864</v>
      </c>
      <c r="E21976">
        <v>66.67</v>
      </c>
    </row>
    <row r="21977" spans="1:5" x14ac:dyDescent="0.2">
      <c r="A21977">
        <v>14865</v>
      </c>
      <c r="B21977" t="s">
        <v>40</v>
      </c>
      <c r="C21977">
        <v>14865</v>
      </c>
      <c r="D21977" t="str">
        <f>"14865"</f>
        <v>14865</v>
      </c>
      <c r="E21977">
        <v>72.17</v>
      </c>
    </row>
    <row r="21978" spans="1:5" x14ac:dyDescent="0.2">
      <c r="A21978">
        <v>14867</v>
      </c>
      <c r="B21978" t="s">
        <v>40</v>
      </c>
      <c r="C21978">
        <v>14867</v>
      </c>
      <c r="D21978" t="str">
        <f>"14867"</f>
        <v>14867</v>
      </c>
      <c r="E21978">
        <v>72.959999999999994</v>
      </c>
    </row>
    <row r="21979" spans="1:5" x14ac:dyDescent="0.2">
      <c r="A21979">
        <v>14869</v>
      </c>
      <c r="B21979" t="s">
        <v>40</v>
      </c>
      <c r="C21979">
        <v>14869</v>
      </c>
      <c r="D21979" t="str">
        <f>"14869"</f>
        <v>14869</v>
      </c>
      <c r="E21979">
        <v>73.77</v>
      </c>
    </row>
    <row r="21980" spans="1:5" x14ac:dyDescent="0.2">
      <c r="A21980">
        <v>14870</v>
      </c>
      <c r="B21980" t="s">
        <v>40</v>
      </c>
      <c r="C21980">
        <v>14870</v>
      </c>
      <c r="D21980" t="str">
        <f>"14870"</f>
        <v>14870</v>
      </c>
      <c r="E21980">
        <v>78</v>
      </c>
    </row>
    <row r="21981" spans="1:5" x14ac:dyDescent="0.2">
      <c r="A21981">
        <v>14871</v>
      </c>
      <c r="B21981" t="s">
        <v>40</v>
      </c>
      <c r="C21981">
        <v>14871</v>
      </c>
      <c r="D21981" t="str">
        <f>"14871"</f>
        <v>14871</v>
      </c>
      <c r="E21981">
        <v>79.05</v>
      </c>
    </row>
    <row r="21982" spans="1:5" x14ac:dyDescent="0.2">
      <c r="A21982">
        <v>14872</v>
      </c>
      <c r="B21982" t="s">
        <v>40</v>
      </c>
      <c r="C21982">
        <v>14872</v>
      </c>
      <c r="D21982" t="str">
        <f>"14872"</f>
        <v>14872</v>
      </c>
      <c r="E21982">
        <v>64</v>
      </c>
    </row>
    <row r="21983" spans="1:5" x14ac:dyDescent="0.2">
      <c r="A21983">
        <v>14873</v>
      </c>
      <c r="B21983" t="s">
        <v>40</v>
      </c>
      <c r="C21983">
        <v>14873</v>
      </c>
      <c r="D21983" t="str">
        <f>"14873"</f>
        <v>14873</v>
      </c>
      <c r="E21983">
        <v>67.959999999999994</v>
      </c>
    </row>
    <row r="21984" spans="1:5" x14ac:dyDescent="0.2">
      <c r="A21984">
        <v>14874</v>
      </c>
      <c r="B21984" t="s">
        <v>40</v>
      </c>
      <c r="C21984">
        <v>14874</v>
      </c>
      <c r="D21984" t="str">
        <f>"14874"</f>
        <v>14874</v>
      </c>
      <c r="E21984">
        <v>63.64</v>
      </c>
    </row>
    <row r="21985" spans="1:5" x14ac:dyDescent="0.2">
      <c r="A21985">
        <v>14877</v>
      </c>
      <c r="B21985" t="s">
        <v>40</v>
      </c>
      <c r="C21985">
        <v>14877</v>
      </c>
      <c r="D21985" t="str">
        <f>"14877"</f>
        <v>14877</v>
      </c>
      <c r="E21985">
        <v>60</v>
      </c>
    </row>
    <row r="21986" spans="1:5" x14ac:dyDescent="0.2">
      <c r="A21986">
        <v>14878</v>
      </c>
      <c r="B21986" t="s">
        <v>40</v>
      </c>
      <c r="C21986">
        <v>14878</v>
      </c>
      <c r="D21986" t="str">
        <f>"14878"</f>
        <v>14878</v>
      </c>
      <c r="E21986">
        <v>61.29</v>
      </c>
    </row>
    <row r="21987" spans="1:5" x14ac:dyDescent="0.2">
      <c r="A21987">
        <v>14879</v>
      </c>
      <c r="B21987" t="s">
        <v>40</v>
      </c>
      <c r="C21987">
        <v>14879</v>
      </c>
      <c r="D21987" t="str">
        <f>"14879"</f>
        <v>14879</v>
      </c>
      <c r="E21987">
        <v>68.75</v>
      </c>
    </row>
    <row r="21988" spans="1:5" x14ac:dyDescent="0.2">
      <c r="A21988">
        <v>14880</v>
      </c>
      <c r="B21988" t="s">
        <v>40</v>
      </c>
      <c r="C21988">
        <v>14880</v>
      </c>
      <c r="D21988" t="str">
        <f>"14880"</f>
        <v>14880</v>
      </c>
      <c r="E21988">
        <v>70.150000000000006</v>
      </c>
    </row>
    <row r="21989" spans="1:5" x14ac:dyDescent="0.2">
      <c r="A21989">
        <v>14881</v>
      </c>
      <c r="B21989" t="s">
        <v>40</v>
      </c>
      <c r="C21989">
        <v>14881</v>
      </c>
      <c r="D21989" t="str">
        <f>"14881"</f>
        <v>14881</v>
      </c>
      <c r="E21989">
        <v>76.92</v>
      </c>
    </row>
    <row r="21990" spans="1:5" x14ac:dyDescent="0.2">
      <c r="A21990">
        <v>14882</v>
      </c>
      <c r="B21990" t="s">
        <v>40</v>
      </c>
      <c r="C21990">
        <v>14882</v>
      </c>
      <c r="D21990" t="str">
        <f>"14882"</f>
        <v>14882</v>
      </c>
      <c r="E21990">
        <v>77.599999999999994</v>
      </c>
    </row>
    <row r="21991" spans="1:5" x14ac:dyDescent="0.2">
      <c r="A21991">
        <v>14883</v>
      </c>
      <c r="B21991" t="s">
        <v>40</v>
      </c>
      <c r="C21991">
        <v>14883</v>
      </c>
      <c r="D21991" t="str">
        <f>"14883"</f>
        <v>14883</v>
      </c>
      <c r="E21991">
        <v>72.11</v>
      </c>
    </row>
    <row r="21992" spans="1:5" x14ac:dyDescent="0.2">
      <c r="A21992">
        <v>14884</v>
      </c>
      <c r="B21992" t="s">
        <v>40</v>
      </c>
      <c r="C21992">
        <v>14884</v>
      </c>
      <c r="D21992" t="str">
        <f>"14884"</f>
        <v>14884</v>
      </c>
      <c r="E21992">
        <v>70.59</v>
      </c>
    </row>
    <row r="21993" spans="1:5" x14ac:dyDescent="0.2">
      <c r="A21993">
        <v>14885</v>
      </c>
      <c r="B21993" t="s">
        <v>40</v>
      </c>
      <c r="C21993">
        <v>14885</v>
      </c>
      <c r="D21993" t="str">
        <f>"14885"</f>
        <v>14885</v>
      </c>
      <c r="E21993">
        <v>64.290000000000006</v>
      </c>
    </row>
    <row r="21994" spans="1:5" x14ac:dyDescent="0.2">
      <c r="A21994">
        <v>14886</v>
      </c>
      <c r="B21994" t="s">
        <v>40</v>
      </c>
      <c r="C21994">
        <v>14886</v>
      </c>
      <c r="D21994" t="str">
        <f>"14886"</f>
        <v>14886</v>
      </c>
      <c r="E21994">
        <v>76.2</v>
      </c>
    </row>
    <row r="21995" spans="1:5" x14ac:dyDescent="0.2">
      <c r="A21995">
        <v>14889</v>
      </c>
      <c r="B21995" t="s">
        <v>40</v>
      </c>
      <c r="C21995">
        <v>14889</v>
      </c>
      <c r="D21995" t="str">
        <f>"14889"</f>
        <v>14889</v>
      </c>
      <c r="E21995">
        <v>71.010000000000005</v>
      </c>
    </row>
    <row r="21996" spans="1:5" x14ac:dyDescent="0.2">
      <c r="A21996">
        <v>14891</v>
      </c>
      <c r="B21996" t="s">
        <v>40</v>
      </c>
      <c r="C21996">
        <v>14891</v>
      </c>
      <c r="D21996" t="str">
        <f>"14891"</f>
        <v>14891</v>
      </c>
      <c r="E21996">
        <v>71.010000000000005</v>
      </c>
    </row>
    <row r="21997" spans="1:5" x14ac:dyDescent="0.2">
      <c r="A21997">
        <v>14892</v>
      </c>
      <c r="B21997" t="s">
        <v>40</v>
      </c>
      <c r="C21997">
        <v>14892</v>
      </c>
      <c r="D21997" t="str">
        <f>"14892"</f>
        <v>14892</v>
      </c>
      <c r="E21997">
        <v>69.53</v>
      </c>
    </row>
    <row r="21998" spans="1:5" x14ac:dyDescent="0.2">
      <c r="A21998">
        <v>14893</v>
      </c>
      <c r="B21998" t="s">
        <v>40</v>
      </c>
      <c r="C21998">
        <v>14893</v>
      </c>
      <c r="D21998" t="str">
        <f>"14893"</f>
        <v>14893</v>
      </c>
      <c r="E21998" t="s">
        <v>6</v>
      </c>
    </row>
    <row r="21999" spans="1:5" x14ac:dyDescent="0.2">
      <c r="A21999">
        <v>14894</v>
      </c>
      <c r="B21999" t="s">
        <v>40</v>
      </c>
      <c r="C21999">
        <v>14894</v>
      </c>
      <c r="D21999" t="str">
        <f>"14894"</f>
        <v>14894</v>
      </c>
      <c r="E21999">
        <v>67.69</v>
      </c>
    </row>
    <row r="22000" spans="1:5" x14ac:dyDescent="0.2">
      <c r="A22000">
        <v>14895</v>
      </c>
      <c r="B22000" t="s">
        <v>40</v>
      </c>
      <c r="C22000">
        <v>14895</v>
      </c>
      <c r="D22000" t="str">
        <f>"14895"</f>
        <v>14895</v>
      </c>
      <c r="E22000">
        <v>69.27</v>
      </c>
    </row>
    <row r="22001" spans="1:5" x14ac:dyDescent="0.2">
      <c r="A22001">
        <v>14897</v>
      </c>
      <c r="B22001" t="s">
        <v>40</v>
      </c>
      <c r="C22001">
        <v>14897</v>
      </c>
      <c r="D22001" t="str">
        <f>"14897"</f>
        <v>14897</v>
      </c>
      <c r="E22001">
        <v>65.709999999999994</v>
      </c>
    </row>
    <row r="22002" spans="1:5" x14ac:dyDescent="0.2">
      <c r="A22002">
        <v>14898</v>
      </c>
      <c r="B22002" t="s">
        <v>40</v>
      </c>
      <c r="C22002">
        <v>14898</v>
      </c>
      <c r="D22002" t="str">
        <f>"14898"</f>
        <v>14898</v>
      </c>
      <c r="E22002">
        <v>65</v>
      </c>
    </row>
    <row r="22003" spans="1:5" x14ac:dyDescent="0.2">
      <c r="A22003">
        <v>14901</v>
      </c>
      <c r="B22003" t="s">
        <v>40</v>
      </c>
      <c r="C22003">
        <v>14901</v>
      </c>
      <c r="D22003" t="str">
        <f>"14901"</f>
        <v>14901</v>
      </c>
      <c r="E22003">
        <v>60.57</v>
      </c>
    </row>
    <row r="22004" spans="1:5" x14ac:dyDescent="0.2">
      <c r="A22004">
        <v>14903</v>
      </c>
      <c r="B22004" t="s">
        <v>40</v>
      </c>
      <c r="C22004">
        <v>14903</v>
      </c>
      <c r="D22004" t="str">
        <f>"14903"</f>
        <v>14903</v>
      </c>
      <c r="E22004">
        <v>73.2</v>
      </c>
    </row>
    <row r="22005" spans="1:5" x14ac:dyDescent="0.2">
      <c r="A22005">
        <v>14904</v>
      </c>
      <c r="B22005" t="s">
        <v>40</v>
      </c>
      <c r="C22005">
        <v>14904</v>
      </c>
      <c r="D22005" t="str">
        <f>"14904"</f>
        <v>14904</v>
      </c>
      <c r="E22005">
        <v>64.89</v>
      </c>
    </row>
    <row r="22006" spans="1:5" x14ac:dyDescent="0.2">
      <c r="A22006">
        <v>14905</v>
      </c>
      <c r="B22006" t="s">
        <v>40</v>
      </c>
      <c r="C22006">
        <v>14905</v>
      </c>
      <c r="D22006" t="str">
        <f>"14905"</f>
        <v>14905</v>
      </c>
      <c r="E22006">
        <v>75.59</v>
      </c>
    </row>
    <row r="22007" spans="1:5" x14ac:dyDescent="0.2">
      <c r="A22007">
        <v>43001</v>
      </c>
      <c r="B22007" t="s">
        <v>41</v>
      </c>
      <c r="C22007">
        <v>43001</v>
      </c>
      <c r="D22007" t="str">
        <f>"43001"</f>
        <v>43001</v>
      </c>
      <c r="E22007">
        <v>79.69</v>
      </c>
    </row>
    <row r="22008" spans="1:5" x14ac:dyDescent="0.2">
      <c r="A22008">
        <v>43003</v>
      </c>
      <c r="B22008" t="s">
        <v>41</v>
      </c>
      <c r="C22008">
        <v>43003</v>
      </c>
      <c r="D22008" t="str">
        <f>"43003"</f>
        <v>43003</v>
      </c>
      <c r="E22008">
        <v>71.849999999999994</v>
      </c>
    </row>
    <row r="22009" spans="1:5" x14ac:dyDescent="0.2">
      <c r="A22009">
        <v>43004</v>
      </c>
      <c r="B22009" t="s">
        <v>41</v>
      </c>
      <c r="C22009">
        <v>43004</v>
      </c>
      <c r="D22009" t="str">
        <f>"43004"</f>
        <v>43004</v>
      </c>
      <c r="E22009">
        <v>77.84</v>
      </c>
    </row>
    <row r="22010" spans="1:5" x14ac:dyDescent="0.2">
      <c r="A22010">
        <v>43005</v>
      </c>
      <c r="B22010" t="s">
        <v>41</v>
      </c>
      <c r="C22010">
        <v>43005</v>
      </c>
      <c r="D22010" t="str">
        <f>"43005"</f>
        <v>43005</v>
      </c>
      <c r="E22010" t="s">
        <v>6</v>
      </c>
    </row>
    <row r="22011" spans="1:5" x14ac:dyDescent="0.2">
      <c r="A22011">
        <v>43006</v>
      </c>
      <c r="B22011" t="s">
        <v>41</v>
      </c>
      <c r="C22011">
        <v>43006</v>
      </c>
      <c r="D22011" t="str">
        <f>"43006"</f>
        <v>43006</v>
      </c>
      <c r="E22011">
        <v>62.07</v>
      </c>
    </row>
    <row r="22012" spans="1:5" x14ac:dyDescent="0.2">
      <c r="A22012">
        <v>43007</v>
      </c>
      <c r="B22012" t="s">
        <v>41</v>
      </c>
      <c r="C22012">
        <v>43007</v>
      </c>
      <c r="D22012" t="str">
        <f>"43007"</f>
        <v>43007</v>
      </c>
      <c r="E22012" t="s">
        <v>6</v>
      </c>
    </row>
    <row r="22013" spans="1:5" x14ac:dyDescent="0.2">
      <c r="A22013">
        <v>43008</v>
      </c>
      <c r="B22013" t="s">
        <v>41</v>
      </c>
      <c r="C22013">
        <v>43008</v>
      </c>
      <c r="D22013" t="str">
        <f>"43008"</f>
        <v>43008</v>
      </c>
      <c r="E22013" t="s">
        <v>6</v>
      </c>
    </row>
    <row r="22014" spans="1:5" x14ac:dyDescent="0.2">
      <c r="A22014">
        <v>43009</v>
      </c>
      <c r="B22014" t="s">
        <v>41</v>
      </c>
      <c r="C22014">
        <v>43009</v>
      </c>
      <c r="D22014" t="str">
        <f>"43009"</f>
        <v>43009</v>
      </c>
      <c r="E22014">
        <v>76.34</v>
      </c>
    </row>
    <row r="22015" spans="1:5" x14ac:dyDescent="0.2">
      <c r="A22015">
        <v>43010</v>
      </c>
      <c r="B22015" t="s">
        <v>41</v>
      </c>
      <c r="C22015">
        <v>43010</v>
      </c>
      <c r="D22015" t="str">
        <f>"43010"</f>
        <v>43010</v>
      </c>
      <c r="E22015" t="s">
        <v>6</v>
      </c>
    </row>
    <row r="22016" spans="1:5" x14ac:dyDescent="0.2">
      <c r="A22016">
        <v>43011</v>
      </c>
      <c r="B22016" t="s">
        <v>41</v>
      </c>
      <c r="C22016">
        <v>43011</v>
      </c>
      <c r="D22016" t="str">
        <f>"43011"</f>
        <v>43011</v>
      </c>
      <c r="E22016">
        <v>76.540000000000006</v>
      </c>
    </row>
    <row r="22017" spans="1:5" x14ac:dyDescent="0.2">
      <c r="A22017">
        <v>43013</v>
      </c>
      <c r="B22017" t="s">
        <v>41</v>
      </c>
      <c r="C22017">
        <v>43013</v>
      </c>
      <c r="D22017" t="str">
        <f>"43013"</f>
        <v>43013</v>
      </c>
      <c r="E22017">
        <v>79.31</v>
      </c>
    </row>
    <row r="22018" spans="1:5" x14ac:dyDescent="0.2">
      <c r="A22018">
        <v>43014</v>
      </c>
      <c r="B22018" t="s">
        <v>41</v>
      </c>
      <c r="C22018">
        <v>43014</v>
      </c>
      <c r="D22018" t="str">
        <f>"43014"</f>
        <v>43014</v>
      </c>
      <c r="E22018">
        <v>68.209999999999994</v>
      </c>
    </row>
    <row r="22019" spans="1:5" x14ac:dyDescent="0.2">
      <c r="A22019">
        <v>43015</v>
      </c>
      <c r="B22019" t="s">
        <v>41</v>
      </c>
      <c r="C22019">
        <v>43015</v>
      </c>
      <c r="D22019" t="str">
        <f>"43015"</f>
        <v>43015</v>
      </c>
      <c r="E22019">
        <v>79.03</v>
      </c>
    </row>
    <row r="22020" spans="1:5" x14ac:dyDescent="0.2">
      <c r="A22020">
        <v>43016</v>
      </c>
      <c r="B22020" t="s">
        <v>41</v>
      </c>
      <c r="C22020">
        <v>43016</v>
      </c>
      <c r="D22020" t="str">
        <f>"43016"</f>
        <v>43016</v>
      </c>
      <c r="E22020">
        <v>84.36</v>
      </c>
    </row>
    <row r="22021" spans="1:5" x14ac:dyDescent="0.2">
      <c r="A22021">
        <v>43017</v>
      </c>
      <c r="B22021" t="s">
        <v>41</v>
      </c>
      <c r="C22021">
        <v>43017</v>
      </c>
      <c r="D22021" t="str">
        <f>"43017"</f>
        <v>43017</v>
      </c>
      <c r="E22021">
        <v>80.14</v>
      </c>
    </row>
    <row r="22022" spans="1:5" x14ac:dyDescent="0.2">
      <c r="A22022">
        <v>43018</v>
      </c>
      <c r="B22022" t="s">
        <v>41</v>
      </c>
      <c r="C22022">
        <v>43018</v>
      </c>
      <c r="D22022" t="str">
        <f>"43018"</f>
        <v>43018</v>
      </c>
      <c r="E22022" t="s">
        <v>6</v>
      </c>
    </row>
    <row r="22023" spans="1:5" x14ac:dyDescent="0.2">
      <c r="A22023">
        <v>43019</v>
      </c>
      <c r="B22023" t="s">
        <v>41</v>
      </c>
      <c r="C22023">
        <v>43019</v>
      </c>
      <c r="D22023" t="str">
        <f>"43019"</f>
        <v>43019</v>
      </c>
      <c r="E22023">
        <v>72.86</v>
      </c>
    </row>
    <row r="22024" spans="1:5" x14ac:dyDescent="0.2">
      <c r="A22024">
        <v>43021</v>
      </c>
      <c r="B22024" t="s">
        <v>41</v>
      </c>
      <c r="C22024">
        <v>43021</v>
      </c>
      <c r="D22024" t="str">
        <f>"43021"</f>
        <v>43021</v>
      </c>
      <c r="E22024">
        <v>83.79</v>
      </c>
    </row>
    <row r="22025" spans="1:5" x14ac:dyDescent="0.2">
      <c r="A22025">
        <v>43022</v>
      </c>
      <c r="B22025" t="s">
        <v>41</v>
      </c>
      <c r="C22025">
        <v>43022</v>
      </c>
      <c r="D22025" t="str">
        <f>"43022"</f>
        <v>43022</v>
      </c>
      <c r="E22025">
        <v>76.069999999999993</v>
      </c>
    </row>
    <row r="22026" spans="1:5" x14ac:dyDescent="0.2">
      <c r="A22026">
        <v>43023</v>
      </c>
      <c r="B22026" t="s">
        <v>41</v>
      </c>
      <c r="C22026">
        <v>43023</v>
      </c>
      <c r="D22026" t="str">
        <f>"43023"</f>
        <v>43023</v>
      </c>
      <c r="E22026">
        <v>82.17</v>
      </c>
    </row>
    <row r="22027" spans="1:5" x14ac:dyDescent="0.2">
      <c r="A22027">
        <v>43025</v>
      </c>
      <c r="B22027" t="s">
        <v>41</v>
      </c>
      <c r="C22027">
        <v>43025</v>
      </c>
      <c r="D22027" t="str">
        <f>"43025"</f>
        <v>43025</v>
      </c>
      <c r="E22027">
        <v>77.930000000000007</v>
      </c>
    </row>
    <row r="22028" spans="1:5" x14ac:dyDescent="0.2">
      <c r="A22028">
        <v>43026</v>
      </c>
      <c r="B22028" t="s">
        <v>41</v>
      </c>
      <c r="C22028">
        <v>43026</v>
      </c>
      <c r="D22028" t="str">
        <f>"43026"</f>
        <v>43026</v>
      </c>
      <c r="E22028">
        <v>79.87</v>
      </c>
    </row>
    <row r="22029" spans="1:5" x14ac:dyDescent="0.2">
      <c r="A22029">
        <v>43027</v>
      </c>
      <c r="B22029" t="s">
        <v>41</v>
      </c>
      <c r="C22029">
        <v>43027</v>
      </c>
      <c r="D22029" t="str">
        <f>"43027"</f>
        <v>43027</v>
      </c>
      <c r="E22029" t="s">
        <v>6</v>
      </c>
    </row>
    <row r="22030" spans="1:5" x14ac:dyDescent="0.2">
      <c r="A22030">
        <v>43028</v>
      </c>
      <c r="B22030" t="s">
        <v>41</v>
      </c>
      <c r="C22030">
        <v>43028</v>
      </c>
      <c r="D22030" t="str">
        <f>"43028"</f>
        <v>43028</v>
      </c>
      <c r="E22030">
        <v>75.069999999999993</v>
      </c>
    </row>
    <row r="22031" spans="1:5" x14ac:dyDescent="0.2">
      <c r="A22031">
        <v>43029</v>
      </c>
      <c r="B22031" t="s">
        <v>41</v>
      </c>
      <c r="C22031">
        <v>43029</v>
      </c>
      <c r="D22031" t="str">
        <f>"43029"</f>
        <v>43029</v>
      </c>
      <c r="E22031">
        <v>76.92</v>
      </c>
    </row>
    <row r="22032" spans="1:5" x14ac:dyDescent="0.2">
      <c r="A22032">
        <v>43030</v>
      </c>
      <c r="B22032" t="s">
        <v>41</v>
      </c>
      <c r="C22032">
        <v>43030</v>
      </c>
      <c r="D22032" t="str">
        <f>"43030"</f>
        <v>43030</v>
      </c>
      <c r="E22032" t="s">
        <v>6</v>
      </c>
    </row>
    <row r="22033" spans="1:5" x14ac:dyDescent="0.2">
      <c r="A22033">
        <v>43031</v>
      </c>
      <c r="B22033" t="s">
        <v>41</v>
      </c>
      <c r="C22033">
        <v>43031</v>
      </c>
      <c r="D22033" t="str">
        <f>"43031"</f>
        <v>43031</v>
      </c>
      <c r="E22033">
        <v>79.91</v>
      </c>
    </row>
    <row r="22034" spans="1:5" x14ac:dyDescent="0.2">
      <c r="A22034">
        <v>43033</v>
      </c>
      <c r="B22034" t="s">
        <v>41</v>
      </c>
      <c r="C22034">
        <v>43033</v>
      </c>
      <c r="D22034" t="str">
        <f>"43033"</f>
        <v>43033</v>
      </c>
      <c r="E22034" t="s">
        <v>6</v>
      </c>
    </row>
    <row r="22035" spans="1:5" x14ac:dyDescent="0.2">
      <c r="A22035">
        <v>43035</v>
      </c>
      <c r="B22035" t="s">
        <v>41</v>
      </c>
      <c r="C22035">
        <v>43035</v>
      </c>
      <c r="D22035" t="str">
        <f>"43035"</f>
        <v>43035</v>
      </c>
      <c r="E22035">
        <v>82.42</v>
      </c>
    </row>
    <row r="22036" spans="1:5" x14ac:dyDescent="0.2">
      <c r="A22036">
        <v>43036</v>
      </c>
      <c r="B22036" t="s">
        <v>41</v>
      </c>
      <c r="C22036">
        <v>43036</v>
      </c>
      <c r="D22036" t="str">
        <f>"43036"</f>
        <v>43036</v>
      </c>
      <c r="E22036" t="s">
        <v>6</v>
      </c>
    </row>
    <row r="22037" spans="1:5" x14ac:dyDescent="0.2">
      <c r="A22037">
        <v>43037</v>
      </c>
      <c r="B22037" t="s">
        <v>41</v>
      </c>
      <c r="C22037">
        <v>43037</v>
      </c>
      <c r="D22037" t="str">
        <f>"43037"</f>
        <v>43037</v>
      </c>
      <c r="E22037">
        <v>66.67</v>
      </c>
    </row>
    <row r="22038" spans="1:5" x14ac:dyDescent="0.2">
      <c r="A22038">
        <v>43040</v>
      </c>
      <c r="B22038" t="s">
        <v>41</v>
      </c>
      <c r="C22038">
        <v>43040</v>
      </c>
      <c r="D22038" t="str">
        <f>"43040"</f>
        <v>43040</v>
      </c>
      <c r="E22038">
        <v>80.33</v>
      </c>
    </row>
    <row r="22039" spans="1:5" x14ac:dyDescent="0.2">
      <c r="A22039">
        <v>43044</v>
      </c>
      <c r="B22039" t="s">
        <v>41</v>
      </c>
      <c r="C22039">
        <v>43044</v>
      </c>
      <c r="D22039" t="str">
        <f>"43044"</f>
        <v>43044</v>
      </c>
      <c r="E22039">
        <v>76.28</v>
      </c>
    </row>
    <row r="22040" spans="1:5" x14ac:dyDescent="0.2">
      <c r="A22040">
        <v>43045</v>
      </c>
      <c r="B22040" t="s">
        <v>41</v>
      </c>
      <c r="C22040">
        <v>43045</v>
      </c>
      <c r="D22040" t="str">
        <f>"43045"</f>
        <v>43045</v>
      </c>
      <c r="E22040">
        <v>79.569999999999993</v>
      </c>
    </row>
    <row r="22041" spans="1:5" x14ac:dyDescent="0.2">
      <c r="A22041">
        <v>43046</v>
      </c>
      <c r="B22041" t="s">
        <v>41</v>
      </c>
      <c r="C22041">
        <v>43046</v>
      </c>
      <c r="D22041" t="str">
        <f>"43046"</f>
        <v>43046</v>
      </c>
      <c r="E22041">
        <v>79.38</v>
      </c>
    </row>
    <row r="22042" spans="1:5" x14ac:dyDescent="0.2">
      <c r="A22042">
        <v>43047</v>
      </c>
      <c r="B22042" t="s">
        <v>41</v>
      </c>
      <c r="C22042">
        <v>43047</v>
      </c>
      <c r="D22042" t="str">
        <f>"43047"</f>
        <v>43047</v>
      </c>
      <c r="E22042" t="s">
        <v>6</v>
      </c>
    </row>
    <row r="22043" spans="1:5" x14ac:dyDescent="0.2">
      <c r="A22043">
        <v>43048</v>
      </c>
      <c r="B22043" t="s">
        <v>41</v>
      </c>
      <c r="C22043">
        <v>43048</v>
      </c>
      <c r="D22043" t="str">
        <f>"43048"</f>
        <v>43048</v>
      </c>
      <c r="E22043" t="s">
        <v>6</v>
      </c>
    </row>
    <row r="22044" spans="1:5" x14ac:dyDescent="0.2">
      <c r="A22044">
        <v>43050</v>
      </c>
      <c r="B22044" t="s">
        <v>41</v>
      </c>
      <c r="C22044">
        <v>43050</v>
      </c>
      <c r="D22044" t="str">
        <f>"43050"</f>
        <v>43050</v>
      </c>
      <c r="E22044">
        <v>71.599999999999994</v>
      </c>
    </row>
    <row r="22045" spans="1:5" x14ac:dyDescent="0.2">
      <c r="A22045">
        <v>43054</v>
      </c>
      <c r="B22045" t="s">
        <v>41</v>
      </c>
      <c r="C22045">
        <v>43054</v>
      </c>
      <c r="D22045" t="str">
        <f>"43054"</f>
        <v>43054</v>
      </c>
      <c r="E22045">
        <v>85.05</v>
      </c>
    </row>
    <row r="22046" spans="1:5" x14ac:dyDescent="0.2">
      <c r="A22046">
        <v>43055</v>
      </c>
      <c r="B22046" t="s">
        <v>41</v>
      </c>
      <c r="C22046">
        <v>43055</v>
      </c>
      <c r="D22046" t="str">
        <f>"43055"</f>
        <v>43055</v>
      </c>
      <c r="E22046">
        <v>70.540000000000006</v>
      </c>
    </row>
    <row r="22047" spans="1:5" x14ac:dyDescent="0.2">
      <c r="A22047">
        <v>43056</v>
      </c>
      <c r="B22047" t="s">
        <v>41</v>
      </c>
      <c r="C22047">
        <v>43056</v>
      </c>
      <c r="D22047" t="str">
        <f>"43056"</f>
        <v>43056</v>
      </c>
      <c r="E22047">
        <v>75.569999999999993</v>
      </c>
    </row>
    <row r="22048" spans="1:5" x14ac:dyDescent="0.2">
      <c r="A22048">
        <v>43060</v>
      </c>
      <c r="B22048" t="s">
        <v>41</v>
      </c>
      <c r="C22048">
        <v>43060</v>
      </c>
      <c r="D22048" t="str">
        <f>"43060"</f>
        <v>43060</v>
      </c>
      <c r="E22048">
        <v>74.8</v>
      </c>
    </row>
    <row r="22049" spans="1:5" x14ac:dyDescent="0.2">
      <c r="A22049">
        <v>43061</v>
      </c>
      <c r="B22049" t="s">
        <v>41</v>
      </c>
      <c r="C22049">
        <v>43061</v>
      </c>
      <c r="D22049" t="str">
        <f>"43061"</f>
        <v>43061</v>
      </c>
      <c r="E22049">
        <v>82.95</v>
      </c>
    </row>
    <row r="22050" spans="1:5" x14ac:dyDescent="0.2">
      <c r="A22050">
        <v>43062</v>
      </c>
      <c r="B22050" t="s">
        <v>41</v>
      </c>
      <c r="C22050">
        <v>43062</v>
      </c>
      <c r="D22050" t="str">
        <f>"43062"</f>
        <v>43062</v>
      </c>
      <c r="E22050">
        <v>78.52</v>
      </c>
    </row>
    <row r="22051" spans="1:5" x14ac:dyDescent="0.2">
      <c r="A22051">
        <v>43064</v>
      </c>
      <c r="B22051" t="s">
        <v>41</v>
      </c>
      <c r="C22051">
        <v>43064</v>
      </c>
      <c r="D22051" t="str">
        <f>"43064"</f>
        <v>43064</v>
      </c>
      <c r="E22051">
        <v>80.14</v>
      </c>
    </row>
    <row r="22052" spans="1:5" x14ac:dyDescent="0.2">
      <c r="A22052">
        <v>43065</v>
      </c>
      <c r="B22052" t="s">
        <v>41</v>
      </c>
      <c r="C22052">
        <v>43065</v>
      </c>
      <c r="D22052" t="str">
        <f>"43065"</f>
        <v>43065</v>
      </c>
      <c r="E22052">
        <v>82.74</v>
      </c>
    </row>
    <row r="22053" spans="1:5" x14ac:dyDescent="0.2">
      <c r="A22053">
        <v>43066</v>
      </c>
      <c r="B22053" t="s">
        <v>41</v>
      </c>
      <c r="C22053">
        <v>43066</v>
      </c>
      <c r="D22053" t="str">
        <f>"43066"</f>
        <v>43066</v>
      </c>
      <c r="E22053">
        <v>79.69</v>
      </c>
    </row>
    <row r="22054" spans="1:5" x14ac:dyDescent="0.2">
      <c r="A22054">
        <v>43067</v>
      </c>
      <c r="B22054" t="s">
        <v>41</v>
      </c>
      <c r="C22054">
        <v>43067</v>
      </c>
      <c r="D22054" t="str">
        <f>"43067"</f>
        <v>43067</v>
      </c>
      <c r="E22054">
        <v>77.5</v>
      </c>
    </row>
    <row r="22055" spans="1:5" x14ac:dyDescent="0.2">
      <c r="A22055">
        <v>43068</v>
      </c>
      <c r="B22055" t="s">
        <v>41</v>
      </c>
      <c r="C22055">
        <v>43068</v>
      </c>
      <c r="D22055" t="str">
        <f>"43068"</f>
        <v>43068</v>
      </c>
      <c r="E22055">
        <v>70.48</v>
      </c>
    </row>
    <row r="22056" spans="1:5" x14ac:dyDescent="0.2">
      <c r="A22056">
        <v>43070</v>
      </c>
      <c r="B22056" t="s">
        <v>41</v>
      </c>
      <c r="C22056">
        <v>43070</v>
      </c>
      <c r="D22056" t="str">
        <f>"43070"</f>
        <v>43070</v>
      </c>
      <c r="E22056" t="s">
        <v>6</v>
      </c>
    </row>
    <row r="22057" spans="1:5" x14ac:dyDescent="0.2">
      <c r="A22057">
        <v>43071</v>
      </c>
      <c r="B22057" t="s">
        <v>41</v>
      </c>
      <c r="C22057">
        <v>43071</v>
      </c>
      <c r="D22057" t="str">
        <f>"43071"</f>
        <v>43071</v>
      </c>
      <c r="E22057">
        <v>74.11</v>
      </c>
    </row>
    <row r="22058" spans="1:5" x14ac:dyDescent="0.2">
      <c r="A22058">
        <v>43072</v>
      </c>
      <c r="B22058" t="s">
        <v>41</v>
      </c>
      <c r="C22058">
        <v>43072</v>
      </c>
      <c r="D22058" t="str">
        <f>"43072"</f>
        <v>43072</v>
      </c>
      <c r="E22058">
        <v>75.95</v>
      </c>
    </row>
    <row r="22059" spans="1:5" x14ac:dyDescent="0.2">
      <c r="A22059">
        <v>43074</v>
      </c>
      <c r="B22059" t="s">
        <v>41</v>
      </c>
      <c r="C22059">
        <v>43074</v>
      </c>
      <c r="D22059" t="str">
        <f>"43074"</f>
        <v>43074</v>
      </c>
      <c r="E22059">
        <v>80.209999999999994</v>
      </c>
    </row>
    <row r="22060" spans="1:5" x14ac:dyDescent="0.2">
      <c r="A22060">
        <v>43076</v>
      </c>
      <c r="B22060" t="s">
        <v>41</v>
      </c>
      <c r="C22060">
        <v>43076</v>
      </c>
      <c r="D22060" t="str">
        <f>"43076"</f>
        <v>43076</v>
      </c>
      <c r="E22060">
        <v>77.25</v>
      </c>
    </row>
    <row r="22061" spans="1:5" x14ac:dyDescent="0.2">
      <c r="A22061">
        <v>43077</v>
      </c>
      <c r="B22061" t="s">
        <v>41</v>
      </c>
      <c r="C22061">
        <v>43077</v>
      </c>
      <c r="D22061" t="str">
        <f>"43077"</f>
        <v>43077</v>
      </c>
      <c r="E22061" t="s">
        <v>6</v>
      </c>
    </row>
    <row r="22062" spans="1:5" x14ac:dyDescent="0.2">
      <c r="A22062">
        <v>43078</v>
      </c>
      <c r="B22062" t="s">
        <v>41</v>
      </c>
      <c r="C22062">
        <v>43078</v>
      </c>
      <c r="D22062" t="str">
        <f>"43078"</f>
        <v>43078</v>
      </c>
      <c r="E22062">
        <v>73.650000000000006</v>
      </c>
    </row>
    <row r="22063" spans="1:5" x14ac:dyDescent="0.2">
      <c r="A22063">
        <v>43080</v>
      </c>
      <c r="B22063" t="s">
        <v>41</v>
      </c>
      <c r="C22063">
        <v>43080</v>
      </c>
      <c r="D22063" t="str">
        <f>"43080"</f>
        <v>43080</v>
      </c>
      <c r="E22063">
        <v>72.87</v>
      </c>
    </row>
    <row r="22064" spans="1:5" x14ac:dyDescent="0.2">
      <c r="A22064">
        <v>43081</v>
      </c>
      <c r="B22064" t="s">
        <v>41</v>
      </c>
      <c r="C22064">
        <v>43081</v>
      </c>
      <c r="D22064" t="str">
        <f>"43081"</f>
        <v>43081</v>
      </c>
      <c r="E22064">
        <v>80.67</v>
      </c>
    </row>
    <row r="22065" spans="1:5" x14ac:dyDescent="0.2">
      <c r="A22065">
        <v>43082</v>
      </c>
      <c r="B22065" t="s">
        <v>41</v>
      </c>
      <c r="C22065">
        <v>43082</v>
      </c>
      <c r="D22065" t="str">
        <f>"43082"</f>
        <v>43082</v>
      </c>
      <c r="E22065">
        <v>82.78</v>
      </c>
    </row>
    <row r="22066" spans="1:5" x14ac:dyDescent="0.2">
      <c r="A22066">
        <v>43084</v>
      </c>
      <c r="B22066" t="s">
        <v>41</v>
      </c>
      <c r="C22066">
        <v>43084</v>
      </c>
      <c r="D22066" t="str">
        <f>"43084"</f>
        <v>43084</v>
      </c>
      <c r="E22066">
        <v>77.5</v>
      </c>
    </row>
    <row r="22067" spans="1:5" x14ac:dyDescent="0.2">
      <c r="A22067">
        <v>43085</v>
      </c>
      <c r="B22067" t="s">
        <v>41</v>
      </c>
      <c r="C22067">
        <v>43085</v>
      </c>
      <c r="D22067" t="str">
        <f>"43085"</f>
        <v>43085</v>
      </c>
      <c r="E22067">
        <v>81.67</v>
      </c>
    </row>
    <row r="22068" spans="1:5" x14ac:dyDescent="0.2">
      <c r="A22068">
        <v>43101</v>
      </c>
      <c r="B22068" t="s">
        <v>41</v>
      </c>
      <c r="C22068">
        <v>43101</v>
      </c>
      <c r="D22068" t="str">
        <f>"43101"</f>
        <v>43101</v>
      </c>
      <c r="E22068" t="s">
        <v>6</v>
      </c>
    </row>
    <row r="22069" spans="1:5" x14ac:dyDescent="0.2">
      <c r="A22069">
        <v>43102</v>
      </c>
      <c r="B22069" t="s">
        <v>41</v>
      </c>
      <c r="C22069">
        <v>43102</v>
      </c>
      <c r="D22069" t="str">
        <f>"43102"</f>
        <v>43102</v>
      </c>
      <c r="E22069">
        <v>76.17</v>
      </c>
    </row>
    <row r="22070" spans="1:5" x14ac:dyDescent="0.2">
      <c r="A22070">
        <v>43103</v>
      </c>
      <c r="B22070" t="s">
        <v>41</v>
      </c>
      <c r="C22070">
        <v>43103</v>
      </c>
      <c r="D22070" t="str">
        <f>"43103"</f>
        <v>43103</v>
      </c>
      <c r="E22070">
        <v>76.66</v>
      </c>
    </row>
    <row r="22071" spans="1:5" x14ac:dyDescent="0.2">
      <c r="A22071">
        <v>43105</v>
      </c>
      <c r="B22071" t="s">
        <v>41</v>
      </c>
      <c r="C22071">
        <v>43105</v>
      </c>
      <c r="D22071" t="str">
        <f>"43105"</f>
        <v>43105</v>
      </c>
      <c r="E22071">
        <v>80</v>
      </c>
    </row>
    <row r="22072" spans="1:5" x14ac:dyDescent="0.2">
      <c r="A22072">
        <v>43106</v>
      </c>
      <c r="B22072" t="s">
        <v>41</v>
      </c>
      <c r="C22072">
        <v>43106</v>
      </c>
      <c r="D22072" t="str">
        <f>"43106"</f>
        <v>43106</v>
      </c>
      <c r="E22072">
        <v>70.83</v>
      </c>
    </row>
    <row r="22073" spans="1:5" x14ac:dyDescent="0.2">
      <c r="A22073">
        <v>43107</v>
      </c>
      <c r="B22073" t="s">
        <v>41</v>
      </c>
      <c r="C22073">
        <v>43107</v>
      </c>
      <c r="D22073" t="str">
        <f>"43107"</f>
        <v>43107</v>
      </c>
      <c r="E22073">
        <v>72.11</v>
      </c>
    </row>
    <row r="22074" spans="1:5" x14ac:dyDescent="0.2">
      <c r="A22074">
        <v>43109</v>
      </c>
      <c r="B22074" t="s">
        <v>41</v>
      </c>
      <c r="C22074">
        <v>43109</v>
      </c>
      <c r="D22074" t="str">
        <f>"43109"</f>
        <v>43109</v>
      </c>
      <c r="E22074" t="s">
        <v>6</v>
      </c>
    </row>
    <row r="22075" spans="1:5" x14ac:dyDescent="0.2">
      <c r="A22075">
        <v>43110</v>
      </c>
      <c r="B22075" t="s">
        <v>41</v>
      </c>
      <c r="C22075">
        <v>43110</v>
      </c>
      <c r="D22075" t="str">
        <f>"43110"</f>
        <v>43110</v>
      </c>
      <c r="E22075">
        <v>74.45</v>
      </c>
    </row>
    <row r="22076" spans="1:5" x14ac:dyDescent="0.2">
      <c r="A22076">
        <v>43111</v>
      </c>
      <c r="B22076" t="s">
        <v>41</v>
      </c>
      <c r="C22076">
        <v>43111</v>
      </c>
      <c r="D22076" t="str">
        <f>"43111"</f>
        <v>43111</v>
      </c>
      <c r="E22076" t="s">
        <v>6</v>
      </c>
    </row>
    <row r="22077" spans="1:5" x14ac:dyDescent="0.2">
      <c r="A22077">
        <v>43112</v>
      </c>
      <c r="B22077" t="s">
        <v>41</v>
      </c>
      <c r="C22077">
        <v>43112</v>
      </c>
      <c r="D22077" t="str">
        <f>"43112"</f>
        <v>43112</v>
      </c>
      <c r="E22077">
        <v>79.34</v>
      </c>
    </row>
    <row r="22078" spans="1:5" x14ac:dyDescent="0.2">
      <c r="A22078">
        <v>43113</v>
      </c>
      <c r="B22078" t="s">
        <v>41</v>
      </c>
      <c r="C22078">
        <v>43113</v>
      </c>
      <c r="D22078" t="str">
        <f>"43113"</f>
        <v>43113</v>
      </c>
      <c r="E22078">
        <v>73.88</v>
      </c>
    </row>
    <row r="22079" spans="1:5" x14ac:dyDescent="0.2">
      <c r="A22079">
        <v>43115</v>
      </c>
      <c r="B22079" t="s">
        <v>41</v>
      </c>
      <c r="C22079">
        <v>43115</v>
      </c>
      <c r="D22079" t="str">
        <f>"43115"</f>
        <v>43115</v>
      </c>
      <c r="E22079">
        <v>73.209999999999994</v>
      </c>
    </row>
    <row r="22080" spans="1:5" x14ac:dyDescent="0.2">
      <c r="A22080">
        <v>43116</v>
      </c>
      <c r="B22080" t="s">
        <v>41</v>
      </c>
      <c r="C22080">
        <v>43116</v>
      </c>
      <c r="D22080" t="str">
        <f>"43116"</f>
        <v>43116</v>
      </c>
      <c r="E22080">
        <v>83.64</v>
      </c>
    </row>
    <row r="22081" spans="1:5" x14ac:dyDescent="0.2">
      <c r="A22081">
        <v>43119</v>
      </c>
      <c r="B22081" t="s">
        <v>41</v>
      </c>
      <c r="C22081">
        <v>43119</v>
      </c>
      <c r="D22081" t="str">
        <f>"43119"</f>
        <v>43119</v>
      </c>
      <c r="E22081">
        <v>75.66</v>
      </c>
    </row>
    <row r="22082" spans="1:5" x14ac:dyDescent="0.2">
      <c r="A22082">
        <v>43123</v>
      </c>
      <c r="B22082" t="s">
        <v>41</v>
      </c>
      <c r="C22082">
        <v>43123</v>
      </c>
      <c r="D22082" t="str">
        <f>"43123"</f>
        <v>43123</v>
      </c>
      <c r="E22082">
        <v>78.61</v>
      </c>
    </row>
    <row r="22083" spans="1:5" x14ac:dyDescent="0.2">
      <c r="A22083">
        <v>43125</v>
      </c>
      <c r="B22083" t="s">
        <v>41</v>
      </c>
      <c r="C22083">
        <v>43125</v>
      </c>
      <c r="D22083" t="str">
        <f>"43125"</f>
        <v>43125</v>
      </c>
      <c r="E22083">
        <v>77.760000000000005</v>
      </c>
    </row>
    <row r="22084" spans="1:5" x14ac:dyDescent="0.2">
      <c r="A22084">
        <v>43126</v>
      </c>
      <c r="B22084" t="s">
        <v>41</v>
      </c>
      <c r="C22084">
        <v>43126</v>
      </c>
      <c r="D22084" t="str">
        <f>"43126"</f>
        <v>43126</v>
      </c>
      <c r="E22084" t="s">
        <v>6</v>
      </c>
    </row>
    <row r="22085" spans="1:5" x14ac:dyDescent="0.2">
      <c r="A22085">
        <v>43127</v>
      </c>
      <c r="B22085" t="s">
        <v>41</v>
      </c>
      <c r="C22085">
        <v>43127</v>
      </c>
      <c r="D22085" t="str">
        <f>"43127"</f>
        <v>43127</v>
      </c>
      <c r="E22085" t="s">
        <v>6</v>
      </c>
    </row>
    <row r="22086" spans="1:5" x14ac:dyDescent="0.2">
      <c r="A22086">
        <v>43128</v>
      </c>
      <c r="B22086" t="s">
        <v>41</v>
      </c>
      <c r="C22086">
        <v>43128</v>
      </c>
      <c r="D22086" t="str">
        <f>"43128"</f>
        <v>43128</v>
      </c>
      <c r="E22086">
        <v>66.97</v>
      </c>
    </row>
    <row r="22087" spans="1:5" x14ac:dyDescent="0.2">
      <c r="A22087">
        <v>43130</v>
      </c>
      <c r="B22087" t="s">
        <v>41</v>
      </c>
      <c r="C22087">
        <v>43130</v>
      </c>
      <c r="D22087" t="str">
        <f>"43130"</f>
        <v>43130</v>
      </c>
      <c r="E22087">
        <v>71.77</v>
      </c>
    </row>
    <row r="22088" spans="1:5" x14ac:dyDescent="0.2">
      <c r="A22088">
        <v>43135</v>
      </c>
      <c r="B22088" t="s">
        <v>41</v>
      </c>
      <c r="C22088">
        <v>43135</v>
      </c>
      <c r="D22088" t="str">
        <f>"43135"</f>
        <v>43135</v>
      </c>
      <c r="E22088">
        <v>72.19</v>
      </c>
    </row>
    <row r="22089" spans="1:5" x14ac:dyDescent="0.2">
      <c r="A22089">
        <v>43136</v>
      </c>
      <c r="B22089" t="s">
        <v>41</v>
      </c>
      <c r="C22089">
        <v>43136</v>
      </c>
      <c r="D22089" t="str">
        <f>"43136"</f>
        <v>43136</v>
      </c>
      <c r="E22089">
        <v>83.13</v>
      </c>
    </row>
    <row r="22090" spans="1:5" x14ac:dyDescent="0.2">
      <c r="A22090">
        <v>43137</v>
      </c>
      <c r="B22090" t="s">
        <v>41</v>
      </c>
      <c r="C22090">
        <v>43137</v>
      </c>
      <c r="D22090" t="str">
        <f>"43137"</f>
        <v>43137</v>
      </c>
      <c r="E22090">
        <v>75.63</v>
      </c>
    </row>
    <row r="22091" spans="1:5" x14ac:dyDescent="0.2">
      <c r="A22091">
        <v>43138</v>
      </c>
      <c r="B22091" t="s">
        <v>41</v>
      </c>
      <c r="C22091">
        <v>43138</v>
      </c>
      <c r="D22091" t="str">
        <f>"43138"</f>
        <v>43138</v>
      </c>
      <c r="E22091">
        <v>69.459999999999994</v>
      </c>
    </row>
    <row r="22092" spans="1:5" x14ac:dyDescent="0.2">
      <c r="A22092">
        <v>43140</v>
      </c>
      <c r="B22092" t="s">
        <v>41</v>
      </c>
      <c r="C22092">
        <v>43140</v>
      </c>
      <c r="D22092" t="str">
        <f>"43140"</f>
        <v>43140</v>
      </c>
      <c r="E22092">
        <v>75.63</v>
      </c>
    </row>
    <row r="22093" spans="1:5" x14ac:dyDescent="0.2">
      <c r="A22093">
        <v>43142</v>
      </c>
      <c r="B22093" t="s">
        <v>41</v>
      </c>
      <c r="C22093">
        <v>43142</v>
      </c>
      <c r="D22093" t="str">
        <f>"43142"</f>
        <v>43142</v>
      </c>
      <c r="E22093" t="s">
        <v>6</v>
      </c>
    </row>
    <row r="22094" spans="1:5" x14ac:dyDescent="0.2">
      <c r="A22094">
        <v>43143</v>
      </c>
      <c r="B22094" t="s">
        <v>41</v>
      </c>
      <c r="C22094">
        <v>43143</v>
      </c>
      <c r="D22094" t="str">
        <f>"43143"</f>
        <v>43143</v>
      </c>
      <c r="E22094">
        <v>74.819999999999993</v>
      </c>
    </row>
    <row r="22095" spans="1:5" x14ac:dyDescent="0.2">
      <c r="A22095">
        <v>43144</v>
      </c>
      <c r="B22095" t="s">
        <v>41</v>
      </c>
      <c r="C22095">
        <v>43144</v>
      </c>
      <c r="D22095" t="str">
        <f>"43144"</f>
        <v>43144</v>
      </c>
      <c r="E22095" t="s">
        <v>6</v>
      </c>
    </row>
    <row r="22096" spans="1:5" x14ac:dyDescent="0.2">
      <c r="A22096">
        <v>43145</v>
      </c>
      <c r="B22096" t="s">
        <v>41</v>
      </c>
      <c r="C22096">
        <v>43145</v>
      </c>
      <c r="D22096" t="str">
        <f>"43145"</f>
        <v>43145</v>
      </c>
      <c r="E22096">
        <v>72.09</v>
      </c>
    </row>
    <row r="22097" spans="1:5" x14ac:dyDescent="0.2">
      <c r="A22097">
        <v>43146</v>
      </c>
      <c r="B22097" t="s">
        <v>41</v>
      </c>
      <c r="C22097">
        <v>43146</v>
      </c>
      <c r="D22097" t="str">
        <f>"43146"</f>
        <v>43146</v>
      </c>
      <c r="E22097">
        <v>80.86</v>
      </c>
    </row>
    <row r="22098" spans="1:5" x14ac:dyDescent="0.2">
      <c r="A22098">
        <v>43147</v>
      </c>
      <c r="B22098" t="s">
        <v>41</v>
      </c>
      <c r="C22098">
        <v>43147</v>
      </c>
      <c r="D22098" t="str">
        <f>"43147"</f>
        <v>43147</v>
      </c>
      <c r="E22098">
        <v>79.739999999999995</v>
      </c>
    </row>
    <row r="22099" spans="1:5" x14ac:dyDescent="0.2">
      <c r="A22099">
        <v>43148</v>
      </c>
      <c r="B22099" t="s">
        <v>41</v>
      </c>
      <c r="C22099">
        <v>43148</v>
      </c>
      <c r="D22099" t="str">
        <f>"43148"</f>
        <v>43148</v>
      </c>
      <c r="E22099">
        <v>75.489999999999995</v>
      </c>
    </row>
    <row r="22100" spans="1:5" x14ac:dyDescent="0.2">
      <c r="A22100">
        <v>43149</v>
      </c>
      <c r="B22100" t="s">
        <v>41</v>
      </c>
      <c r="C22100">
        <v>43149</v>
      </c>
      <c r="D22100" t="str">
        <f>"43149"</f>
        <v>43149</v>
      </c>
      <c r="E22100">
        <v>73.680000000000007</v>
      </c>
    </row>
    <row r="22101" spans="1:5" x14ac:dyDescent="0.2">
      <c r="A22101">
        <v>43150</v>
      </c>
      <c r="B22101" t="s">
        <v>41</v>
      </c>
      <c r="C22101">
        <v>43150</v>
      </c>
      <c r="D22101" t="str">
        <f>"43150"</f>
        <v>43150</v>
      </c>
      <c r="E22101">
        <v>71.7</v>
      </c>
    </row>
    <row r="22102" spans="1:5" x14ac:dyDescent="0.2">
      <c r="A22102">
        <v>43151</v>
      </c>
      <c r="B22102" t="s">
        <v>41</v>
      </c>
      <c r="C22102">
        <v>43151</v>
      </c>
      <c r="D22102" t="str">
        <f>"43151"</f>
        <v>43151</v>
      </c>
      <c r="E22102" t="s">
        <v>6</v>
      </c>
    </row>
    <row r="22103" spans="1:5" x14ac:dyDescent="0.2">
      <c r="A22103">
        <v>43152</v>
      </c>
      <c r="B22103" t="s">
        <v>41</v>
      </c>
      <c r="C22103">
        <v>43152</v>
      </c>
      <c r="D22103" t="str">
        <f>"43152"</f>
        <v>43152</v>
      </c>
      <c r="E22103">
        <v>67.5</v>
      </c>
    </row>
    <row r="22104" spans="1:5" x14ac:dyDescent="0.2">
      <c r="A22104">
        <v>43153</v>
      </c>
      <c r="B22104" t="s">
        <v>41</v>
      </c>
      <c r="C22104">
        <v>43153</v>
      </c>
      <c r="D22104" t="str">
        <f>"43153"</f>
        <v>43153</v>
      </c>
      <c r="E22104">
        <v>69.77</v>
      </c>
    </row>
    <row r="22105" spans="1:5" x14ac:dyDescent="0.2">
      <c r="A22105">
        <v>43154</v>
      </c>
      <c r="B22105" t="s">
        <v>41</v>
      </c>
      <c r="C22105">
        <v>43154</v>
      </c>
      <c r="D22105" t="str">
        <f>"43154"</f>
        <v>43154</v>
      </c>
      <c r="E22105">
        <v>75.84</v>
      </c>
    </row>
    <row r="22106" spans="1:5" x14ac:dyDescent="0.2">
      <c r="A22106">
        <v>43155</v>
      </c>
      <c r="B22106" t="s">
        <v>41</v>
      </c>
      <c r="C22106">
        <v>43155</v>
      </c>
      <c r="D22106" t="str">
        <f>"43155"</f>
        <v>43155</v>
      </c>
      <c r="E22106">
        <v>77.97</v>
      </c>
    </row>
    <row r="22107" spans="1:5" x14ac:dyDescent="0.2">
      <c r="A22107">
        <v>43156</v>
      </c>
      <c r="B22107" t="s">
        <v>41</v>
      </c>
      <c r="C22107">
        <v>43156</v>
      </c>
      <c r="D22107" t="str">
        <f>"43156"</f>
        <v>43156</v>
      </c>
      <c r="E22107" t="s">
        <v>6</v>
      </c>
    </row>
    <row r="22108" spans="1:5" x14ac:dyDescent="0.2">
      <c r="A22108">
        <v>43157</v>
      </c>
      <c r="B22108" t="s">
        <v>41</v>
      </c>
      <c r="C22108">
        <v>43157</v>
      </c>
      <c r="D22108" t="str">
        <f>"43157"</f>
        <v>43157</v>
      </c>
      <c r="E22108" t="s">
        <v>6</v>
      </c>
    </row>
    <row r="22109" spans="1:5" x14ac:dyDescent="0.2">
      <c r="A22109">
        <v>43158</v>
      </c>
      <c r="B22109" t="s">
        <v>41</v>
      </c>
      <c r="C22109">
        <v>43158</v>
      </c>
      <c r="D22109" t="str">
        <f>"43158"</f>
        <v>43158</v>
      </c>
      <c r="E22109" t="s">
        <v>6</v>
      </c>
    </row>
    <row r="22110" spans="1:5" x14ac:dyDescent="0.2">
      <c r="A22110">
        <v>43160</v>
      </c>
      <c r="B22110" t="s">
        <v>41</v>
      </c>
      <c r="C22110">
        <v>43160</v>
      </c>
      <c r="D22110" t="str">
        <f>"43160"</f>
        <v>43160</v>
      </c>
      <c r="E22110">
        <v>68.97</v>
      </c>
    </row>
    <row r="22111" spans="1:5" x14ac:dyDescent="0.2">
      <c r="A22111">
        <v>43162</v>
      </c>
      <c r="B22111" t="s">
        <v>41</v>
      </c>
      <c r="C22111">
        <v>43162</v>
      </c>
      <c r="D22111" t="str">
        <f>"43162"</f>
        <v>43162</v>
      </c>
      <c r="E22111">
        <v>77.430000000000007</v>
      </c>
    </row>
    <row r="22112" spans="1:5" x14ac:dyDescent="0.2">
      <c r="A22112">
        <v>43164</v>
      </c>
      <c r="B22112" t="s">
        <v>41</v>
      </c>
      <c r="C22112">
        <v>43164</v>
      </c>
      <c r="D22112" t="str">
        <f>"43164"</f>
        <v>43164</v>
      </c>
      <c r="E22112">
        <v>73.58</v>
      </c>
    </row>
    <row r="22113" spans="1:5" x14ac:dyDescent="0.2">
      <c r="A22113">
        <v>43201</v>
      </c>
      <c r="B22113" t="s">
        <v>41</v>
      </c>
      <c r="C22113">
        <v>43201</v>
      </c>
      <c r="D22113" t="str">
        <f>"43201"</f>
        <v>43201</v>
      </c>
      <c r="E22113">
        <v>71.22</v>
      </c>
    </row>
    <row r="22114" spans="1:5" x14ac:dyDescent="0.2">
      <c r="A22114">
        <v>43202</v>
      </c>
      <c r="B22114" t="s">
        <v>41</v>
      </c>
      <c r="C22114">
        <v>43202</v>
      </c>
      <c r="D22114" t="str">
        <f>"43202"</f>
        <v>43202</v>
      </c>
      <c r="E22114">
        <v>79.77</v>
      </c>
    </row>
    <row r="22115" spans="1:5" x14ac:dyDescent="0.2">
      <c r="A22115">
        <v>43203</v>
      </c>
      <c r="B22115" t="s">
        <v>41</v>
      </c>
      <c r="C22115">
        <v>43203</v>
      </c>
      <c r="D22115" t="str">
        <f>"43203"</f>
        <v>43203</v>
      </c>
      <c r="E22115">
        <v>56.58</v>
      </c>
    </row>
    <row r="22116" spans="1:5" x14ac:dyDescent="0.2">
      <c r="A22116">
        <v>43204</v>
      </c>
      <c r="B22116" t="s">
        <v>41</v>
      </c>
      <c r="C22116">
        <v>43204</v>
      </c>
      <c r="D22116" t="str">
        <f>"43204"</f>
        <v>43204</v>
      </c>
      <c r="E22116">
        <v>64.599999999999994</v>
      </c>
    </row>
    <row r="22117" spans="1:5" x14ac:dyDescent="0.2">
      <c r="A22117">
        <v>43205</v>
      </c>
      <c r="B22117" t="s">
        <v>41</v>
      </c>
      <c r="C22117">
        <v>43205</v>
      </c>
      <c r="D22117" t="str">
        <f>"43205"</f>
        <v>43205</v>
      </c>
      <c r="E22117">
        <v>63.81</v>
      </c>
    </row>
    <row r="22118" spans="1:5" x14ac:dyDescent="0.2">
      <c r="A22118">
        <v>43206</v>
      </c>
      <c r="B22118" t="s">
        <v>41</v>
      </c>
      <c r="C22118">
        <v>43206</v>
      </c>
      <c r="D22118" t="str">
        <f>"43206"</f>
        <v>43206</v>
      </c>
      <c r="E22118">
        <v>71.53</v>
      </c>
    </row>
    <row r="22119" spans="1:5" x14ac:dyDescent="0.2">
      <c r="A22119">
        <v>43207</v>
      </c>
      <c r="B22119" t="s">
        <v>41</v>
      </c>
      <c r="C22119">
        <v>43207</v>
      </c>
      <c r="D22119" t="str">
        <f>"43207"</f>
        <v>43207</v>
      </c>
      <c r="E22119">
        <v>64.959999999999994</v>
      </c>
    </row>
    <row r="22120" spans="1:5" x14ac:dyDescent="0.2">
      <c r="A22120">
        <v>43209</v>
      </c>
      <c r="B22120" t="s">
        <v>41</v>
      </c>
      <c r="C22120">
        <v>43209</v>
      </c>
      <c r="D22120" t="str">
        <f>"43209"</f>
        <v>43209</v>
      </c>
      <c r="E22120">
        <v>77.06</v>
      </c>
    </row>
    <row r="22121" spans="1:5" x14ac:dyDescent="0.2">
      <c r="A22121">
        <v>43210</v>
      </c>
      <c r="B22121" t="s">
        <v>41</v>
      </c>
      <c r="C22121">
        <v>43210</v>
      </c>
      <c r="D22121" t="str">
        <f>"43210"</f>
        <v>43210</v>
      </c>
      <c r="E22121">
        <v>45.45</v>
      </c>
    </row>
    <row r="22122" spans="1:5" x14ac:dyDescent="0.2">
      <c r="A22122">
        <v>43211</v>
      </c>
      <c r="B22122" t="s">
        <v>41</v>
      </c>
      <c r="C22122">
        <v>43211</v>
      </c>
      <c r="D22122" t="str">
        <f>"43211"</f>
        <v>43211</v>
      </c>
      <c r="E22122">
        <v>44.77</v>
      </c>
    </row>
    <row r="22123" spans="1:5" x14ac:dyDescent="0.2">
      <c r="A22123">
        <v>43212</v>
      </c>
      <c r="B22123" t="s">
        <v>41</v>
      </c>
      <c r="C22123">
        <v>43212</v>
      </c>
      <c r="D22123" t="str">
        <f>"43212"</f>
        <v>43212</v>
      </c>
      <c r="E22123">
        <v>87.43</v>
      </c>
    </row>
    <row r="22124" spans="1:5" x14ac:dyDescent="0.2">
      <c r="A22124">
        <v>43213</v>
      </c>
      <c r="B22124" t="s">
        <v>41</v>
      </c>
      <c r="C22124">
        <v>43213</v>
      </c>
      <c r="D22124" t="str">
        <f>"43213"</f>
        <v>43213</v>
      </c>
      <c r="E22124">
        <v>63.02</v>
      </c>
    </row>
    <row r="22125" spans="1:5" x14ac:dyDescent="0.2">
      <c r="A22125">
        <v>43214</v>
      </c>
      <c r="B22125" t="s">
        <v>41</v>
      </c>
      <c r="C22125">
        <v>43214</v>
      </c>
      <c r="D22125" t="str">
        <f>"43214"</f>
        <v>43214</v>
      </c>
      <c r="E22125">
        <v>84.38</v>
      </c>
    </row>
    <row r="22126" spans="1:5" x14ac:dyDescent="0.2">
      <c r="A22126">
        <v>43215</v>
      </c>
      <c r="B22126" t="s">
        <v>41</v>
      </c>
      <c r="C22126">
        <v>43215</v>
      </c>
      <c r="D22126" t="str">
        <f>"43215"</f>
        <v>43215</v>
      </c>
      <c r="E22126">
        <v>87.9</v>
      </c>
    </row>
    <row r="22127" spans="1:5" x14ac:dyDescent="0.2">
      <c r="A22127">
        <v>43217</v>
      </c>
      <c r="B22127" t="s">
        <v>41</v>
      </c>
      <c r="C22127">
        <v>43217</v>
      </c>
      <c r="D22127" t="str">
        <f>"43217"</f>
        <v>43217</v>
      </c>
      <c r="E22127">
        <v>58.1</v>
      </c>
    </row>
    <row r="22128" spans="1:5" x14ac:dyDescent="0.2">
      <c r="A22128">
        <v>43219</v>
      </c>
      <c r="B22128" t="s">
        <v>41</v>
      </c>
      <c r="C22128">
        <v>43219</v>
      </c>
      <c r="D22128" t="str">
        <f>"43219"</f>
        <v>43219</v>
      </c>
      <c r="E22128">
        <v>58.25</v>
      </c>
    </row>
    <row r="22129" spans="1:5" x14ac:dyDescent="0.2">
      <c r="A22129">
        <v>43220</v>
      </c>
      <c r="B22129" t="s">
        <v>41</v>
      </c>
      <c r="C22129">
        <v>43220</v>
      </c>
      <c r="D22129" t="str">
        <f>"43220"</f>
        <v>43220</v>
      </c>
      <c r="E22129">
        <v>80.77</v>
      </c>
    </row>
    <row r="22130" spans="1:5" x14ac:dyDescent="0.2">
      <c r="A22130">
        <v>43221</v>
      </c>
      <c r="B22130" t="s">
        <v>41</v>
      </c>
      <c r="C22130">
        <v>43221</v>
      </c>
      <c r="D22130" t="str">
        <f>"43221"</f>
        <v>43221</v>
      </c>
      <c r="E22130">
        <v>84.22</v>
      </c>
    </row>
    <row r="22131" spans="1:5" x14ac:dyDescent="0.2">
      <c r="A22131">
        <v>43222</v>
      </c>
      <c r="B22131" t="s">
        <v>41</v>
      </c>
      <c r="C22131">
        <v>43222</v>
      </c>
      <c r="D22131" t="str">
        <f>"43222"</f>
        <v>43222</v>
      </c>
      <c r="E22131">
        <v>46.1</v>
      </c>
    </row>
    <row r="22132" spans="1:5" x14ac:dyDescent="0.2">
      <c r="A22132">
        <v>43223</v>
      </c>
      <c r="B22132" t="s">
        <v>41</v>
      </c>
      <c r="C22132">
        <v>43223</v>
      </c>
      <c r="D22132" t="str">
        <f>"43223"</f>
        <v>43223</v>
      </c>
      <c r="E22132">
        <v>55</v>
      </c>
    </row>
    <row r="22133" spans="1:5" x14ac:dyDescent="0.2">
      <c r="A22133">
        <v>43224</v>
      </c>
      <c r="B22133" t="s">
        <v>41</v>
      </c>
      <c r="C22133">
        <v>43224</v>
      </c>
      <c r="D22133" t="str">
        <f>"43224"</f>
        <v>43224</v>
      </c>
      <c r="E22133">
        <v>58.57</v>
      </c>
    </row>
    <row r="22134" spans="1:5" x14ac:dyDescent="0.2">
      <c r="A22134">
        <v>43227</v>
      </c>
      <c r="B22134" t="s">
        <v>41</v>
      </c>
      <c r="C22134">
        <v>43227</v>
      </c>
      <c r="D22134" t="str">
        <f>"43227"</f>
        <v>43227</v>
      </c>
      <c r="E22134">
        <v>57.08</v>
      </c>
    </row>
    <row r="22135" spans="1:5" x14ac:dyDescent="0.2">
      <c r="A22135">
        <v>43228</v>
      </c>
      <c r="B22135" t="s">
        <v>41</v>
      </c>
      <c r="C22135">
        <v>43228</v>
      </c>
      <c r="D22135" t="str">
        <f>"43228"</f>
        <v>43228</v>
      </c>
      <c r="E22135">
        <v>65.900000000000006</v>
      </c>
    </row>
    <row r="22136" spans="1:5" x14ac:dyDescent="0.2">
      <c r="A22136">
        <v>43229</v>
      </c>
      <c r="B22136" t="s">
        <v>41</v>
      </c>
      <c r="C22136">
        <v>43229</v>
      </c>
      <c r="D22136" t="str">
        <f>"43229"</f>
        <v>43229</v>
      </c>
      <c r="E22136">
        <v>62.16</v>
      </c>
    </row>
    <row r="22137" spans="1:5" x14ac:dyDescent="0.2">
      <c r="A22137">
        <v>43230</v>
      </c>
      <c r="B22137" t="s">
        <v>41</v>
      </c>
      <c r="C22137">
        <v>43230</v>
      </c>
      <c r="D22137" t="str">
        <f>"43230"</f>
        <v>43230</v>
      </c>
      <c r="E22137">
        <v>80.28</v>
      </c>
    </row>
    <row r="22138" spans="1:5" x14ac:dyDescent="0.2">
      <c r="A22138">
        <v>43231</v>
      </c>
      <c r="B22138" t="s">
        <v>41</v>
      </c>
      <c r="C22138">
        <v>43231</v>
      </c>
      <c r="D22138" t="str">
        <f>"43231"</f>
        <v>43231</v>
      </c>
      <c r="E22138">
        <v>64.89</v>
      </c>
    </row>
    <row r="22139" spans="1:5" x14ac:dyDescent="0.2">
      <c r="A22139">
        <v>43232</v>
      </c>
      <c r="B22139" t="s">
        <v>41</v>
      </c>
      <c r="C22139">
        <v>43232</v>
      </c>
      <c r="D22139" t="str">
        <f>"43232"</f>
        <v>43232</v>
      </c>
      <c r="E22139">
        <v>59.62</v>
      </c>
    </row>
    <row r="22140" spans="1:5" x14ac:dyDescent="0.2">
      <c r="A22140">
        <v>43235</v>
      </c>
      <c r="B22140" t="s">
        <v>41</v>
      </c>
      <c r="C22140">
        <v>43235</v>
      </c>
      <c r="D22140" t="str">
        <f>"43235"</f>
        <v>43235</v>
      </c>
      <c r="E22140">
        <v>80.790000000000006</v>
      </c>
    </row>
    <row r="22141" spans="1:5" x14ac:dyDescent="0.2">
      <c r="A22141">
        <v>43240</v>
      </c>
      <c r="B22141" t="s">
        <v>41</v>
      </c>
      <c r="C22141">
        <v>43240</v>
      </c>
      <c r="D22141" t="str">
        <f>"43240"</f>
        <v>43240</v>
      </c>
      <c r="E22141">
        <v>86.34</v>
      </c>
    </row>
    <row r="22142" spans="1:5" x14ac:dyDescent="0.2">
      <c r="A22142">
        <v>43302</v>
      </c>
      <c r="B22142" t="s">
        <v>41</v>
      </c>
      <c r="C22142">
        <v>43302</v>
      </c>
      <c r="D22142" t="str">
        <f>"43302"</f>
        <v>43302</v>
      </c>
      <c r="E22142">
        <v>68.48</v>
      </c>
    </row>
    <row r="22143" spans="1:5" x14ac:dyDescent="0.2">
      <c r="A22143">
        <v>43310</v>
      </c>
      <c r="B22143" t="s">
        <v>41</v>
      </c>
      <c r="C22143">
        <v>43310</v>
      </c>
      <c r="D22143" t="str">
        <f>"43310"</f>
        <v>43310</v>
      </c>
      <c r="E22143">
        <v>76.25</v>
      </c>
    </row>
    <row r="22144" spans="1:5" x14ac:dyDescent="0.2">
      <c r="A22144">
        <v>43311</v>
      </c>
      <c r="B22144" t="s">
        <v>41</v>
      </c>
      <c r="C22144">
        <v>43311</v>
      </c>
      <c r="D22144" t="str">
        <f>"43311"</f>
        <v>43311</v>
      </c>
      <c r="E22144">
        <v>73.63</v>
      </c>
    </row>
    <row r="22145" spans="1:5" x14ac:dyDescent="0.2">
      <c r="A22145">
        <v>43314</v>
      </c>
      <c r="B22145" t="s">
        <v>41</v>
      </c>
      <c r="C22145">
        <v>43314</v>
      </c>
      <c r="D22145" t="str">
        <f>"43314"</f>
        <v>43314</v>
      </c>
      <c r="E22145">
        <v>76.06</v>
      </c>
    </row>
    <row r="22146" spans="1:5" x14ac:dyDescent="0.2">
      <c r="A22146">
        <v>43315</v>
      </c>
      <c r="B22146" t="s">
        <v>41</v>
      </c>
      <c r="C22146">
        <v>43315</v>
      </c>
      <c r="D22146" t="str">
        <f>"43315"</f>
        <v>43315</v>
      </c>
      <c r="E22146">
        <v>74.39</v>
      </c>
    </row>
    <row r="22147" spans="1:5" x14ac:dyDescent="0.2">
      <c r="A22147">
        <v>43316</v>
      </c>
      <c r="B22147" t="s">
        <v>41</v>
      </c>
      <c r="C22147">
        <v>43316</v>
      </c>
      <c r="D22147" t="str">
        <f>"43316"</f>
        <v>43316</v>
      </c>
      <c r="E22147">
        <v>77.209999999999994</v>
      </c>
    </row>
    <row r="22148" spans="1:5" x14ac:dyDescent="0.2">
      <c r="A22148">
        <v>43317</v>
      </c>
      <c r="B22148" t="s">
        <v>41</v>
      </c>
      <c r="C22148">
        <v>43317</v>
      </c>
      <c r="D22148" t="str">
        <f>"43317"</f>
        <v>43317</v>
      </c>
      <c r="E22148" t="s">
        <v>6</v>
      </c>
    </row>
    <row r="22149" spans="1:5" x14ac:dyDescent="0.2">
      <c r="A22149">
        <v>43318</v>
      </c>
      <c r="B22149" t="s">
        <v>41</v>
      </c>
      <c r="C22149">
        <v>43318</v>
      </c>
      <c r="D22149" t="str">
        <f>"43318"</f>
        <v>43318</v>
      </c>
      <c r="E22149">
        <v>74.38</v>
      </c>
    </row>
    <row r="22150" spans="1:5" x14ac:dyDescent="0.2">
      <c r="A22150">
        <v>43319</v>
      </c>
      <c r="B22150" t="s">
        <v>41</v>
      </c>
      <c r="C22150">
        <v>43319</v>
      </c>
      <c r="D22150" t="str">
        <f>"43319"</f>
        <v>43319</v>
      </c>
      <c r="E22150">
        <v>83.93</v>
      </c>
    </row>
    <row r="22151" spans="1:5" x14ac:dyDescent="0.2">
      <c r="A22151">
        <v>43320</v>
      </c>
      <c r="B22151" t="s">
        <v>41</v>
      </c>
      <c r="C22151">
        <v>43320</v>
      </c>
      <c r="D22151" t="str">
        <f>"43320"</f>
        <v>43320</v>
      </c>
      <c r="E22151">
        <v>72.06</v>
      </c>
    </row>
    <row r="22152" spans="1:5" x14ac:dyDescent="0.2">
      <c r="A22152">
        <v>43321</v>
      </c>
      <c r="B22152" t="s">
        <v>41</v>
      </c>
      <c r="C22152">
        <v>43321</v>
      </c>
      <c r="D22152" t="str">
        <f>"43321"</f>
        <v>43321</v>
      </c>
      <c r="E22152">
        <v>66.67</v>
      </c>
    </row>
    <row r="22153" spans="1:5" x14ac:dyDescent="0.2">
      <c r="A22153">
        <v>43322</v>
      </c>
      <c r="B22153" t="s">
        <v>41</v>
      </c>
      <c r="C22153">
        <v>43322</v>
      </c>
      <c r="D22153" t="str">
        <f>"43322"</f>
        <v>43322</v>
      </c>
      <c r="E22153" t="s">
        <v>6</v>
      </c>
    </row>
    <row r="22154" spans="1:5" x14ac:dyDescent="0.2">
      <c r="A22154">
        <v>43323</v>
      </c>
      <c r="B22154" t="s">
        <v>41</v>
      </c>
      <c r="C22154">
        <v>43323</v>
      </c>
      <c r="D22154" t="str">
        <f>"43323"</f>
        <v>43323</v>
      </c>
      <c r="E22154">
        <v>74.19</v>
      </c>
    </row>
    <row r="22155" spans="1:5" x14ac:dyDescent="0.2">
      <c r="A22155">
        <v>43324</v>
      </c>
      <c r="B22155" t="s">
        <v>41</v>
      </c>
      <c r="C22155">
        <v>43324</v>
      </c>
      <c r="D22155" t="str">
        <f>"43324"</f>
        <v>43324</v>
      </c>
      <c r="E22155">
        <v>79.86</v>
      </c>
    </row>
    <row r="22156" spans="1:5" x14ac:dyDescent="0.2">
      <c r="A22156">
        <v>43325</v>
      </c>
      <c r="B22156" t="s">
        <v>41</v>
      </c>
      <c r="C22156">
        <v>43325</v>
      </c>
      <c r="D22156" t="str">
        <f>"43325"</f>
        <v>43325</v>
      </c>
      <c r="E22156" t="s">
        <v>6</v>
      </c>
    </row>
    <row r="22157" spans="1:5" x14ac:dyDescent="0.2">
      <c r="A22157">
        <v>43326</v>
      </c>
      <c r="B22157" t="s">
        <v>41</v>
      </c>
      <c r="C22157">
        <v>43326</v>
      </c>
      <c r="D22157" t="str">
        <f>"43326"</f>
        <v>43326</v>
      </c>
      <c r="E22157">
        <v>69.22</v>
      </c>
    </row>
    <row r="22158" spans="1:5" x14ac:dyDescent="0.2">
      <c r="A22158">
        <v>43330</v>
      </c>
      <c r="B22158" t="s">
        <v>41</v>
      </c>
      <c r="C22158">
        <v>43330</v>
      </c>
      <c r="D22158" t="str">
        <f>"43330"</f>
        <v>43330</v>
      </c>
      <c r="E22158" t="s">
        <v>6</v>
      </c>
    </row>
    <row r="22159" spans="1:5" x14ac:dyDescent="0.2">
      <c r="A22159">
        <v>43331</v>
      </c>
      <c r="B22159" t="s">
        <v>41</v>
      </c>
      <c r="C22159">
        <v>43331</v>
      </c>
      <c r="D22159" t="str">
        <f>"43331"</f>
        <v>43331</v>
      </c>
      <c r="E22159">
        <v>72.989999999999995</v>
      </c>
    </row>
    <row r="22160" spans="1:5" x14ac:dyDescent="0.2">
      <c r="A22160">
        <v>43332</v>
      </c>
      <c r="B22160" t="s">
        <v>41</v>
      </c>
      <c r="C22160">
        <v>43332</v>
      </c>
      <c r="D22160" t="str">
        <f>"43332"</f>
        <v>43332</v>
      </c>
      <c r="E22160">
        <v>71.28</v>
      </c>
    </row>
    <row r="22161" spans="1:5" x14ac:dyDescent="0.2">
      <c r="A22161">
        <v>43333</v>
      </c>
      <c r="B22161" t="s">
        <v>41</v>
      </c>
      <c r="C22161">
        <v>43333</v>
      </c>
      <c r="D22161" t="str">
        <f>"43333"</f>
        <v>43333</v>
      </c>
      <c r="E22161">
        <v>68.290000000000006</v>
      </c>
    </row>
    <row r="22162" spans="1:5" x14ac:dyDescent="0.2">
      <c r="A22162">
        <v>43334</v>
      </c>
      <c r="B22162" t="s">
        <v>41</v>
      </c>
      <c r="C22162">
        <v>43334</v>
      </c>
      <c r="D22162" t="str">
        <f>"43334"</f>
        <v>43334</v>
      </c>
      <c r="E22162">
        <v>75.489999999999995</v>
      </c>
    </row>
    <row r="22163" spans="1:5" x14ac:dyDescent="0.2">
      <c r="A22163">
        <v>43336</v>
      </c>
      <c r="B22163" t="s">
        <v>41</v>
      </c>
      <c r="C22163">
        <v>43336</v>
      </c>
      <c r="D22163" t="str">
        <f>"43336"</f>
        <v>43336</v>
      </c>
      <c r="E22163" t="s">
        <v>6</v>
      </c>
    </row>
    <row r="22164" spans="1:5" x14ac:dyDescent="0.2">
      <c r="A22164">
        <v>43337</v>
      </c>
      <c r="B22164" t="s">
        <v>41</v>
      </c>
      <c r="C22164">
        <v>43337</v>
      </c>
      <c r="D22164" t="str">
        <f>"43337"</f>
        <v>43337</v>
      </c>
      <c r="E22164">
        <v>76.92</v>
      </c>
    </row>
    <row r="22165" spans="1:5" x14ac:dyDescent="0.2">
      <c r="A22165">
        <v>43338</v>
      </c>
      <c r="B22165" t="s">
        <v>41</v>
      </c>
      <c r="C22165">
        <v>43338</v>
      </c>
      <c r="D22165" t="str">
        <f>"43338"</f>
        <v>43338</v>
      </c>
      <c r="E22165">
        <v>73.05</v>
      </c>
    </row>
    <row r="22166" spans="1:5" x14ac:dyDescent="0.2">
      <c r="A22166">
        <v>43340</v>
      </c>
      <c r="B22166" t="s">
        <v>41</v>
      </c>
      <c r="C22166">
        <v>43340</v>
      </c>
      <c r="D22166" t="str">
        <f>"43340"</f>
        <v>43340</v>
      </c>
      <c r="E22166">
        <v>72.06</v>
      </c>
    </row>
    <row r="22167" spans="1:5" x14ac:dyDescent="0.2">
      <c r="A22167">
        <v>43341</v>
      </c>
      <c r="B22167" t="s">
        <v>41</v>
      </c>
      <c r="C22167">
        <v>43341</v>
      </c>
      <c r="D22167" t="str">
        <f>"43341"</f>
        <v>43341</v>
      </c>
      <c r="E22167">
        <v>69.05</v>
      </c>
    </row>
    <row r="22168" spans="1:5" x14ac:dyDescent="0.2">
      <c r="A22168">
        <v>43342</v>
      </c>
      <c r="B22168" t="s">
        <v>41</v>
      </c>
      <c r="C22168">
        <v>43342</v>
      </c>
      <c r="D22168" t="str">
        <f>"43342"</f>
        <v>43342</v>
      </c>
      <c r="E22168">
        <v>79.760000000000005</v>
      </c>
    </row>
    <row r="22169" spans="1:5" x14ac:dyDescent="0.2">
      <c r="A22169">
        <v>43343</v>
      </c>
      <c r="B22169" t="s">
        <v>41</v>
      </c>
      <c r="C22169">
        <v>43343</v>
      </c>
      <c r="D22169" t="str">
        <f>"43343"</f>
        <v>43343</v>
      </c>
      <c r="E22169">
        <v>75.41</v>
      </c>
    </row>
    <row r="22170" spans="1:5" x14ac:dyDescent="0.2">
      <c r="A22170">
        <v>43344</v>
      </c>
      <c r="B22170" t="s">
        <v>41</v>
      </c>
      <c r="C22170">
        <v>43344</v>
      </c>
      <c r="D22170" t="str">
        <f>"43344"</f>
        <v>43344</v>
      </c>
      <c r="E22170">
        <v>76.3</v>
      </c>
    </row>
    <row r="22171" spans="1:5" x14ac:dyDescent="0.2">
      <c r="A22171">
        <v>43345</v>
      </c>
      <c r="B22171" t="s">
        <v>41</v>
      </c>
      <c r="C22171">
        <v>43345</v>
      </c>
      <c r="D22171" t="str">
        <f>"43345"</f>
        <v>43345</v>
      </c>
      <c r="E22171">
        <v>76.739999999999995</v>
      </c>
    </row>
    <row r="22172" spans="1:5" x14ac:dyDescent="0.2">
      <c r="A22172">
        <v>43347</v>
      </c>
      <c r="B22172" t="s">
        <v>41</v>
      </c>
      <c r="C22172">
        <v>43347</v>
      </c>
      <c r="D22172" t="str">
        <f>"43347"</f>
        <v>43347</v>
      </c>
      <c r="E22172">
        <v>74.650000000000006</v>
      </c>
    </row>
    <row r="22173" spans="1:5" x14ac:dyDescent="0.2">
      <c r="A22173">
        <v>43348</v>
      </c>
      <c r="B22173" t="s">
        <v>41</v>
      </c>
      <c r="C22173">
        <v>43348</v>
      </c>
      <c r="D22173" t="str">
        <f>"43348"</f>
        <v>43348</v>
      </c>
      <c r="E22173">
        <v>70.83</v>
      </c>
    </row>
    <row r="22174" spans="1:5" x14ac:dyDescent="0.2">
      <c r="A22174">
        <v>43349</v>
      </c>
      <c r="B22174" t="s">
        <v>41</v>
      </c>
      <c r="C22174">
        <v>43349</v>
      </c>
      <c r="D22174" t="str">
        <f>"43349"</f>
        <v>43349</v>
      </c>
      <c r="E22174" t="s">
        <v>6</v>
      </c>
    </row>
    <row r="22175" spans="1:5" x14ac:dyDescent="0.2">
      <c r="A22175">
        <v>43350</v>
      </c>
      <c r="B22175" t="s">
        <v>41</v>
      </c>
      <c r="C22175">
        <v>43350</v>
      </c>
      <c r="D22175" t="str">
        <f>"43350"</f>
        <v>43350</v>
      </c>
      <c r="E22175" t="s">
        <v>6</v>
      </c>
    </row>
    <row r="22176" spans="1:5" x14ac:dyDescent="0.2">
      <c r="A22176">
        <v>43351</v>
      </c>
      <c r="B22176" t="s">
        <v>41</v>
      </c>
      <c r="C22176">
        <v>43351</v>
      </c>
      <c r="D22176" t="str">
        <f>"43351"</f>
        <v>43351</v>
      </c>
      <c r="E22176">
        <v>74.36</v>
      </c>
    </row>
    <row r="22177" spans="1:5" x14ac:dyDescent="0.2">
      <c r="A22177">
        <v>43356</v>
      </c>
      <c r="B22177" t="s">
        <v>41</v>
      </c>
      <c r="C22177">
        <v>43356</v>
      </c>
      <c r="D22177" t="str">
        <f>"43356"</f>
        <v>43356</v>
      </c>
      <c r="E22177">
        <v>79.31</v>
      </c>
    </row>
    <row r="22178" spans="1:5" x14ac:dyDescent="0.2">
      <c r="A22178">
        <v>43357</v>
      </c>
      <c r="B22178" t="s">
        <v>41</v>
      </c>
      <c r="C22178">
        <v>43357</v>
      </c>
      <c r="D22178" t="str">
        <f>"43357"</f>
        <v>43357</v>
      </c>
      <c r="E22178">
        <v>75.95</v>
      </c>
    </row>
    <row r="22179" spans="1:5" x14ac:dyDescent="0.2">
      <c r="A22179">
        <v>43358</v>
      </c>
      <c r="B22179" t="s">
        <v>41</v>
      </c>
      <c r="C22179">
        <v>43358</v>
      </c>
      <c r="D22179" t="str">
        <f>"43358"</f>
        <v>43358</v>
      </c>
      <c r="E22179">
        <v>77.87</v>
      </c>
    </row>
    <row r="22180" spans="1:5" x14ac:dyDescent="0.2">
      <c r="A22180">
        <v>43359</v>
      </c>
      <c r="B22180" t="s">
        <v>41</v>
      </c>
      <c r="C22180">
        <v>43359</v>
      </c>
      <c r="D22180" t="str">
        <f>"43359"</f>
        <v>43359</v>
      </c>
      <c r="E22180">
        <v>81.08</v>
      </c>
    </row>
    <row r="22181" spans="1:5" x14ac:dyDescent="0.2">
      <c r="A22181">
        <v>43360</v>
      </c>
      <c r="B22181" t="s">
        <v>41</v>
      </c>
      <c r="C22181">
        <v>43360</v>
      </c>
      <c r="D22181" t="str">
        <f>"43360"</f>
        <v>43360</v>
      </c>
      <c r="E22181">
        <v>80.900000000000006</v>
      </c>
    </row>
    <row r="22182" spans="1:5" x14ac:dyDescent="0.2">
      <c r="A22182">
        <v>43402</v>
      </c>
      <c r="B22182" t="s">
        <v>41</v>
      </c>
      <c r="C22182">
        <v>43402</v>
      </c>
      <c r="D22182" t="str">
        <f>"43402"</f>
        <v>43402</v>
      </c>
      <c r="E22182">
        <v>74.930000000000007</v>
      </c>
    </row>
    <row r="22183" spans="1:5" x14ac:dyDescent="0.2">
      <c r="A22183">
        <v>43403</v>
      </c>
      <c r="B22183" t="s">
        <v>41</v>
      </c>
      <c r="C22183">
        <v>43403</v>
      </c>
      <c r="D22183" t="str">
        <f>"43403"</f>
        <v>43403</v>
      </c>
      <c r="E22183" t="s">
        <v>6</v>
      </c>
    </row>
    <row r="22184" spans="1:5" x14ac:dyDescent="0.2">
      <c r="A22184">
        <v>43406</v>
      </c>
      <c r="B22184" t="s">
        <v>41</v>
      </c>
      <c r="C22184">
        <v>43406</v>
      </c>
      <c r="D22184" t="str">
        <f>"43406"</f>
        <v>43406</v>
      </c>
      <c r="E22184">
        <v>73.17</v>
      </c>
    </row>
    <row r="22185" spans="1:5" x14ac:dyDescent="0.2">
      <c r="A22185">
        <v>43407</v>
      </c>
      <c r="B22185" t="s">
        <v>41</v>
      </c>
      <c r="C22185">
        <v>43407</v>
      </c>
      <c r="D22185" t="str">
        <f>"43407"</f>
        <v>43407</v>
      </c>
      <c r="E22185">
        <v>76.67</v>
      </c>
    </row>
    <row r="22186" spans="1:5" x14ac:dyDescent="0.2">
      <c r="A22186">
        <v>43408</v>
      </c>
      <c r="B22186" t="s">
        <v>41</v>
      </c>
      <c r="C22186">
        <v>43408</v>
      </c>
      <c r="D22186" t="str">
        <f>"43408"</f>
        <v>43408</v>
      </c>
      <c r="E22186" t="s">
        <v>6</v>
      </c>
    </row>
    <row r="22187" spans="1:5" x14ac:dyDescent="0.2">
      <c r="A22187">
        <v>43410</v>
      </c>
      <c r="B22187" t="s">
        <v>41</v>
      </c>
      <c r="C22187">
        <v>43410</v>
      </c>
      <c r="D22187" t="str">
        <f>"43410"</f>
        <v>43410</v>
      </c>
      <c r="E22187">
        <v>75.290000000000006</v>
      </c>
    </row>
    <row r="22188" spans="1:5" x14ac:dyDescent="0.2">
      <c r="A22188">
        <v>43412</v>
      </c>
      <c r="B22188" t="s">
        <v>41</v>
      </c>
      <c r="C22188">
        <v>43412</v>
      </c>
      <c r="D22188" t="str">
        <f>"43412"</f>
        <v>43412</v>
      </c>
      <c r="E22188">
        <v>80.91</v>
      </c>
    </row>
    <row r="22189" spans="1:5" x14ac:dyDescent="0.2">
      <c r="A22189">
        <v>43413</v>
      </c>
      <c r="B22189" t="s">
        <v>41</v>
      </c>
      <c r="C22189">
        <v>43413</v>
      </c>
      <c r="D22189" t="str">
        <f>"43413"</f>
        <v>43413</v>
      </c>
      <c r="E22189">
        <v>74.650000000000006</v>
      </c>
    </row>
    <row r="22190" spans="1:5" x14ac:dyDescent="0.2">
      <c r="A22190">
        <v>43416</v>
      </c>
      <c r="B22190" t="s">
        <v>41</v>
      </c>
      <c r="C22190">
        <v>43416</v>
      </c>
      <c r="D22190" t="str">
        <f>"43416"</f>
        <v>43416</v>
      </c>
      <c r="E22190">
        <v>77.7</v>
      </c>
    </row>
    <row r="22191" spans="1:5" x14ac:dyDescent="0.2">
      <c r="A22191">
        <v>43420</v>
      </c>
      <c r="B22191" t="s">
        <v>41</v>
      </c>
      <c r="C22191">
        <v>43420</v>
      </c>
      <c r="D22191" t="str">
        <f>"43420"</f>
        <v>43420</v>
      </c>
      <c r="E22191">
        <v>71.900000000000006</v>
      </c>
    </row>
    <row r="22192" spans="1:5" x14ac:dyDescent="0.2">
      <c r="A22192">
        <v>43430</v>
      </c>
      <c r="B22192" t="s">
        <v>41</v>
      </c>
      <c r="C22192">
        <v>43430</v>
      </c>
      <c r="D22192" t="str">
        <f>"43430"</f>
        <v>43430</v>
      </c>
      <c r="E22192">
        <v>78.66</v>
      </c>
    </row>
    <row r="22193" spans="1:5" x14ac:dyDescent="0.2">
      <c r="A22193">
        <v>43431</v>
      </c>
      <c r="B22193" t="s">
        <v>41</v>
      </c>
      <c r="C22193">
        <v>43431</v>
      </c>
      <c r="D22193" t="str">
        <f>"43431"</f>
        <v>43431</v>
      </c>
      <c r="E22193">
        <v>76.72</v>
      </c>
    </row>
    <row r="22194" spans="1:5" x14ac:dyDescent="0.2">
      <c r="A22194">
        <v>43432</v>
      </c>
      <c r="B22194" t="s">
        <v>41</v>
      </c>
      <c r="C22194">
        <v>43432</v>
      </c>
      <c r="D22194" t="str">
        <f>"43432"</f>
        <v>43432</v>
      </c>
      <c r="E22194">
        <v>82.43</v>
      </c>
    </row>
    <row r="22195" spans="1:5" x14ac:dyDescent="0.2">
      <c r="A22195">
        <v>43433</v>
      </c>
      <c r="B22195" t="s">
        <v>41</v>
      </c>
      <c r="C22195">
        <v>43433</v>
      </c>
      <c r="D22195" t="str">
        <f>"43433"</f>
        <v>43433</v>
      </c>
      <c r="E22195" t="s">
        <v>6</v>
      </c>
    </row>
    <row r="22196" spans="1:5" x14ac:dyDescent="0.2">
      <c r="A22196">
        <v>43434</v>
      </c>
      <c r="B22196" t="s">
        <v>41</v>
      </c>
      <c r="C22196">
        <v>43434</v>
      </c>
      <c r="D22196" t="str">
        <f>"43434"</f>
        <v>43434</v>
      </c>
      <c r="E22196" t="s">
        <v>6</v>
      </c>
    </row>
    <row r="22197" spans="1:5" x14ac:dyDescent="0.2">
      <c r="A22197">
        <v>43435</v>
      </c>
      <c r="B22197" t="s">
        <v>41</v>
      </c>
      <c r="C22197">
        <v>43435</v>
      </c>
      <c r="D22197" t="str">
        <f>"43435"</f>
        <v>43435</v>
      </c>
      <c r="E22197">
        <v>75.34</v>
      </c>
    </row>
    <row r="22198" spans="1:5" x14ac:dyDescent="0.2">
      <c r="A22198">
        <v>43436</v>
      </c>
      <c r="B22198" t="s">
        <v>41</v>
      </c>
      <c r="C22198">
        <v>43436</v>
      </c>
      <c r="D22198" t="str">
        <f>"43436"</f>
        <v>43436</v>
      </c>
      <c r="E22198" t="s">
        <v>6</v>
      </c>
    </row>
    <row r="22199" spans="1:5" x14ac:dyDescent="0.2">
      <c r="A22199">
        <v>43437</v>
      </c>
      <c r="B22199" t="s">
        <v>41</v>
      </c>
      <c r="C22199">
        <v>43437</v>
      </c>
      <c r="D22199" t="str">
        <f>"43437"</f>
        <v>43437</v>
      </c>
      <c r="E22199" t="s">
        <v>6</v>
      </c>
    </row>
    <row r="22200" spans="1:5" x14ac:dyDescent="0.2">
      <c r="A22200">
        <v>43438</v>
      </c>
      <c r="B22200" t="s">
        <v>41</v>
      </c>
      <c r="C22200">
        <v>43438</v>
      </c>
      <c r="D22200" t="str">
        <f>"43438"</f>
        <v>43438</v>
      </c>
      <c r="E22200" t="s">
        <v>6</v>
      </c>
    </row>
    <row r="22201" spans="1:5" x14ac:dyDescent="0.2">
      <c r="A22201">
        <v>43439</v>
      </c>
      <c r="B22201" t="s">
        <v>41</v>
      </c>
      <c r="C22201">
        <v>43439</v>
      </c>
      <c r="D22201" t="str">
        <f>"43439"</f>
        <v>43439</v>
      </c>
      <c r="E22201" t="s">
        <v>6</v>
      </c>
    </row>
    <row r="22202" spans="1:5" x14ac:dyDescent="0.2">
      <c r="A22202">
        <v>43440</v>
      </c>
      <c r="B22202" t="s">
        <v>41</v>
      </c>
      <c r="C22202">
        <v>43440</v>
      </c>
      <c r="D22202" t="str">
        <f>"43440"</f>
        <v>43440</v>
      </c>
      <c r="E22202">
        <v>77.150000000000006</v>
      </c>
    </row>
    <row r="22203" spans="1:5" x14ac:dyDescent="0.2">
      <c r="A22203">
        <v>43442</v>
      </c>
      <c r="B22203" t="s">
        <v>41</v>
      </c>
      <c r="C22203">
        <v>43442</v>
      </c>
      <c r="D22203" t="str">
        <f>"43442"</f>
        <v>43442</v>
      </c>
      <c r="E22203">
        <v>75.47</v>
      </c>
    </row>
    <row r="22204" spans="1:5" x14ac:dyDescent="0.2">
      <c r="A22204">
        <v>43443</v>
      </c>
      <c r="B22204" t="s">
        <v>41</v>
      </c>
      <c r="C22204">
        <v>43443</v>
      </c>
      <c r="D22204" t="str">
        <f>"43443"</f>
        <v>43443</v>
      </c>
      <c r="E22204">
        <v>80.849999999999994</v>
      </c>
    </row>
    <row r="22205" spans="1:5" x14ac:dyDescent="0.2">
      <c r="A22205">
        <v>43445</v>
      </c>
      <c r="B22205" t="s">
        <v>41</v>
      </c>
      <c r="C22205">
        <v>43445</v>
      </c>
      <c r="D22205" t="str">
        <f>"43445"</f>
        <v>43445</v>
      </c>
      <c r="E22205">
        <v>78.69</v>
      </c>
    </row>
    <row r="22206" spans="1:5" x14ac:dyDescent="0.2">
      <c r="A22206">
        <v>43446</v>
      </c>
      <c r="B22206" t="s">
        <v>41</v>
      </c>
      <c r="C22206">
        <v>43446</v>
      </c>
      <c r="D22206" t="str">
        <f>"43446"</f>
        <v>43446</v>
      </c>
      <c r="E22206" t="s">
        <v>6</v>
      </c>
    </row>
    <row r="22207" spans="1:5" x14ac:dyDescent="0.2">
      <c r="A22207">
        <v>43447</v>
      </c>
      <c r="B22207" t="s">
        <v>41</v>
      </c>
      <c r="C22207">
        <v>43447</v>
      </c>
      <c r="D22207" t="str">
        <f>"43447"</f>
        <v>43447</v>
      </c>
      <c r="E22207">
        <v>80.45</v>
      </c>
    </row>
    <row r="22208" spans="1:5" x14ac:dyDescent="0.2">
      <c r="A22208">
        <v>43449</v>
      </c>
      <c r="B22208" t="s">
        <v>41</v>
      </c>
      <c r="C22208">
        <v>43449</v>
      </c>
      <c r="D22208" t="str">
        <f>"43449"</f>
        <v>43449</v>
      </c>
      <c r="E22208">
        <v>76.36</v>
      </c>
    </row>
    <row r="22209" spans="1:5" x14ac:dyDescent="0.2">
      <c r="A22209">
        <v>43450</v>
      </c>
      <c r="B22209" t="s">
        <v>41</v>
      </c>
      <c r="C22209">
        <v>43450</v>
      </c>
      <c r="D22209" t="str">
        <f>"43450"</f>
        <v>43450</v>
      </c>
      <c r="E22209">
        <v>78.260000000000005</v>
      </c>
    </row>
    <row r="22210" spans="1:5" x14ac:dyDescent="0.2">
      <c r="A22210">
        <v>43451</v>
      </c>
      <c r="B22210" t="s">
        <v>41</v>
      </c>
      <c r="C22210">
        <v>43451</v>
      </c>
      <c r="D22210" t="str">
        <f>"43451"</f>
        <v>43451</v>
      </c>
      <c r="E22210">
        <v>76.67</v>
      </c>
    </row>
    <row r="22211" spans="1:5" x14ac:dyDescent="0.2">
      <c r="A22211">
        <v>43452</v>
      </c>
      <c r="B22211" t="s">
        <v>41</v>
      </c>
      <c r="C22211">
        <v>43452</v>
      </c>
      <c r="D22211" t="str">
        <f>"43452"</f>
        <v>43452</v>
      </c>
      <c r="E22211">
        <v>73.260000000000005</v>
      </c>
    </row>
    <row r="22212" spans="1:5" x14ac:dyDescent="0.2">
      <c r="A22212">
        <v>43456</v>
      </c>
      <c r="B22212" t="s">
        <v>41</v>
      </c>
      <c r="C22212">
        <v>43456</v>
      </c>
      <c r="D22212" t="str">
        <f>"43456"</f>
        <v>43456</v>
      </c>
      <c r="E22212" t="s">
        <v>6</v>
      </c>
    </row>
    <row r="22213" spans="1:5" x14ac:dyDescent="0.2">
      <c r="A22213">
        <v>43457</v>
      </c>
      <c r="B22213" t="s">
        <v>41</v>
      </c>
      <c r="C22213">
        <v>43457</v>
      </c>
      <c r="D22213" t="str">
        <f>"43457"</f>
        <v>43457</v>
      </c>
      <c r="E22213">
        <v>72.37</v>
      </c>
    </row>
    <row r="22214" spans="1:5" x14ac:dyDescent="0.2">
      <c r="A22214">
        <v>43460</v>
      </c>
      <c r="B22214" t="s">
        <v>41</v>
      </c>
      <c r="C22214">
        <v>43460</v>
      </c>
      <c r="D22214" t="str">
        <f>"43460"</f>
        <v>43460</v>
      </c>
      <c r="E22214">
        <v>78.569999999999993</v>
      </c>
    </row>
    <row r="22215" spans="1:5" x14ac:dyDescent="0.2">
      <c r="A22215">
        <v>43462</v>
      </c>
      <c r="B22215" t="s">
        <v>41</v>
      </c>
      <c r="C22215">
        <v>43462</v>
      </c>
      <c r="D22215" t="str">
        <f>"43462"</f>
        <v>43462</v>
      </c>
      <c r="E22215">
        <v>73.680000000000007</v>
      </c>
    </row>
    <row r="22216" spans="1:5" x14ac:dyDescent="0.2">
      <c r="A22216">
        <v>43463</v>
      </c>
      <c r="B22216" t="s">
        <v>41</v>
      </c>
      <c r="C22216">
        <v>43463</v>
      </c>
      <c r="D22216" t="str">
        <f>"43463"</f>
        <v>43463</v>
      </c>
      <c r="E22216" t="s">
        <v>6</v>
      </c>
    </row>
    <row r="22217" spans="1:5" x14ac:dyDescent="0.2">
      <c r="A22217">
        <v>43464</v>
      </c>
      <c r="B22217" t="s">
        <v>41</v>
      </c>
      <c r="C22217">
        <v>43464</v>
      </c>
      <c r="D22217" t="str">
        <f>"43464"</f>
        <v>43464</v>
      </c>
      <c r="E22217">
        <v>71.64</v>
      </c>
    </row>
    <row r="22218" spans="1:5" x14ac:dyDescent="0.2">
      <c r="A22218">
        <v>43465</v>
      </c>
      <c r="B22218" t="s">
        <v>41</v>
      </c>
      <c r="C22218">
        <v>43465</v>
      </c>
      <c r="D22218" t="str">
        <f>"43465"</f>
        <v>43465</v>
      </c>
      <c r="E22218">
        <v>76.63</v>
      </c>
    </row>
    <row r="22219" spans="1:5" x14ac:dyDescent="0.2">
      <c r="A22219">
        <v>43466</v>
      </c>
      <c r="B22219" t="s">
        <v>41</v>
      </c>
      <c r="C22219">
        <v>43466</v>
      </c>
      <c r="D22219" t="str">
        <f>"43466"</f>
        <v>43466</v>
      </c>
      <c r="E22219">
        <v>76.92</v>
      </c>
    </row>
    <row r="22220" spans="1:5" x14ac:dyDescent="0.2">
      <c r="A22220">
        <v>43467</v>
      </c>
      <c r="B22220" t="s">
        <v>41</v>
      </c>
      <c r="C22220">
        <v>43467</v>
      </c>
      <c r="D22220" t="str">
        <f>"43467"</f>
        <v>43467</v>
      </c>
      <c r="E22220" t="s">
        <v>6</v>
      </c>
    </row>
    <row r="22221" spans="1:5" x14ac:dyDescent="0.2">
      <c r="A22221">
        <v>43468</v>
      </c>
      <c r="B22221" t="s">
        <v>41</v>
      </c>
      <c r="C22221">
        <v>43468</v>
      </c>
      <c r="D22221" t="str">
        <f>"43468"</f>
        <v>43468</v>
      </c>
      <c r="E22221" t="s">
        <v>6</v>
      </c>
    </row>
    <row r="22222" spans="1:5" x14ac:dyDescent="0.2">
      <c r="A22222">
        <v>43469</v>
      </c>
      <c r="B22222" t="s">
        <v>41</v>
      </c>
      <c r="C22222">
        <v>43469</v>
      </c>
      <c r="D22222" t="str">
        <f>"43469"</f>
        <v>43469</v>
      </c>
      <c r="E22222">
        <v>81.37</v>
      </c>
    </row>
    <row r="22223" spans="1:5" x14ac:dyDescent="0.2">
      <c r="A22223">
        <v>43501</v>
      </c>
      <c r="B22223" t="s">
        <v>41</v>
      </c>
      <c r="C22223">
        <v>43501</v>
      </c>
      <c r="D22223" t="str">
        <f>"43501"</f>
        <v>43501</v>
      </c>
      <c r="E22223">
        <v>64.86</v>
      </c>
    </row>
    <row r="22224" spans="1:5" x14ac:dyDescent="0.2">
      <c r="A22224">
        <v>43502</v>
      </c>
      <c r="B22224" t="s">
        <v>41</v>
      </c>
      <c r="C22224">
        <v>43502</v>
      </c>
      <c r="D22224" t="str">
        <f>"43502"</f>
        <v>43502</v>
      </c>
      <c r="E22224">
        <v>74.59</v>
      </c>
    </row>
    <row r="22225" spans="1:5" x14ac:dyDescent="0.2">
      <c r="A22225">
        <v>43504</v>
      </c>
      <c r="B22225" t="s">
        <v>41</v>
      </c>
      <c r="C22225">
        <v>43504</v>
      </c>
      <c r="D22225" t="str">
        <f>"43504"</f>
        <v>43504</v>
      </c>
      <c r="E22225">
        <v>83.33</v>
      </c>
    </row>
    <row r="22226" spans="1:5" x14ac:dyDescent="0.2">
      <c r="A22226">
        <v>43505</v>
      </c>
      <c r="B22226" t="s">
        <v>41</v>
      </c>
      <c r="C22226">
        <v>43505</v>
      </c>
      <c r="D22226" t="str">
        <f>"43505"</f>
        <v>43505</v>
      </c>
      <c r="E22226" t="s">
        <v>6</v>
      </c>
    </row>
    <row r="22227" spans="1:5" x14ac:dyDescent="0.2">
      <c r="A22227">
        <v>43506</v>
      </c>
      <c r="B22227" t="s">
        <v>41</v>
      </c>
      <c r="C22227">
        <v>43506</v>
      </c>
      <c r="D22227" t="str">
        <f>"43506"</f>
        <v>43506</v>
      </c>
      <c r="E22227">
        <v>73.23</v>
      </c>
    </row>
    <row r="22228" spans="1:5" x14ac:dyDescent="0.2">
      <c r="A22228">
        <v>43510</v>
      </c>
      <c r="B22228" t="s">
        <v>41</v>
      </c>
      <c r="C22228">
        <v>43510</v>
      </c>
      <c r="D22228" t="str">
        <f>"43510"</f>
        <v>43510</v>
      </c>
      <c r="E22228" t="s">
        <v>6</v>
      </c>
    </row>
    <row r="22229" spans="1:5" x14ac:dyDescent="0.2">
      <c r="A22229">
        <v>43511</v>
      </c>
      <c r="B22229" t="s">
        <v>41</v>
      </c>
      <c r="C22229">
        <v>43511</v>
      </c>
      <c r="D22229" t="str">
        <f>"43511"</f>
        <v>43511</v>
      </c>
      <c r="E22229">
        <v>76.19</v>
      </c>
    </row>
    <row r="22230" spans="1:5" x14ac:dyDescent="0.2">
      <c r="A22230">
        <v>43512</v>
      </c>
      <c r="B22230" t="s">
        <v>41</v>
      </c>
      <c r="C22230">
        <v>43512</v>
      </c>
      <c r="D22230" t="str">
        <f>"43512"</f>
        <v>43512</v>
      </c>
      <c r="E22230">
        <v>74.38</v>
      </c>
    </row>
    <row r="22231" spans="1:5" x14ac:dyDescent="0.2">
      <c r="A22231">
        <v>43515</v>
      </c>
      <c r="B22231" t="s">
        <v>41</v>
      </c>
      <c r="C22231">
        <v>43515</v>
      </c>
      <c r="D22231" t="str">
        <f>"43515"</f>
        <v>43515</v>
      </c>
      <c r="E22231">
        <v>75.680000000000007</v>
      </c>
    </row>
    <row r="22232" spans="1:5" x14ac:dyDescent="0.2">
      <c r="A22232">
        <v>43516</v>
      </c>
      <c r="B22232" t="s">
        <v>41</v>
      </c>
      <c r="C22232">
        <v>43516</v>
      </c>
      <c r="D22232" t="str">
        <f>"43516"</f>
        <v>43516</v>
      </c>
      <c r="E22232">
        <v>74.63</v>
      </c>
    </row>
    <row r="22233" spans="1:5" x14ac:dyDescent="0.2">
      <c r="A22233">
        <v>43517</v>
      </c>
      <c r="B22233" t="s">
        <v>41</v>
      </c>
      <c r="C22233">
        <v>43517</v>
      </c>
      <c r="D22233" t="str">
        <f>"43517"</f>
        <v>43517</v>
      </c>
      <c r="E22233">
        <v>75.14</v>
      </c>
    </row>
    <row r="22234" spans="1:5" x14ac:dyDescent="0.2">
      <c r="A22234">
        <v>43518</v>
      </c>
      <c r="B22234" t="s">
        <v>41</v>
      </c>
      <c r="C22234">
        <v>43518</v>
      </c>
      <c r="D22234" t="str">
        <f>"43518"</f>
        <v>43518</v>
      </c>
      <c r="E22234">
        <v>72.13</v>
      </c>
    </row>
    <row r="22235" spans="1:5" x14ac:dyDescent="0.2">
      <c r="A22235">
        <v>43521</v>
      </c>
      <c r="B22235" t="s">
        <v>41</v>
      </c>
      <c r="C22235">
        <v>43521</v>
      </c>
      <c r="D22235" t="str">
        <f>"43521"</f>
        <v>43521</v>
      </c>
      <c r="E22235">
        <v>70.150000000000006</v>
      </c>
    </row>
    <row r="22236" spans="1:5" x14ac:dyDescent="0.2">
      <c r="A22236">
        <v>43522</v>
      </c>
      <c r="B22236" t="s">
        <v>41</v>
      </c>
      <c r="C22236">
        <v>43522</v>
      </c>
      <c r="D22236" t="str">
        <f>"43522"</f>
        <v>43522</v>
      </c>
      <c r="E22236">
        <v>79.040000000000006</v>
      </c>
    </row>
    <row r="22237" spans="1:5" x14ac:dyDescent="0.2">
      <c r="A22237">
        <v>43523</v>
      </c>
      <c r="B22237" t="s">
        <v>41</v>
      </c>
      <c r="C22237">
        <v>43523</v>
      </c>
      <c r="D22237" t="str">
        <f>"43523"</f>
        <v>43523</v>
      </c>
      <c r="E22237" t="s">
        <v>6</v>
      </c>
    </row>
    <row r="22238" spans="1:5" x14ac:dyDescent="0.2">
      <c r="A22238">
        <v>43524</v>
      </c>
      <c r="B22238" t="s">
        <v>41</v>
      </c>
      <c r="C22238">
        <v>43524</v>
      </c>
      <c r="D22238" t="str">
        <f>"43524"</f>
        <v>43524</v>
      </c>
      <c r="E22238">
        <v>74.599999999999994</v>
      </c>
    </row>
    <row r="22239" spans="1:5" x14ac:dyDescent="0.2">
      <c r="A22239">
        <v>43525</v>
      </c>
      <c r="B22239" t="s">
        <v>41</v>
      </c>
      <c r="C22239">
        <v>43525</v>
      </c>
      <c r="D22239" t="str">
        <f>"43525"</f>
        <v>43525</v>
      </c>
      <c r="E22239">
        <v>80.7</v>
      </c>
    </row>
    <row r="22240" spans="1:5" x14ac:dyDescent="0.2">
      <c r="A22240">
        <v>43526</v>
      </c>
      <c r="B22240" t="s">
        <v>41</v>
      </c>
      <c r="C22240">
        <v>43526</v>
      </c>
      <c r="D22240" t="str">
        <f>"43526"</f>
        <v>43526</v>
      </c>
      <c r="E22240">
        <v>72.28</v>
      </c>
    </row>
    <row r="22241" spans="1:5" x14ac:dyDescent="0.2">
      <c r="A22241">
        <v>43527</v>
      </c>
      <c r="B22241" t="s">
        <v>41</v>
      </c>
      <c r="C22241">
        <v>43527</v>
      </c>
      <c r="D22241" t="str">
        <f>"43527"</f>
        <v>43527</v>
      </c>
      <c r="E22241">
        <v>73.87</v>
      </c>
    </row>
    <row r="22242" spans="1:5" x14ac:dyDescent="0.2">
      <c r="A22242">
        <v>43528</v>
      </c>
      <c r="B22242" t="s">
        <v>41</v>
      </c>
      <c r="C22242">
        <v>43528</v>
      </c>
      <c r="D22242" t="str">
        <f>"43528"</f>
        <v>43528</v>
      </c>
      <c r="E22242">
        <v>76.790000000000006</v>
      </c>
    </row>
    <row r="22243" spans="1:5" x14ac:dyDescent="0.2">
      <c r="A22243">
        <v>43529</v>
      </c>
      <c r="B22243" t="s">
        <v>41</v>
      </c>
      <c r="C22243">
        <v>43529</v>
      </c>
      <c r="D22243" t="str">
        <f>"43529"</f>
        <v>43529</v>
      </c>
      <c r="E22243" t="s">
        <v>6</v>
      </c>
    </row>
    <row r="22244" spans="1:5" x14ac:dyDescent="0.2">
      <c r="A22244">
        <v>43532</v>
      </c>
      <c r="B22244" t="s">
        <v>41</v>
      </c>
      <c r="C22244">
        <v>43532</v>
      </c>
      <c r="D22244" t="str">
        <f>"43532"</f>
        <v>43532</v>
      </c>
      <c r="E22244">
        <v>73.58</v>
      </c>
    </row>
    <row r="22245" spans="1:5" x14ac:dyDescent="0.2">
      <c r="A22245">
        <v>43533</v>
      </c>
      <c r="B22245" t="s">
        <v>41</v>
      </c>
      <c r="C22245">
        <v>43533</v>
      </c>
      <c r="D22245" t="str">
        <f>"43533"</f>
        <v>43533</v>
      </c>
      <c r="E22245">
        <v>75.319999999999993</v>
      </c>
    </row>
    <row r="22246" spans="1:5" x14ac:dyDescent="0.2">
      <c r="A22246">
        <v>43534</v>
      </c>
      <c r="B22246" t="s">
        <v>41</v>
      </c>
      <c r="C22246">
        <v>43534</v>
      </c>
      <c r="D22246" t="str">
        <f>"43534"</f>
        <v>43534</v>
      </c>
      <c r="E22246">
        <v>71.760000000000005</v>
      </c>
    </row>
    <row r="22247" spans="1:5" x14ac:dyDescent="0.2">
      <c r="A22247">
        <v>43535</v>
      </c>
      <c r="B22247" t="s">
        <v>41</v>
      </c>
      <c r="C22247">
        <v>43535</v>
      </c>
      <c r="D22247" t="str">
        <f>"43535"</f>
        <v>43535</v>
      </c>
      <c r="E22247">
        <v>81.08</v>
      </c>
    </row>
    <row r="22248" spans="1:5" x14ac:dyDescent="0.2">
      <c r="A22248">
        <v>43536</v>
      </c>
      <c r="B22248" t="s">
        <v>41</v>
      </c>
      <c r="C22248">
        <v>43536</v>
      </c>
      <c r="D22248" t="str">
        <f>"43536"</f>
        <v>43536</v>
      </c>
      <c r="E22248">
        <v>75</v>
      </c>
    </row>
    <row r="22249" spans="1:5" x14ac:dyDescent="0.2">
      <c r="A22249">
        <v>43537</v>
      </c>
      <c r="B22249" t="s">
        <v>41</v>
      </c>
      <c r="C22249">
        <v>43537</v>
      </c>
      <c r="D22249" t="str">
        <f>"43537"</f>
        <v>43537</v>
      </c>
      <c r="E22249">
        <v>80.760000000000005</v>
      </c>
    </row>
    <row r="22250" spans="1:5" x14ac:dyDescent="0.2">
      <c r="A22250">
        <v>43540</v>
      </c>
      <c r="B22250" t="s">
        <v>41</v>
      </c>
      <c r="C22250">
        <v>43540</v>
      </c>
      <c r="D22250" t="str">
        <f>"43540"</f>
        <v>43540</v>
      </c>
      <c r="E22250">
        <v>78.569999999999993</v>
      </c>
    </row>
    <row r="22251" spans="1:5" x14ac:dyDescent="0.2">
      <c r="A22251">
        <v>43541</v>
      </c>
      <c r="B22251" t="s">
        <v>41</v>
      </c>
      <c r="C22251">
        <v>43541</v>
      </c>
      <c r="D22251" t="str">
        <f>"43541"</f>
        <v>43541</v>
      </c>
      <c r="E22251" t="s">
        <v>6</v>
      </c>
    </row>
    <row r="22252" spans="1:5" x14ac:dyDescent="0.2">
      <c r="A22252">
        <v>43542</v>
      </c>
      <c r="B22252" t="s">
        <v>41</v>
      </c>
      <c r="C22252">
        <v>43542</v>
      </c>
      <c r="D22252" t="str">
        <f>"43542"</f>
        <v>43542</v>
      </c>
      <c r="E22252">
        <v>81.12</v>
      </c>
    </row>
    <row r="22253" spans="1:5" x14ac:dyDescent="0.2">
      <c r="A22253">
        <v>43543</v>
      </c>
      <c r="B22253" t="s">
        <v>41</v>
      </c>
      <c r="C22253">
        <v>43543</v>
      </c>
      <c r="D22253" t="str">
        <f>"43543"</f>
        <v>43543</v>
      </c>
      <c r="E22253">
        <v>73.569999999999993</v>
      </c>
    </row>
    <row r="22254" spans="1:5" x14ac:dyDescent="0.2">
      <c r="A22254">
        <v>43545</v>
      </c>
      <c r="B22254" t="s">
        <v>41</v>
      </c>
      <c r="C22254">
        <v>43545</v>
      </c>
      <c r="D22254" t="str">
        <f>"43545"</f>
        <v>43545</v>
      </c>
      <c r="E22254">
        <v>75.209999999999994</v>
      </c>
    </row>
    <row r="22255" spans="1:5" x14ac:dyDescent="0.2">
      <c r="A22255">
        <v>43547</v>
      </c>
      <c r="B22255" t="s">
        <v>41</v>
      </c>
      <c r="C22255">
        <v>43547</v>
      </c>
      <c r="D22255" t="str">
        <f>"43547"</f>
        <v>43547</v>
      </c>
      <c r="E22255" t="s">
        <v>6</v>
      </c>
    </row>
    <row r="22256" spans="1:5" x14ac:dyDescent="0.2">
      <c r="A22256">
        <v>43548</v>
      </c>
      <c r="B22256" t="s">
        <v>41</v>
      </c>
      <c r="C22256">
        <v>43548</v>
      </c>
      <c r="D22256" t="str">
        <f>"43548"</f>
        <v>43548</v>
      </c>
      <c r="E22256">
        <v>79.41</v>
      </c>
    </row>
    <row r="22257" spans="1:5" x14ac:dyDescent="0.2">
      <c r="A22257">
        <v>43549</v>
      </c>
      <c r="B22257" t="s">
        <v>41</v>
      </c>
      <c r="C22257">
        <v>43549</v>
      </c>
      <c r="D22257" t="str">
        <f>"43549"</f>
        <v>43549</v>
      </c>
      <c r="E22257">
        <v>77.27</v>
      </c>
    </row>
    <row r="22258" spans="1:5" x14ac:dyDescent="0.2">
      <c r="A22258">
        <v>43551</v>
      </c>
      <c r="B22258" t="s">
        <v>41</v>
      </c>
      <c r="C22258">
        <v>43551</v>
      </c>
      <c r="D22258" t="str">
        <f>"43551"</f>
        <v>43551</v>
      </c>
      <c r="E22258">
        <v>80.959999999999994</v>
      </c>
    </row>
    <row r="22259" spans="1:5" x14ac:dyDescent="0.2">
      <c r="A22259">
        <v>43553</v>
      </c>
      <c r="B22259" t="s">
        <v>41</v>
      </c>
      <c r="C22259">
        <v>43553</v>
      </c>
      <c r="D22259" t="str">
        <f>"43553"</f>
        <v>43553</v>
      </c>
      <c r="E22259" t="s">
        <v>6</v>
      </c>
    </row>
    <row r="22260" spans="1:5" x14ac:dyDescent="0.2">
      <c r="A22260">
        <v>43554</v>
      </c>
      <c r="B22260" t="s">
        <v>41</v>
      </c>
      <c r="C22260">
        <v>43554</v>
      </c>
      <c r="D22260" t="str">
        <f>"43554"</f>
        <v>43554</v>
      </c>
      <c r="E22260">
        <v>75</v>
      </c>
    </row>
    <row r="22261" spans="1:5" x14ac:dyDescent="0.2">
      <c r="A22261">
        <v>43556</v>
      </c>
      <c r="B22261" t="s">
        <v>41</v>
      </c>
      <c r="C22261">
        <v>43556</v>
      </c>
      <c r="D22261" t="str">
        <f>"43556"</f>
        <v>43556</v>
      </c>
      <c r="E22261">
        <v>68.599999999999994</v>
      </c>
    </row>
    <row r="22262" spans="1:5" x14ac:dyDescent="0.2">
      <c r="A22262">
        <v>43557</v>
      </c>
      <c r="B22262" t="s">
        <v>41</v>
      </c>
      <c r="C22262">
        <v>43557</v>
      </c>
      <c r="D22262" t="str">
        <f>"43557"</f>
        <v>43557</v>
      </c>
      <c r="E22262">
        <v>73.48</v>
      </c>
    </row>
    <row r="22263" spans="1:5" x14ac:dyDescent="0.2">
      <c r="A22263">
        <v>43558</v>
      </c>
      <c r="B22263" t="s">
        <v>41</v>
      </c>
      <c r="C22263">
        <v>43558</v>
      </c>
      <c r="D22263" t="str">
        <f>"43558"</f>
        <v>43558</v>
      </c>
      <c r="E22263">
        <v>77</v>
      </c>
    </row>
    <row r="22264" spans="1:5" x14ac:dyDescent="0.2">
      <c r="A22264">
        <v>43560</v>
      </c>
      <c r="B22264" t="s">
        <v>41</v>
      </c>
      <c r="C22264">
        <v>43560</v>
      </c>
      <c r="D22264" t="str">
        <f>"43560"</f>
        <v>43560</v>
      </c>
      <c r="E22264">
        <v>79.94</v>
      </c>
    </row>
    <row r="22265" spans="1:5" x14ac:dyDescent="0.2">
      <c r="A22265">
        <v>43565</v>
      </c>
      <c r="B22265" t="s">
        <v>41</v>
      </c>
      <c r="C22265">
        <v>43565</v>
      </c>
      <c r="D22265" t="str">
        <f>"43565"</f>
        <v>43565</v>
      </c>
      <c r="E22265" t="s">
        <v>6</v>
      </c>
    </row>
    <row r="22266" spans="1:5" x14ac:dyDescent="0.2">
      <c r="A22266">
        <v>43566</v>
      </c>
      <c r="B22266" t="s">
        <v>41</v>
      </c>
      <c r="C22266">
        <v>43566</v>
      </c>
      <c r="D22266" t="str">
        <f>"43566"</f>
        <v>43566</v>
      </c>
      <c r="E22266">
        <v>81.27</v>
      </c>
    </row>
    <row r="22267" spans="1:5" x14ac:dyDescent="0.2">
      <c r="A22267">
        <v>43567</v>
      </c>
      <c r="B22267" t="s">
        <v>41</v>
      </c>
      <c r="C22267">
        <v>43567</v>
      </c>
      <c r="D22267" t="str">
        <f>"43567"</f>
        <v>43567</v>
      </c>
      <c r="E22267">
        <v>74.03</v>
      </c>
    </row>
    <row r="22268" spans="1:5" x14ac:dyDescent="0.2">
      <c r="A22268">
        <v>43569</v>
      </c>
      <c r="B22268" t="s">
        <v>41</v>
      </c>
      <c r="C22268">
        <v>43569</v>
      </c>
      <c r="D22268" t="str">
        <f>"43569"</f>
        <v>43569</v>
      </c>
      <c r="E22268">
        <v>73.64</v>
      </c>
    </row>
    <row r="22269" spans="1:5" x14ac:dyDescent="0.2">
      <c r="A22269">
        <v>43570</v>
      </c>
      <c r="B22269" t="s">
        <v>41</v>
      </c>
      <c r="C22269">
        <v>43570</v>
      </c>
      <c r="D22269" t="str">
        <f>"43570"</f>
        <v>43570</v>
      </c>
      <c r="E22269">
        <v>73.08</v>
      </c>
    </row>
    <row r="22270" spans="1:5" x14ac:dyDescent="0.2">
      <c r="A22270">
        <v>43571</v>
      </c>
      <c r="B22270" t="s">
        <v>41</v>
      </c>
      <c r="C22270">
        <v>43571</v>
      </c>
      <c r="D22270" t="str">
        <f>"43571"</f>
        <v>43571</v>
      </c>
      <c r="E22270">
        <v>81.38</v>
      </c>
    </row>
    <row r="22271" spans="1:5" x14ac:dyDescent="0.2">
      <c r="A22271">
        <v>43604</v>
      </c>
      <c r="B22271" t="s">
        <v>41</v>
      </c>
      <c r="C22271">
        <v>43604</v>
      </c>
      <c r="D22271" t="str">
        <f>"43604"</f>
        <v>43604</v>
      </c>
      <c r="E22271">
        <v>47.6</v>
      </c>
    </row>
    <row r="22272" spans="1:5" x14ac:dyDescent="0.2">
      <c r="A22272">
        <v>43605</v>
      </c>
      <c r="B22272" t="s">
        <v>41</v>
      </c>
      <c r="C22272">
        <v>43605</v>
      </c>
      <c r="D22272" t="str">
        <f>"43605"</f>
        <v>43605</v>
      </c>
      <c r="E22272">
        <v>52.33</v>
      </c>
    </row>
    <row r="22273" spans="1:5" x14ac:dyDescent="0.2">
      <c r="A22273">
        <v>43606</v>
      </c>
      <c r="B22273" t="s">
        <v>41</v>
      </c>
      <c r="C22273">
        <v>43606</v>
      </c>
      <c r="D22273" t="str">
        <f>"43606"</f>
        <v>43606</v>
      </c>
      <c r="E22273">
        <v>70.55</v>
      </c>
    </row>
    <row r="22274" spans="1:5" x14ac:dyDescent="0.2">
      <c r="A22274">
        <v>43607</v>
      </c>
      <c r="B22274" t="s">
        <v>41</v>
      </c>
      <c r="C22274">
        <v>43607</v>
      </c>
      <c r="D22274" t="str">
        <f>"43607"</f>
        <v>43607</v>
      </c>
      <c r="E22274">
        <v>54.53</v>
      </c>
    </row>
    <row r="22275" spans="1:5" x14ac:dyDescent="0.2">
      <c r="A22275">
        <v>43608</v>
      </c>
      <c r="B22275" t="s">
        <v>41</v>
      </c>
      <c r="C22275">
        <v>43608</v>
      </c>
      <c r="D22275" t="str">
        <f>"43608"</f>
        <v>43608</v>
      </c>
      <c r="E22275">
        <v>47.36</v>
      </c>
    </row>
    <row r="22276" spans="1:5" x14ac:dyDescent="0.2">
      <c r="A22276">
        <v>43609</v>
      </c>
      <c r="B22276" t="s">
        <v>41</v>
      </c>
      <c r="C22276">
        <v>43609</v>
      </c>
      <c r="D22276" t="str">
        <f>"43609"</f>
        <v>43609</v>
      </c>
      <c r="E22276">
        <v>52.75</v>
      </c>
    </row>
    <row r="22277" spans="1:5" x14ac:dyDescent="0.2">
      <c r="A22277">
        <v>43610</v>
      </c>
      <c r="B22277" t="s">
        <v>41</v>
      </c>
      <c r="C22277">
        <v>43610</v>
      </c>
      <c r="D22277" t="str">
        <f>"43610"</f>
        <v>43610</v>
      </c>
      <c r="E22277">
        <v>53.85</v>
      </c>
    </row>
    <row r="22278" spans="1:5" x14ac:dyDescent="0.2">
      <c r="A22278">
        <v>43611</v>
      </c>
      <c r="B22278" t="s">
        <v>41</v>
      </c>
      <c r="C22278">
        <v>43611</v>
      </c>
      <c r="D22278" t="str">
        <f>"43611"</f>
        <v>43611</v>
      </c>
      <c r="E22278">
        <v>71.3</v>
      </c>
    </row>
    <row r="22279" spans="1:5" x14ac:dyDescent="0.2">
      <c r="A22279">
        <v>43612</v>
      </c>
      <c r="B22279" t="s">
        <v>41</v>
      </c>
      <c r="C22279">
        <v>43612</v>
      </c>
      <c r="D22279" t="str">
        <f>"43612"</f>
        <v>43612</v>
      </c>
      <c r="E22279">
        <v>64.930000000000007</v>
      </c>
    </row>
    <row r="22280" spans="1:5" x14ac:dyDescent="0.2">
      <c r="A22280">
        <v>43613</v>
      </c>
      <c r="B22280" t="s">
        <v>41</v>
      </c>
      <c r="C22280">
        <v>43613</v>
      </c>
      <c r="D22280" t="str">
        <f>"43613"</f>
        <v>43613</v>
      </c>
      <c r="E22280">
        <v>71.5</v>
      </c>
    </row>
    <row r="22281" spans="1:5" x14ac:dyDescent="0.2">
      <c r="A22281">
        <v>43614</v>
      </c>
      <c r="B22281" t="s">
        <v>41</v>
      </c>
      <c r="C22281">
        <v>43614</v>
      </c>
      <c r="D22281" t="str">
        <f>"43614"</f>
        <v>43614</v>
      </c>
      <c r="E22281">
        <v>74.930000000000007</v>
      </c>
    </row>
    <row r="22282" spans="1:5" x14ac:dyDescent="0.2">
      <c r="A22282">
        <v>43615</v>
      </c>
      <c r="B22282" t="s">
        <v>41</v>
      </c>
      <c r="C22282">
        <v>43615</v>
      </c>
      <c r="D22282" t="str">
        <f>"43615"</f>
        <v>43615</v>
      </c>
      <c r="E22282">
        <v>69.790000000000006</v>
      </c>
    </row>
    <row r="22283" spans="1:5" x14ac:dyDescent="0.2">
      <c r="A22283">
        <v>43616</v>
      </c>
      <c r="B22283" t="s">
        <v>41</v>
      </c>
      <c r="C22283">
        <v>43616</v>
      </c>
      <c r="D22283" t="str">
        <f>"43616"</f>
        <v>43616</v>
      </c>
      <c r="E22283">
        <v>78.16</v>
      </c>
    </row>
    <row r="22284" spans="1:5" x14ac:dyDescent="0.2">
      <c r="A22284">
        <v>43617</v>
      </c>
      <c r="B22284" t="s">
        <v>41</v>
      </c>
      <c r="C22284">
        <v>43617</v>
      </c>
      <c r="D22284" t="str">
        <f>"43617"</f>
        <v>43617</v>
      </c>
      <c r="E22284">
        <v>80.319999999999993</v>
      </c>
    </row>
    <row r="22285" spans="1:5" x14ac:dyDescent="0.2">
      <c r="A22285">
        <v>43619</v>
      </c>
      <c r="B22285" t="s">
        <v>41</v>
      </c>
      <c r="C22285">
        <v>43619</v>
      </c>
      <c r="D22285" t="str">
        <f>"43619"</f>
        <v>43619</v>
      </c>
      <c r="E22285">
        <v>78.459999999999994</v>
      </c>
    </row>
    <row r="22286" spans="1:5" x14ac:dyDescent="0.2">
      <c r="A22286">
        <v>43620</v>
      </c>
      <c r="B22286" t="s">
        <v>41</v>
      </c>
      <c r="C22286">
        <v>43620</v>
      </c>
      <c r="D22286" t="str">
        <f>"43620"</f>
        <v>43620</v>
      </c>
      <c r="E22286">
        <v>57.53</v>
      </c>
    </row>
    <row r="22287" spans="1:5" x14ac:dyDescent="0.2">
      <c r="A22287">
        <v>43623</v>
      </c>
      <c r="B22287" t="s">
        <v>41</v>
      </c>
      <c r="C22287">
        <v>43623</v>
      </c>
      <c r="D22287" t="str">
        <f>"43623"</f>
        <v>43623</v>
      </c>
      <c r="E22287">
        <v>74.52</v>
      </c>
    </row>
    <row r="22288" spans="1:5" x14ac:dyDescent="0.2">
      <c r="A22288">
        <v>43657</v>
      </c>
      <c r="B22288" t="s">
        <v>41</v>
      </c>
      <c r="C22288">
        <v>43657</v>
      </c>
      <c r="D22288" t="str">
        <f>"43657"</f>
        <v>43657</v>
      </c>
      <c r="E22288" t="s">
        <v>6</v>
      </c>
    </row>
    <row r="22289" spans="1:5" x14ac:dyDescent="0.2">
      <c r="A22289">
        <v>43659</v>
      </c>
      <c r="B22289" t="s">
        <v>41</v>
      </c>
      <c r="C22289">
        <v>43659</v>
      </c>
      <c r="D22289" t="str">
        <f>"43659"</f>
        <v>43659</v>
      </c>
      <c r="E22289" t="s">
        <v>6</v>
      </c>
    </row>
    <row r="22290" spans="1:5" x14ac:dyDescent="0.2">
      <c r="A22290">
        <v>43701</v>
      </c>
      <c r="B22290" t="s">
        <v>41</v>
      </c>
      <c r="C22290">
        <v>43701</v>
      </c>
      <c r="D22290" t="str">
        <f>"43701"</f>
        <v>43701</v>
      </c>
      <c r="E22290">
        <v>68.87</v>
      </c>
    </row>
    <row r="22291" spans="1:5" x14ac:dyDescent="0.2">
      <c r="A22291">
        <v>43711</v>
      </c>
      <c r="B22291" t="s">
        <v>41</v>
      </c>
      <c r="C22291">
        <v>43711</v>
      </c>
      <c r="D22291" t="str">
        <f>"43711"</f>
        <v>43711</v>
      </c>
      <c r="E22291" t="s">
        <v>6</v>
      </c>
    </row>
    <row r="22292" spans="1:5" x14ac:dyDescent="0.2">
      <c r="A22292">
        <v>43713</v>
      </c>
      <c r="B22292" t="s">
        <v>41</v>
      </c>
      <c r="C22292">
        <v>43713</v>
      </c>
      <c r="D22292" t="str">
        <f>"43713"</f>
        <v>43713</v>
      </c>
      <c r="E22292">
        <v>72.12</v>
      </c>
    </row>
    <row r="22293" spans="1:5" x14ac:dyDescent="0.2">
      <c r="A22293">
        <v>43716</v>
      </c>
      <c r="B22293" t="s">
        <v>41</v>
      </c>
      <c r="C22293">
        <v>43716</v>
      </c>
      <c r="D22293" t="str">
        <f>"43716"</f>
        <v>43716</v>
      </c>
      <c r="E22293">
        <v>76.25</v>
      </c>
    </row>
    <row r="22294" spans="1:5" x14ac:dyDescent="0.2">
      <c r="A22294">
        <v>43717</v>
      </c>
      <c r="B22294" t="s">
        <v>41</v>
      </c>
      <c r="C22294">
        <v>43717</v>
      </c>
      <c r="D22294" t="str">
        <f>"43717"</f>
        <v>43717</v>
      </c>
      <c r="E22294" t="s">
        <v>6</v>
      </c>
    </row>
    <row r="22295" spans="1:5" x14ac:dyDescent="0.2">
      <c r="A22295">
        <v>43718</v>
      </c>
      <c r="B22295" t="s">
        <v>41</v>
      </c>
      <c r="C22295">
        <v>43718</v>
      </c>
      <c r="D22295" t="str">
        <f>"43718"</f>
        <v>43718</v>
      </c>
      <c r="E22295">
        <v>81.05</v>
      </c>
    </row>
    <row r="22296" spans="1:5" x14ac:dyDescent="0.2">
      <c r="A22296">
        <v>43719</v>
      </c>
      <c r="B22296" t="s">
        <v>41</v>
      </c>
      <c r="C22296">
        <v>43719</v>
      </c>
      <c r="D22296" t="str">
        <f>"43719"</f>
        <v>43719</v>
      </c>
      <c r="E22296">
        <v>74.290000000000006</v>
      </c>
    </row>
    <row r="22297" spans="1:5" x14ac:dyDescent="0.2">
      <c r="A22297">
        <v>43720</v>
      </c>
      <c r="B22297" t="s">
        <v>41</v>
      </c>
      <c r="C22297">
        <v>43720</v>
      </c>
      <c r="D22297" t="str">
        <f>"43720"</f>
        <v>43720</v>
      </c>
      <c r="E22297">
        <v>69.489999999999995</v>
      </c>
    </row>
    <row r="22298" spans="1:5" x14ac:dyDescent="0.2">
      <c r="A22298">
        <v>43721</v>
      </c>
      <c r="B22298" t="s">
        <v>41</v>
      </c>
      <c r="C22298">
        <v>43721</v>
      </c>
      <c r="D22298" t="str">
        <f>"43721"</f>
        <v>43721</v>
      </c>
      <c r="E22298" t="s">
        <v>6</v>
      </c>
    </row>
    <row r="22299" spans="1:5" x14ac:dyDescent="0.2">
      <c r="A22299">
        <v>43722</v>
      </c>
      <c r="B22299" t="s">
        <v>41</v>
      </c>
      <c r="C22299">
        <v>43722</v>
      </c>
      <c r="D22299" t="str">
        <f>"43722"</f>
        <v>43722</v>
      </c>
      <c r="E22299" t="s">
        <v>6</v>
      </c>
    </row>
    <row r="22300" spans="1:5" x14ac:dyDescent="0.2">
      <c r="A22300">
        <v>43723</v>
      </c>
      <c r="B22300" t="s">
        <v>41</v>
      </c>
      <c r="C22300">
        <v>43723</v>
      </c>
      <c r="D22300" t="str">
        <f>"43723"</f>
        <v>43723</v>
      </c>
      <c r="E22300">
        <v>67.97</v>
      </c>
    </row>
    <row r="22301" spans="1:5" x14ac:dyDescent="0.2">
      <c r="A22301">
        <v>43724</v>
      </c>
      <c r="B22301" t="s">
        <v>41</v>
      </c>
      <c r="C22301">
        <v>43724</v>
      </c>
      <c r="D22301" t="str">
        <f>"43724"</f>
        <v>43724</v>
      </c>
      <c r="E22301">
        <v>73.17</v>
      </c>
    </row>
    <row r="22302" spans="1:5" x14ac:dyDescent="0.2">
      <c r="A22302">
        <v>43725</v>
      </c>
      <c r="B22302" t="s">
        <v>41</v>
      </c>
      <c r="C22302">
        <v>43725</v>
      </c>
      <c r="D22302" t="str">
        <f>"43725"</f>
        <v>43725</v>
      </c>
      <c r="E22302">
        <v>69.58</v>
      </c>
    </row>
    <row r="22303" spans="1:5" x14ac:dyDescent="0.2">
      <c r="A22303">
        <v>43727</v>
      </c>
      <c r="B22303" t="s">
        <v>41</v>
      </c>
      <c r="C22303">
        <v>43727</v>
      </c>
      <c r="D22303" t="str">
        <f>"43727"</f>
        <v>43727</v>
      </c>
      <c r="E22303">
        <v>74.290000000000006</v>
      </c>
    </row>
    <row r="22304" spans="1:5" x14ac:dyDescent="0.2">
      <c r="A22304">
        <v>43728</v>
      </c>
      <c r="B22304" t="s">
        <v>41</v>
      </c>
      <c r="C22304">
        <v>43728</v>
      </c>
      <c r="D22304" t="str">
        <f>"43728"</f>
        <v>43728</v>
      </c>
      <c r="E22304">
        <v>72.34</v>
      </c>
    </row>
    <row r="22305" spans="1:5" x14ac:dyDescent="0.2">
      <c r="A22305">
        <v>43730</v>
      </c>
      <c r="B22305" t="s">
        <v>41</v>
      </c>
      <c r="C22305">
        <v>43730</v>
      </c>
      <c r="D22305" t="str">
        <f>"43730"</f>
        <v>43730</v>
      </c>
      <c r="E22305">
        <v>72.040000000000006</v>
      </c>
    </row>
    <row r="22306" spans="1:5" x14ac:dyDescent="0.2">
      <c r="A22306">
        <v>43731</v>
      </c>
      <c r="B22306" t="s">
        <v>41</v>
      </c>
      <c r="C22306">
        <v>43731</v>
      </c>
      <c r="D22306" t="str">
        <f>"43731"</f>
        <v>43731</v>
      </c>
      <c r="E22306">
        <v>66.37</v>
      </c>
    </row>
    <row r="22307" spans="1:5" x14ac:dyDescent="0.2">
      <c r="A22307">
        <v>43732</v>
      </c>
      <c r="B22307" t="s">
        <v>41</v>
      </c>
      <c r="C22307">
        <v>43732</v>
      </c>
      <c r="D22307" t="str">
        <f>"43732"</f>
        <v>43732</v>
      </c>
      <c r="E22307">
        <v>73.680000000000007</v>
      </c>
    </row>
    <row r="22308" spans="1:5" x14ac:dyDescent="0.2">
      <c r="A22308">
        <v>43733</v>
      </c>
      <c r="B22308" t="s">
        <v>41</v>
      </c>
      <c r="C22308">
        <v>43733</v>
      </c>
      <c r="D22308" t="str">
        <f>"43733"</f>
        <v>43733</v>
      </c>
      <c r="E22308" t="s">
        <v>6</v>
      </c>
    </row>
    <row r="22309" spans="1:5" x14ac:dyDescent="0.2">
      <c r="A22309">
        <v>43734</v>
      </c>
      <c r="B22309" t="s">
        <v>41</v>
      </c>
      <c r="C22309">
        <v>43734</v>
      </c>
      <c r="D22309" t="str">
        <f>"43734"</f>
        <v>43734</v>
      </c>
      <c r="E22309">
        <v>76.19</v>
      </c>
    </row>
    <row r="22310" spans="1:5" x14ac:dyDescent="0.2">
      <c r="A22310">
        <v>43735</v>
      </c>
      <c r="B22310" t="s">
        <v>41</v>
      </c>
      <c r="C22310">
        <v>43735</v>
      </c>
      <c r="D22310" t="str">
        <f>"43735"</f>
        <v>43735</v>
      </c>
      <c r="E22310" t="s">
        <v>6</v>
      </c>
    </row>
    <row r="22311" spans="1:5" x14ac:dyDescent="0.2">
      <c r="A22311">
        <v>43738</v>
      </c>
      <c r="B22311" t="s">
        <v>41</v>
      </c>
      <c r="C22311">
        <v>43738</v>
      </c>
      <c r="D22311" t="str">
        <f>"43738"</f>
        <v>43738</v>
      </c>
      <c r="E22311" t="s">
        <v>6</v>
      </c>
    </row>
    <row r="22312" spans="1:5" x14ac:dyDescent="0.2">
      <c r="A22312">
        <v>43739</v>
      </c>
      <c r="B22312" t="s">
        <v>41</v>
      </c>
      <c r="C22312">
        <v>43739</v>
      </c>
      <c r="D22312" t="str">
        <f>"43739"</f>
        <v>43739</v>
      </c>
      <c r="E22312">
        <v>72.819999999999993</v>
      </c>
    </row>
    <row r="22313" spans="1:5" x14ac:dyDescent="0.2">
      <c r="A22313">
        <v>43740</v>
      </c>
      <c r="B22313" t="s">
        <v>41</v>
      </c>
      <c r="C22313">
        <v>43740</v>
      </c>
      <c r="D22313" t="str">
        <f>"43740"</f>
        <v>43740</v>
      </c>
      <c r="E22313" t="s">
        <v>6</v>
      </c>
    </row>
    <row r="22314" spans="1:5" x14ac:dyDescent="0.2">
      <c r="A22314">
        <v>43746</v>
      </c>
      <c r="B22314" t="s">
        <v>41</v>
      </c>
      <c r="C22314">
        <v>43746</v>
      </c>
      <c r="D22314" t="str">
        <f>"43746"</f>
        <v>43746</v>
      </c>
      <c r="E22314">
        <v>73.33</v>
      </c>
    </row>
    <row r="22315" spans="1:5" x14ac:dyDescent="0.2">
      <c r="A22315">
        <v>43747</v>
      </c>
      <c r="B22315" t="s">
        <v>41</v>
      </c>
      <c r="C22315">
        <v>43747</v>
      </c>
      <c r="D22315" t="str">
        <f>"43747"</f>
        <v>43747</v>
      </c>
      <c r="E22315">
        <v>71.11</v>
      </c>
    </row>
    <row r="22316" spans="1:5" x14ac:dyDescent="0.2">
      <c r="A22316">
        <v>43748</v>
      </c>
      <c r="B22316" t="s">
        <v>41</v>
      </c>
      <c r="C22316">
        <v>43748</v>
      </c>
      <c r="D22316" t="str">
        <f>"43748"</f>
        <v>43748</v>
      </c>
      <c r="E22316">
        <v>70.09</v>
      </c>
    </row>
    <row r="22317" spans="1:5" x14ac:dyDescent="0.2">
      <c r="A22317">
        <v>43749</v>
      </c>
      <c r="B22317" t="s">
        <v>41</v>
      </c>
      <c r="C22317">
        <v>43749</v>
      </c>
      <c r="D22317" t="str">
        <f>"43749"</f>
        <v>43749</v>
      </c>
      <c r="E22317">
        <v>70.59</v>
      </c>
    </row>
    <row r="22318" spans="1:5" x14ac:dyDescent="0.2">
      <c r="A22318">
        <v>43750</v>
      </c>
      <c r="B22318" t="s">
        <v>41</v>
      </c>
      <c r="C22318">
        <v>43750</v>
      </c>
      <c r="D22318" t="str">
        <f>"43750"</f>
        <v>43750</v>
      </c>
      <c r="E22318" t="s">
        <v>6</v>
      </c>
    </row>
    <row r="22319" spans="1:5" x14ac:dyDescent="0.2">
      <c r="A22319">
        <v>43752</v>
      </c>
      <c r="B22319" t="s">
        <v>41</v>
      </c>
      <c r="C22319">
        <v>43752</v>
      </c>
      <c r="D22319" t="str">
        <f>"43752"</f>
        <v>43752</v>
      </c>
      <c r="E22319" t="s">
        <v>6</v>
      </c>
    </row>
    <row r="22320" spans="1:5" x14ac:dyDescent="0.2">
      <c r="A22320">
        <v>43754</v>
      </c>
      <c r="B22320" t="s">
        <v>41</v>
      </c>
      <c r="C22320">
        <v>43754</v>
      </c>
      <c r="D22320" t="str">
        <f>"43754"</f>
        <v>43754</v>
      </c>
      <c r="E22320">
        <v>75</v>
      </c>
    </row>
    <row r="22321" spans="1:5" x14ac:dyDescent="0.2">
      <c r="A22321">
        <v>43755</v>
      </c>
      <c r="B22321" t="s">
        <v>41</v>
      </c>
      <c r="C22321">
        <v>43755</v>
      </c>
      <c r="D22321" t="str">
        <f>"43755"</f>
        <v>43755</v>
      </c>
      <c r="E22321">
        <v>74.680000000000007</v>
      </c>
    </row>
    <row r="22322" spans="1:5" x14ac:dyDescent="0.2">
      <c r="A22322">
        <v>43756</v>
      </c>
      <c r="B22322" t="s">
        <v>41</v>
      </c>
      <c r="C22322">
        <v>43756</v>
      </c>
      <c r="D22322" t="str">
        <f>"43756"</f>
        <v>43756</v>
      </c>
      <c r="E22322">
        <v>70.56</v>
      </c>
    </row>
    <row r="22323" spans="1:5" x14ac:dyDescent="0.2">
      <c r="A22323">
        <v>43757</v>
      </c>
      <c r="B22323" t="s">
        <v>41</v>
      </c>
      <c r="C22323">
        <v>43757</v>
      </c>
      <c r="D22323" t="str">
        <f>"43757"</f>
        <v>43757</v>
      </c>
      <c r="E22323" t="s">
        <v>6</v>
      </c>
    </row>
    <row r="22324" spans="1:5" x14ac:dyDescent="0.2">
      <c r="A22324">
        <v>43758</v>
      </c>
      <c r="B22324" t="s">
        <v>41</v>
      </c>
      <c r="C22324">
        <v>43758</v>
      </c>
      <c r="D22324" t="str">
        <f>"43758"</f>
        <v>43758</v>
      </c>
      <c r="E22324">
        <v>69.34</v>
      </c>
    </row>
    <row r="22325" spans="1:5" x14ac:dyDescent="0.2">
      <c r="A22325">
        <v>43759</v>
      </c>
      <c r="B22325" t="s">
        <v>41</v>
      </c>
      <c r="C22325">
        <v>43759</v>
      </c>
      <c r="D22325" t="str">
        <f>"43759"</f>
        <v>43759</v>
      </c>
      <c r="E22325" t="s">
        <v>6</v>
      </c>
    </row>
    <row r="22326" spans="1:5" x14ac:dyDescent="0.2">
      <c r="A22326">
        <v>43760</v>
      </c>
      <c r="B22326" t="s">
        <v>41</v>
      </c>
      <c r="C22326">
        <v>43760</v>
      </c>
      <c r="D22326" t="str">
        <f>"43760"</f>
        <v>43760</v>
      </c>
      <c r="E22326">
        <v>70.73</v>
      </c>
    </row>
    <row r="22327" spans="1:5" x14ac:dyDescent="0.2">
      <c r="A22327">
        <v>43761</v>
      </c>
      <c r="B22327" t="s">
        <v>41</v>
      </c>
      <c r="C22327">
        <v>43761</v>
      </c>
      <c r="D22327" t="str">
        <f>"43761"</f>
        <v>43761</v>
      </c>
      <c r="E22327" t="s">
        <v>6</v>
      </c>
    </row>
    <row r="22328" spans="1:5" x14ac:dyDescent="0.2">
      <c r="A22328">
        <v>43762</v>
      </c>
      <c r="B22328" t="s">
        <v>41</v>
      </c>
      <c r="C22328">
        <v>43762</v>
      </c>
      <c r="D22328" t="str">
        <f>"43762"</f>
        <v>43762</v>
      </c>
      <c r="E22328">
        <v>74.52</v>
      </c>
    </row>
    <row r="22329" spans="1:5" x14ac:dyDescent="0.2">
      <c r="A22329">
        <v>43764</v>
      </c>
      <c r="B22329" t="s">
        <v>41</v>
      </c>
      <c r="C22329">
        <v>43764</v>
      </c>
      <c r="D22329" t="str">
        <f>"43764"</f>
        <v>43764</v>
      </c>
      <c r="E22329">
        <v>67.06</v>
      </c>
    </row>
    <row r="22330" spans="1:5" x14ac:dyDescent="0.2">
      <c r="A22330">
        <v>43766</v>
      </c>
      <c r="B22330" t="s">
        <v>41</v>
      </c>
      <c r="C22330">
        <v>43766</v>
      </c>
      <c r="D22330" t="str">
        <f>"43766"</f>
        <v>43766</v>
      </c>
      <c r="E22330">
        <v>65.569999999999993</v>
      </c>
    </row>
    <row r="22331" spans="1:5" x14ac:dyDescent="0.2">
      <c r="A22331">
        <v>43767</v>
      </c>
      <c r="B22331" t="s">
        <v>41</v>
      </c>
      <c r="C22331">
        <v>43767</v>
      </c>
      <c r="D22331" t="str">
        <f>"43767"</f>
        <v>43767</v>
      </c>
      <c r="E22331">
        <v>77.14</v>
      </c>
    </row>
    <row r="22332" spans="1:5" x14ac:dyDescent="0.2">
      <c r="A22332">
        <v>43768</v>
      </c>
      <c r="B22332" t="s">
        <v>41</v>
      </c>
      <c r="C22332">
        <v>43768</v>
      </c>
      <c r="D22332" t="str">
        <f>"43768"</f>
        <v>43768</v>
      </c>
      <c r="E22332" t="s">
        <v>6</v>
      </c>
    </row>
    <row r="22333" spans="1:5" x14ac:dyDescent="0.2">
      <c r="A22333">
        <v>43771</v>
      </c>
      <c r="B22333" t="s">
        <v>41</v>
      </c>
      <c r="C22333">
        <v>43771</v>
      </c>
      <c r="D22333" t="str">
        <f>"43771"</f>
        <v>43771</v>
      </c>
      <c r="E22333">
        <v>69.88</v>
      </c>
    </row>
    <row r="22334" spans="1:5" x14ac:dyDescent="0.2">
      <c r="A22334">
        <v>43772</v>
      </c>
      <c r="B22334" t="s">
        <v>41</v>
      </c>
      <c r="C22334">
        <v>43772</v>
      </c>
      <c r="D22334" t="str">
        <f>"43772"</f>
        <v>43772</v>
      </c>
      <c r="E22334">
        <v>73.33</v>
      </c>
    </row>
    <row r="22335" spans="1:5" x14ac:dyDescent="0.2">
      <c r="A22335">
        <v>43773</v>
      </c>
      <c r="B22335" t="s">
        <v>41</v>
      </c>
      <c r="C22335">
        <v>43773</v>
      </c>
      <c r="D22335" t="str">
        <f>"43773"</f>
        <v>43773</v>
      </c>
      <c r="E22335">
        <v>72.8</v>
      </c>
    </row>
    <row r="22336" spans="1:5" x14ac:dyDescent="0.2">
      <c r="A22336">
        <v>43777</v>
      </c>
      <c r="B22336" t="s">
        <v>41</v>
      </c>
      <c r="C22336">
        <v>43777</v>
      </c>
      <c r="D22336" t="str">
        <f>"43777"</f>
        <v>43777</v>
      </c>
      <c r="E22336">
        <v>65.38</v>
      </c>
    </row>
    <row r="22337" spans="1:5" x14ac:dyDescent="0.2">
      <c r="A22337">
        <v>43778</v>
      </c>
      <c r="B22337" t="s">
        <v>41</v>
      </c>
      <c r="C22337">
        <v>43778</v>
      </c>
      <c r="D22337" t="str">
        <f>"43778"</f>
        <v>43778</v>
      </c>
      <c r="E22337">
        <v>71.67</v>
      </c>
    </row>
    <row r="22338" spans="1:5" x14ac:dyDescent="0.2">
      <c r="A22338">
        <v>43779</v>
      </c>
      <c r="B22338" t="s">
        <v>41</v>
      </c>
      <c r="C22338">
        <v>43779</v>
      </c>
      <c r="D22338" t="str">
        <f>"43779"</f>
        <v>43779</v>
      </c>
      <c r="E22338">
        <v>78.569999999999993</v>
      </c>
    </row>
    <row r="22339" spans="1:5" x14ac:dyDescent="0.2">
      <c r="A22339">
        <v>43780</v>
      </c>
      <c r="B22339" t="s">
        <v>41</v>
      </c>
      <c r="C22339">
        <v>43780</v>
      </c>
      <c r="D22339" t="str">
        <f>"43780"</f>
        <v>43780</v>
      </c>
      <c r="E22339">
        <v>73.83</v>
      </c>
    </row>
    <row r="22340" spans="1:5" x14ac:dyDescent="0.2">
      <c r="A22340">
        <v>43782</v>
      </c>
      <c r="B22340" t="s">
        <v>41</v>
      </c>
      <c r="C22340">
        <v>43782</v>
      </c>
      <c r="D22340" t="str">
        <f>"43782"</f>
        <v>43782</v>
      </c>
      <c r="E22340">
        <v>66.67</v>
      </c>
    </row>
    <row r="22341" spans="1:5" x14ac:dyDescent="0.2">
      <c r="A22341">
        <v>43783</v>
      </c>
      <c r="B22341" t="s">
        <v>41</v>
      </c>
      <c r="C22341">
        <v>43783</v>
      </c>
      <c r="D22341" t="str">
        <f>"43783"</f>
        <v>43783</v>
      </c>
      <c r="E22341">
        <v>75.12</v>
      </c>
    </row>
    <row r="22342" spans="1:5" x14ac:dyDescent="0.2">
      <c r="A22342">
        <v>43786</v>
      </c>
      <c r="B22342" t="s">
        <v>41</v>
      </c>
      <c r="C22342">
        <v>43786</v>
      </c>
      <c r="D22342" t="str">
        <f>"43786"</f>
        <v>43786</v>
      </c>
      <c r="E22342" t="s">
        <v>6</v>
      </c>
    </row>
    <row r="22343" spans="1:5" x14ac:dyDescent="0.2">
      <c r="A22343">
        <v>43787</v>
      </c>
      <c r="B22343" t="s">
        <v>41</v>
      </c>
      <c r="C22343">
        <v>43787</v>
      </c>
      <c r="D22343" t="str">
        <f>"43787"</f>
        <v>43787</v>
      </c>
      <c r="E22343">
        <v>67.209999999999994</v>
      </c>
    </row>
    <row r="22344" spans="1:5" x14ac:dyDescent="0.2">
      <c r="A22344">
        <v>43788</v>
      </c>
      <c r="B22344" t="s">
        <v>41</v>
      </c>
      <c r="C22344">
        <v>43788</v>
      </c>
      <c r="D22344" t="str">
        <f>"43788"</f>
        <v>43788</v>
      </c>
      <c r="E22344">
        <v>72.97</v>
      </c>
    </row>
    <row r="22345" spans="1:5" x14ac:dyDescent="0.2">
      <c r="A22345">
        <v>43791</v>
      </c>
      <c r="B22345" t="s">
        <v>41</v>
      </c>
      <c r="C22345">
        <v>43791</v>
      </c>
      <c r="D22345" t="str">
        <f>"43791"</f>
        <v>43791</v>
      </c>
      <c r="E22345" t="s">
        <v>6</v>
      </c>
    </row>
    <row r="22346" spans="1:5" x14ac:dyDescent="0.2">
      <c r="A22346">
        <v>43793</v>
      </c>
      <c r="B22346" t="s">
        <v>41</v>
      </c>
      <c r="C22346">
        <v>43793</v>
      </c>
      <c r="D22346" t="str">
        <f>"43793"</f>
        <v>43793</v>
      </c>
      <c r="E22346">
        <v>68.66</v>
      </c>
    </row>
    <row r="22347" spans="1:5" x14ac:dyDescent="0.2">
      <c r="A22347">
        <v>43802</v>
      </c>
      <c r="B22347" t="s">
        <v>41</v>
      </c>
      <c r="C22347">
        <v>43802</v>
      </c>
      <c r="D22347" t="str">
        <f>"43802"</f>
        <v>43802</v>
      </c>
      <c r="E22347">
        <v>65.959999999999994</v>
      </c>
    </row>
    <row r="22348" spans="1:5" x14ac:dyDescent="0.2">
      <c r="A22348">
        <v>43803</v>
      </c>
      <c r="B22348" t="s">
        <v>41</v>
      </c>
      <c r="C22348">
        <v>43803</v>
      </c>
      <c r="D22348" t="str">
        <f>"43803"</f>
        <v>43803</v>
      </c>
      <c r="E22348" t="s">
        <v>6</v>
      </c>
    </row>
    <row r="22349" spans="1:5" x14ac:dyDescent="0.2">
      <c r="A22349">
        <v>43804</v>
      </c>
      <c r="B22349" t="s">
        <v>41</v>
      </c>
      <c r="C22349">
        <v>43804</v>
      </c>
      <c r="D22349" t="str">
        <f>"43804"</f>
        <v>43804</v>
      </c>
      <c r="E22349">
        <v>72.510000000000005</v>
      </c>
    </row>
    <row r="22350" spans="1:5" x14ac:dyDescent="0.2">
      <c r="A22350">
        <v>43805</v>
      </c>
      <c r="B22350" t="s">
        <v>41</v>
      </c>
      <c r="C22350">
        <v>43805</v>
      </c>
      <c r="D22350" t="str">
        <f>"43805"</f>
        <v>43805</v>
      </c>
      <c r="E22350" t="s">
        <v>6</v>
      </c>
    </row>
    <row r="22351" spans="1:5" x14ac:dyDescent="0.2">
      <c r="A22351">
        <v>43811</v>
      </c>
      <c r="B22351" t="s">
        <v>41</v>
      </c>
      <c r="C22351">
        <v>43811</v>
      </c>
      <c r="D22351" t="str">
        <f>"43811"</f>
        <v>43811</v>
      </c>
      <c r="E22351">
        <v>67.569999999999993</v>
      </c>
    </row>
    <row r="22352" spans="1:5" x14ac:dyDescent="0.2">
      <c r="A22352">
        <v>43812</v>
      </c>
      <c r="B22352" t="s">
        <v>41</v>
      </c>
      <c r="C22352">
        <v>43812</v>
      </c>
      <c r="D22352" t="str">
        <f>"43812"</f>
        <v>43812</v>
      </c>
      <c r="E22352">
        <v>67.459999999999994</v>
      </c>
    </row>
    <row r="22353" spans="1:5" x14ac:dyDescent="0.2">
      <c r="A22353">
        <v>43821</v>
      </c>
      <c r="B22353" t="s">
        <v>41</v>
      </c>
      <c r="C22353">
        <v>43821</v>
      </c>
      <c r="D22353" t="str">
        <f>"43821"</f>
        <v>43821</v>
      </c>
      <c r="E22353">
        <v>69.760000000000005</v>
      </c>
    </row>
    <row r="22354" spans="1:5" x14ac:dyDescent="0.2">
      <c r="A22354">
        <v>43822</v>
      </c>
      <c r="B22354" t="s">
        <v>41</v>
      </c>
      <c r="C22354">
        <v>43822</v>
      </c>
      <c r="D22354" t="str">
        <f>"43822"</f>
        <v>43822</v>
      </c>
      <c r="E22354">
        <v>72.48</v>
      </c>
    </row>
    <row r="22355" spans="1:5" x14ac:dyDescent="0.2">
      <c r="A22355">
        <v>43824</v>
      </c>
      <c r="B22355" t="s">
        <v>41</v>
      </c>
      <c r="C22355">
        <v>43824</v>
      </c>
      <c r="D22355" t="str">
        <f>"43824"</f>
        <v>43824</v>
      </c>
      <c r="E22355">
        <v>69.64</v>
      </c>
    </row>
    <row r="22356" spans="1:5" x14ac:dyDescent="0.2">
      <c r="A22356">
        <v>43830</v>
      </c>
      <c r="B22356" t="s">
        <v>41</v>
      </c>
      <c r="C22356">
        <v>43830</v>
      </c>
      <c r="D22356" t="str">
        <f>"43830"</f>
        <v>43830</v>
      </c>
      <c r="E22356">
        <v>76.55</v>
      </c>
    </row>
    <row r="22357" spans="1:5" x14ac:dyDescent="0.2">
      <c r="A22357">
        <v>43832</v>
      </c>
      <c r="B22357" t="s">
        <v>41</v>
      </c>
      <c r="C22357">
        <v>43832</v>
      </c>
      <c r="D22357" t="str">
        <f>"43832"</f>
        <v>43832</v>
      </c>
      <c r="E22357">
        <v>68.89</v>
      </c>
    </row>
    <row r="22358" spans="1:5" x14ac:dyDescent="0.2">
      <c r="A22358">
        <v>43836</v>
      </c>
      <c r="B22358" t="s">
        <v>41</v>
      </c>
      <c r="C22358">
        <v>43836</v>
      </c>
      <c r="D22358" t="str">
        <f>"43836"</f>
        <v>43836</v>
      </c>
      <c r="E22358" t="s">
        <v>6</v>
      </c>
    </row>
    <row r="22359" spans="1:5" x14ac:dyDescent="0.2">
      <c r="A22359">
        <v>43837</v>
      </c>
      <c r="B22359" t="s">
        <v>41</v>
      </c>
      <c r="C22359">
        <v>43837</v>
      </c>
      <c r="D22359" t="str">
        <f>"43837"</f>
        <v>43837</v>
      </c>
      <c r="E22359">
        <v>68.349999999999994</v>
      </c>
    </row>
    <row r="22360" spans="1:5" x14ac:dyDescent="0.2">
      <c r="A22360">
        <v>43840</v>
      </c>
      <c r="B22360" t="s">
        <v>41</v>
      </c>
      <c r="C22360">
        <v>43840</v>
      </c>
      <c r="D22360" t="str">
        <f>"43840"</f>
        <v>43840</v>
      </c>
      <c r="E22360">
        <v>77.97</v>
      </c>
    </row>
    <row r="22361" spans="1:5" x14ac:dyDescent="0.2">
      <c r="A22361">
        <v>43842</v>
      </c>
      <c r="B22361" t="s">
        <v>41</v>
      </c>
      <c r="C22361">
        <v>43842</v>
      </c>
      <c r="D22361" t="str">
        <f>"43842"</f>
        <v>43842</v>
      </c>
      <c r="E22361" t="s">
        <v>6</v>
      </c>
    </row>
    <row r="22362" spans="1:5" x14ac:dyDescent="0.2">
      <c r="A22362">
        <v>43843</v>
      </c>
      <c r="B22362" t="s">
        <v>41</v>
      </c>
      <c r="C22362">
        <v>43843</v>
      </c>
      <c r="D22362" t="str">
        <f>"43843"</f>
        <v>43843</v>
      </c>
      <c r="E22362">
        <v>70</v>
      </c>
    </row>
    <row r="22363" spans="1:5" x14ac:dyDescent="0.2">
      <c r="A22363">
        <v>43844</v>
      </c>
      <c r="B22363" t="s">
        <v>41</v>
      </c>
      <c r="C22363">
        <v>43844</v>
      </c>
      <c r="D22363" t="str">
        <f>"43844"</f>
        <v>43844</v>
      </c>
      <c r="E22363">
        <v>70.930000000000007</v>
      </c>
    </row>
    <row r="22364" spans="1:5" x14ac:dyDescent="0.2">
      <c r="A22364">
        <v>43845</v>
      </c>
      <c r="B22364" t="s">
        <v>41</v>
      </c>
      <c r="C22364">
        <v>43845</v>
      </c>
      <c r="D22364" t="str">
        <f>"43845"</f>
        <v>43845</v>
      </c>
      <c r="E22364">
        <v>71.760000000000005</v>
      </c>
    </row>
    <row r="22365" spans="1:5" x14ac:dyDescent="0.2">
      <c r="A22365">
        <v>43901</v>
      </c>
      <c r="B22365" t="s">
        <v>41</v>
      </c>
      <c r="C22365">
        <v>43901</v>
      </c>
      <c r="D22365" t="str">
        <f>"43901"</f>
        <v>43901</v>
      </c>
      <c r="E22365">
        <v>76.77</v>
      </c>
    </row>
    <row r="22366" spans="1:5" x14ac:dyDescent="0.2">
      <c r="A22366">
        <v>43902</v>
      </c>
      <c r="B22366" t="s">
        <v>41</v>
      </c>
      <c r="C22366">
        <v>43902</v>
      </c>
      <c r="D22366" t="str">
        <f>"43902"</f>
        <v>43902</v>
      </c>
      <c r="E22366" t="s">
        <v>6</v>
      </c>
    </row>
    <row r="22367" spans="1:5" x14ac:dyDescent="0.2">
      <c r="A22367">
        <v>43903</v>
      </c>
      <c r="B22367" t="s">
        <v>41</v>
      </c>
      <c r="C22367">
        <v>43903</v>
      </c>
      <c r="D22367" t="str">
        <f>"43903"</f>
        <v>43903</v>
      </c>
      <c r="E22367">
        <v>73.42</v>
      </c>
    </row>
    <row r="22368" spans="1:5" x14ac:dyDescent="0.2">
      <c r="A22368">
        <v>43906</v>
      </c>
      <c r="B22368" t="s">
        <v>41</v>
      </c>
      <c r="C22368">
        <v>43906</v>
      </c>
      <c r="D22368" t="str">
        <f>"43906"</f>
        <v>43906</v>
      </c>
      <c r="E22368">
        <v>69.709999999999994</v>
      </c>
    </row>
    <row r="22369" spans="1:5" x14ac:dyDescent="0.2">
      <c r="A22369">
        <v>43907</v>
      </c>
      <c r="B22369" t="s">
        <v>41</v>
      </c>
      <c r="C22369">
        <v>43907</v>
      </c>
      <c r="D22369" t="str">
        <f>"43907"</f>
        <v>43907</v>
      </c>
      <c r="E22369">
        <v>72.88</v>
      </c>
    </row>
    <row r="22370" spans="1:5" x14ac:dyDescent="0.2">
      <c r="A22370">
        <v>43908</v>
      </c>
      <c r="B22370" t="s">
        <v>41</v>
      </c>
      <c r="C22370">
        <v>43908</v>
      </c>
      <c r="D22370" t="str">
        <f>"43908"</f>
        <v>43908</v>
      </c>
      <c r="E22370">
        <v>73.680000000000007</v>
      </c>
    </row>
    <row r="22371" spans="1:5" x14ac:dyDescent="0.2">
      <c r="A22371">
        <v>43910</v>
      </c>
      <c r="B22371" t="s">
        <v>41</v>
      </c>
      <c r="C22371">
        <v>43910</v>
      </c>
      <c r="D22371" t="str">
        <f>"43910"</f>
        <v>43910</v>
      </c>
      <c r="E22371">
        <v>76.739999999999995</v>
      </c>
    </row>
    <row r="22372" spans="1:5" x14ac:dyDescent="0.2">
      <c r="A22372">
        <v>43912</v>
      </c>
      <c r="B22372" t="s">
        <v>41</v>
      </c>
      <c r="C22372">
        <v>43912</v>
      </c>
      <c r="D22372" t="str">
        <f>"43912"</f>
        <v>43912</v>
      </c>
      <c r="E22372">
        <v>72.349999999999994</v>
      </c>
    </row>
    <row r="22373" spans="1:5" x14ac:dyDescent="0.2">
      <c r="A22373">
        <v>43913</v>
      </c>
      <c r="B22373" t="s">
        <v>41</v>
      </c>
      <c r="C22373">
        <v>43913</v>
      </c>
      <c r="D22373" t="str">
        <f>"43913"</f>
        <v>43913</v>
      </c>
      <c r="E22373">
        <v>71.88</v>
      </c>
    </row>
    <row r="22374" spans="1:5" x14ac:dyDescent="0.2">
      <c r="A22374">
        <v>43914</v>
      </c>
      <c r="B22374" t="s">
        <v>41</v>
      </c>
      <c r="C22374">
        <v>43914</v>
      </c>
      <c r="D22374" t="str">
        <f>"43914"</f>
        <v>43914</v>
      </c>
      <c r="E22374" t="s">
        <v>6</v>
      </c>
    </row>
    <row r="22375" spans="1:5" x14ac:dyDescent="0.2">
      <c r="A22375">
        <v>43915</v>
      </c>
      <c r="B22375" t="s">
        <v>41</v>
      </c>
      <c r="C22375">
        <v>43915</v>
      </c>
      <c r="D22375" t="str">
        <f>"43915"</f>
        <v>43915</v>
      </c>
      <c r="E22375">
        <v>80.3</v>
      </c>
    </row>
    <row r="22376" spans="1:5" x14ac:dyDescent="0.2">
      <c r="A22376">
        <v>43917</v>
      </c>
      <c r="B22376" t="s">
        <v>41</v>
      </c>
      <c r="C22376">
        <v>43917</v>
      </c>
      <c r="D22376" t="str">
        <f>"43917"</f>
        <v>43917</v>
      </c>
      <c r="E22376">
        <v>74.8</v>
      </c>
    </row>
    <row r="22377" spans="1:5" x14ac:dyDescent="0.2">
      <c r="A22377">
        <v>43920</v>
      </c>
      <c r="B22377" t="s">
        <v>41</v>
      </c>
      <c r="C22377">
        <v>43920</v>
      </c>
      <c r="D22377" t="str">
        <f>"43920"</f>
        <v>43920</v>
      </c>
      <c r="E22377">
        <v>69.16</v>
      </c>
    </row>
    <row r="22378" spans="1:5" x14ac:dyDescent="0.2">
      <c r="A22378">
        <v>43925</v>
      </c>
      <c r="B22378" t="s">
        <v>41</v>
      </c>
      <c r="C22378">
        <v>43925</v>
      </c>
      <c r="D22378" t="str">
        <f>"43925"</f>
        <v>43925</v>
      </c>
      <c r="E22378" t="s">
        <v>6</v>
      </c>
    </row>
    <row r="22379" spans="1:5" x14ac:dyDescent="0.2">
      <c r="A22379">
        <v>43926</v>
      </c>
      <c r="B22379" t="s">
        <v>41</v>
      </c>
      <c r="C22379">
        <v>43926</v>
      </c>
      <c r="D22379" t="str">
        <f>"43926"</f>
        <v>43926</v>
      </c>
      <c r="E22379" t="s">
        <v>6</v>
      </c>
    </row>
    <row r="22380" spans="1:5" x14ac:dyDescent="0.2">
      <c r="A22380">
        <v>43930</v>
      </c>
      <c r="B22380" t="s">
        <v>41</v>
      </c>
      <c r="C22380">
        <v>43930</v>
      </c>
      <c r="D22380" t="str">
        <f>"43930"</f>
        <v>43930</v>
      </c>
      <c r="E22380">
        <v>71.790000000000006</v>
      </c>
    </row>
    <row r="22381" spans="1:5" x14ac:dyDescent="0.2">
      <c r="A22381">
        <v>43932</v>
      </c>
      <c r="B22381" t="s">
        <v>41</v>
      </c>
      <c r="C22381">
        <v>43932</v>
      </c>
      <c r="D22381" t="str">
        <f>"43932"</f>
        <v>43932</v>
      </c>
      <c r="E22381">
        <v>71.790000000000006</v>
      </c>
    </row>
    <row r="22382" spans="1:5" x14ac:dyDescent="0.2">
      <c r="A22382">
        <v>43933</v>
      </c>
      <c r="B22382" t="s">
        <v>41</v>
      </c>
      <c r="C22382">
        <v>43933</v>
      </c>
      <c r="D22382" t="str">
        <f>"43933"</f>
        <v>43933</v>
      </c>
      <c r="E22382">
        <v>77.27</v>
      </c>
    </row>
    <row r="22383" spans="1:5" x14ac:dyDescent="0.2">
      <c r="A22383">
        <v>43935</v>
      </c>
      <c r="B22383" t="s">
        <v>41</v>
      </c>
      <c r="C22383">
        <v>43935</v>
      </c>
      <c r="D22383" t="str">
        <f>"43935"</f>
        <v>43935</v>
      </c>
      <c r="E22383">
        <v>68.52</v>
      </c>
    </row>
    <row r="22384" spans="1:5" x14ac:dyDescent="0.2">
      <c r="A22384">
        <v>43938</v>
      </c>
      <c r="B22384" t="s">
        <v>41</v>
      </c>
      <c r="C22384">
        <v>43938</v>
      </c>
      <c r="D22384" t="str">
        <f>"43938"</f>
        <v>43938</v>
      </c>
      <c r="E22384">
        <v>71.430000000000007</v>
      </c>
    </row>
    <row r="22385" spans="1:5" x14ac:dyDescent="0.2">
      <c r="A22385">
        <v>43939</v>
      </c>
      <c r="B22385" t="s">
        <v>41</v>
      </c>
      <c r="C22385">
        <v>43939</v>
      </c>
      <c r="D22385" t="str">
        <f>"43939"</f>
        <v>43939</v>
      </c>
      <c r="E22385" t="s">
        <v>6</v>
      </c>
    </row>
    <row r="22386" spans="1:5" x14ac:dyDescent="0.2">
      <c r="A22386">
        <v>43942</v>
      </c>
      <c r="B22386" t="s">
        <v>41</v>
      </c>
      <c r="C22386">
        <v>43942</v>
      </c>
      <c r="D22386" t="str">
        <f>"43942"</f>
        <v>43942</v>
      </c>
      <c r="E22386">
        <v>74.290000000000006</v>
      </c>
    </row>
    <row r="22387" spans="1:5" x14ac:dyDescent="0.2">
      <c r="A22387">
        <v>43943</v>
      </c>
      <c r="B22387" t="s">
        <v>41</v>
      </c>
      <c r="C22387">
        <v>43943</v>
      </c>
      <c r="D22387" t="str">
        <f>"43943"</f>
        <v>43943</v>
      </c>
      <c r="E22387">
        <v>74.39</v>
      </c>
    </row>
    <row r="22388" spans="1:5" x14ac:dyDescent="0.2">
      <c r="A22388">
        <v>43944</v>
      </c>
      <c r="B22388" t="s">
        <v>41</v>
      </c>
      <c r="C22388">
        <v>43944</v>
      </c>
      <c r="D22388" t="str">
        <f>"43944"</f>
        <v>43944</v>
      </c>
      <c r="E22388">
        <v>76.61</v>
      </c>
    </row>
    <row r="22389" spans="1:5" x14ac:dyDescent="0.2">
      <c r="A22389">
        <v>43945</v>
      </c>
      <c r="B22389" t="s">
        <v>41</v>
      </c>
      <c r="C22389">
        <v>43945</v>
      </c>
      <c r="D22389" t="str">
        <f>"43945"</f>
        <v>43945</v>
      </c>
      <c r="E22389">
        <v>68.55</v>
      </c>
    </row>
    <row r="22390" spans="1:5" x14ac:dyDescent="0.2">
      <c r="A22390">
        <v>43946</v>
      </c>
      <c r="B22390" t="s">
        <v>41</v>
      </c>
      <c r="C22390">
        <v>43946</v>
      </c>
      <c r="D22390" t="str">
        <f>"43946"</f>
        <v>43946</v>
      </c>
      <c r="E22390">
        <v>75.61</v>
      </c>
    </row>
    <row r="22391" spans="1:5" x14ac:dyDescent="0.2">
      <c r="A22391">
        <v>43947</v>
      </c>
      <c r="B22391" t="s">
        <v>41</v>
      </c>
      <c r="C22391">
        <v>43947</v>
      </c>
      <c r="D22391" t="str">
        <f>"43947"</f>
        <v>43947</v>
      </c>
      <c r="E22391">
        <v>77.14</v>
      </c>
    </row>
    <row r="22392" spans="1:5" x14ac:dyDescent="0.2">
      <c r="A22392">
        <v>43948</v>
      </c>
      <c r="B22392" t="s">
        <v>41</v>
      </c>
      <c r="C22392">
        <v>43948</v>
      </c>
      <c r="D22392" t="str">
        <f>"43948"</f>
        <v>43948</v>
      </c>
      <c r="E22392" t="s">
        <v>6</v>
      </c>
    </row>
    <row r="22393" spans="1:5" x14ac:dyDescent="0.2">
      <c r="A22393">
        <v>43950</v>
      </c>
      <c r="B22393" t="s">
        <v>41</v>
      </c>
      <c r="C22393">
        <v>43950</v>
      </c>
      <c r="D22393" t="str">
        <f>"43950"</f>
        <v>43950</v>
      </c>
      <c r="E22393">
        <v>78.36</v>
      </c>
    </row>
    <row r="22394" spans="1:5" x14ac:dyDescent="0.2">
      <c r="A22394">
        <v>43951</v>
      </c>
      <c r="B22394" t="s">
        <v>41</v>
      </c>
      <c r="C22394">
        <v>43951</v>
      </c>
      <c r="D22394" t="str">
        <f>"43951"</f>
        <v>43951</v>
      </c>
      <c r="E22394" t="s">
        <v>6</v>
      </c>
    </row>
    <row r="22395" spans="1:5" x14ac:dyDescent="0.2">
      <c r="A22395">
        <v>43952</v>
      </c>
      <c r="B22395" t="s">
        <v>41</v>
      </c>
      <c r="C22395">
        <v>43952</v>
      </c>
      <c r="D22395" t="str">
        <f>"43952"</f>
        <v>43952</v>
      </c>
      <c r="E22395">
        <v>65.78</v>
      </c>
    </row>
    <row r="22396" spans="1:5" x14ac:dyDescent="0.2">
      <c r="A22396">
        <v>43953</v>
      </c>
      <c r="B22396" t="s">
        <v>41</v>
      </c>
      <c r="C22396">
        <v>43953</v>
      </c>
      <c r="D22396" t="str">
        <f>"43953"</f>
        <v>43953</v>
      </c>
      <c r="E22396">
        <v>75.36</v>
      </c>
    </row>
    <row r="22397" spans="1:5" x14ac:dyDescent="0.2">
      <c r="A22397">
        <v>43961</v>
      </c>
      <c r="B22397" t="s">
        <v>41</v>
      </c>
      <c r="C22397">
        <v>43961</v>
      </c>
      <c r="D22397" t="str">
        <f>"43961"</f>
        <v>43961</v>
      </c>
      <c r="E22397" t="s">
        <v>6</v>
      </c>
    </row>
    <row r="22398" spans="1:5" x14ac:dyDescent="0.2">
      <c r="A22398">
        <v>43962</v>
      </c>
      <c r="B22398" t="s">
        <v>41</v>
      </c>
      <c r="C22398">
        <v>43962</v>
      </c>
      <c r="D22398" t="str">
        <f>"43962"</f>
        <v>43962</v>
      </c>
      <c r="E22398" t="s">
        <v>6</v>
      </c>
    </row>
    <row r="22399" spans="1:5" x14ac:dyDescent="0.2">
      <c r="A22399">
        <v>43963</v>
      </c>
      <c r="B22399" t="s">
        <v>41</v>
      </c>
      <c r="C22399">
        <v>43963</v>
      </c>
      <c r="D22399" t="str">
        <f>"43963"</f>
        <v>43963</v>
      </c>
      <c r="E22399">
        <v>72.31</v>
      </c>
    </row>
    <row r="22400" spans="1:5" x14ac:dyDescent="0.2">
      <c r="A22400">
        <v>43964</v>
      </c>
      <c r="B22400" t="s">
        <v>41</v>
      </c>
      <c r="C22400">
        <v>43964</v>
      </c>
      <c r="D22400" t="str">
        <f>"43964"</f>
        <v>43964</v>
      </c>
      <c r="E22400">
        <v>73.099999999999994</v>
      </c>
    </row>
    <row r="22401" spans="1:5" x14ac:dyDescent="0.2">
      <c r="A22401">
        <v>43967</v>
      </c>
      <c r="B22401" t="s">
        <v>41</v>
      </c>
      <c r="C22401">
        <v>43967</v>
      </c>
      <c r="D22401" t="str">
        <f>"43967"</f>
        <v>43967</v>
      </c>
      <c r="E22401" t="s">
        <v>6</v>
      </c>
    </row>
    <row r="22402" spans="1:5" x14ac:dyDescent="0.2">
      <c r="A22402">
        <v>43968</v>
      </c>
      <c r="B22402" t="s">
        <v>41</v>
      </c>
      <c r="C22402">
        <v>43968</v>
      </c>
      <c r="D22402" t="str">
        <f>"43968"</f>
        <v>43968</v>
      </c>
      <c r="E22402">
        <v>69.67</v>
      </c>
    </row>
    <row r="22403" spans="1:5" x14ac:dyDescent="0.2">
      <c r="A22403">
        <v>43970</v>
      </c>
      <c r="B22403" t="s">
        <v>41</v>
      </c>
      <c r="C22403">
        <v>43970</v>
      </c>
      <c r="D22403" t="str">
        <f>"43970"</f>
        <v>43970</v>
      </c>
      <c r="E22403" t="s">
        <v>6</v>
      </c>
    </row>
    <row r="22404" spans="1:5" x14ac:dyDescent="0.2">
      <c r="A22404">
        <v>43971</v>
      </c>
      <c r="B22404" t="s">
        <v>41</v>
      </c>
      <c r="C22404">
        <v>43971</v>
      </c>
      <c r="D22404" t="str">
        <f>"43971"</f>
        <v>43971</v>
      </c>
      <c r="E22404">
        <v>73.08</v>
      </c>
    </row>
    <row r="22405" spans="1:5" x14ac:dyDescent="0.2">
      <c r="A22405">
        <v>43973</v>
      </c>
      <c r="B22405" t="s">
        <v>41</v>
      </c>
      <c r="C22405">
        <v>43973</v>
      </c>
      <c r="D22405" t="str">
        <f>"43973"</f>
        <v>43973</v>
      </c>
      <c r="E22405">
        <v>73.42</v>
      </c>
    </row>
    <row r="22406" spans="1:5" x14ac:dyDescent="0.2">
      <c r="A22406">
        <v>43974</v>
      </c>
      <c r="B22406" t="s">
        <v>41</v>
      </c>
      <c r="C22406">
        <v>43974</v>
      </c>
      <c r="D22406" t="str">
        <f>"43974"</f>
        <v>43974</v>
      </c>
      <c r="E22406" t="s">
        <v>6</v>
      </c>
    </row>
    <row r="22407" spans="1:5" x14ac:dyDescent="0.2">
      <c r="A22407">
        <v>43976</v>
      </c>
      <c r="B22407" t="s">
        <v>41</v>
      </c>
      <c r="C22407">
        <v>43976</v>
      </c>
      <c r="D22407" t="str">
        <f>"43976"</f>
        <v>43976</v>
      </c>
      <c r="E22407">
        <v>76.47</v>
      </c>
    </row>
    <row r="22408" spans="1:5" x14ac:dyDescent="0.2">
      <c r="A22408">
        <v>43977</v>
      </c>
      <c r="B22408" t="s">
        <v>41</v>
      </c>
      <c r="C22408">
        <v>43977</v>
      </c>
      <c r="D22408" t="str">
        <f>"43977"</f>
        <v>43977</v>
      </c>
      <c r="E22408">
        <v>71.430000000000007</v>
      </c>
    </row>
    <row r="22409" spans="1:5" x14ac:dyDescent="0.2">
      <c r="A22409">
        <v>43983</v>
      </c>
      <c r="B22409" t="s">
        <v>41</v>
      </c>
      <c r="C22409">
        <v>43983</v>
      </c>
      <c r="D22409" t="str">
        <f>"43983"</f>
        <v>43983</v>
      </c>
      <c r="E22409">
        <v>68.180000000000007</v>
      </c>
    </row>
    <row r="22410" spans="1:5" x14ac:dyDescent="0.2">
      <c r="A22410">
        <v>43986</v>
      </c>
      <c r="B22410" t="s">
        <v>41</v>
      </c>
      <c r="C22410">
        <v>43986</v>
      </c>
      <c r="D22410" t="str">
        <f>"43986"</f>
        <v>43986</v>
      </c>
      <c r="E22410">
        <v>70.37</v>
      </c>
    </row>
    <row r="22411" spans="1:5" x14ac:dyDescent="0.2">
      <c r="A22411">
        <v>43988</v>
      </c>
      <c r="B22411" t="s">
        <v>41</v>
      </c>
      <c r="C22411">
        <v>43988</v>
      </c>
      <c r="D22411" t="str">
        <f>"43988"</f>
        <v>43988</v>
      </c>
      <c r="E22411">
        <v>69</v>
      </c>
    </row>
    <row r="22412" spans="1:5" x14ac:dyDescent="0.2">
      <c r="A22412">
        <v>44001</v>
      </c>
      <c r="B22412" t="s">
        <v>41</v>
      </c>
      <c r="C22412">
        <v>44001</v>
      </c>
      <c r="D22412" t="str">
        <f>"44001"</f>
        <v>44001</v>
      </c>
      <c r="E22412">
        <v>78.73</v>
      </c>
    </row>
    <row r="22413" spans="1:5" x14ac:dyDescent="0.2">
      <c r="A22413">
        <v>44003</v>
      </c>
      <c r="B22413" t="s">
        <v>41</v>
      </c>
      <c r="C22413">
        <v>44003</v>
      </c>
      <c r="D22413" t="str">
        <f>"44003"</f>
        <v>44003</v>
      </c>
      <c r="E22413">
        <v>66.489999999999995</v>
      </c>
    </row>
    <row r="22414" spans="1:5" x14ac:dyDescent="0.2">
      <c r="A22414">
        <v>44004</v>
      </c>
      <c r="B22414" t="s">
        <v>41</v>
      </c>
      <c r="C22414">
        <v>44004</v>
      </c>
      <c r="D22414" t="str">
        <f>"44004"</f>
        <v>44004</v>
      </c>
      <c r="E22414">
        <v>65.52</v>
      </c>
    </row>
    <row r="22415" spans="1:5" x14ac:dyDescent="0.2">
      <c r="A22415">
        <v>44010</v>
      </c>
      <c r="B22415" t="s">
        <v>41</v>
      </c>
      <c r="C22415">
        <v>44010</v>
      </c>
      <c r="D22415" t="str">
        <f>"44010"</f>
        <v>44010</v>
      </c>
      <c r="E22415">
        <v>77.38</v>
      </c>
    </row>
    <row r="22416" spans="1:5" x14ac:dyDescent="0.2">
      <c r="A22416">
        <v>44011</v>
      </c>
      <c r="B22416" t="s">
        <v>41</v>
      </c>
      <c r="C22416">
        <v>44011</v>
      </c>
      <c r="D22416" t="str">
        <f>"44011"</f>
        <v>44011</v>
      </c>
      <c r="E22416">
        <v>80.09</v>
      </c>
    </row>
    <row r="22417" spans="1:5" x14ac:dyDescent="0.2">
      <c r="A22417">
        <v>44012</v>
      </c>
      <c r="B22417" t="s">
        <v>41</v>
      </c>
      <c r="C22417">
        <v>44012</v>
      </c>
      <c r="D22417" t="str">
        <f>"44012"</f>
        <v>44012</v>
      </c>
      <c r="E22417">
        <v>81.44</v>
      </c>
    </row>
    <row r="22418" spans="1:5" x14ac:dyDescent="0.2">
      <c r="A22418">
        <v>44017</v>
      </c>
      <c r="B22418" t="s">
        <v>41</v>
      </c>
      <c r="C22418">
        <v>44017</v>
      </c>
      <c r="D22418" t="str">
        <f>"44017"</f>
        <v>44017</v>
      </c>
      <c r="E22418">
        <v>78.81</v>
      </c>
    </row>
    <row r="22419" spans="1:5" x14ac:dyDescent="0.2">
      <c r="A22419">
        <v>44021</v>
      </c>
      <c r="B22419" t="s">
        <v>41</v>
      </c>
      <c r="C22419">
        <v>44021</v>
      </c>
      <c r="D22419" t="str">
        <f>"44021"</f>
        <v>44021</v>
      </c>
      <c r="E22419">
        <v>76.63</v>
      </c>
    </row>
    <row r="22420" spans="1:5" x14ac:dyDescent="0.2">
      <c r="A22420">
        <v>44022</v>
      </c>
      <c r="B22420" t="s">
        <v>41</v>
      </c>
      <c r="C22420">
        <v>44022</v>
      </c>
      <c r="D22420" t="str">
        <f>"44022"</f>
        <v>44022</v>
      </c>
      <c r="E22420">
        <v>80.69</v>
      </c>
    </row>
    <row r="22421" spans="1:5" x14ac:dyDescent="0.2">
      <c r="A22421">
        <v>44023</v>
      </c>
      <c r="B22421" t="s">
        <v>41</v>
      </c>
      <c r="C22421">
        <v>44023</v>
      </c>
      <c r="D22421" t="str">
        <f>"44023"</f>
        <v>44023</v>
      </c>
      <c r="E22421">
        <v>80.27</v>
      </c>
    </row>
    <row r="22422" spans="1:5" x14ac:dyDescent="0.2">
      <c r="A22422">
        <v>44024</v>
      </c>
      <c r="B22422" t="s">
        <v>41</v>
      </c>
      <c r="C22422">
        <v>44024</v>
      </c>
      <c r="D22422" t="str">
        <f>"44024"</f>
        <v>44024</v>
      </c>
      <c r="E22422">
        <v>79.31</v>
      </c>
    </row>
    <row r="22423" spans="1:5" x14ac:dyDescent="0.2">
      <c r="A22423">
        <v>44026</v>
      </c>
      <c r="B22423" t="s">
        <v>41</v>
      </c>
      <c r="C22423">
        <v>44026</v>
      </c>
      <c r="D22423" t="str">
        <f>"44026"</f>
        <v>44026</v>
      </c>
      <c r="E22423">
        <v>81.400000000000006</v>
      </c>
    </row>
    <row r="22424" spans="1:5" x14ac:dyDescent="0.2">
      <c r="A22424">
        <v>44028</v>
      </c>
      <c r="B22424" t="s">
        <v>41</v>
      </c>
      <c r="C22424">
        <v>44028</v>
      </c>
      <c r="D22424" t="str">
        <f>"44028"</f>
        <v>44028</v>
      </c>
      <c r="E22424">
        <v>79.790000000000006</v>
      </c>
    </row>
    <row r="22425" spans="1:5" x14ac:dyDescent="0.2">
      <c r="A22425">
        <v>44030</v>
      </c>
      <c r="B22425" t="s">
        <v>41</v>
      </c>
      <c r="C22425">
        <v>44030</v>
      </c>
      <c r="D22425" t="str">
        <f>"44030"</f>
        <v>44030</v>
      </c>
      <c r="E22425">
        <v>68.12</v>
      </c>
    </row>
    <row r="22426" spans="1:5" x14ac:dyDescent="0.2">
      <c r="A22426">
        <v>44032</v>
      </c>
      <c r="B22426" t="s">
        <v>41</v>
      </c>
      <c r="C22426">
        <v>44032</v>
      </c>
      <c r="D22426" t="str">
        <f>"44032"</f>
        <v>44032</v>
      </c>
      <c r="E22426">
        <v>67.16</v>
      </c>
    </row>
    <row r="22427" spans="1:5" x14ac:dyDescent="0.2">
      <c r="A22427">
        <v>44035</v>
      </c>
      <c r="B22427" t="s">
        <v>41</v>
      </c>
      <c r="C22427">
        <v>44035</v>
      </c>
      <c r="D22427" t="str">
        <f>"44035"</f>
        <v>44035</v>
      </c>
      <c r="E22427">
        <v>70.319999999999993</v>
      </c>
    </row>
    <row r="22428" spans="1:5" x14ac:dyDescent="0.2">
      <c r="A22428">
        <v>44039</v>
      </c>
      <c r="B22428" t="s">
        <v>41</v>
      </c>
      <c r="C22428">
        <v>44039</v>
      </c>
      <c r="D22428" t="str">
        <f>"44039"</f>
        <v>44039</v>
      </c>
      <c r="E22428">
        <v>81.16</v>
      </c>
    </row>
    <row r="22429" spans="1:5" x14ac:dyDescent="0.2">
      <c r="A22429">
        <v>44040</v>
      </c>
      <c r="B22429" t="s">
        <v>41</v>
      </c>
      <c r="C22429">
        <v>44040</v>
      </c>
      <c r="D22429" t="str">
        <f>"44040"</f>
        <v>44040</v>
      </c>
      <c r="E22429">
        <v>81.93</v>
      </c>
    </row>
    <row r="22430" spans="1:5" x14ac:dyDescent="0.2">
      <c r="A22430">
        <v>44041</v>
      </c>
      <c r="B22430" t="s">
        <v>41</v>
      </c>
      <c r="C22430">
        <v>44041</v>
      </c>
      <c r="D22430" t="str">
        <f>"44041"</f>
        <v>44041</v>
      </c>
      <c r="E22430">
        <v>70.319999999999993</v>
      </c>
    </row>
    <row r="22431" spans="1:5" x14ac:dyDescent="0.2">
      <c r="A22431">
        <v>44044</v>
      </c>
      <c r="B22431" t="s">
        <v>41</v>
      </c>
      <c r="C22431">
        <v>44044</v>
      </c>
      <c r="D22431" t="str">
        <f>"44044"</f>
        <v>44044</v>
      </c>
      <c r="E22431">
        <v>78.61</v>
      </c>
    </row>
    <row r="22432" spans="1:5" x14ac:dyDescent="0.2">
      <c r="A22432">
        <v>44045</v>
      </c>
      <c r="B22432" t="s">
        <v>41</v>
      </c>
      <c r="C22432">
        <v>44045</v>
      </c>
      <c r="D22432" t="str">
        <f>"44045"</f>
        <v>44045</v>
      </c>
      <c r="E22432" t="s">
        <v>6</v>
      </c>
    </row>
    <row r="22433" spans="1:5" x14ac:dyDescent="0.2">
      <c r="A22433">
        <v>44046</v>
      </c>
      <c r="B22433" t="s">
        <v>41</v>
      </c>
      <c r="C22433">
        <v>44046</v>
      </c>
      <c r="D22433" t="str">
        <f>"44046"</f>
        <v>44046</v>
      </c>
      <c r="E22433">
        <v>79.8</v>
      </c>
    </row>
    <row r="22434" spans="1:5" x14ac:dyDescent="0.2">
      <c r="A22434">
        <v>44047</v>
      </c>
      <c r="B22434" t="s">
        <v>41</v>
      </c>
      <c r="C22434">
        <v>44047</v>
      </c>
      <c r="D22434" t="str">
        <f>"44047"</f>
        <v>44047</v>
      </c>
      <c r="E22434">
        <v>71.16</v>
      </c>
    </row>
    <row r="22435" spans="1:5" x14ac:dyDescent="0.2">
      <c r="A22435">
        <v>44048</v>
      </c>
      <c r="B22435" t="s">
        <v>41</v>
      </c>
      <c r="C22435">
        <v>44048</v>
      </c>
      <c r="D22435" t="str">
        <f>"44048"</f>
        <v>44048</v>
      </c>
      <c r="E22435">
        <v>72.17</v>
      </c>
    </row>
    <row r="22436" spans="1:5" x14ac:dyDescent="0.2">
      <c r="A22436">
        <v>44049</v>
      </c>
      <c r="B22436" t="s">
        <v>41</v>
      </c>
      <c r="C22436">
        <v>44049</v>
      </c>
      <c r="D22436" t="str">
        <f>"44049"</f>
        <v>44049</v>
      </c>
      <c r="E22436" t="s">
        <v>6</v>
      </c>
    </row>
    <row r="22437" spans="1:5" x14ac:dyDescent="0.2">
      <c r="A22437">
        <v>44050</v>
      </c>
      <c r="B22437" t="s">
        <v>41</v>
      </c>
      <c r="C22437">
        <v>44050</v>
      </c>
      <c r="D22437" t="str">
        <f>"44050"</f>
        <v>44050</v>
      </c>
      <c r="E22437">
        <v>79.709999999999994</v>
      </c>
    </row>
    <row r="22438" spans="1:5" x14ac:dyDescent="0.2">
      <c r="A22438">
        <v>44052</v>
      </c>
      <c r="B22438" t="s">
        <v>41</v>
      </c>
      <c r="C22438">
        <v>44052</v>
      </c>
      <c r="D22438" t="str">
        <f>"44052"</f>
        <v>44052</v>
      </c>
      <c r="E22438">
        <v>58.81</v>
      </c>
    </row>
    <row r="22439" spans="1:5" x14ac:dyDescent="0.2">
      <c r="A22439">
        <v>44053</v>
      </c>
      <c r="B22439" t="s">
        <v>41</v>
      </c>
      <c r="C22439">
        <v>44053</v>
      </c>
      <c r="D22439" t="str">
        <f>"44053"</f>
        <v>44053</v>
      </c>
      <c r="E22439">
        <v>71.98</v>
      </c>
    </row>
    <row r="22440" spans="1:5" x14ac:dyDescent="0.2">
      <c r="A22440">
        <v>44054</v>
      </c>
      <c r="B22440" t="s">
        <v>41</v>
      </c>
      <c r="C22440">
        <v>44054</v>
      </c>
      <c r="D22440" t="str">
        <f>"44054"</f>
        <v>44054</v>
      </c>
      <c r="E22440">
        <v>76.239999999999995</v>
      </c>
    </row>
    <row r="22441" spans="1:5" x14ac:dyDescent="0.2">
      <c r="A22441">
        <v>44055</v>
      </c>
      <c r="B22441" t="s">
        <v>41</v>
      </c>
      <c r="C22441">
        <v>44055</v>
      </c>
      <c r="D22441" t="str">
        <f>"44055"</f>
        <v>44055</v>
      </c>
      <c r="E22441">
        <v>56.28</v>
      </c>
    </row>
    <row r="22442" spans="1:5" x14ac:dyDescent="0.2">
      <c r="A22442">
        <v>44056</v>
      </c>
      <c r="B22442" t="s">
        <v>41</v>
      </c>
      <c r="C22442">
        <v>44056</v>
      </c>
      <c r="D22442" t="str">
        <f>"44056"</f>
        <v>44056</v>
      </c>
      <c r="E22442">
        <v>81.3</v>
      </c>
    </row>
    <row r="22443" spans="1:5" x14ac:dyDescent="0.2">
      <c r="A22443">
        <v>44057</v>
      </c>
      <c r="B22443" t="s">
        <v>41</v>
      </c>
      <c r="C22443">
        <v>44057</v>
      </c>
      <c r="D22443" t="str">
        <f>"44057"</f>
        <v>44057</v>
      </c>
      <c r="E22443">
        <v>74.33</v>
      </c>
    </row>
    <row r="22444" spans="1:5" x14ac:dyDescent="0.2">
      <c r="A22444">
        <v>44060</v>
      </c>
      <c r="B22444" t="s">
        <v>41</v>
      </c>
      <c r="C22444">
        <v>44060</v>
      </c>
      <c r="D22444" t="str">
        <f>"44060"</f>
        <v>44060</v>
      </c>
      <c r="E22444">
        <v>79.77</v>
      </c>
    </row>
    <row r="22445" spans="1:5" x14ac:dyDescent="0.2">
      <c r="A22445">
        <v>44062</v>
      </c>
      <c r="B22445" t="s">
        <v>41</v>
      </c>
      <c r="C22445">
        <v>44062</v>
      </c>
      <c r="D22445" t="str">
        <f>"44062"</f>
        <v>44062</v>
      </c>
      <c r="E22445">
        <v>67.069999999999993</v>
      </c>
    </row>
    <row r="22446" spans="1:5" x14ac:dyDescent="0.2">
      <c r="A22446">
        <v>44064</v>
      </c>
      <c r="B22446" t="s">
        <v>41</v>
      </c>
      <c r="C22446">
        <v>44064</v>
      </c>
      <c r="D22446" t="str">
        <f>"44064"</f>
        <v>44064</v>
      </c>
      <c r="E22446">
        <v>79.760000000000005</v>
      </c>
    </row>
    <row r="22447" spans="1:5" x14ac:dyDescent="0.2">
      <c r="A22447">
        <v>44065</v>
      </c>
      <c r="B22447" t="s">
        <v>41</v>
      </c>
      <c r="C22447">
        <v>44065</v>
      </c>
      <c r="D22447" t="str">
        <f>"44065"</f>
        <v>44065</v>
      </c>
      <c r="E22447">
        <v>79.63</v>
      </c>
    </row>
    <row r="22448" spans="1:5" x14ac:dyDescent="0.2">
      <c r="A22448">
        <v>44067</v>
      </c>
      <c r="B22448" t="s">
        <v>41</v>
      </c>
      <c r="C22448">
        <v>44067</v>
      </c>
      <c r="D22448" t="str">
        <f>"44067"</f>
        <v>44067</v>
      </c>
      <c r="E22448">
        <v>81.150000000000006</v>
      </c>
    </row>
    <row r="22449" spans="1:5" x14ac:dyDescent="0.2">
      <c r="A22449">
        <v>44068</v>
      </c>
      <c r="B22449" t="s">
        <v>41</v>
      </c>
      <c r="C22449">
        <v>44068</v>
      </c>
      <c r="D22449" t="str">
        <f>"44068"</f>
        <v>44068</v>
      </c>
      <c r="E22449" t="s">
        <v>6</v>
      </c>
    </row>
    <row r="22450" spans="1:5" x14ac:dyDescent="0.2">
      <c r="A22450">
        <v>44070</v>
      </c>
      <c r="B22450" t="s">
        <v>41</v>
      </c>
      <c r="C22450">
        <v>44070</v>
      </c>
      <c r="D22450" t="str">
        <f>"44070"</f>
        <v>44070</v>
      </c>
      <c r="E22450">
        <v>76.94</v>
      </c>
    </row>
    <row r="22451" spans="1:5" x14ac:dyDescent="0.2">
      <c r="A22451">
        <v>44072</v>
      </c>
      <c r="B22451" t="s">
        <v>41</v>
      </c>
      <c r="C22451">
        <v>44072</v>
      </c>
      <c r="D22451" t="str">
        <f>"44072"</f>
        <v>44072</v>
      </c>
      <c r="E22451">
        <v>81.97</v>
      </c>
    </row>
    <row r="22452" spans="1:5" x14ac:dyDescent="0.2">
      <c r="A22452">
        <v>44073</v>
      </c>
      <c r="B22452" t="s">
        <v>41</v>
      </c>
      <c r="C22452">
        <v>44073</v>
      </c>
      <c r="D22452" t="str">
        <f>"44073"</f>
        <v>44073</v>
      </c>
      <c r="E22452" t="s">
        <v>6</v>
      </c>
    </row>
    <row r="22453" spans="1:5" x14ac:dyDescent="0.2">
      <c r="A22453">
        <v>44074</v>
      </c>
      <c r="B22453" t="s">
        <v>41</v>
      </c>
      <c r="C22453">
        <v>44074</v>
      </c>
      <c r="D22453" t="str">
        <f>"44074"</f>
        <v>44074</v>
      </c>
      <c r="E22453">
        <v>74.290000000000006</v>
      </c>
    </row>
    <row r="22454" spans="1:5" x14ac:dyDescent="0.2">
      <c r="A22454">
        <v>44076</v>
      </c>
      <c r="B22454" t="s">
        <v>41</v>
      </c>
      <c r="C22454">
        <v>44076</v>
      </c>
      <c r="D22454" t="str">
        <f>"44076"</f>
        <v>44076</v>
      </c>
      <c r="E22454">
        <v>68.84</v>
      </c>
    </row>
    <row r="22455" spans="1:5" x14ac:dyDescent="0.2">
      <c r="A22455">
        <v>44077</v>
      </c>
      <c r="B22455" t="s">
        <v>41</v>
      </c>
      <c r="C22455">
        <v>44077</v>
      </c>
      <c r="D22455" t="str">
        <f>"44077"</f>
        <v>44077</v>
      </c>
      <c r="E22455">
        <v>74.34</v>
      </c>
    </row>
    <row r="22456" spans="1:5" x14ac:dyDescent="0.2">
      <c r="A22456">
        <v>44080</v>
      </c>
      <c r="B22456" t="s">
        <v>41</v>
      </c>
      <c r="C22456">
        <v>44080</v>
      </c>
      <c r="D22456" t="str">
        <f>"44080"</f>
        <v>44080</v>
      </c>
      <c r="E22456" t="s">
        <v>6</v>
      </c>
    </row>
    <row r="22457" spans="1:5" x14ac:dyDescent="0.2">
      <c r="A22457">
        <v>44081</v>
      </c>
      <c r="B22457" t="s">
        <v>41</v>
      </c>
      <c r="C22457">
        <v>44081</v>
      </c>
      <c r="D22457" t="str">
        <f>"44081"</f>
        <v>44081</v>
      </c>
      <c r="E22457">
        <v>75.42</v>
      </c>
    </row>
    <row r="22458" spans="1:5" x14ac:dyDescent="0.2">
      <c r="A22458">
        <v>44082</v>
      </c>
      <c r="B22458" t="s">
        <v>41</v>
      </c>
      <c r="C22458">
        <v>44082</v>
      </c>
      <c r="D22458" t="str">
        <f>"44082"</f>
        <v>44082</v>
      </c>
      <c r="E22458">
        <v>66.67</v>
      </c>
    </row>
    <row r="22459" spans="1:5" x14ac:dyDescent="0.2">
      <c r="A22459">
        <v>44084</v>
      </c>
      <c r="B22459" t="s">
        <v>41</v>
      </c>
      <c r="C22459">
        <v>44084</v>
      </c>
      <c r="D22459" t="str">
        <f>"44084"</f>
        <v>44084</v>
      </c>
      <c r="E22459">
        <v>74.430000000000007</v>
      </c>
    </row>
    <row r="22460" spans="1:5" x14ac:dyDescent="0.2">
      <c r="A22460">
        <v>44085</v>
      </c>
      <c r="B22460" t="s">
        <v>41</v>
      </c>
      <c r="C22460">
        <v>44085</v>
      </c>
      <c r="D22460" t="str">
        <f>"44085"</f>
        <v>44085</v>
      </c>
      <c r="E22460">
        <v>73.61</v>
      </c>
    </row>
    <row r="22461" spans="1:5" x14ac:dyDescent="0.2">
      <c r="A22461">
        <v>44086</v>
      </c>
      <c r="B22461" t="s">
        <v>41</v>
      </c>
      <c r="C22461">
        <v>44086</v>
      </c>
      <c r="D22461" t="str">
        <f>"44086"</f>
        <v>44086</v>
      </c>
      <c r="E22461">
        <v>79.13</v>
      </c>
    </row>
    <row r="22462" spans="1:5" x14ac:dyDescent="0.2">
      <c r="A22462">
        <v>44087</v>
      </c>
      <c r="B22462" t="s">
        <v>41</v>
      </c>
      <c r="C22462">
        <v>44087</v>
      </c>
      <c r="D22462" t="str">
        <f>"44087"</f>
        <v>44087</v>
      </c>
      <c r="E22462">
        <v>79.14</v>
      </c>
    </row>
    <row r="22463" spans="1:5" x14ac:dyDescent="0.2">
      <c r="A22463">
        <v>44089</v>
      </c>
      <c r="B22463" t="s">
        <v>41</v>
      </c>
      <c r="C22463">
        <v>44089</v>
      </c>
      <c r="D22463" t="str">
        <f>"44089"</f>
        <v>44089</v>
      </c>
      <c r="E22463">
        <v>74.819999999999993</v>
      </c>
    </row>
    <row r="22464" spans="1:5" x14ac:dyDescent="0.2">
      <c r="A22464">
        <v>44090</v>
      </c>
      <c r="B22464" t="s">
        <v>41</v>
      </c>
      <c r="C22464">
        <v>44090</v>
      </c>
      <c r="D22464" t="str">
        <f>"44090"</f>
        <v>44090</v>
      </c>
      <c r="E22464">
        <v>76.11</v>
      </c>
    </row>
    <row r="22465" spans="1:5" x14ac:dyDescent="0.2">
      <c r="A22465">
        <v>44092</v>
      </c>
      <c r="B22465" t="s">
        <v>41</v>
      </c>
      <c r="C22465">
        <v>44092</v>
      </c>
      <c r="D22465" t="str">
        <f>"44092"</f>
        <v>44092</v>
      </c>
      <c r="E22465">
        <v>76.13</v>
      </c>
    </row>
    <row r="22466" spans="1:5" x14ac:dyDescent="0.2">
      <c r="A22466">
        <v>44093</v>
      </c>
      <c r="B22466" t="s">
        <v>41</v>
      </c>
      <c r="C22466">
        <v>44093</v>
      </c>
      <c r="D22466" t="str">
        <f>"44093"</f>
        <v>44093</v>
      </c>
      <c r="E22466">
        <v>68.849999999999994</v>
      </c>
    </row>
    <row r="22467" spans="1:5" x14ac:dyDescent="0.2">
      <c r="A22467">
        <v>44094</v>
      </c>
      <c r="B22467" t="s">
        <v>41</v>
      </c>
      <c r="C22467">
        <v>44094</v>
      </c>
      <c r="D22467" t="str">
        <f>"44094"</f>
        <v>44094</v>
      </c>
      <c r="E22467">
        <v>78.53</v>
      </c>
    </row>
    <row r="22468" spans="1:5" x14ac:dyDescent="0.2">
      <c r="A22468">
        <v>44095</v>
      </c>
      <c r="B22468" t="s">
        <v>41</v>
      </c>
      <c r="C22468">
        <v>44095</v>
      </c>
      <c r="D22468" t="str">
        <f>"44095"</f>
        <v>44095</v>
      </c>
      <c r="E22468">
        <v>76.27</v>
      </c>
    </row>
    <row r="22469" spans="1:5" x14ac:dyDescent="0.2">
      <c r="A22469">
        <v>44099</v>
      </c>
      <c r="B22469" t="s">
        <v>41</v>
      </c>
      <c r="C22469">
        <v>44099</v>
      </c>
      <c r="D22469" t="str">
        <f>"44099"</f>
        <v>44099</v>
      </c>
      <c r="E22469">
        <v>70</v>
      </c>
    </row>
    <row r="22470" spans="1:5" x14ac:dyDescent="0.2">
      <c r="A22470">
        <v>44101</v>
      </c>
      <c r="B22470" t="s">
        <v>41</v>
      </c>
      <c r="C22470">
        <v>44101</v>
      </c>
      <c r="D22470" t="str">
        <f>"44101"</f>
        <v>44101</v>
      </c>
      <c r="E22470" t="s">
        <v>6</v>
      </c>
    </row>
    <row r="22471" spans="1:5" x14ac:dyDescent="0.2">
      <c r="A22471">
        <v>44102</v>
      </c>
      <c r="B22471" t="s">
        <v>41</v>
      </c>
      <c r="C22471">
        <v>44102</v>
      </c>
      <c r="D22471" t="str">
        <f>"44102"</f>
        <v>44102</v>
      </c>
      <c r="E22471">
        <v>57.86</v>
      </c>
    </row>
    <row r="22472" spans="1:5" x14ac:dyDescent="0.2">
      <c r="A22472">
        <v>44103</v>
      </c>
      <c r="B22472" t="s">
        <v>41</v>
      </c>
      <c r="C22472">
        <v>44103</v>
      </c>
      <c r="D22472" t="str">
        <f>"44103"</f>
        <v>44103</v>
      </c>
      <c r="E22472">
        <v>48.09</v>
      </c>
    </row>
    <row r="22473" spans="1:5" x14ac:dyDescent="0.2">
      <c r="A22473">
        <v>44104</v>
      </c>
      <c r="B22473" t="s">
        <v>41</v>
      </c>
      <c r="C22473">
        <v>44104</v>
      </c>
      <c r="D22473" t="str">
        <f>"44104"</f>
        <v>44104</v>
      </c>
      <c r="E22473">
        <v>36.19</v>
      </c>
    </row>
    <row r="22474" spans="1:5" x14ac:dyDescent="0.2">
      <c r="A22474">
        <v>44105</v>
      </c>
      <c r="B22474" t="s">
        <v>41</v>
      </c>
      <c r="C22474">
        <v>44105</v>
      </c>
      <c r="D22474" t="str">
        <f>"44105"</f>
        <v>44105</v>
      </c>
      <c r="E22474">
        <v>51.19</v>
      </c>
    </row>
    <row r="22475" spans="1:5" x14ac:dyDescent="0.2">
      <c r="A22475">
        <v>44106</v>
      </c>
      <c r="B22475" t="s">
        <v>41</v>
      </c>
      <c r="C22475">
        <v>44106</v>
      </c>
      <c r="D22475" t="str">
        <f>"44106"</f>
        <v>44106</v>
      </c>
      <c r="E22475">
        <v>64.5</v>
      </c>
    </row>
    <row r="22476" spans="1:5" x14ac:dyDescent="0.2">
      <c r="A22476">
        <v>44107</v>
      </c>
      <c r="B22476" t="s">
        <v>41</v>
      </c>
      <c r="C22476">
        <v>44107</v>
      </c>
      <c r="D22476" t="str">
        <f>"44107"</f>
        <v>44107</v>
      </c>
      <c r="E22476">
        <v>79.540000000000006</v>
      </c>
    </row>
    <row r="22477" spans="1:5" x14ac:dyDescent="0.2">
      <c r="A22477">
        <v>44108</v>
      </c>
      <c r="B22477" t="s">
        <v>41</v>
      </c>
      <c r="C22477">
        <v>44108</v>
      </c>
      <c r="D22477" t="str">
        <f>"44108"</f>
        <v>44108</v>
      </c>
      <c r="E22477">
        <v>51.7</v>
      </c>
    </row>
    <row r="22478" spans="1:5" x14ac:dyDescent="0.2">
      <c r="A22478">
        <v>44109</v>
      </c>
      <c r="B22478" t="s">
        <v>41</v>
      </c>
      <c r="C22478">
        <v>44109</v>
      </c>
      <c r="D22478" t="str">
        <f>"44109"</f>
        <v>44109</v>
      </c>
      <c r="E22478">
        <v>60.14</v>
      </c>
    </row>
    <row r="22479" spans="1:5" x14ac:dyDescent="0.2">
      <c r="A22479">
        <v>44110</v>
      </c>
      <c r="B22479" t="s">
        <v>41</v>
      </c>
      <c r="C22479">
        <v>44110</v>
      </c>
      <c r="D22479" t="str">
        <f>"44110"</f>
        <v>44110</v>
      </c>
      <c r="E22479">
        <v>50.63</v>
      </c>
    </row>
    <row r="22480" spans="1:5" x14ac:dyDescent="0.2">
      <c r="A22480">
        <v>44111</v>
      </c>
      <c r="B22480" t="s">
        <v>41</v>
      </c>
      <c r="C22480">
        <v>44111</v>
      </c>
      <c r="D22480" t="str">
        <f>"44111"</f>
        <v>44111</v>
      </c>
      <c r="E22480">
        <v>66.92</v>
      </c>
    </row>
    <row r="22481" spans="1:5" x14ac:dyDescent="0.2">
      <c r="A22481">
        <v>44112</v>
      </c>
      <c r="B22481" t="s">
        <v>41</v>
      </c>
      <c r="C22481">
        <v>44112</v>
      </c>
      <c r="D22481" t="str">
        <f>"44112"</f>
        <v>44112</v>
      </c>
      <c r="E22481">
        <v>51.25</v>
      </c>
    </row>
    <row r="22482" spans="1:5" x14ac:dyDescent="0.2">
      <c r="A22482">
        <v>44113</v>
      </c>
      <c r="B22482" t="s">
        <v>41</v>
      </c>
      <c r="C22482">
        <v>44113</v>
      </c>
      <c r="D22482" t="str">
        <f>"44113"</f>
        <v>44113</v>
      </c>
      <c r="E22482">
        <v>77.680000000000007</v>
      </c>
    </row>
    <row r="22483" spans="1:5" x14ac:dyDescent="0.2">
      <c r="A22483">
        <v>44114</v>
      </c>
      <c r="B22483" t="s">
        <v>41</v>
      </c>
      <c r="C22483">
        <v>44114</v>
      </c>
      <c r="D22483" t="str">
        <f>"44114"</f>
        <v>44114</v>
      </c>
      <c r="E22483">
        <v>70.87</v>
      </c>
    </row>
    <row r="22484" spans="1:5" x14ac:dyDescent="0.2">
      <c r="A22484">
        <v>44115</v>
      </c>
      <c r="B22484" t="s">
        <v>41</v>
      </c>
      <c r="C22484">
        <v>44115</v>
      </c>
      <c r="D22484" t="str">
        <f>"44115"</f>
        <v>44115</v>
      </c>
      <c r="E22484">
        <v>50.9</v>
      </c>
    </row>
    <row r="22485" spans="1:5" x14ac:dyDescent="0.2">
      <c r="A22485">
        <v>44116</v>
      </c>
      <c r="B22485" t="s">
        <v>41</v>
      </c>
      <c r="C22485">
        <v>44116</v>
      </c>
      <c r="D22485" t="str">
        <f>"44116"</f>
        <v>44116</v>
      </c>
      <c r="E22485">
        <v>80.72</v>
      </c>
    </row>
    <row r="22486" spans="1:5" x14ac:dyDescent="0.2">
      <c r="A22486">
        <v>44117</v>
      </c>
      <c r="B22486" t="s">
        <v>41</v>
      </c>
      <c r="C22486">
        <v>44117</v>
      </c>
      <c r="D22486" t="str">
        <f>"44117"</f>
        <v>44117</v>
      </c>
      <c r="E22486">
        <v>63.6</v>
      </c>
    </row>
    <row r="22487" spans="1:5" x14ac:dyDescent="0.2">
      <c r="A22487">
        <v>44118</v>
      </c>
      <c r="B22487" t="s">
        <v>41</v>
      </c>
      <c r="C22487">
        <v>44118</v>
      </c>
      <c r="D22487" t="str">
        <f>"44118"</f>
        <v>44118</v>
      </c>
      <c r="E22487">
        <v>73.069999999999993</v>
      </c>
    </row>
    <row r="22488" spans="1:5" x14ac:dyDescent="0.2">
      <c r="A22488">
        <v>44119</v>
      </c>
      <c r="B22488" t="s">
        <v>41</v>
      </c>
      <c r="C22488">
        <v>44119</v>
      </c>
      <c r="D22488" t="str">
        <f>"44119"</f>
        <v>44119</v>
      </c>
      <c r="E22488">
        <v>66.72</v>
      </c>
    </row>
    <row r="22489" spans="1:5" x14ac:dyDescent="0.2">
      <c r="A22489">
        <v>44120</v>
      </c>
      <c r="B22489" t="s">
        <v>41</v>
      </c>
      <c r="C22489">
        <v>44120</v>
      </c>
      <c r="D22489" t="str">
        <f>"44120"</f>
        <v>44120</v>
      </c>
      <c r="E22489">
        <v>63.46</v>
      </c>
    </row>
    <row r="22490" spans="1:5" x14ac:dyDescent="0.2">
      <c r="A22490">
        <v>44121</v>
      </c>
      <c r="B22490" t="s">
        <v>41</v>
      </c>
      <c r="C22490">
        <v>44121</v>
      </c>
      <c r="D22490" t="str">
        <f>"44121"</f>
        <v>44121</v>
      </c>
      <c r="E22490">
        <v>68.78</v>
      </c>
    </row>
    <row r="22491" spans="1:5" x14ac:dyDescent="0.2">
      <c r="A22491">
        <v>44122</v>
      </c>
      <c r="B22491" t="s">
        <v>41</v>
      </c>
      <c r="C22491">
        <v>44122</v>
      </c>
      <c r="D22491" t="str">
        <f>"44122"</f>
        <v>44122</v>
      </c>
      <c r="E22491">
        <v>77.31</v>
      </c>
    </row>
    <row r="22492" spans="1:5" x14ac:dyDescent="0.2">
      <c r="A22492">
        <v>44123</v>
      </c>
      <c r="B22492" t="s">
        <v>41</v>
      </c>
      <c r="C22492">
        <v>44123</v>
      </c>
      <c r="D22492" t="str">
        <f>"44123"</f>
        <v>44123</v>
      </c>
      <c r="E22492">
        <v>64.569999999999993</v>
      </c>
    </row>
    <row r="22493" spans="1:5" x14ac:dyDescent="0.2">
      <c r="A22493">
        <v>44124</v>
      </c>
      <c r="B22493" t="s">
        <v>41</v>
      </c>
      <c r="C22493">
        <v>44124</v>
      </c>
      <c r="D22493" t="str">
        <f>"44124"</f>
        <v>44124</v>
      </c>
      <c r="E22493">
        <v>78.63</v>
      </c>
    </row>
    <row r="22494" spans="1:5" x14ac:dyDescent="0.2">
      <c r="A22494">
        <v>44125</v>
      </c>
      <c r="B22494" t="s">
        <v>41</v>
      </c>
      <c r="C22494">
        <v>44125</v>
      </c>
      <c r="D22494" t="str">
        <f>"44125"</f>
        <v>44125</v>
      </c>
      <c r="E22494">
        <v>65.66</v>
      </c>
    </row>
    <row r="22495" spans="1:5" x14ac:dyDescent="0.2">
      <c r="A22495">
        <v>44126</v>
      </c>
      <c r="B22495" t="s">
        <v>41</v>
      </c>
      <c r="C22495">
        <v>44126</v>
      </c>
      <c r="D22495" t="str">
        <f>"44126"</f>
        <v>44126</v>
      </c>
      <c r="E22495">
        <v>80.209999999999994</v>
      </c>
    </row>
    <row r="22496" spans="1:5" x14ac:dyDescent="0.2">
      <c r="A22496">
        <v>44127</v>
      </c>
      <c r="B22496" t="s">
        <v>41</v>
      </c>
      <c r="C22496">
        <v>44127</v>
      </c>
      <c r="D22496" t="str">
        <f>"44127"</f>
        <v>44127</v>
      </c>
      <c r="E22496">
        <v>44.23</v>
      </c>
    </row>
    <row r="22497" spans="1:5" x14ac:dyDescent="0.2">
      <c r="A22497">
        <v>44128</v>
      </c>
      <c r="B22497" t="s">
        <v>41</v>
      </c>
      <c r="C22497">
        <v>44128</v>
      </c>
      <c r="D22497" t="str">
        <f>"44128"</f>
        <v>44128</v>
      </c>
      <c r="E22497">
        <v>59.14</v>
      </c>
    </row>
    <row r="22498" spans="1:5" x14ac:dyDescent="0.2">
      <c r="A22498">
        <v>44129</v>
      </c>
      <c r="B22498" t="s">
        <v>41</v>
      </c>
      <c r="C22498">
        <v>44129</v>
      </c>
      <c r="D22498" t="str">
        <f>"44129"</f>
        <v>44129</v>
      </c>
      <c r="E22498">
        <v>74.98</v>
      </c>
    </row>
    <row r="22499" spans="1:5" x14ac:dyDescent="0.2">
      <c r="A22499">
        <v>44130</v>
      </c>
      <c r="B22499" t="s">
        <v>41</v>
      </c>
      <c r="C22499">
        <v>44130</v>
      </c>
      <c r="D22499" t="str">
        <f>"44130"</f>
        <v>44130</v>
      </c>
      <c r="E22499">
        <v>76.27</v>
      </c>
    </row>
    <row r="22500" spans="1:5" x14ac:dyDescent="0.2">
      <c r="A22500">
        <v>44131</v>
      </c>
      <c r="B22500" t="s">
        <v>41</v>
      </c>
      <c r="C22500">
        <v>44131</v>
      </c>
      <c r="D22500" t="str">
        <f>"44131"</f>
        <v>44131</v>
      </c>
      <c r="E22500">
        <v>80.33</v>
      </c>
    </row>
    <row r="22501" spans="1:5" x14ac:dyDescent="0.2">
      <c r="A22501">
        <v>44132</v>
      </c>
      <c r="B22501" t="s">
        <v>41</v>
      </c>
      <c r="C22501">
        <v>44132</v>
      </c>
      <c r="D22501" t="str">
        <f>"44132"</f>
        <v>44132</v>
      </c>
      <c r="E22501">
        <v>60.9</v>
      </c>
    </row>
    <row r="22502" spans="1:5" x14ac:dyDescent="0.2">
      <c r="A22502">
        <v>44133</v>
      </c>
      <c r="B22502" t="s">
        <v>41</v>
      </c>
      <c r="C22502">
        <v>44133</v>
      </c>
      <c r="D22502" t="str">
        <f>"44133"</f>
        <v>44133</v>
      </c>
      <c r="E22502">
        <v>80.040000000000006</v>
      </c>
    </row>
    <row r="22503" spans="1:5" x14ac:dyDescent="0.2">
      <c r="A22503">
        <v>44134</v>
      </c>
      <c r="B22503" t="s">
        <v>41</v>
      </c>
      <c r="C22503">
        <v>44134</v>
      </c>
      <c r="D22503" t="str">
        <f>"44134"</f>
        <v>44134</v>
      </c>
      <c r="E22503">
        <v>75.69</v>
      </c>
    </row>
    <row r="22504" spans="1:5" x14ac:dyDescent="0.2">
      <c r="A22504">
        <v>44135</v>
      </c>
      <c r="B22504" t="s">
        <v>41</v>
      </c>
      <c r="C22504">
        <v>44135</v>
      </c>
      <c r="D22504" t="str">
        <f>"44135"</f>
        <v>44135</v>
      </c>
      <c r="E22504">
        <v>65.33</v>
      </c>
    </row>
    <row r="22505" spans="1:5" x14ac:dyDescent="0.2">
      <c r="A22505">
        <v>44136</v>
      </c>
      <c r="B22505" t="s">
        <v>41</v>
      </c>
      <c r="C22505">
        <v>44136</v>
      </c>
      <c r="D22505" t="str">
        <f>"44136"</f>
        <v>44136</v>
      </c>
      <c r="E22505">
        <v>79.08</v>
      </c>
    </row>
    <row r="22506" spans="1:5" x14ac:dyDescent="0.2">
      <c r="A22506">
        <v>44137</v>
      </c>
      <c r="B22506" t="s">
        <v>41</v>
      </c>
      <c r="C22506">
        <v>44137</v>
      </c>
      <c r="D22506" t="str">
        <f>"44137"</f>
        <v>44137</v>
      </c>
      <c r="E22506">
        <v>61.61</v>
      </c>
    </row>
    <row r="22507" spans="1:5" x14ac:dyDescent="0.2">
      <c r="A22507">
        <v>44138</v>
      </c>
      <c r="B22507" t="s">
        <v>41</v>
      </c>
      <c r="C22507">
        <v>44138</v>
      </c>
      <c r="D22507" t="str">
        <f>"44138"</f>
        <v>44138</v>
      </c>
      <c r="E22507">
        <v>79.569999999999993</v>
      </c>
    </row>
    <row r="22508" spans="1:5" x14ac:dyDescent="0.2">
      <c r="A22508">
        <v>44139</v>
      </c>
      <c r="B22508" t="s">
        <v>41</v>
      </c>
      <c r="C22508">
        <v>44139</v>
      </c>
      <c r="D22508" t="str">
        <f>"44139"</f>
        <v>44139</v>
      </c>
      <c r="E22508">
        <v>79.430000000000007</v>
      </c>
    </row>
    <row r="22509" spans="1:5" x14ac:dyDescent="0.2">
      <c r="A22509">
        <v>44140</v>
      </c>
      <c r="B22509" t="s">
        <v>41</v>
      </c>
      <c r="C22509">
        <v>44140</v>
      </c>
      <c r="D22509" t="str">
        <f>"44140"</f>
        <v>44140</v>
      </c>
      <c r="E22509">
        <v>81.5</v>
      </c>
    </row>
    <row r="22510" spans="1:5" x14ac:dyDescent="0.2">
      <c r="A22510">
        <v>44141</v>
      </c>
      <c r="B22510" t="s">
        <v>41</v>
      </c>
      <c r="C22510">
        <v>44141</v>
      </c>
      <c r="D22510" t="str">
        <f>"44141"</f>
        <v>44141</v>
      </c>
      <c r="E22510">
        <v>82.42</v>
      </c>
    </row>
    <row r="22511" spans="1:5" x14ac:dyDescent="0.2">
      <c r="A22511">
        <v>44142</v>
      </c>
      <c r="B22511" t="s">
        <v>41</v>
      </c>
      <c r="C22511">
        <v>44142</v>
      </c>
      <c r="D22511" t="str">
        <f>"44142"</f>
        <v>44142</v>
      </c>
      <c r="E22511">
        <v>74.319999999999993</v>
      </c>
    </row>
    <row r="22512" spans="1:5" x14ac:dyDescent="0.2">
      <c r="A22512">
        <v>44143</v>
      </c>
      <c r="B22512" t="s">
        <v>41</v>
      </c>
      <c r="C22512">
        <v>44143</v>
      </c>
      <c r="D22512" t="str">
        <f>"44143"</f>
        <v>44143</v>
      </c>
      <c r="E22512">
        <v>76.23</v>
      </c>
    </row>
    <row r="22513" spans="1:5" x14ac:dyDescent="0.2">
      <c r="A22513">
        <v>44144</v>
      </c>
      <c r="B22513" t="s">
        <v>41</v>
      </c>
      <c r="C22513">
        <v>44144</v>
      </c>
      <c r="D22513" t="str">
        <f>"44144"</f>
        <v>44144</v>
      </c>
      <c r="E22513">
        <v>71.27</v>
      </c>
    </row>
    <row r="22514" spans="1:5" x14ac:dyDescent="0.2">
      <c r="A22514">
        <v>44145</v>
      </c>
      <c r="B22514" t="s">
        <v>41</v>
      </c>
      <c r="C22514">
        <v>44145</v>
      </c>
      <c r="D22514" t="str">
        <f>"44145"</f>
        <v>44145</v>
      </c>
      <c r="E22514">
        <v>79.34</v>
      </c>
    </row>
    <row r="22515" spans="1:5" x14ac:dyDescent="0.2">
      <c r="A22515">
        <v>44146</v>
      </c>
      <c r="B22515" t="s">
        <v>41</v>
      </c>
      <c r="C22515">
        <v>44146</v>
      </c>
      <c r="D22515" t="str">
        <f>"44146"</f>
        <v>44146</v>
      </c>
      <c r="E22515">
        <v>70.19</v>
      </c>
    </row>
    <row r="22516" spans="1:5" x14ac:dyDescent="0.2">
      <c r="A22516">
        <v>44147</v>
      </c>
      <c r="B22516" t="s">
        <v>41</v>
      </c>
      <c r="C22516">
        <v>44147</v>
      </c>
      <c r="D22516" t="str">
        <f>"44147"</f>
        <v>44147</v>
      </c>
      <c r="E22516">
        <v>80.09</v>
      </c>
    </row>
    <row r="22517" spans="1:5" x14ac:dyDescent="0.2">
      <c r="A22517">
        <v>44149</v>
      </c>
      <c r="B22517" t="s">
        <v>41</v>
      </c>
      <c r="C22517">
        <v>44149</v>
      </c>
      <c r="D22517" t="str">
        <f>"44149"</f>
        <v>44149</v>
      </c>
      <c r="E22517">
        <v>80.7</v>
      </c>
    </row>
    <row r="22518" spans="1:5" x14ac:dyDescent="0.2">
      <c r="A22518">
        <v>44195</v>
      </c>
      <c r="B22518" t="s">
        <v>41</v>
      </c>
      <c r="C22518">
        <v>44195</v>
      </c>
      <c r="D22518" t="str">
        <f>"44195"</f>
        <v>44195</v>
      </c>
      <c r="E22518" t="s">
        <v>6</v>
      </c>
    </row>
    <row r="22519" spans="1:5" x14ac:dyDescent="0.2">
      <c r="A22519">
        <v>44201</v>
      </c>
      <c r="B22519" t="s">
        <v>41</v>
      </c>
      <c r="C22519">
        <v>44201</v>
      </c>
      <c r="D22519" t="str">
        <f>"44201"</f>
        <v>44201</v>
      </c>
      <c r="E22519">
        <v>77.95</v>
      </c>
    </row>
    <row r="22520" spans="1:5" x14ac:dyDescent="0.2">
      <c r="A22520">
        <v>44202</v>
      </c>
      <c r="B22520" t="s">
        <v>41</v>
      </c>
      <c r="C22520">
        <v>44202</v>
      </c>
      <c r="D22520" t="str">
        <f>"44202"</f>
        <v>44202</v>
      </c>
      <c r="E22520">
        <v>80.45</v>
      </c>
    </row>
    <row r="22521" spans="1:5" x14ac:dyDescent="0.2">
      <c r="A22521">
        <v>44203</v>
      </c>
      <c r="B22521" t="s">
        <v>41</v>
      </c>
      <c r="C22521">
        <v>44203</v>
      </c>
      <c r="D22521" t="str">
        <f>"44203"</f>
        <v>44203</v>
      </c>
      <c r="E22521">
        <v>71.709999999999994</v>
      </c>
    </row>
    <row r="22522" spans="1:5" x14ac:dyDescent="0.2">
      <c r="A22522">
        <v>44212</v>
      </c>
      <c r="B22522" t="s">
        <v>41</v>
      </c>
      <c r="C22522">
        <v>44212</v>
      </c>
      <c r="D22522" t="str">
        <f>"44212"</f>
        <v>44212</v>
      </c>
      <c r="E22522">
        <v>79.010000000000005</v>
      </c>
    </row>
    <row r="22523" spans="1:5" x14ac:dyDescent="0.2">
      <c r="A22523">
        <v>44214</v>
      </c>
      <c r="B22523" t="s">
        <v>41</v>
      </c>
      <c r="C22523">
        <v>44214</v>
      </c>
      <c r="D22523" t="str">
        <f>"44214"</f>
        <v>44214</v>
      </c>
      <c r="E22523">
        <v>75.47</v>
      </c>
    </row>
    <row r="22524" spans="1:5" x14ac:dyDescent="0.2">
      <c r="A22524">
        <v>44215</v>
      </c>
      <c r="B22524" t="s">
        <v>41</v>
      </c>
      <c r="C22524">
        <v>44215</v>
      </c>
      <c r="D22524" t="str">
        <f>"44215"</f>
        <v>44215</v>
      </c>
      <c r="E22524">
        <v>76.36</v>
      </c>
    </row>
    <row r="22525" spans="1:5" x14ac:dyDescent="0.2">
      <c r="A22525">
        <v>44216</v>
      </c>
      <c r="B22525" t="s">
        <v>41</v>
      </c>
      <c r="C22525">
        <v>44216</v>
      </c>
      <c r="D22525" t="str">
        <f>"44216"</f>
        <v>44216</v>
      </c>
      <c r="E22525">
        <v>79.709999999999994</v>
      </c>
    </row>
    <row r="22526" spans="1:5" x14ac:dyDescent="0.2">
      <c r="A22526">
        <v>44217</v>
      </c>
      <c r="B22526" t="s">
        <v>41</v>
      </c>
      <c r="C22526">
        <v>44217</v>
      </c>
      <c r="D22526" t="str">
        <f>"44217"</f>
        <v>44217</v>
      </c>
      <c r="E22526">
        <v>73.709999999999994</v>
      </c>
    </row>
    <row r="22527" spans="1:5" x14ac:dyDescent="0.2">
      <c r="A22527">
        <v>44221</v>
      </c>
      <c r="B22527" t="s">
        <v>41</v>
      </c>
      <c r="C22527">
        <v>44221</v>
      </c>
      <c r="D22527" t="str">
        <f>"44221"</f>
        <v>44221</v>
      </c>
      <c r="E22527">
        <v>77.44</v>
      </c>
    </row>
    <row r="22528" spans="1:5" x14ac:dyDescent="0.2">
      <c r="A22528">
        <v>44223</v>
      </c>
      <c r="B22528" t="s">
        <v>41</v>
      </c>
      <c r="C22528">
        <v>44223</v>
      </c>
      <c r="D22528" t="str">
        <f>"44223"</f>
        <v>44223</v>
      </c>
      <c r="E22528">
        <v>79.61</v>
      </c>
    </row>
    <row r="22529" spans="1:5" x14ac:dyDescent="0.2">
      <c r="A22529">
        <v>44224</v>
      </c>
      <c r="B22529" t="s">
        <v>41</v>
      </c>
      <c r="C22529">
        <v>44224</v>
      </c>
      <c r="D22529" t="str">
        <f>"44224"</f>
        <v>44224</v>
      </c>
      <c r="E22529">
        <v>79.38</v>
      </c>
    </row>
    <row r="22530" spans="1:5" x14ac:dyDescent="0.2">
      <c r="A22530">
        <v>44230</v>
      </c>
      <c r="B22530" t="s">
        <v>41</v>
      </c>
      <c r="C22530">
        <v>44230</v>
      </c>
      <c r="D22530" t="str">
        <f>"44230"</f>
        <v>44230</v>
      </c>
      <c r="E22530">
        <v>76.94</v>
      </c>
    </row>
    <row r="22531" spans="1:5" x14ac:dyDescent="0.2">
      <c r="A22531">
        <v>44231</v>
      </c>
      <c r="B22531" t="s">
        <v>41</v>
      </c>
      <c r="C22531">
        <v>44231</v>
      </c>
      <c r="D22531" t="str">
        <f>"44231"</f>
        <v>44231</v>
      </c>
      <c r="E22531">
        <v>75.5</v>
      </c>
    </row>
    <row r="22532" spans="1:5" x14ac:dyDescent="0.2">
      <c r="A22532">
        <v>44233</v>
      </c>
      <c r="B22532" t="s">
        <v>41</v>
      </c>
      <c r="C22532">
        <v>44233</v>
      </c>
      <c r="D22532" t="str">
        <f>"44233"</f>
        <v>44233</v>
      </c>
      <c r="E22532">
        <v>81.03</v>
      </c>
    </row>
    <row r="22533" spans="1:5" x14ac:dyDescent="0.2">
      <c r="A22533">
        <v>44234</v>
      </c>
      <c r="B22533" t="s">
        <v>41</v>
      </c>
      <c r="C22533">
        <v>44234</v>
      </c>
      <c r="D22533" t="str">
        <f>"44234"</f>
        <v>44234</v>
      </c>
      <c r="E22533">
        <v>80.23</v>
      </c>
    </row>
    <row r="22534" spans="1:5" x14ac:dyDescent="0.2">
      <c r="A22534">
        <v>44235</v>
      </c>
      <c r="B22534" t="s">
        <v>41</v>
      </c>
      <c r="C22534">
        <v>44235</v>
      </c>
      <c r="D22534" t="str">
        <f>"44235"</f>
        <v>44235</v>
      </c>
      <c r="E22534">
        <v>75</v>
      </c>
    </row>
    <row r="22535" spans="1:5" x14ac:dyDescent="0.2">
      <c r="A22535">
        <v>44236</v>
      </c>
      <c r="B22535" t="s">
        <v>41</v>
      </c>
      <c r="C22535">
        <v>44236</v>
      </c>
      <c r="D22535" t="str">
        <f>"44236"</f>
        <v>44236</v>
      </c>
      <c r="E22535">
        <v>81.430000000000007</v>
      </c>
    </row>
    <row r="22536" spans="1:5" x14ac:dyDescent="0.2">
      <c r="A22536">
        <v>44240</v>
      </c>
      <c r="B22536" t="s">
        <v>41</v>
      </c>
      <c r="C22536">
        <v>44240</v>
      </c>
      <c r="D22536" t="str">
        <f>"44240"</f>
        <v>44240</v>
      </c>
      <c r="E22536">
        <v>73.33</v>
      </c>
    </row>
    <row r="22537" spans="1:5" x14ac:dyDescent="0.2">
      <c r="A22537">
        <v>44241</v>
      </c>
      <c r="B22537" t="s">
        <v>41</v>
      </c>
      <c r="C22537">
        <v>44241</v>
      </c>
      <c r="D22537" t="str">
        <f>"44241"</f>
        <v>44241</v>
      </c>
      <c r="E22537">
        <v>77.69</v>
      </c>
    </row>
    <row r="22538" spans="1:5" x14ac:dyDescent="0.2">
      <c r="A22538">
        <v>44242</v>
      </c>
      <c r="B22538" t="s">
        <v>41</v>
      </c>
      <c r="C22538">
        <v>44242</v>
      </c>
      <c r="D22538" t="str">
        <f>"44242"</f>
        <v>44242</v>
      </c>
      <c r="E22538" t="s">
        <v>6</v>
      </c>
    </row>
    <row r="22539" spans="1:5" x14ac:dyDescent="0.2">
      <c r="A22539">
        <v>44243</v>
      </c>
      <c r="B22539" t="s">
        <v>41</v>
      </c>
      <c r="C22539">
        <v>44243</v>
      </c>
      <c r="D22539" t="str">
        <f>"44243"</f>
        <v>44243</v>
      </c>
      <c r="E22539" t="s">
        <v>6</v>
      </c>
    </row>
    <row r="22540" spans="1:5" x14ac:dyDescent="0.2">
      <c r="A22540">
        <v>44250</v>
      </c>
      <c r="B22540" t="s">
        <v>41</v>
      </c>
      <c r="C22540">
        <v>44250</v>
      </c>
      <c r="D22540" t="str">
        <f>"44250"</f>
        <v>44250</v>
      </c>
      <c r="E22540" t="s">
        <v>6</v>
      </c>
    </row>
    <row r="22541" spans="1:5" x14ac:dyDescent="0.2">
      <c r="A22541">
        <v>44251</v>
      </c>
      <c r="B22541" t="s">
        <v>41</v>
      </c>
      <c r="C22541">
        <v>44251</v>
      </c>
      <c r="D22541" t="str">
        <f>"44251"</f>
        <v>44251</v>
      </c>
      <c r="E22541" t="s">
        <v>6</v>
      </c>
    </row>
    <row r="22542" spans="1:5" x14ac:dyDescent="0.2">
      <c r="A22542">
        <v>44253</v>
      </c>
      <c r="B22542" t="s">
        <v>41</v>
      </c>
      <c r="C22542">
        <v>44253</v>
      </c>
      <c r="D22542" t="str">
        <f>"44253"</f>
        <v>44253</v>
      </c>
      <c r="E22542">
        <v>80.319999999999993</v>
      </c>
    </row>
    <row r="22543" spans="1:5" x14ac:dyDescent="0.2">
      <c r="A22543">
        <v>44254</v>
      </c>
      <c r="B22543" t="s">
        <v>41</v>
      </c>
      <c r="C22543">
        <v>44254</v>
      </c>
      <c r="D22543" t="str">
        <f>"44254"</f>
        <v>44254</v>
      </c>
      <c r="E22543">
        <v>75.31</v>
      </c>
    </row>
    <row r="22544" spans="1:5" x14ac:dyDescent="0.2">
      <c r="A22544">
        <v>44255</v>
      </c>
      <c r="B22544" t="s">
        <v>41</v>
      </c>
      <c r="C22544">
        <v>44255</v>
      </c>
      <c r="D22544" t="str">
        <f>"44255"</f>
        <v>44255</v>
      </c>
      <c r="E22544">
        <v>77.16</v>
      </c>
    </row>
    <row r="22545" spans="1:5" x14ac:dyDescent="0.2">
      <c r="A22545">
        <v>44256</v>
      </c>
      <c r="B22545" t="s">
        <v>41</v>
      </c>
      <c r="C22545">
        <v>44256</v>
      </c>
      <c r="D22545" t="str">
        <f>"44256"</f>
        <v>44256</v>
      </c>
      <c r="E22545">
        <v>79.239999999999995</v>
      </c>
    </row>
    <row r="22546" spans="1:5" x14ac:dyDescent="0.2">
      <c r="A22546">
        <v>44260</v>
      </c>
      <c r="B22546" t="s">
        <v>41</v>
      </c>
      <c r="C22546">
        <v>44260</v>
      </c>
      <c r="D22546" t="str">
        <f>"44260"</f>
        <v>44260</v>
      </c>
      <c r="E22546">
        <v>78.58</v>
      </c>
    </row>
    <row r="22547" spans="1:5" x14ac:dyDescent="0.2">
      <c r="A22547">
        <v>44262</v>
      </c>
      <c r="B22547" t="s">
        <v>41</v>
      </c>
      <c r="C22547">
        <v>44262</v>
      </c>
      <c r="D22547" t="str">
        <f>"44262"</f>
        <v>44262</v>
      </c>
      <c r="E22547">
        <v>80.97</v>
      </c>
    </row>
    <row r="22548" spans="1:5" x14ac:dyDescent="0.2">
      <c r="A22548">
        <v>44264</v>
      </c>
      <c r="B22548" t="s">
        <v>41</v>
      </c>
      <c r="C22548">
        <v>44264</v>
      </c>
      <c r="D22548" t="str">
        <f>"44264"</f>
        <v>44264</v>
      </c>
      <c r="E22548">
        <v>81.650000000000006</v>
      </c>
    </row>
    <row r="22549" spans="1:5" x14ac:dyDescent="0.2">
      <c r="A22549">
        <v>44266</v>
      </c>
      <c r="B22549" t="s">
        <v>41</v>
      </c>
      <c r="C22549">
        <v>44266</v>
      </c>
      <c r="D22549" t="str">
        <f>"44266"</f>
        <v>44266</v>
      </c>
      <c r="E22549">
        <v>74.56</v>
      </c>
    </row>
    <row r="22550" spans="1:5" x14ac:dyDescent="0.2">
      <c r="A22550">
        <v>44270</v>
      </c>
      <c r="B22550" t="s">
        <v>41</v>
      </c>
      <c r="C22550">
        <v>44270</v>
      </c>
      <c r="D22550" t="str">
        <f>"44270"</f>
        <v>44270</v>
      </c>
      <c r="E22550">
        <v>73.760000000000005</v>
      </c>
    </row>
    <row r="22551" spans="1:5" x14ac:dyDescent="0.2">
      <c r="A22551">
        <v>44272</v>
      </c>
      <c r="B22551" t="s">
        <v>41</v>
      </c>
      <c r="C22551">
        <v>44272</v>
      </c>
      <c r="D22551" t="str">
        <f>"44272"</f>
        <v>44272</v>
      </c>
      <c r="E22551">
        <v>78.150000000000006</v>
      </c>
    </row>
    <row r="22552" spans="1:5" x14ac:dyDescent="0.2">
      <c r="A22552">
        <v>44273</v>
      </c>
      <c r="B22552" t="s">
        <v>41</v>
      </c>
      <c r="C22552">
        <v>44273</v>
      </c>
      <c r="D22552" t="str">
        <f>"44273"</f>
        <v>44273</v>
      </c>
      <c r="E22552">
        <v>77.680000000000007</v>
      </c>
    </row>
    <row r="22553" spans="1:5" x14ac:dyDescent="0.2">
      <c r="A22553">
        <v>44275</v>
      </c>
      <c r="B22553" t="s">
        <v>41</v>
      </c>
      <c r="C22553">
        <v>44275</v>
      </c>
      <c r="D22553" t="str">
        <f>"44275"</f>
        <v>44275</v>
      </c>
      <c r="E22553">
        <v>78.31</v>
      </c>
    </row>
    <row r="22554" spans="1:5" x14ac:dyDescent="0.2">
      <c r="A22554">
        <v>44276</v>
      </c>
      <c r="B22554" t="s">
        <v>41</v>
      </c>
      <c r="C22554">
        <v>44276</v>
      </c>
      <c r="D22554" t="str">
        <f>"44276"</f>
        <v>44276</v>
      </c>
      <c r="E22554">
        <v>74.75</v>
      </c>
    </row>
    <row r="22555" spans="1:5" x14ac:dyDescent="0.2">
      <c r="A22555">
        <v>44278</v>
      </c>
      <c r="B22555" t="s">
        <v>41</v>
      </c>
      <c r="C22555">
        <v>44278</v>
      </c>
      <c r="D22555" t="str">
        <f>"44278"</f>
        <v>44278</v>
      </c>
      <c r="E22555">
        <v>78.77</v>
      </c>
    </row>
    <row r="22556" spans="1:5" x14ac:dyDescent="0.2">
      <c r="A22556">
        <v>44280</v>
      </c>
      <c r="B22556" t="s">
        <v>41</v>
      </c>
      <c r="C22556">
        <v>44280</v>
      </c>
      <c r="D22556" t="str">
        <f>"44280"</f>
        <v>44280</v>
      </c>
      <c r="E22556">
        <v>83.11</v>
      </c>
    </row>
    <row r="22557" spans="1:5" x14ac:dyDescent="0.2">
      <c r="A22557">
        <v>44281</v>
      </c>
      <c r="B22557" t="s">
        <v>41</v>
      </c>
      <c r="C22557">
        <v>44281</v>
      </c>
      <c r="D22557" t="str">
        <f>"44281"</f>
        <v>44281</v>
      </c>
      <c r="E22557">
        <v>79.209999999999994</v>
      </c>
    </row>
    <row r="22558" spans="1:5" x14ac:dyDescent="0.2">
      <c r="A22558">
        <v>44285</v>
      </c>
      <c r="B22558" t="s">
        <v>41</v>
      </c>
      <c r="C22558">
        <v>44285</v>
      </c>
      <c r="D22558" t="str">
        <f>"44285"</f>
        <v>44285</v>
      </c>
      <c r="E22558" t="s">
        <v>6</v>
      </c>
    </row>
    <row r="22559" spans="1:5" x14ac:dyDescent="0.2">
      <c r="A22559">
        <v>44286</v>
      </c>
      <c r="B22559" t="s">
        <v>41</v>
      </c>
      <c r="C22559">
        <v>44286</v>
      </c>
      <c r="D22559" t="str">
        <f>"44286"</f>
        <v>44286</v>
      </c>
      <c r="E22559">
        <v>82.01</v>
      </c>
    </row>
    <row r="22560" spans="1:5" x14ac:dyDescent="0.2">
      <c r="A22560">
        <v>44287</v>
      </c>
      <c r="B22560" t="s">
        <v>41</v>
      </c>
      <c r="C22560">
        <v>44287</v>
      </c>
      <c r="D22560" t="str">
        <f>"44287"</f>
        <v>44287</v>
      </c>
      <c r="E22560">
        <v>74.12</v>
      </c>
    </row>
    <row r="22561" spans="1:5" x14ac:dyDescent="0.2">
      <c r="A22561">
        <v>44288</v>
      </c>
      <c r="B22561" t="s">
        <v>41</v>
      </c>
      <c r="C22561">
        <v>44288</v>
      </c>
      <c r="D22561" t="str">
        <f>"44288"</f>
        <v>44288</v>
      </c>
      <c r="E22561">
        <v>69.41</v>
      </c>
    </row>
    <row r="22562" spans="1:5" x14ac:dyDescent="0.2">
      <c r="A22562">
        <v>44301</v>
      </c>
      <c r="B22562" t="s">
        <v>41</v>
      </c>
      <c r="C22562">
        <v>44301</v>
      </c>
      <c r="D22562" t="str">
        <f>"44301"</f>
        <v>44301</v>
      </c>
      <c r="E22562">
        <v>63.23</v>
      </c>
    </row>
    <row r="22563" spans="1:5" x14ac:dyDescent="0.2">
      <c r="A22563">
        <v>44302</v>
      </c>
      <c r="B22563" t="s">
        <v>41</v>
      </c>
      <c r="C22563">
        <v>44302</v>
      </c>
      <c r="D22563" t="str">
        <f>"44302"</f>
        <v>44302</v>
      </c>
      <c r="E22563">
        <v>65.95</v>
      </c>
    </row>
    <row r="22564" spans="1:5" x14ac:dyDescent="0.2">
      <c r="A22564">
        <v>44303</v>
      </c>
      <c r="B22564" t="s">
        <v>41</v>
      </c>
      <c r="C22564">
        <v>44303</v>
      </c>
      <c r="D22564" t="str">
        <f>"44303"</f>
        <v>44303</v>
      </c>
      <c r="E22564">
        <v>76.400000000000006</v>
      </c>
    </row>
    <row r="22565" spans="1:5" x14ac:dyDescent="0.2">
      <c r="A22565">
        <v>44304</v>
      </c>
      <c r="B22565" t="s">
        <v>41</v>
      </c>
      <c r="C22565">
        <v>44304</v>
      </c>
      <c r="D22565" t="str">
        <f>"44304"</f>
        <v>44304</v>
      </c>
      <c r="E22565">
        <v>48.08</v>
      </c>
    </row>
    <row r="22566" spans="1:5" x14ac:dyDescent="0.2">
      <c r="A22566">
        <v>44305</v>
      </c>
      <c r="B22566" t="s">
        <v>41</v>
      </c>
      <c r="C22566">
        <v>44305</v>
      </c>
      <c r="D22566" t="str">
        <f>"44305"</f>
        <v>44305</v>
      </c>
      <c r="E22566">
        <v>65.760000000000005</v>
      </c>
    </row>
    <row r="22567" spans="1:5" x14ac:dyDescent="0.2">
      <c r="A22567">
        <v>44306</v>
      </c>
      <c r="B22567" t="s">
        <v>41</v>
      </c>
      <c r="C22567">
        <v>44306</v>
      </c>
      <c r="D22567" t="str">
        <f>"44306"</f>
        <v>44306</v>
      </c>
      <c r="E22567">
        <v>52.76</v>
      </c>
    </row>
    <row r="22568" spans="1:5" x14ac:dyDescent="0.2">
      <c r="A22568">
        <v>44307</v>
      </c>
      <c r="B22568" t="s">
        <v>41</v>
      </c>
      <c r="C22568">
        <v>44307</v>
      </c>
      <c r="D22568" t="str">
        <f>"44307"</f>
        <v>44307</v>
      </c>
      <c r="E22568">
        <v>47.37</v>
      </c>
    </row>
    <row r="22569" spans="1:5" x14ac:dyDescent="0.2">
      <c r="A22569">
        <v>44308</v>
      </c>
      <c r="B22569" t="s">
        <v>41</v>
      </c>
      <c r="C22569">
        <v>44308</v>
      </c>
      <c r="D22569" t="str">
        <f>"44308"</f>
        <v>44308</v>
      </c>
      <c r="E22569">
        <v>58.06</v>
      </c>
    </row>
    <row r="22570" spans="1:5" x14ac:dyDescent="0.2">
      <c r="A22570">
        <v>44309</v>
      </c>
      <c r="B22570" t="s">
        <v>41</v>
      </c>
      <c r="C22570">
        <v>44309</v>
      </c>
      <c r="D22570" t="str">
        <f>"44309"</f>
        <v>44309</v>
      </c>
      <c r="E22570" t="s">
        <v>6</v>
      </c>
    </row>
    <row r="22571" spans="1:5" x14ac:dyDescent="0.2">
      <c r="A22571">
        <v>44310</v>
      </c>
      <c r="B22571" t="s">
        <v>41</v>
      </c>
      <c r="C22571">
        <v>44310</v>
      </c>
      <c r="D22571" t="str">
        <f>"44310"</f>
        <v>44310</v>
      </c>
      <c r="E22571">
        <v>57.13</v>
      </c>
    </row>
    <row r="22572" spans="1:5" x14ac:dyDescent="0.2">
      <c r="A22572">
        <v>44311</v>
      </c>
      <c r="B22572" t="s">
        <v>41</v>
      </c>
      <c r="C22572">
        <v>44311</v>
      </c>
      <c r="D22572" t="str">
        <f>"44311"</f>
        <v>44311</v>
      </c>
      <c r="E22572">
        <v>43.32</v>
      </c>
    </row>
    <row r="22573" spans="1:5" x14ac:dyDescent="0.2">
      <c r="A22573">
        <v>44312</v>
      </c>
      <c r="B22573" t="s">
        <v>41</v>
      </c>
      <c r="C22573">
        <v>44312</v>
      </c>
      <c r="D22573" t="str">
        <f>"44312"</f>
        <v>44312</v>
      </c>
      <c r="E22573">
        <v>74.73</v>
      </c>
    </row>
    <row r="22574" spans="1:5" x14ac:dyDescent="0.2">
      <c r="A22574">
        <v>44313</v>
      </c>
      <c r="B22574" t="s">
        <v>41</v>
      </c>
      <c r="C22574">
        <v>44313</v>
      </c>
      <c r="D22574" t="str">
        <f>"44313"</f>
        <v>44313</v>
      </c>
      <c r="E22574">
        <v>77.67</v>
      </c>
    </row>
    <row r="22575" spans="1:5" x14ac:dyDescent="0.2">
      <c r="A22575">
        <v>44314</v>
      </c>
      <c r="B22575" t="s">
        <v>41</v>
      </c>
      <c r="C22575">
        <v>44314</v>
      </c>
      <c r="D22575" t="str">
        <f>"44314"</f>
        <v>44314</v>
      </c>
      <c r="E22575">
        <v>63.1</v>
      </c>
    </row>
    <row r="22576" spans="1:5" x14ac:dyDescent="0.2">
      <c r="A22576">
        <v>44319</v>
      </c>
      <c r="B22576" t="s">
        <v>41</v>
      </c>
      <c r="C22576">
        <v>44319</v>
      </c>
      <c r="D22576" t="str">
        <f>"44319"</f>
        <v>44319</v>
      </c>
      <c r="E22576">
        <v>78.61</v>
      </c>
    </row>
    <row r="22577" spans="1:5" x14ac:dyDescent="0.2">
      <c r="A22577">
        <v>44320</v>
      </c>
      <c r="B22577" t="s">
        <v>41</v>
      </c>
      <c r="C22577">
        <v>44320</v>
      </c>
      <c r="D22577" t="str">
        <f>"44320"</f>
        <v>44320</v>
      </c>
      <c r="E22577">
        <v>60.98</v>
      </c>
    </row>
    <row r="22578" spans="1:5" x14ac:dyDescent="0.2">
      <c r="A22578">
        <v>44321</v>
      </c>
      <c r="B22578" t="s">
        <v>41</v>
      </c>
      <c r="C22578">
        <v>44321</v>
      </c>
      <c r="D22578" t="str">
        <f>"44321"</f>
        <v>44321</v>
      </c>
      <c r="E22578">
        <v>81.96</v>
      </c>
    </row>
    <row r="22579" spans="1:5" x14ac:dyDescent="0.2">
      <c r="A22579">
        <v>44325</v>
      </c>
      <c r="B22579" t="s">
        <v>41</v>
      </c>
      <c r="C22579">
        <v>44325</v>
      </c>
      <c r="D22579" t="str">
        <f>"44325"</f>
        <v>44325</v>
      </c>
      <c r="E22579" t="s">
        <v>6</v>
      </c>
    </row>
    <row r="22580" spans="1:5" x14ac:dyDescent="0.2">
      <c r="A22580">
        <v>44328</v>
      </c>
      <c r="B22580" t="s">
        <v>41</v>
      </c>
      <c r="C22580">
        <v>44328</v>
      </c>
      <c r="D22580" t="str">
        <f>"44328"</f>
        <v>44328</v>
      </c>
      <c r="E22580" t="s">
        <v>6</v>
      </c>
    </row>
    <row r="22581" spans="1:5" x14ac:dyDescent="0.2">
      <c r="A22581">
        <v>44333</v>
      </c>
      <c r="B22581" t="s">
        <v>41</v>
      </c>
      <c r="C22581">
        <v>44333</v>
      </c>
      <c r="D22581" t="str">
        <f>"44333"</f>
        <v>44333</v>
      </c>
      <c r="E22581">
        <v>81.040000000000006</v>
      </c>
    </row>
    <row r="22582" spans="1:5" x14ac:dyDescent="0.2">
      <c r="A22582">
        <v>44401</v>
      </c>
      <c r="B22582" t="s">
        <v>41</v>
      </c>
      <c r="C22582">
        <v>44401</v>
      </c>
      <c r="D22582" t="str">
        <f>"44401"</f>
        <v>44401</v>
      </c>
      <c r="E22582">
        <v>76.98</v>
      </c>
    </row>
    <row r="22583" spans="1:5" x14ac:dyDescent="0.2">
      <c r="A22583">
        <v>44402</v>
      </c>
      <c r="B22583" t="s">
        <v>41</v>
      </c>
      <c r="C22583">
        <v>44402</v>
      </c>
      <c r="D22583" t="str">
        <f>"44402"</f>
        <v>44402</v>
      </c>
      <c r="E22583">
        <v>74.680000000000007</v>
      </c>
    </row>
    <row r="22584" spans="1:5" x14ac:dyDescent="0.2">
      <c r="A22584">
        <v>44403</v>
      </c>
      <c r="B22584" t="s">
        <v>41</v>
      </c>
      <c r="C22584">
        <v>44403</v>
      </c>
      <c r="D22584" t="str">
        <f>"44403"</f>
        <v>44403</v>
      </c>
      <c r="E22584">
        <v>76.41</v>
      </c>
    </row>
    <row r="22585" spans="1:5" x14ac:dyDescent="0.2">
      <c r="A22585">
        <v>44404</v>
      </c>
      <c r="B22585" t="s">
        <v>41</v>
      </c>
      <c r="C22585">
        <v>44404</v>
      </c>
      <c r="D22585" t="str">
        <f>"44404"</f>
        <v>44404</v>
      </c>
      <c r="E22585">
        <v>73.849999999999994</v>
      </c>
    </row>
    <row r="22586" spans="1:5" x14ac:dyDescent="0.2">
      <c r="A22586">
        <v>44405</v>
      </c>
      <c r="B22586" t="s">
        <v>41</v>
      </c>
      <c r="C22586">
        <v>44405</v>
      </c>
      <c r="D22586" t="str">
        <f>"44405"</f>
        <v>44405</v>
      </c>
      <c r="E22586">
        <v>58.89</v>
      </c>
    </row>
    <row r="22587" spans="1:5" x14ac:dyDescent="0.2">
      <c r="A22587">
        <v>44406</v>
      </c>
      <c r="B22587" t="s">
        <v>41</v>
      </c>
      <c r="C22587">
        <v>44406</v>
      </c>
      <c r="D22587" t="str">
        <f>"44406"</f>
        <v>44406</v>
      </c>
      <c r="E22587">
        <v>80.930000000000007</v>
      </c>
    </row>
    <row r="22588" spans="1:5" x14ac:dyDescent="0.2">
      <c r="A22588">
        <v>44408</v>
      </c>
      <c r="B22588" t="s">
        <v>41</v>
      </c>
      <c r="C22588">
        <v>44408</v>
      </c>
      <c r="D22588" t="str">
        <f>"44408"</f>
        <v>44408</v>
      </c>
      <c r="E22588">
        <v>76.319999999999993</v>
      </c>
    </row>
    <row r="22589" spans="1:5" x14ac:dyDescent="0.2">
      <c r="A22589">
        <v>44410</v>
      </c>
      <c r="B22589" t="s">
        <v>41</v>
      </c>
      <c r="C22589">
        <v>44410</v>
      </c>
      <c r="D22589" t="str">
        <f>"44410"</f>
        <v>44410</v>
      </c>
      <c r="E22589">
        <v>77.959999999999994</v>
      </c>
    </row>
    <row r="22590" spans="1:5" x14ac:dyDescent="0.2">
      <c r="A22590">
        <v>44411</v>
      </c>
      <c r="B22590" t="s">
        <v>41</v>
      </c>
      <c r="C22590">
        <v>44411</v>
      </c>
      <c r="D22590" t="str">
        <f>"44411"</f>
        <v>44411</v>
      </c>
      <c r="E22590">
        <v>71.17</v>
      </c>
    </row>
    <row r="22591" spans="1:5" x14ac:dyDescent="0.2">
      <c r="A22591">
        <v>44412</v>
      </c>
      <c r="B22591" t="s">
        <v>41</v>
      </c>
      <c r="C22591">
        <v>44412</v>
      </c>
      <c r="D22591" t="str">
        <f>"44412"</f>
        <v>44412</v>
      </c>
      <c r="E22591">
        <v>77.94</v>
      </c>
    </row>
    <row r="22592" spans="1:5" x14ac:dyDescent="0.2">
      <c r="A22592">
        <v>44413</v>
      </c>
      <c r="B22592" t="s">
        <v>41</v>
      </c>
      <c r="C22592">
        <v>44413</v>
      </c>
      <c r="D22592" t="str">
        <f>"44413"</f>
        <v>44413</v>
      </c>
      <c r="E22592">
        <v>70.41</v>
      </c>
    </row>
    <row r="22593" spans="1:5" x14ac:dyDescent="0.2">
      <c r="A22593">
        <v>44417</v>
      </c>
      <c r="B22593" t="s">
        <v>41</v>
      </c>
      <c r="C22593">
        <v>44417</v>
      </c>
      <c r="D22593" t="str">
        <f>"44417"</f>
        <v>44417</v>
      </c>
      <c r="E22593">
        <v>80.819999999999993</v>
      </c>
    </row>
    <row r="22594" spans="1:5" x14ac:dyDescent="0.2">
      <c r="A22594">
        <v>44418</v>
      </c>
      <c r="B22594" t="s">
        <v>41</v>
      </c>
      <c r="C22594">
        <v>44418</v>
      </c>
      <c r="D22594" t="str">
        <f>"44418"</f>
        <v>44418</v>
      </c>
      <c r="E22594">
        <v>80.3</v>
      </c>
    </row>
    <row r="22595" spans="1:5" x14ac:dyDescent="0.2">
      <c r="A22595">
        <v>44420</v>
      </c>
      <c r="B22595" t="s">
        <v>41</v>
      </c>
      <c r="C22595">
        <v>44420</v>
      </c>
      <c r="D22595" t="str">
        <f>"44420"</f>
        <v>44420</v>
      </c>
      <c r="E22595">
        <v>70.930000000000007</v>
      </c>
    </row>
    <row r="22596" spans="1:5" x14ac:dyDescent="0.2">
      <c r="A22596">
        <v>44423</v>
      </c>
      <c r="B22596" t="s">
        <v>41</v>
      </c>
      <c r="C22596">
        <v>44423</v>
      </c>
      <c r="D22596" t="str">
        <f>"44423"</f>
        <v>44423</v>
      </c>
      <c r="E22596">
        <v>73.150000000000006</v>
      </c>
    </row>
    <row r="22597" spans="1:5" x14ac:dyDescent="0.2">
      <c r="A22597">
        <v>44425</v>
      </c>
      <c r="B22597" t="s">
        <v>41</v>
      </c>
      <c r="C22597">
        <v>44425</v>
      </c>
      <c r="D22597" t="str">
        <f>"44425"</f>
        <v>44425</v>
      </c>
      <c r="E22597">
        <v>75.260000000000005</v>
      </c>
    </row>
    <row r="22598" spans="1:5" x14ac:dyDescent="0.2">
      <c r="A22598">
        <v>44427</v>
      </c>
      <c r="B22598" t="s">
        <v>41</v>
      </c>
      <c r="C22598">
        <v>44427</v>
      </c>
      <c r="D22598" t="str">
        <f>"44427"</f>
        <v>44427</v>
      </c>
      <c r="E22598">
        <v>66.2</v>
      </c>
    </row>
    <row r="22599" spans="1:5" x14ac:dyDescent="0.2">
      <c r="A22599">
        <v>44428</v>
      </c>
      <c r="B22599" t="s">
        <v>41</v>
      </c>
      <c r="C22599">
        <v>44428</v>
      </c>
      <c r="D22599" t="str">
        <f>"44428"</f>
        <v>44428</v>
      </c>
      <c r="E22599">
        <v>68.67</v>
      </c>
    </row>
    <row r="22600" spans="1:5" x14ac:dyDescent="0.2">
      <c r="A22600">
        <v>44429</v>
      </c>
      <c r="B22600" t="s">
        <v>41</v>
      </c>
      <c r="C22600">
        <v>44429</v>
      </c>
      <c r="D22600" t="str">
        <f>"44429"</f>
        <v>44429</v>
      </c>
      <c r="E22600">
        <v>72.95</v>
      </c>
    </row>
    <row r="22601" spans="1:5" x14ac:dyDescent="0.2">
      <c r="A22601">
        <v>44430</v>
      </c>
      <c r="B22601" t="s">
        <v>41</v>
      </c>
      <c r="C22601">
        <v>44430</v>
      </c>
      <c r="D22601" t="str">
        <f>"44430"</f>
        <v>44430</v>
      </c>
      <c r="E22601">
        <v>67.84</v>
      </c>
    </row>
    <row r="22602" spans="1:5" x14ac:dyDescent="0.2">
      <c r="A22602">
        <v>44431</v>
      </c>
      <c r="B22602" t="s">
        <v>41</v>
      </c>
      <c r="C22602">
        <v>44431</v>
      </c>
      <c r="D22602" t="str">
        <f>"44431"</f>
        <v>44431</v>
      </c>
      <c r="E22602">
        <v>72.53</v>
      </c>
    </row>
    <row r="22603" spans="1:5" x14ac:dyDescent="0.2">
      <c r="A22603">
        <v>44432</v>
      </c>
      <c r="B22603" t="s">
        <v>41</v>
      </c>
      <c r="C22603">
        <v>44432</v>
      </c>
      <c r="D22603" t="str">
        <f>"44432"</f>
        <v>44432</v>
      </c>
      <c r="E22603">
        <v>70.83</v>
      </c>
    </row>
    <row r="22604" spans="1:5" x14ac:dyDescent="0.2">
      <c r="A22604">
        <v>44436</v>
      </c>
      <c r="B22604" t="s">
        <v>41</v>
      </c>
      <c r="C22604">
        <v>44436</v>
      </c>
      <c r="D22604" t="str">
        <f>"44436"</f>
        <v>44436</v>
      </c>
      <c r="E22604">
        <v>76.63</v>
      </c>
    </row>
    <row r="22605" spans="1:5" x14ac:dyDescent="0.2">
      <c r="A22605">
        <v>44437</v>
      </c>
      <c r="B22605" t="s">
        <v>41</v>
      </c>
      <c r="C22605">
        <v>44437</v>
      </c>
      <c r="D22605" t="str">
        <f>"44437"</f>
        <v>44437</v>
      </c>
      <c r="E22605">
        <v>74.77</v>
      </c>
    </row>
    <row r="22606" spans="1:5" x14ac:dyDescent="0.2">
      <c r="A22606">
        <v>44438</v>
      </c>
      <c r="B22606" t="s">
        <v>41</v>
      </c>
      <c r="C22606">
        <v>44438</v>
      </c>
      <c r="D22606" t="str">
        <f>"44438"</f>
        <v>44438</v>
      </c>
      <c r="E22606">
        <v>69.19</v>
      </c>
    </row>
    <row r="22607" spans="1:5" x14ac:dyDescent="0.2">
      <c r="A22607">
        <v>44440</v>
      </c>
      <c r="B22607" t="s">
        <v>41</v>
      </c>
      <c r="C22607">
        <v>44440</v>
      </c>
      <c r="D22607" t="str">
        <f>"44440"</f>
        <v>44440</v>
      </c>
      <c r="E22607">
        <v>77.13</v>
      </c>
    </row>
    <row r="22608" spans="1:5" x14ac:dyDescent="0.2">
      <c r="A22608">
        <v>44441</v>
      </c>
      <c r="B22608" t="s">
        <v>41</v>
      </c>
      <c r="C22608">
        <v>44441</v>
      </c>
      <c r="D22608" t="str">
        <f>"44441"</f>
        <v>44441</v>
      </c>
      <c r="E22608">
        <v>76.92</v>
      </c>
    </row>
    <row r="22609" spans="1:5" x14ac:dyDescent="0.2">
      <c r="A22609">
        <v>44442</v>
      </c>
      <c r="B22609" t="s">
        <v>41</v>
      </c>
      <c r="C22609">
        <v>44442</v>
      </c>
      <c r="D22609" t="str">
        <f>"44442"</f>
        <v>44442</v>
      </c>
      <c r="E22609">
        <v>76.77</v>
      </c>
    </row>
    <row r="22610" spans="1:5" x14ac:dyDescent="0.2">
      <c r="A22610">
        <v>44443</v>
      </c>
      <c r="B22610" t="s">
        <v>41</v>
      </c>
      <c r="C22610">
        <v>44443</v>
      </c>
      <c r="D22610" t="str">
        <f>"44443"</f>
        <v>44443</v>
      </c>
      <c r="E22610">
        <v>72.53</v>
      </c>
    </row>
    <row r="22611" spans="1:5" x14ac:dyDescent="0.2">
      <c r="A22611">
        <v>44444</v>
      </c>
      <c r="B22611" t="s">
        <v>41</v>
      </c>
      <c r="C22611">
        <v>44444</v>
      </c>
      <c r="D22611" t="str">
        <f>"44444"</f>
        <v>44444</v>
      </c>
      <c r="E22611">
        <v>73.28</v>
      </c>
    </row>
    <row r="22612" spans="1:5" x14ac:dyDescent="0.2">
      <c r="A22612">
        <v>44445</v>
      </c>
      <c r="B22612" t="s">
        <v>41</v>
      </c>
      <c r="C22612">
        <v>44445</v>
      </c>
      <c r="D22612" t="str">
        <f>"44445"</f>
        <v>44445</v>
      </c>
      <c r="E22612">
        <v>70.47</v>
      </c>
    </row>
    <row r="22613" spans="1:5" x14ac:dyDescent="0.2">
      <c r="A22613">
        <v>44446</v>
      </c>
      <c r="B22613" t="s">
        <v>41</v>
      </c>
      <c r="C22613">
        <v>44446</v>
      </c>
      <c r="D22613" t="str">
        <f>"44446"</f>
        <v>44446</v>
      </c>
      <c r="E22613">
        <v>69.75</v>
      </c>
    </row>
    <row r="22614" spans="1:5" x14ac:dyDescent="0.2">
      <c r="A22614">
        <v>44449</v>
      </c>
      <c r="B22614" t="s">
        <v>41</v>
      </c>
      <c r="C22614">
        <v>44449</v>
      </c>
      <c r="D22614" t="str">
        <f>"44449"</f>
        <v>44449</v>
      </c>
      <c r="E22614">
        <v>75.41</v>
      </c>
    </row>
    <row r="22615" spans="1:5" x14ac:dyDescent="0.2">
      <c r="A22615">
        <v>44450</v>
      </c>
      <c r="B22615" t="s">
        <v>41</v>
      </c>
      <c r="C22615">
        <v>44450</v>
      </c>
      <c r="D22615" t="str">
        <f>"44450"</f>
        <v>44450</v>
      </c>
      <c r="E22615">
        <v>68.75</v>
      </c>
    </row>
    <row r="22616" spans="1:5" x14ac:dyDescent="0.2">
      <c r="A22616">
        <v>44451</v>
      </c>
      <c r="B22616" t="s">
        <v>41</v>
      </c>
      <c r="C22616">
        <v>44451</v>
      </c>
      <c r="D22616" t="str">
        <f>"44451"</f>
        <v>44451</v>
      </c>
      <c r="E22616">
        <v>76.97</v>
      </c>
    </row>
    <row r="22617" spans="1:5" x14ac:dyDescent="0.2">
      <c r="A22617">
        <v>44452</v>
      </c>
      <c r="B22617" t="s">
        <v>41</v>
      </c>
      <c r="C22617">
        <v>44452</v>
      </c>
      <c r="D22617" t="str">
        <f>"44452"</f>
        <v>44452</v>
      </c>
      <c r="E22617">
        <v>77.459999999999994</v>
      </c>
    </row>
    <row r="22618" spans="1:5" x14ac:dyDescent="0.2">
      <c r="A22618">
        <v>44454</v>
      </c>
      <c r="B22618" t="s">
        <v>41</v>
      </c>
      <c r="C22618">
        <v>44454</v>
      </c>
      <c r="D22618" t="str">
        <f>"44454"</f>
        <v>44454</v>
      </c>
      <c r="E22618">
        <v>67.349999999999994</v>
      </c>
    </row>
    <row r="22619" spans="1:5" x14ac:dyDescent="0.2">
      <c r="A22619">
        <v>44455</v>
      </c>
      <c r="B22619" t="s">
        <v>41</v>
      </c>
      <c r="C22619">
        <v>44455</v>
      </c>
      <c r="D22619" t="str">
        <f>"44455"</f>
        <v>44455</v>
      </c>
      <c r="E22619">
        <v>69.23</v>
      </c>
    </row>
    <row r="22620" spans="1:5" x14ac:dyDescent="0.2">
      <c r="A22620">
        <v>44460</v>
      </c>
      <c r="B22620" t="s">
        <v>41</v>
      </c>
      <c r="C22620">
        <v>44460</v>
      </c>
      <c r="D22620" t="str">
        <f>"44460"</f>
        <v>44460</v>
      </c>
      <c r="E22620">
        <v>71.52</v>
      </c>
    </row>
    <row r="22621" spans="1:5" x14ac:dyDescent="0.2">
      <c r="A22621">
        <v>44470</v>
      </c>
      <c r="B22621" t="s">
        <v>41</v>
      </c>
      <c r="C22621">
        <v>44470</v>
      </c>
      <c r="D22621" t="str">
        <f>"44470"</f>
        <v>44470</v>
      </c>
      <c r="E22621">
        <v>75.42</v>
      </c>
    </row>
    <row r="22622" spans="1:5" x14ac:dyDescent="0.2">
      <c r="A22622">
        <v>44471</v>
      </c>
      <c r="B22622" t="s">
        <v>41</v>
      </c>
      <c r="C22622">
        <v>44471</v>
      </c>
      <c r="D22622" t="str">
        <f>"44471"</f>
        <v>44471</v>
      </c>
      <c r="E22622">
        <v>68.53</v>
      </c>
    </row>
    <row r="22623" spans="1:5" x14ac:dyDescent="0.2">
      <c r="A22623">
        <v>44473</v>
      </c>
      <c r="B22623" t="s">
        <v>41</v>
      </c>
      <c r="C22623">
        <v>44473</v>
      </c>
      <c r="D22623" t="str">
        <f>"44473"</f>
        <v>44473</v>
      </c>
      <c r="E22623">
        <v>77.78</v>
      </c>
    </row>
    <row r="22624" spans="1:5" x14ac:dyDescent="0.2">
      <c r="A22624">
        <v>44481</v>
      </c>
      <c r="B22624" t="s">
        <v>41</v>
      </c>
      <c r="C22624">
        <v>44481</v>
      </c>
      <c r="D22624" t="str">
        <f>"44481"</f>
        <v>44481</v>
      </c>
      <c r="E22624">
        <v>75.83</v>
      </c>
    </row>
    <row r="22625" spans="1:5" x14ac:dyDescent="0.2">
      <c r="A22625">
        <v>44483</v>
      </c>
      <c r="B22625" t="s">
        <v>41</v>
      </c>
      <c r="C22625">
        <v>44483</v>
      </c>
      <c r="D22625" t="str">
        <f>"44483"</f>
        <v>44483</v>
      </c>
      <c r="E22625">
        <v>67.42</v>
      </c>
    </row>
    <row r="22626" spans="1:5" x14ac:dyDescent="0.2">
      <c r="A22626">
        <v>44484</v>
      </c>
      <c r="B22626" t="s">
        <v>41</v>
      </c>
      <c r="C22626">
        <v>44484</v>
      </c>
      <c r="D22626" t="str">
        <f>"44484"</f>
        <v>44484</v>
      </c>
      <c r="E22626">
        <v>73.56</v>
      </c>
    </row>
    <row r="22627" spans="1:5" x14ac:dyDescent="0.2">
      <c r="A22627">
        <v>44485</v>
      </c>
      <c r="B22627" t="s">
        <v>41</v>
      </c>
      <c r="C22627">
        <v>44485</v>
      </c>
      <c r="D22627" t="str">
        <f>"44485"</f>
        <v>44485</v>
      </c>
      <c r="E22627">
        <v>56.24</v>
      </c>
    </row>
    <row r="22628" spans="1:5" x14ac:dyDescent="0.2">
      <c r="A22628">
        <v>44490</v>
      </c>
      <c r="B22628" t="s">
        <v>41</v>
      </c>
      <c r="C22628">
        <v>44490</v>
      </c>
      <c r="D22628" t="str">
        <f>"44490"</f>
        <v>44490</v>
      </c>
      <c r="E22628">
        <v>60.53</v>
      </c>
    </row>
    <row r="22629" spans="1:5" x14ac:dyDescent="0.2">
      <c r="A22629">
        <v>44491</v>
      </c>
      <c r="B22629" t="s">
        <v>41</v>
      </c>
      <c r="C22629">
        <v>44491</v>
      </c>
      <c r="D22629" t="str">
        <f>"44491"</f>
        <v>44491</v>
      </c>
      <c r="E22629">
        <v>68.94</v>
      </c>
    </row>
    <row r="22630" spans="1:5" x14ac:dyDescent="0.2">
      <c r="A22630">
        <v>44502</v>
      </c>
      <c r="B22630" t="s">
        <v>41</v>
      </c>
      <c r="C22630">
        <v>44502</v>
      </c>
      <c r="D22630" t="str">
        <f>"44502"</f>
        <v>44502</v>
      </c>
      <c r="E22630">
        <v>46.65</v>
      </c>
    </row>
    <row r="22631" spans="1:5" x14ac:dyDescent="0.2">
      <c r="A22631">
        <v>44503</v>
      </c>
      <c r="B22631" t="s">
        <v>41</v>
      </c>
      <c r="C22631">
        <v>44503</v>
      </c>
      <c r="D22631" t="str">
        <f>"44503"</f>
        <v>44503</v>
      </c>
      <c r="E22631">
        <v>47.06</v>
      </c>
    </row>
    <row r="22632" spans="1:5" x14ac:dyDescent="0.2">
      <c r="A22632">
        <v>44504</v>
      </c>
      <c r="B22632" t="s">
        <v>41</v>
      </c>
      <c r="C22632">
        <v>44504</v>
      </c>
      <c r="D22632" t="str">
        <f>"44504"</f>
        <v>44504</v>
      </c>
      <c r="E22632">
        <v>59.02</v>
      </c>
    </row>
    <row r="22633" spans="1:5" x14ac:dyDescent="0.2">
      <c r="A22633">
        <v>44505</v>
      </c>
      <c r="B22633" t="s">
        <v>41</v>
      </c>
      <c r="C22633">
        <v>44505</v>
      </c>
      <c r="D22633" t="str">
        <f>"44505"</f>
        <v>44505</v>
      </c>
      <c r="E22633">
        <v>56.34</v>
      </c>
    </row>
    <row r="22634" spans="1:5" x14ac:dyDescent="0.2">
      <c r="A22634">
        <v>44506</v>
      </c>
      <c r="B22634" t="s">
        <v>41</v>
      </c>
      <c r="C22634">
        <v>44506</v>
      </c>
      <c r="D22634" t="str">
        <f>"44506"</f>
        <v>44506</v>
      </c>
      <c r="E22634">
        <v>40.700000000000003</v>
      </c>
    </row>
    <row r="22635" spans="1:5" x14ac:dyDescent="0.2">
      <c r="A22635">
        <v>44507</v>
      </c>
      <c r="B22635" t="s">
        <v>41</v>
      </c>
      <c r="C22635">
        <v>44507</v>
      </c>
      <c r="D22635" t="str">
        <f>"44507"</f>
        <v>44507</v>
      </c>
      <c r="E22635">
        <v>39.020000000000003</v>
      </c>
    </row>
    <row r="22636" spans="1:5" x14ac:dyDescent="0.2">
      <c r="A22636">
        <v>44509</v>
      </c>
      <c r="B22636" t="s">
        <v>41</v>
      </c>
      <c r="C22636">
        <v>44509</v>
      </c>
      <c r="D22636" t="str">
        <f>"44509"</f>
        <v>44509</v>
      </c>
      <c r="E22636">
        <v>54.92</v>
      </c>
    </row>
    <row r="22637" spans="1:5" x14ac:dyDescent="0.2">
      <c r="A22637">
        <v>44510</v>
      </c>
      <c r="B22637" t="s">
        <v>41</v>
      </c>
      <c r="C22637">
        <v>44510</v>
      </c>
      <c r="D22637" t="str">
        <f>"44510"</f>
        <v>44510</v>
      </c>
      <c r="E22637">
        <v>38.549999999999997</v>
      </c>
    </row>
    <row r="22638" spans="1:5" x14ac:dyDescent="0.2">
      <c r="A22638">
        <v>44511</v>
      </c>
      <c r="B22638" t="s">
        <v>41</v>
      </c>
      <c r="C22638">
        <v>44511</v>
      </c>
      <c r="D22638" t="str">
        <f>"44511"</f>
        <v>44511</v>
      </c>
      <c r="E22638">
        <v>69.41</v>
      </c>
    </row>
    <row r="22639" spans="1:5" x14ac:dyDescent="0.2">
      <c r="A22639">
        <v>44512</v>
      </c>
      <c r="B22639" t="s">
        <v>41</v>
      </c>
      <c r="C22639">
        <v>44512</v>
      </c>
      <c r="D22639" t="str">
        <f>"44512"</f>
        <v>44512</v>
      </c>
      <c r="E22639">
        <v>73.97</v>
      </c>
    </row>
    <row r="22640" spans="1:5" x14ac:dyDescent="0.2">
      <c r="A22640">
        <v>44514</v>
      </c>
      <c r="B22640" t="s">
        <v>41</v>
      </c>
      <c r="C22640">
        <v>44514</v>
      </c>
      <c r="D22640" t="str">
        <f>"44514"</f>
        <v>44514</v>
      </c>
      <c r="E22640">
        <v>78.48</v>
      </c>
    </row>
    <row r="22641" spans="1:5" x14ac:dyDescent="0.2">
      <c r="A22641">
        <v>44515</v>
      </c>
      <c r="B22641" t="s">
        <v>41</v>
      </c>
      <c r="C22641">
        <v>44515</v>
      </c>
      <c r="D22641" t="str">
        <f>"44515"</f>
        <v>44515</v>
      </c>
      <c r="E22641">
        <v>74.25</v>
      </c>
    </row>
    <row r="22642" spans="1:5" x14ac:dyDescent="0.2">
      <c r="A22642">
        <v>44601</v>
      </c>
      <c r="B22642" t="s">
        <v>41</v>
      </c>
      <c r="C22642">
        <v>44601</v>
      </c>
      <c r="D22642" t="str">
        <f>"44601"</f>
        <v>44601</v>
      </c>
      <c r="E22642">
        <v>68.430000000000007</v>
      </c>
    </row>
    <row r="22643" spans="1:5" x14ac:dyDescent="0.2">
      <c r="A22643">
        <v>44606</v>
      </c>
      <c r="B22643" t="s">
        <v>41</v>
      </c>
      <c r="C22643">
        <v>44606</v>
      </c>
      <c r="D22643" t="str">
        <f>"44606"</f>
        <v>44606</v>
      </c>
      <c r="E22643">
        <v>70.13</v>
      </c>
    </row>
    <row r="22644" spans="1:5" x14ac:dyDescent="0.2">
      <c r="A22644">
        <v>44608</v>
      </c>
      <c r="B22644" t="s">
        <v>41</v>
      </c>
      <c r="C22644">
        <v>44608</v>
      </c>
      <c r="D22644" t="str">
        <f>"44608"</f>
        <v>44608</v>
      </c>
      <c r="E22644">
        <v>73.39</v>
      </c>
    </row>
    <row r="22645" spans="1:5" x14ac:dyDescent="0.2">
      <c r="A22645">
        <v>44609</v>
      </c>
      <c r="B22645" t="s">
        <v>41</v>
      </c>
      <c r="C22645">
        <v>44609</v>
      </c>
      <c r="D22645" t="str">
        <f>"44609"</f>
        <v>44609</v>
      </c>
      <c r="E22645">
        <v>73.41</v>
      </c>
    </row>
    <row r="22646" spans="1:5" x14ac:dyDescent="0.2">
      <c r="A22646">
        <v>44610</v>
      </c>
      <c r="B22646" t="s">
        <v>41</v>
      </c>
      <c r="C22646">
        <v>44610</v>
      </c>
      <c r="D22646" t="str">
        <f>"44610"</f>
        <v>44610</v>
      </c>
      <c r="E22646" t="s">
        <v>6</v>
      </c>
    </row>
    <row r="22647" spans="1:5" x14ac:dyDescent="0.2">
      <c r="A22647">
        <v>44611</v>
      </c>
      <c r="B22647" t="s">
        <v>41</v>
      </c>
      <c r="C22647">
        <v>44611</v>
      </c>
      <c r="D22647" t="str">
        <f>"44611"</f>
        <v>44611</v>
      </c>
      <c r="E22647">
        <v>71.08</v>
      </c>
    </row>
    <row r="22648" spans="1:5" x14ac:dyDescent="0.2">
      <c r="A22648">
        <v>44612</v>
      </c>
      <c r="B22648" t="s">
        <v>41</v>
      </c>
      <c r="C22648">
        <v>44612</v>
      </c>
      <c r="D22648" t="str">
        <f>"44612"</f>
        <v>44612</v>
      </c>
      <c r="E22648">
        <v>79.040000000000006</v>
      </c>
    </row>
    <row r="22649" spans="1:5" x14ac:dyDescent="0.2">
      <c r="A22649">
        <v>44613</v>
      </c>
      <c r="B22649" t="s">
        <v>41</v>
      </c>
      <c r="C22649">
        <v>44613</v>
      </c>
      <c r="D22649" t="str">
        <f>"44613"</f>
        <v>44613</v>
      </c>
      <c r="E22649">
        <v>75.510000000000005</v>
      </c>
    </row>
    <row r="22650" spans="1:5" x14ac:dyDescent="0.2">
      <c r="A22650">
        <v>44614</v>
      </c>
      <c r="B22650" t="s">
        <v>41</v>
      </c>
      <c r="C22650">
        <v>44614</v>
      </c>
      <c r="D22650" t="str">
        <f>"44614"</f>
        <v>44614</v>
      </c>
      <c r="E22650">
        <v>78.44</v>
      </c>
    </row>
    <row r="22651" spans="1:5" x14ac:dyDescent="0.2">
      <c r="A22651">
        <v>44615</v>
      </c>
      <c r="B22651" t="s">
        <v>41</v>
      </c>
      <c r="C22651">
        <v>44615</v>
      </c>
      <c r="D22651" t="str">
        <f>"44615"</f>
        <v>44615</v>
      </c>
      <c r="E22651">
        <v>73.569999999999993</v>
      </c>
    </row>
    <row r="22652" spans="1:5" x14ac:dyDescent="0.2">
      <c r="A22652">
        <v>44617</v>
      </c>
      <c r="B22652" t="s">
        <v>41</v>
      </c>
      <c r="C22652">
        <v>44617</v>
      </c>
      <c r="D22652" t="str">
        <f>"44617"</f>
        <v>44617</v>
      </c>
      <c r="E22652" t="s">
        <v>6</v>
      </c>
    </row>
    <row r="22653" spans="1:5" x14ac:dyDescent="0.2">
      <c r="A22653">
        <v>44618</v>
      </c>
      <c r="B22653" t="s">
        <v>41</v>
      </c>
      <c r="C22653">
        <v>44618</v>
      </c>
      <c r="D22653" t="str">
        <f>"44618"</f>
        <v>44618</v>
      </c>
      <c r="E22653">
        <v>73.03</v>
      </c>
    </row>
    <row r="22654" spans="1:5" x14ac:dyDescent="0.2">
      <c r="A22654">
        <v>44619</v>
      </c>
      <c r="B22654" t="s">
        <v>41</v>
      </c>
      <c r="C22654">
        <v>44619</v>
      </c>
      <c r="D22654" t="str">
        <f>"44619"</f>
        <v>44619</v>
      </c>
      <c r="E22654" t="s">
        <v>6</v>
      </c>
    </row>
    <row r="22655" spans="1:5" x14ac:dyDescent="0.2">
      <c r="A22655">
        <v>44620</v>
      </c>
      <c r="B22655" t="s">
        <v>41</v>
      </c>
      <c r="C22655">
        <v>44620</v>
      </c>
      <c r="D22655" t="str">
        <f>"44620"</f>
        <v>44620</v>
      </c>
      <c r="E22655">
        <v>79.73</v>
      </c>
    </row>
    <row r="22656" spans="1:5" x14ac:dyDescent="0.2">
      <c r="A22656">
        <v>44621</v>
      </c>
      <c r="B22656" t="s">
        <v>41</v>
      </c>
      <c r="C22656">
        <v>44621</v>
      </c>
      <c r="D22656" t="str">
        <f>"44621"</f>
        <v>44621</v>
      </c>
      <c r="E22656">
        <v>70.5</v>
      </c>
    </row>
    <row r="22657" spans="1:5" x14ac:dyDescent="0.2">
      <c r="A22657">
        <v>44622</v>
      </c>
      <c r="B22657" t="s">
        <v>41</v>
      </c>
      <c r="C22657">
        <v>44622</v>
      </c>
      <c r="D22657" t="str">
        <f>"44622"</f>
        <v>44622</v>
      </c>
      <c r="E22657">
        <v>75.62</v>
      </c>
    </row>
    <row r="22658" spans="1:5" x14ac:dyDescent="0.2">
      <c r="A22658">
        <v>44624</v>
      </c>
      <c r="B22658" t="s">
        <v>41</v>
      </c>
      <c r="C22658">
        <v>44624</v>
      </c>
      <c r="D22658" t="str">
        <f>"44624"</f>
        <v>44624</v>
      </c>
      <c r="E22658">
        <v>72.73</v>
      </c>
    </row>
    <row r="22659" spans="1:5" x14ac:dyDescent="0.2">
      <c r="A22659">
        <v>44625</v>
      </c>
      <c r="B22659" t="s">
        <v>41</v>
      </c>
      <c r="C22659">
        <v>44625</v>
      </c>
      <c r="D22659" t="str">
        <f>"44625"</f>
        <v>44625</v>
      </c>
      <c r="E22659">
        <v>72.58</v>
      </c>
    </row>
    <row r="22660" spans="1:5" x14ac:dyDescent="0.2">
      <c r="A22660">
        <v>44626</v>
      </c>
      <c r="B22660" t="s">
        <v>41</v>
      </c>
      <c r="C22660">
        <v>44626</v>
      </c>
      <c r="D22660" t="str">
        <f>"44626"</f>
        <v>44626</v>
      </c>
      <c r="E22660">
        <v>77.56</v>
      </c>
    </row>
    <row r="22661" spans="1:5" x14ac:dyDescent="0.2">
      <c r="A22661">
        <v>44627</v>
      </c>
      <c r="B22661" t="s">
        <v>41</v>
      </c>
      <c r="C22661">
        <v>44627</v>
      </c>
      <c r="D22661" t="str">
        <f>"44627"</f>
        <v>44627</v>
      </c>
      <c r="E22661">
        <v>66.930000000000007</v>
      </c>
    </row>
    <row r="22662" spans="1:5" x14ac:dyDescent="0.2">
      <c r="A22662">
        <v>44628</v>
      </c>
      <c r="B22662" t="s">
        <v>41</v>
      </c>
      <c r="C22662">
        <v>44628</v>
      </c>
      <c r="D22662" t="str">
        <f>"44628"</f>
        <v>44628</v>
      </c>
      <c r="E22662">
        <v>75.510000000000005</v>
      </c>
    </row>
    <row r="22663" spans="1:5" x14ac:dyDescent="0.2">
      <c r="A22663">
        <v>44629</v>
      </c>
      <c r="B22663" t="s">
        <v>41</v>
      </c>
      <c r="C22663">
        <v>44629</v>
      </c>
      <c r="D22663" t="str">
        <f>"44629"</f>
        <v>44629</v>
      </c>
      <c r="E22663">
        <v>75.239999999999995</v>
      </c>
    </row>
    <row r="22664" spans="1:5" x14ac:dyDescent="0.2">
      <c r="A22664">
        <v>44632</v>
      </c>
      <c r="B22664" t="s">
        <v>41</v>
      </c>
      <c r="C22664">
        <v>44632</v>
      </c>
      <c r="D22664" t="str">
        <f>"44632"</f>
        <v>44632</v>
      </c>
      <c r="E22664">
        <v>76.37</v>
      </c>
    </row>
    <row r="22665" spans="1:5" x14ac:dyDescent="0.2">
      <c r="A22665">
        <v>44633</v>
      </c>
      <c r="B22665" t="s">
        <v>41</v>
      </c>
      <c r="C22665">
        <v>44633</v>
      </c>
      <c r="D22665" t="str">
        <f>"44633"</f>
        <v>44633</v>
      </c>
      <c r="E22665">
        <v>72.12</v>
      </c>
    </row>
    <row r="22666" spans="1:5" x14ac:dyDescent="0.2">
      <c r="A22666">
        <v>44634</v>
      </c>
      <c r="B22666" t="s">
        <v>41</v>
      </c>
      <c r="C22666">
        <v>44634</v>
      </c>
      <c r="D22666" t="str">
        <f>"44634"</f>
        <v>44634</v>
      </c>
      <c r="E22666">
        <v>78.569999999999993</v>
      </c>
    </row>
    <row r="22667" spans="1:5" x14ac:dyDescent="0.2">
      <c r="A22667">
        <v>44637</v>
      </c>
      <c r="B22667" t="s">
        <v>41</v>
      </c>
      <c r="C22667">
        <v>44637</v>
      </c>
      <c r="D22667" t="str">
        <f>"44637"</f>
        <v>44637</v>
      </c>
      <c r="E22667">
        <v>68.03</v>
      </c>
    </row>
    <row r="22668" spans="1:5" x14ac:dyDescent="0.2">
      <c r="A22668">
        <v>44638</v>
      </c>
      <c r="B22668" t="s">
        <v>41</v>
      </c>
      <c r="C22668">
        <v>44638</v>
      </c>
      <c r="D22668" t="str">
        <f>"44638"</f>
        <v>44638</v>
      </c>
      <c r="E22668">
        <v>74.319999999999993</v>
      </c>
    </row>
    <row r="22669" spans="1:5" x14ac:dyDescent="0.2">
      <c r="A22669">
        <v>44639</v>
      </c>
      <c r="B22669" t="s">
        <v>41</v>
      </c>
      <c r="C22669">
        <v>44639</v>
      </c>
      <c r="D22669" t="str">
        <f>"44639"</f>
        <v>44639</v>
      </c>
      <c r="E22669" t="s">
        <v>6</v>
      </c>
    </row>
    <row r="22670" spans="1:5" x14ac:dyDescent="0.2">
      <c r="A22670">
        <v>44640</v>
      </c>
      <c r="B22670" t="s">
        <v>41</v>
      </c>
      <c r="C22670">
        <v>44640</v>
      </c>
      <c r="D22670" t="str">
        <f>"44640"</f>
        <v>44640</v>
      </c>
      <c r="E22670" t="s">
        <v>6</v>
      </c>
    </row>
    <row r="22671" spans="1:5" x14ac:dyDescent="0.2">
      <c r="A22671">
        <v>44641</v>
      </c>
      <c r="B22671" t="s">
        <v>41</v>
      </c>
      <c r="C22671">
        <v>44641</v>
      </c>
      <c r="D22671" t="str">
        <f>"44641"</f>
        <v>44641</v>
      </c>
      <c r="E22671">
        <v>77.22</v>
      </c>
    </row>
    <row r="22672" spans="1:5" x14ac:dyDescent="0.2">
      <c r="A22672">
        <v>44643</v>
      </c>
      <c r="B22672" t="s">
        <v>41</v>
      </c>
      <c r="C22672">
        <v>44643</v>
      </c>
      <c r="D22672" t="str">
        <f>"44643"</f>
        <v>44643</v>
      </c>
      <c r="E22672">
        <v>75.16</v>
      </c>
    </row>
    <row r="22673" spans="1:5" x14ac:dyDescent="0.2">
      <c r="A22673">
        <v>44644</v>
      </c>
      <c r="B22673" t="s">
        <v>41</v>
      </c>
      <c r="C22673">
        <v>44644</v>
      </c>
      <c r="D22673" t="str">
        <f>"44644"</f>
        <v>44644</v>
      </c>
      <c r="E22673">
        <v>75.12</v>
      </c>
    </row>
    <row r="22674" spans="1:5" x14ac:dyDescent="0.2">
      <c r="A22674">
        <v>44645</v>
      </c>
      <c r="B22674" t="s">
        <v>41</v>
      </c>
      <c r="C22674">
        <v>44645</v>
      </c>
      <c r="D22674" t="str">
        <f>"44645"</f>
        <v>44645</v>
      </c>
      <c r="E22674">
        <v>78.05</v>
      </c>
    </row>
    <row r="22675" spans="1:5" x14ac:dyDescent="0.2">
      <c r="A22675">
        <v>44646</v>
      </c>
      <c r="B22675" t="s">
        <v>41</v>
      </c>
      <c r="C22675">
        <v>44646</v>
      </c>
      <c r="D22675" t="str">
        <f>"44646"</f>
        <v>44646</v>
      </c>
      <c r="E22675">
        <v>73.84</v>
      </c>
    </row>
    <row r="22676" spans="1:5" x14ac:dyDescent="0.2">
      <c r="A22676">
        <v>44647</v>
      </c>
      <c r="B22676" t="s">
        <v>41</v>
      </c>
      <c r="C22676">
        <v>44647</v>
      </c>
      <c r="D22676" t="str">
        <f>"44647"</f>
        <v>44647</v>
      </c>
      <c r="E22676">
        <v>74.14</v>
      </c>
    </row>
    <row r="22677" spans="1:5" x14ac:dyDescent="0.2">
      <c r="A22677">
        <v>44651</v>
      </c>
      <c r="B22677" t="s">
        <v>41</v>
      </c>
      <c r="C22677">
        <v>44651</v>
      </c>
      <c r="D22677" t="str">
        <f>"44651"</f>
        <v>44651</v>
      </c>
      <c r="E22677">
        <v>66.67</v>
      </c>
    </row>
    <row r="22678" spans="1:5" x14ac:dyDescent="0.2">
      <c r="A22678">
        <v>44652</v>
      </c>
      <c r="B22678" t="s">
        <v>41</v>
      </c>
      <c r="C22678">
        <v>44652</v>
      </c>
      <c r="D22678" t="str">
        <f>"44652"</f>
        <v>44652</v>
      </c>
      <c r="E22678" t="s">
        <v>6</v>
      </c>
    </row>
    <row r="22679" spans="1:5" x14ac:dyDescent="0.2">
      <c r="A22679">
        <v>44653</v>
      </c>
      <c r="B22679" t="s">
        <v>41</v>
      </c>
      <c r="C22679">
        <v>44653</v>
      </c>
      <c r="D22679" t="str">
        <f>"44653"</f>
        <v>44653</v>
      </c>
      <c r="E22679" t="s">
        <v>6</v>
      </c>
    </row>
    <row r="22680" spans="1:5" x14ac:dyDescent="0.2">
      <c r="A22680">
        <v>44654</v>
      </c>
      <c r="B22680" t="s">
        <v>41</v>
      </c>
      <c r="C22680">
        <v>44654</v>
      </c>
      <c r="D22680" t="str">
        <f>"44654"</f>
        <v>44654</v>
      </c>
      <c r="E22680">
        <v>72.650000000000006</v>
      </c>
    </row>
    <row r="22681" spans="1:5" x14ac:dyDescent="0.2">
      <c r="A22681">
        <v>44656</v>
      </c>
      <c r="B22681" t="s">
        <v>41</v>
      </c>
      <c r="C22681">
        <v>44656</v>
      </c>
      <c r="D22681" t="str">
        <f>"44656"</f>
        <v>44656</v>
      </c>
      <c r="E22681">
        <v>74.02</v>
      </c>
    </row>
    <row r="22682" spans="1:5" x14ac:dyDescent="0.2">
      <c r="A22682">
        <v>44657</v>
      </c>
      <c r="B22682" t="s">
        <v>41</v>
      </c>
      <c r="C22682">
        <v>44657</v>
      </c>
      <c r="D22682" t="str">
        <f>"44657"</f>
        <v>44657</v>
      </c>
      <c r="E22682">
        <v>70.95</v>
      </c>
    </row>
    <row r="22683" spans="1:5" x14ac:dyDescent="0.2">
      <c r="A22683">
        <v>44659</v>
      </c>
      <c r="B22683" t="s">
        <v>41</v>
      </c>
      <c r="C22683">
        <v>44659</v>
      </c>
      <c r="D22683" t="str">
        <f>"44659"</f>
        <v>44659</v>
      </c>
      <c r="E22683" t="s">
        <v>6</v>
      </c>
    </row>
    <row r="22684" spans="1:5" x14ac:dyDescent="0.2">
      <c r="A22684">
        <v>44660</v>
      </c>
      <c r="B22684" t="s">
        <v>41</v>
      </c>
      <c r="C22684">
        <v>44660</v>
      </c>
      <c r="D22684" t="str">
        <f>"44660"</f>
        <v>44660</v>
      </c>
      <c r="E22684" t="s">
        <v>6</v>
      </c>
    </row>
    <row r="22685" spans="1:5" x14ac:dyDescent="0.2">
      <c r="A22685">
        <v>44661</v>
      </c>
      <c r="B22685" t="s">
        <v>41</v>
      </c>
      <c r="C22685">
        <v>44661</v>
      </c>
      <c r="D22685" t="str">
        <f>"44661"</f>
        <v>44661</v>
      </c>
      <c r="E22685" t="s">
        <v>6</v>
      </c>
    </row>
    <row r="22686" spans="1:5" x14ac:dyDescent="0.2">
      <c r="A22686">
        <v>44662</v>
      </c>
      <c r="B22686" t="s">
        <v>41</v>
      </c>
      <c r="C22686">
        <v>44662</v>
      </c>
      <c r="D22686" t="str">
        <f>"44662"</f>
        <v>44662</v>
      </c>
      <c r="E22686">
        <v>74.95</v>
      </c>
    </row>
    <row r="22687" spans="1:5" x14ac:dyDescent="0.2">
      <c r="A22687">
        <v>44663</v>
      </c>
      <c r="B22687" t="s">
        <v>41</v>
      </c>
      <c r="C22687">
        <v>44663</v>
      </c>
      <c r="D22687" t="str">
        <f>"44663"</f>
        <v>44663</v>
      </c>
      <c r="E22687">
        <v>73.459999999999994</v>
      </c>
    </row>
    <row r="22688" spans="1:5" x14ac:dyDescent="0.2">
      <c r="A22688">
        <v>44665</v>
      </c>
      <c r="B22688" t="s">
        <v>41</v>
      </c>
      <c r="C22688">
        <v>44665</v>
      </c>
      <c r="D22688" t="str">
        <f>"44665"</f>
        <v>44665</v>
      </c>
      <c r="E22688" t="s">
        <v>6</v>
      </c>
    </row>
    <row r="22689" spans="1:5" x14ac:dyDescent="0.2">
      <c r="A22689">
        <v>44666</v>
      </c>
      <c r="B22689" t="s">
        <v>41</v>
      </c>
      <c r="C22689">
        <v>44666</v>
      </c>
      <c r="D22689" t="str">
        <f>"44666"</f>
        <v>44666</v>
      </c>
      <c r="E22689">
        <v>76.430000000000007</v>
      </c>
    </row>
    <row r="22690" spans="1:5" x14ac:dyDescent="0.2">
      <c r="A22690">
        <v>44667</v>
      </c>
      <c r="B22690" t="s">
        <v>41</v>
      </c>
      <c r="C22690">
        <v>44667</v>
      </c>
      <c r="D22690" t="str">
        <f>"44667"</f>
        <v>44667</v>
      </c>
      <c r="E22690">
        <v>72.760000000000005</v>
      </c>
    </row>
    <row r="22691" spans="1:5" x14ac:dyDescent="0.2">
      <c r="A22691">
        <v>44669</v>
      </c>
      <c r="B22691" t="s">
        <v>41</v>
      </c>
      <c r="C22691">
        <v>44669</v>
      </c>
      <c r="D22691" t="str">
        <f>"44669"</f>
        <v>44669</v>
      </c>
      <c r="E22691">
        <v>74.290000000000006</v>
      </c>
    </row>
    <row r="22692" spans="1:5" x14ac:dyDescent="0.2">
      <c r="A22692">
        <v>44670</v>
      </c>
      <c r="B22692" t="s">
        <v>41</v>
      </c>
      <c r="C22692">
        <v>44670</v>
      </c>
      <c r="D22692" t="str">
        <f>"44670"</f>
        <v>44670</v>
      </c>
      <c r="E22692" t="s">
        <v>6</v>
      </c>
    </row>
    <row r="22693" spans="1:5" x14ac:dyDescent="0.2">
      <c r="A22693">
        <v>44671</v>
      </c>
      <c r="B22693" t="s">
        <v>41</v>
      </c>
      <c r="C22693">
        <v>44671</v>
      </c>
      <c r="D22693" t="str">
        <f>"44671"</f>
        <v>44671</v>
      </c>
      <c r="E22693" t="s">
        <v>6</v>
      </c>
    </row>
    <row r="22694" spans="1:5" x14ac:dyDescent="0.2">
      <c r="A22694">
        <v>44672</v>
      </c>
      <c r="B22694" t="s">
        <v>41</v>
      </c>
      <c r="C22694">
        <v>44672</v>
      </c>
      <c r="D22694" t="str">
        <f>"44672"</f>
        <v>44672</v>
      </c>
      <c r="E22694">
        <v>67.92</v>
      </c>
    </row>
    <row r="22695" spans="1:5" x14ac:dyDescent="0.2">
      <c r="A22695">
        <v>44675</v>
      </c>
      <c r="B22695" t="s">
        <v>41</v>
      </c>
      <c r="C22695">
        <v>44675</v>
      </c>
      <c r="D22695" t="str">
        <f>"44675"</f>
        <v>44675</v>
      </c>
      <c r="E22695">
        <v>74.73</v>
      </c>
    </row>
    <row r="22696" spans="1:5" x14ac:dyDescent="0.2">
      <c r="A22696">
        <v>44676</v>
      </c>
      <c r="B22696" t="s">
        <v>41</v>
      </c>
      <c r="C22696">
        <v>44676</v>
      </c>
      <c r="D22696" t="str">
        <f>"44676"</f>
        <v>44676</v>
      </c>
      <c r="E22696">
        <v>73.16</v>
      </c>
    </row>
    <row r="22697" spans="1:5" x14ac:dyDescent="0.2">
      <c r="A22697">
        <v>44677</v>
      </c>
      <c r="B22697" t="s">
        <v>41</v>
      </c>
      <c r="C22697">
        <v>44677</v>
      </c>
      <c r="D22697" t="str">
        <f>"44677"</f>
        <v>44677</v>
      </c>
      <c r="E22697">
        <v>75.180000000000007</v>
      </c>
    </row>
    <row r="22698" spans="1:5" x14ac:dyDescent="0.2">
      <c r="A22698">
        <v>44678</v>
      </c>
      <c r="B22698" t="s">
        <v>41</v>
      </c>
      <c r="C22698">
        <v>44678</v>
      </c>
      <c r="D22698" t="str">
        <f>"44678"</f>
        <v>44678</v>
      </c>
      <c r="E22698" t="s">
        <v>6</v>
      </c>
    </row>
    <row r="22699" spans="1:5" x14ac:dyDescent="0.2">
      <c r="A22699">
        <v>44680</v>
      </c>
      <c r="B22699" t="s">
        <v>41</v>
      </c>
      <c r="C22699">
        <v>44680</v>
      </c>
      <c r="D22699" t="str">
        <f>"44680"</f>
        <v>44680</v>
      </c>
      <c r="E22699">
        <v>78.739999999999995</v>
      </c>
    </row>
    <row r="22700" spans="1:5" x14ac:dyDescent="0.2">
      <c r="A22700">
        <v>44681</v>
      </c>
      <c r="B22700" t="s">
        <v>41</v>
      </c>
      <c r="C22700">
        <v>44681</v>
      </c>
      <c r="D22700" t="str">
        <f>"44681"</f>
        <v>44681</v>
      </c>
      <c r="E22700">
        <v>75.47</v>
      </c>
    </row>
    <row r="22701" spans="1:5" x14ac:dyDescent="0.2">
      <c r="A22701">
        <v>44682</v>
      </c>
      <c r="B22701" t="s">
        <v>41</v>
      </c>
      <c r="C22701">
        <v>44682</v>
      </c>
      <c r="D22701" t="str">
        <f>"44682"</f>
        <v>44682</v>
      </c>
      <c r="E22701" t="s">
        <v>6</v>
      </c>
    </row>
    <row r="22702" spans="1:5" x14ac:dyDescent="0.2">
      <c r="A22702">
        <v>44683</v>
      </c>
      <c r="B22702" t="s">
        <v>41</v>
      </c>
      <c r="C22702">
        <v>44683</v>
      </c>
      <c r="D22702" t="str">
        <f>"44683"</f>
        <v>44683</v>
      </c>
      <c r="E22702">
        <v>67.06</v>
      </c>
    </row>
    <row r="22703" spans="1:5" x14ac:dyDescent="0.2">
      <c r="A22703">
        <v>44685</v>
      </c>
      <c r="B22703" t="s">
        <v>41</v>
      </c>
      <c r="C22703">
        <v>44685</v>
      </c>
      <c r="D22703" t="str">
        <f>"44685"</f>
        <v>44685</v>
      </c>
      <c r="E22703">
        <v>80.06</v>
      </c>
    </row>
    <row r="22704" spans="1:5" x14ac:dyDescent="0.2">
      <c r="A22704">
        <v>44688</v>
      </c>
      <c r="B22704" t="s">
        <v>41</v>
      </c>
      <c r="C22704">
        <v>44688</v>
      </c>
      <c r="D22704" t="str">
        <f>"44688"</f>
        <v>44688</v>
      </c>
      <c r="E22704">
        <v>71.430000000000007</v>
      </c>
    </row>
    <row r="22705" spans="1:5" x14ac:dyDescent="0.2">
      <c r="A22705">
        <v>44689</v>
      </c>
      <c r="B22705" t="s">
        <v>41</v>
      </c>
      <c r="C22705">
        <v>44689</v>
      </c>
      <c r="D22705" t="str">
        <f>"44689"</f>
        <v>44689</v>
      </c>
      <c r="E22705">
        <v>67.739999999999995</v>
      </c>
    </row>
    <row r="22706" spans="1:5" x14ac:dyDescent="0.2">
      <c r="A22706">
        <v>44690</v>
      </c>
      <c r="B22706" t="s">
        <v>41</v>
      </c>
      <c r="C22706">
        <v>44690</v>
      </c>
      <c r="D22706" t="str">
        <f>"44690"</f>
        <v>44690</v>
      </c>
      <c r="E22706" t="s">
        <v>6</v>
      </c>
    </row>
    <row r="22707" spans="1:5" x14ac:dyDescent="0.2">
      <c r="A22707">
        <v>44691</v>
      </c>
      <c r="B22707" t="s">
        <v>41</v>
      </c>
      <c r="C22707">
        <v>44691</v>
      </c>
      <c r="D22707" t="str">
        <f>"44691"</f>
        <v>44691</v>
      </c>
      <c r="E22707">
        <v>74.89</v>
      </c>
    </row>
    <row r="22708" spans="1:5" x14ac:dyDescent="0.2">
      <c r="A22708">
        <v>44693</v>
      </c>
      <c r="B22708" t="s">
        <v>41</v>
      </c>
      <c r="C22708">
        <v>44693</v>
      </c>
      <c r="D22708" t="str">
        <f>"44693"</f>
        <v>44693</v>
      </c>
      <c r="E22708" t="s">
        <v>6</v>
      </c>
    </row>
    <row r="22709" spans="1:5" x14ac:dyDescent="0.2">
      <c r="A22709">
        <v>44695</v>
      </c>
      <c r="B22709" t="s">
        <v>41</v>
      </c>
      <c r="C22709">
        <v>44695</v>
      </c>
      <c r="D22709" t="str">
        <f>"44695"</f>
        <v>44695</v>
      </c>
      <c r="E22709">
        <v>71.430000000000007</v>
      </c>
    </row>
    <row r="22710" spans="1:5" x14ac:dyDescent="0.2">
      <c r="A22710">
        <v>44697</v>
      </c>
      <c r="B22710" t="s">
        <v>41</v>
      </c>
      <c r="C22710">
        <v>44697</v>
      </c>
      <c r="D22710" t="str">
        <f>"44697"</f>
        <v>44697</v>
      </c>
      <c r="E22710" t="s">
        <v>6</v>
      </c>
    </row>
    <row r="22711" spans="1:5" x14ac:dyDescent="0.2">
      <c r="A22711">
        <v>44699</v>
      </c>
      <c r="B22711" t="s">
        <v>41</v>
      </c>
      <c r="C22711">
        <v>44699</v>
      </c>
      <c r="D22711" t="str">
        <f>"44699"</f>
        <v>44699</v>
      </c>
      <c r="E22711">
        <v>75</v>
      </c>
    </row>
    <row r="22712" spans="1:5" x14ac:dyDescent="0.2">
      <c r="A22712">
        <v>44702</v>
      </c>
      <c r="B22712" t="s">
        <v>41</v>
      </c>
      <c r="C22712">
        <v>44702</v>
      </c>
      <c r="D22712" t="str">
        <f>"44702"</f>
        <v>44702</v>
      </c>
      <c r="E22712">
        <v>63.33</v>
      </c>
    </row>
    <row r="22713" spans="1:5" x14ac:dyDescent="0.2">
      <c r="A22713">
        <v>44703</v>
      </c>
      <c r="B22713" t="s">
        <v>41</v>
      </c>
      <c r="C22713">
        <v>44703</v>
      </c>
      <c r="D22713" t="str">
        <f>"44703"</f>
        <v>44703</v>
      </c>
      <c r="E22713">
        <v>54.33</v>
      </c>
    </row>
    <row r="22714" spans="1:5" x14ac:dyDescent="0.2">
      <c r="A22714">
        <v>44704</v>
      </c>
      <c r="B22714" t="s">
        <v>41</v>
      </c>
      <c r="C22714">
        <v>44704</v>
      </c>
      <c r="D22714" t="str">
        <f>"44704"</f>
        <v>44704</v>
      </c>
      <c r="E22714">
        <v>49.02</v>
      </c>
    </row>
    <row r="22715" spans="1:5" x14ac:dyDescent="0.2">
      <c r="A22715">
        <v>44705</v>
      </c>
      <c r="B22715" t="s">
        <v>41</v>
      </c>
      <c r="C22715">
        <v>44705</v>
      </c>
      <c r="D22715" t="str">
        <f>"44705"</f>
        <v>44705</v>
      </c>
      <c r="E22715">
        <v>57.89</v>
      </c>
    </row>
    <row r="22716" spans="1:5" x14ac:dyDescent="0.2">
      <c r="A22716">
        <v>44706</v>
      </c>
      <c r="B22716" t="s">
        <v>41</v>
      </c>
      <c r="C22716">
        <v>44706</v>
      </c>
      <c r="D22716" t="str">
        <f>"44706"</f>
        <v>44706</v>
      </c>
      <c r="E22716">
        <v>69</v>
      </c>
    </row>
    <row r="22717" spans="1:5" x14ac:dyDescent="0.2">
      <c r="A22717">
        <v>44707</v>
      </c>
      <c r="B22717" t="s">
        <v>41</v>
      </c>
      <c r="C22717">
        <v>44707</v>
      </c>
      <c r="D22717" t="str">
        <f>"44707"</f>
        <v>44707</v>
      </c>
      <c r="E22717">
        <v>54.69</v>
      </c>
    </row>
    <row r="22718" spans="1:5" x14ac:dyDescent="0.2">
      <c r="A22718">
        <v>44708</v>
      </c>
      <c r="B22718" t="s">
        <v>41</v>
      </c>
      <c r="C22718">
        <v>44708</v>
      </c>
      <c r="D22718" t="str">
        <f>"44708"</f>
        <v>44708</v>
      </c>
      <c r="E22718">
        <v>73.81</v>
      </c>
    </row>
    <row r="22719" spans="1:5" x14ac:dyDescent="0.2">
      <c r="A22719">
        <v>44709</v>
      </c>
      <c r="B22719" t="s">
        <v>41</v>
      </c>
      <c r="C22719">
        <v>44709</v>
      </c>
      <c r="D22719" t="str">
        <f>"44709"</f>
        <v>44709</v>
      </c>
      <c r="E22719">
        <v>73.17</v>
      </c>
    </row>
    <row r="22720" spans="1:5" x14ac:dyDescent="0.2">
      <c r="A22720">
        <v>44710</v>
      </c>
      <c r="B22720" t="s">
        <v>41</v>
      </c>
      <c r="C22720">
        <v>44710</v>
      </c>
      <c r="D22720" t="str">
        <f>"44710"</f>
        <v>44710</v>
      </c>
      <c r="E22720">
        <v>62.26</v>
      </c>
    </row>
    <row r="22721" spans="1:5" x14ac:dyDescent="0.2">
      <c r="A22721">
        <v>44714</v>
      </c>
      <c r="B22721" t="s">
        <v>41</v>
      </c>
      <c r="C22721">
        <v>44714</v>
      </c>
      <c r="D22721" t="str">
        <f>"44714"</f>
        <v>44714</v>
      </c>
      <c r="E22721">
        <v>69.05</v>
      </c>
    </row>
    <row r="22722" spans="1:5" x14ac:dyDescent="0.2">
      <c r="A22722">
        <v>44718</v>
      </c>
      <c r="B22722" t="s">
        <v>41</v>
      </c>
      <c r="C22722">
        <v>44718</v>
      </c>
      <c r="D22722" t="str">
        <f>"44718"</f>
        <v>44718</v>
      </c>
      <c r="E22722">
        <v>79.67</v>
      </c>
    </row>
    <row r="22723" spans="1:5" x14ac:dyDescent="0.2">
      <c r="A22723">
        <v>44720</v>
      </c>
      <c r="B22723" t="s">
        <v>41</v>
      </c>
      <c r="C22723">
        <v>44720</v>
      </c>
      <c r="D22723" t="str">
        <f>"44720"</f>
        <v>44720</v>
      </c>
      <c r="E22723">
        <v>78.81</v>
      </c>
    </row>
    <row r="22724" spans="1:5" x14ac:dyDescent="0.2">
      <c r="A22724">
        <v>44721</v>
      </c>
      <c r="B22724" t="s">
        <v>41</v>
      </c>
      <c r="C22724">
        <v>44721</v>
      </c>
      <c r="D22724" t="str">
        <f>"44721"</f>
        <v>44721</v>
      </c>
      <c r="E22724">
        <v>79.040000000000006</v>
      </c>
    </row>
    <row r="22725" spans="1:5" x14ac:dyDescent="0.2">
      <c r="A22725">
        <v>44730</v>
      </c>
      <c r="B22725" t="s">
        <v>41</v>
      </c>
      <c r="C22725">
        <v>44730</v>
      </c>
      <c r="D22725" t="str">
        <f>"44730"</f>
        <v>44730</v>
      </c>
      <c r="E22725">
        <v>75.17</v>
      </c>
    </row>
    <row r="22726" spans="1:5" x14ac:dyDescent="0.2">
      <c r="A22726">
        <v>44802</v>
      </c>
      <c r="B22726" t="s">
        <v>41</v>
      </c>
      <c r="C22726">
        <v>44802</v>
      </c>
      <c r="D22726" t="str">
        <f>"44802"</f>
        <v>44802</v>
      </c>
      <c r="E22726">
        <v>80.39</v>
      </c>
    </row>
    <row r="22727" spans="1:5" x14ac:dyDescent="0.2">
      <c r="A22727">
        <v>44804</v>
      </c>
      <c r="B22727" t="s">
        <v>41</v>
      </c>
      <c r="C22727">
        <v>44804</v>
      </c>
      <c r="D22727" t="str">
        <f>"44804"</f>
        <v>44804</v>
      </c>
      <c r="E22727">
        <v>74.14</v>
      </c>
    </row>
    <row r="22728" spans="1:5" x14ac:dyDescent="0.2">
      <c r="A22728">
        <v>44805</v>
      </c>
      <c r="B22728" t="s">
        <v>41</v>
      </c>
      <c r="C22728">
        <v>44805</v>
      </c>
      <c r="D22728" t="str">
        <f>"44805"</f>
        <v>44805</v>
      </c>
      <c r="E22728">
        <v>72.459999999999994</v>
      </c>
    </row>
    <row r="22729" spans="1:5" x14ac:dyDescent="0.2">
      <c r="A22729">
        <v>44807</v>
      </c>
      <c r="B22729" t="s">
        <v>41</v>
      </c>
      <c r="C22729">
        <v>44807</v>
      </c>
      <c r="D22729" t="str">
        <f>"44807"</f>
        <v>44807</v>
      </c>
      <c r="E22729">
        <v>75</v>
      </c>
    </row>
    <row r="22730" spans="1:5" x14ac:dyDescent="0.2">
      <c r="A22730">
        <v>44809</v>
      </c>
      <c r="B22730" t="s">
        <v>41</v>
      </c>
      <c r="C22730">
        <v>44809</v>
      </c>
      <c r="D22730" t="str">
        <f>"44809"</f>
        <v>44809</v>
      </c>
      <c r="E22730" t="s">
        <v>6</v>
      </c>
    </row>
    <row r="22731" spans="1:5" x14ac:dyDescent="0.2">
      <c r="A22731">
        <v>44811</v>
      </c>
      <c r="B22731" t="s">
        <v>41</v>
      </c>
      <c r="C22731">
        <v>44811</v>
      </c>
      <c r="D22731" t="str">
        <f>"44811"</f>
        <v>44811</v>
      </c>
      <c r="E22731">
        <v>74.760000000000005</v>
      </c>
    </row>
    <row r="22732" spans="1:5" x14ac:dyDescent="0.2">
      <c r="A22732">
        <v>44813</v>
      </c>
      <c r="B22732" t="s">
        <v>41</v>
      </c>
      <c r="C22732">
        <v>44813</v>
      </c>
      <c r="D22732" t="str">
        <f>"44813"</f>
        <v>44813</v>
      </c>
      <c r="E22732">
        <v>72.7</v>
      </c>
    </row>
    <row r="22733" spans="1:5" x14ac:dyDescent="0.2">
      <c r="A22733">
        <v>44814</v>
      </c>
      <c r="B22733" t="s">
        <v>41</v>
      </c>
      <c r="C22733">
        <v>44814</v>
      </c>
      <c r="D22733" t="str">
        <f>"44814"</f>
        <v>44814</v>
      </c>
      <c r="E22733">
        <v>75.510000000000005</v>
      </c>
    </row>
    <row r="22734" spans="1:5" x14ac:dyDescent="0.2">
      <c r="A22734">
        <v>44815</v>
      </c>
      <c r="B22734" t="s">
        <v>41</v>
      </c>
      <c r="C22734">
        <v>44815</v>
      </c>
      <c r="D22734" t="str">
        <f>"44815"</f>
        <v>44815</v>
      </c>
      <c r="E22734" t="s">
        <v>6</v>
      </c>
    </row>
    <row r="22735" spans="1:5" x14ac:dyDescent="0.2">
      <c r="A22735">
        <v>44817</v>
      </c>
      <c r="B22735" t="s">
        <v>41</v>
      </c>
      <c r="C22735">
        <v>44817</v>
      </c>
      <c r="D22735" t="str">
        <f>"44817"</f>
        <v>44817</v>
      </c>
      <c r="E22735">
        <v>76.12</v>
      </c>
    </row>
    <row r="22736" spans="1:5" x14ac:dyDescent="0.2">
      <c r="A22736">
        <v>44818</v>
      </c>
      <c r="B22736" t="s">
        <v>41</v>
      </c>
      <c r="C22736">
        <v>44818</v>
      </c>
      <c r="D22736" t="str">
        <f>"44818"</f>
        <v>44818</v>
      </c>
      <c r="E22736">
        <v>72.13</v>
      </c>
    </row>
    <row r="22737" spans="1:5" x14ac:dyDescent="0.2">
      <c r="A22737">
        <v>44820</v>
      </c>
      <c r="B22737" t="s">
        <v>41</v>
      </c>
      <c r="C22737">
        <v>44820</v>
      </c>
      <c r="D22737" t="str">
        <f>"44820"</f>
        <v>44820</v>
      </c>
      <c r="E22737">
        <v>70.900000000000006</v>
      </c>
    </row>
    <row r="22738" spans="1:5" x14ac:dyDescent="0.2">
      <c r="A22738">
        <v>44822</v>
      </c>
      <c r="B22738" t="s">
        <v>41</v>
      </c>
      <c r="C22738">
        <v>44822</v>
      </c>
      <c r="D22738" t="str">
        <f>"44822"</f>
        <v>44822</v>
      </c>
      <c r="E22738">
        <v>75.819999999999993</v>
      </c>
    </row>
    <row r="22739" spans="1:5" x14ac:dyDescent="0.2">
      <c r="A22739">
        <v>44824</v>
      </c>
      <c r="B22739" t="s">
        <v>41</v>
      </c>
      <c r="C22739">
        <v>44824</v>
      </c>
      <c r="D22739" t="str">
        <f>"44824"</f>
        <v>44824</v>
      </c>
      <c r="E22739">
        <v>79.62</v>
      </c>
    </row>
    <row r="22740" spans="1:5" x14ac:dyDescent="0.2">
      <c r="A22740">
        <v>44825</v>
      </c>
      <c r="B22740" t="s">
        <v>41</v>
      </c>
      <c r="C22740">
        <v>44825</v>
      </c>
      <c r="D22740" t="str">
        <f>"44825"</f>
        <v>44825</v>
      </c>
      <c r="E22740" t="s">
        <v>6</v>
      </c>
    </row>
    <row r="22741" spans="1:5" x14ac:dyDescent="0.2">
      <c r="A22741">
        <v>44826</v>
      </c>
      <c r="B22741" t="s">
        <v>41</v>
      </c>
      <c r="C22741">
        <v>44826</v>
      </c>
      <c r="D22741" t="str">
        <f>"44826"</f>
        <v>44826</v>
      </c>
      <c r="E22741">
        <v>79.069999999999993</v>
      </c>
    </row>
    <row r="22742" spans="1:5" x14ac:dyDescent="0.2">
      <c r="A22742">
        <v>44827</v>
      </c>
      <c r="B22742" t="s">
        <v>41</v>
      </c>
      <c r="C22742">
        <v>44827</v>
      </c>
      <c r="D22742" t="str">
        <f>"44827"</f>
        <v>44827</v>
      </c>
      <c r="E22742">
        <v>69.69</v>
      </c>
    </row>
    <row r="22743" spans="1:5" x14ac:dyDescent="0.2">
      <c r="A22743">
        <v>44828</v>
      </c>
      <c r="B22743" t="s">
        <v>41</v>
      </c>
      <c r="C22743">
        <v>44828</v>
      </c>
      <c r="D22743" t="str">
        <f>"44828"</f>
        <v>44828</v>
      </c>
      <c r="E22743" t="s">
        <v>6</v>
      </c>
    </row>
    <row r="22744" spans="1:5" x14ac:dyDescent="0.2">
      <c r="A22744">
        <v>44830</v>
      </c>
      <c r="B22744" t="s">
        <v>41</v>
      </c>
      <c r="C22744">
        <v>44830</v>
      </c>
      <c r="D22744" t="str">
        <f>"44830"</f>
        <v>44830</v>
      </c>
      <c r="E22744">
        <v>68.09</v>
      </c>
    </row>
    <row r="22745" spans="1:5" x14ac:dyDescent="0.2">
      <c r="A22745">
        <v>44833</v>
      </c>
      <c r="B22745" t="s">
        <v>41</v>
      </c>
      <c r="C22745">
        <v>44833</v>
      </c>
      <c r="D22745" t="str">
        <f>"44833"</f>
        <v>44833</v>
      </c>
      <c r="E22745">
        <v>70.349999999999994</v>
      </c>
    </row>
    <row r="22746" spans="1:5" x14ac:dyDescent="0.2">
      <c r="A22746">
        <v>44836</v>
      </c>
      <c r="B22746" t="s">
        <v>41</v>
      </c>
      <c r="C22746">
        <v>44836</v>
      </c>
      <c r="D22746" t="str">
        <f>"44836"</f>
        <v>44836</v>
      </c>
      <c r="E22746">
        <v>75</v>
      </c>
    </row>
    <row r="22747" spans="1:5" x14ac:dyDescent="0.2">
      <c r="A22747">
        <v>44837</v>
      </c>
      <c r="B22747" t="s">
        <v>41</v>
      </c>
      <c r="C22747">
        <v>44837</v>
      </c>
      <c r="D22747" t="str">
        <f>"44837"</f>
        <v>44837</v>
      </c>
      <c r="E22747">
        <v>67.930000000000007</v>
      </c>
    </row>
    <row r="22748" spans="1:5" x14ac:dyDescent="0.2">
      <c r="A22748">
        <v>44838</v>
      </c>
      <c r="B22748" t="s">
        <v>41</v>
      </c>
      <c r="C22748">
        <v>44838</v>
      </c>
      <c r="D22748" t="str">
        <f>"44838"</f>
        <v>44838</v>
      </c>
      <c r="E22748" t="s">
        <v>6</v>
      </c>
    </row>
    <row r="22749" spans="1:5" x14ac:dyDescent="0.2">
      <c r="A22749">
        <v>44839</v>
      </c>
      <c r="B22749" t="s">
        <v>41</v>
      </c>
      <c r="C22749">
        <v>44839</v>
      </c>
      <c r="D22749" t="str">
        <f>"44839"</f>
        <v>44839</v>
      </c>
      <c r="E22749">
        <v>76.72</v>
      </c>
    </row>
    <row r="22750" spans="1:5" x14ac:dyDescent="0.2">
      <c r="A22750">
        <v>44840</v>
      </c>
      <c r="B22750" t="s">
        <v>41</v>
      </c>
      <c r="C22750">
        <v>44840</v>
      </c>
      <c r="D22750" t="str">
        <f>"44840"</f>
        <v>44840</v>
      </c>
      <c r="E22750">
        <v>78.42</v>
      </c>
    </row>
    <row r="22751" spans="1:5" x14ac:dyDescent="0.2">
      <c r="A22751">
        <v>44841</v>
      </c>
      <c r="B22751" t="s">
        <v>41</v>
      </c>
      <c r="C22751">
        <v>44841</v>
      </c>
      <c r="D22751" t="str">
        <f>"44841"</f>
        <v>44841</v>
      </c>
      <c r="E22751">
        <v>80.489999999999995</v>
      </c>
    </row>
    <row r="22752" spans="1:5" x14ac:dyDescent="0.2">
      <c r="A22752">
        <v>44842</v>
      </c>
      <c r="B22752" t="s">
        <v>41</v>
      </c>
      <c r="C22752">
        <v>44842</v>
      </c>
      <c r="D22752" t="str">
        <f>"44842"</f>
        <v>44842</v>
      </c>
      <c r="E22752">
        <v>71.739999999999995</v>
      </c>
    </row>
    <row r="22753" spans="1:5" x14ac:dyDescent="0.2">
      <c r="A22753">
        <v>44843</v>
      </c>
      <c r="B22753" t="s">
        <v>41</v>
      </c>
      <c r="C22753">
        <v>44843</v>
      </c>
      <c r="D22753" t="str">
        <f>"44843"</f>
        <v>44843</v>
      </c>
      <c r="E22753">
        <v>76.92</v>
      </c>
    </row>
    <row r="22754" spans="1:5" x14ac:dyDescent="0.2">
      <c r="A22754">
        <v>44844</v>
      </c>
      <c r="B22754" t="s">
        <v>41</v>
      </c>
      <c r="C22754">
        <v>44844</v>
      </c>
      <c r="D22754" t="str">
        <f>"44844"</f>
        <v>44844</v>
      </c>
      <c r="E22754">
        <v>76.92</v>
      </c>
    </row>
    <row r="22755" spans="1:5" x14ac:dyDescent="0.2">
      <c r="A22755">
        <v>44846</v>
      </c>
      <c r="B22755" t="s">
        <v>41</v>
      </c>
      <c r="C22755">
        <v>44846</v>
      </c>
      <c r="D22755" t="str">
        <f>"44846"</f>
        <v>44846</v>
      </c>
      <c r="E22755">
        <v>76.7</v>
      </c>
    </row>
    <row r="22756" spans="1:5" x14ac:dyDescent="0.2">
      <c r="A22756">
        <v>44847</v>
      </c>
      <c r="B22756" t="s">
        <v>41</v>
      </c>
      <c r="C22756">
        <v>44847</v>
      </c>
      <c r="D22756" t="str">
        <f>"44847"</f>
        <v>44847</v>
      </c>
      <c r="E22756">
        <v>76.22</v>
      </c>
    </row>
    <row r="22757" spans="1:5" x14ac:dyDescent="0.2">
      <c r="A22757">
        <v>44848</v>
      </c>
      <c r="B22757" t="s">
        <v>41</v>
      </c>
      <c r="C22757">
        <v>44848</v>
      </c>
      <c r="D22757" t="str">
        <f>"44848"</f>
        <v>44848</v>
      </c>
      <c r="E22757" t="s">
        <v>6</v>
      </c>
    </row>
    <row r="22758" spans="1:5" x14ac:dyDescent="0.2">
      <c r="A22758">
        <v>44849</v>
      </c>
      <c r="B22758" t="s">
        <v>41</v>
      </c>
      <c r="C22758">
        <v>44849</v>
      </c>
      <c r="D22758" t="str">
        <f>"44849"</f>
        <v>44849</v>
      </c>
      <c r="E22758">
        <v>76.64</v>
      </c>
    </row>
    <row r="22759" spans="1:5" x14ac:dyDescent="0.2">
      <c r="A22759">
        <v>44850</v>
      </c>
      <c r="B22759" t="s">
        <v>41</v>
      </c>
      <c r="C22759">
        <v>44850</v>
      </c>
      <c r="D22759" t="str">
        <f>"44850"</f>
        <v>44850</v>
      </c>
      <c r="E22759" t="s">
        <v>6</v>
      </c>
    </row>
    <row r="22760" spans="1:5" x14ac:dyDescent="0.2">
      <c r="A22760">
        <v>44851</v>
      </c>
      <c r="B22760" t="s">
        <v>41</v>
      </c>
      <c r="C22760">
        <v>44851</v>
      </c>
      <c r="D22760" t="str">
        <f>"44851"</f>
        <v>44851</v>
      </c>
      <c r="E22760">
        <v>71.09</v>
      </c>
    </row>
    <row r="22761" spans="1:5" x14ac:dyDescent="0.2">
      <c r="A22761">
        <v>44853</v>
      </c>
      <c r="B22761" t="s">
        <v>41</v>
      </c>
      <c r="C22761">
        <v>44853</v>
      </c>
      <c r="D22761" t="str">
        <f>"44853"</f>
        <v>44853</v>
      </c>
      <c r="E22761">
        <v>76</v>
      </c>
    </row>
    <row r="22762" spans="1:5" x14ac:dyDescent="0.2">
      <c r="A22762">
        <v>44854</v>
      </c>
      <c r="B22762" t="s">
        <v>41</v>
      </c>
      <c r="C22762">
        <v>44854</v>
      </c>
      <c r="D22762" t="str">
        <f>"44854"</f>
        <v>44854</v>
      </c>
      <c r="E22762">
        <v>73.91</v>
      </c>
    </row>
    <row r="22763" spans="1:5" x14ac:dyDescent="0.2">
      <c r="A22763">
        <v>44855</v>
      </c>
      <c r="B22763" t="s">
        <v>41</v>
      </c>
      <c r="C22763">
        <v>44855</v>
      </c>
      <c r="D22763" t="str">
        <f>"44855"</f>
        <v>44855</v>
      </c>
      <c r="E22763">
        <v>76.67</v>
      </c>
    </row>
    <row r="22764" spans="1:5" x14ac:dyDescent="0.2">
      <c r="A22764">
        <v>44856</v>
      </c>
      <c r="B22764" t="s">
        <v>41</v>
      </c>
      <c r="C22764">
        <v>44856</v>
      </c>
      <c r="D22764" t="str">
        <f>"44856"</f>
        <v>44856</v>
      </c>
      <c r="E22764" t="s">
        <v>6</v>
      </c>
    </row>
    <row r="22765" spans="1:5" x14ac:dyDescent="0.2">
      <c r="A22765">
        <v>44857</v>
      </c>
      <c r="B22765" t="s">
        <v>41</v>
      </c>
      <c r="C22765">
        <v>44857</v>
      </c>
      <c r="D22765" t="str">
        <f>"44857"</f>
        <v>44857</v>
      </c>
      <c r="E22765">
        <v>72.17</v>
      </c>
    </row>
    <row r="22766" spans="1:5" x14ac:dyDescent="0.2">
      <c r="A22766">
        <v>44859</v>
      </c>
      <c r="B22766" t="s">
        <v>41</v>
      </c>
      <c r="C22766">
        <v>44859</v>
      </c>
      <c r="D22766" t="str">
        <f>"44859"</f>
        <v>44859</v>
      </c>
      <c r="E22766">
        <v>73.56</v>
      </c>
    </row>
    <row r="22767" spans="1:5" x14ac:dyDescent="0.2">
      <c r="A22767">
        <v>44861</v>
      </c>
      <c r="B22767" t="s">
        <v>41</v>
      </c>
      <c r="C22767">
        <v>44861</v>
      </c>
      <c r="D22767" t="str">
        <f>"44861"</f>
        <v>44861</v>
      </c>
      <c r="E22767" t="s">
        <v>6</v>
      </c>
    </row>
    <row r="22768" spans="1:5" x14ac:dyDescent="0.2">
      <c r="A22768">
        <v>44864</v>
      </c>
      <c r="B22768" t="s">
        <v>41</v>
      </c>
      <c r="C22768">
        <v>44864</v>
      </c>
      <c r="D22768" t="str">
        <f>"44864"</f>
        <v>44864</v>
      </c>
      <c r="E22768">
        <v>74.52</v>
      </c>
    </row>
    <row r="22769" spans="1:5" x14ac:dyDescent="0.2">
      <c r="A22769">
        <v>44865</v>
      </c>
      <c r="B22769" t="s">
        <v>41</v>
      </c>
      <c r="C22769">
        <v>44865</v>
      </c>
      <c r="D22769" t="str">
        <f>"44865"</f>
        <v>44865</v>
      </c>
      <c r="E22769">
        <v>68.209999999999994</v>
      </c>
    </row>
    <row r="22770" spans="1:5" x14ac:dyDescent="0.2">
      <c r="A22770">
        <v>44866</v>
      </c>
      <c r="B22770" t="s">
        <v>41</v>
      </c>
      <c r="C22770">
        <v>44866</v>
      </c>
      <c r="D22770" t="str">
        <f>"44866"</f>
        <v>44866</v>
      </c>
      <c r="E22770">
        <v>73.400000000000006</v>
      </c>
    </row>
    <row r="22771" spans="1:5" x14ac:dyDescent="0.2">
      <c r="A22771">
        <v>44867</v>
      </c>
      <c r="B22771" t="s">
        <v>41</v>
      </c>
      <c r="C22771">
        <v>44867</v>
      </c>
      <c r="D22771" t="str">
        <f>"44867"</f>
        <v>44867</v>
      </c>
      <c r="E22771">
        <v>77.78</v>
      </c>
    </row>
    <row r="22772" spans="1:5" x14ac:dyDescent="0.2">
      <c r="A22772">
        <v>44870</v>
      </c>
      <c r="B22772" t="s">
        <v>41</v>
      </c>
      <c r="C22772">
        <v>44870</v>
      </c>
      <c r="D22772" t="str">
        <f>"44870"</f>
        <v>44870</v>
      </c>
      <c r="E22772">
        <v>68.739999999999995</v>
      </c>
    </row>
    <row r="22773" spans="1:5" x14ac:dyDescent="0.2">
      <c r="A22773">
        <v>44874</v>
      </c>
      <c r="B22773" t="s">
        <v>41</v>
      </c>
      <c r="C22773">
        <v>44874</v>
      </c>
      <c r="D22773" t="str">
        <f>"44874"</f>
        <v>44874</v>
      </c>
      <c r="E22773" t="s">
        <v>6</v>
      </c>
    </row>
    <row r="22774" spans="1:5" x14ac:dyDescent="0.2">
      <c r="A22774">
        <v>44875</v>
      </c>
      <c r="B22774" t="s">
        <v>41</v>
      </c>
      <c r="C22774">
        <v>44875</v>
      </c>
      <c r="D22774" t="str">
        <f>"44875"</f>
        <v>44875</v>
      </c>
      <c r="E22774">
        <v>71.709999999999994</v>
      </c>
    </row>
    <row r="22775" spans="1:5" x14ac:dyDescent="0.2">
      <c r="A22775">
        <v>44878</v>
      </c>
      <c r="B22775" t="s">
        <v>41</v>
      </c>
      <c r="C22775">
        <v>44878</v>
      </c>
      <c r="D22775" t="str">
        <f>"44878"</f>
        <v>44878</v>
      </c>
      <c r="E22775">
        <v>70.73</v>
      </c>
    </row>
    <row r="22776" spans="1:5" x14ac:dyDescent="0.2">
      <c r="A22776">
        <v>44880</v>
      </c>
      <c r="B22776" t="s">
        <v>41</v>
      </c>
      <c r="C22776">
        <v>44880</v>
      </c>
      <c r="D22776" t="str">
        <f>"44880"</f>
        <v>44880</v>
      </c>
      <c r="E22776">
        <v>73.23</v>
      </c>
    </row>
    <row r="22777" spans="1:5" x14ac:dyDescent="0.2">
      <c r="A22777">
        <v>44882</v>
      </c>
      <c r="B22777" t="s">
        <v>41</v>
      </c>
      <c r="C22777">
        <v>44882</v>
      </c>
      <c r="D22777" t="str">
        <f>"44882"</f>
        <v>44882</v>
      </c>
      <c r="E22777">
        <v>75.89</v>
      </c>
    </row>
    <row r="22778" spans="1:5" x14ac:dyDescent="0.2">
      <c r="A22778">
        <v>44883</v>
      </c>
      <c r="B22778" t="s">
        <v>41</v>
      </c>
      <c r="C22778">
        <v>44883</v>
      </c>
      <c r="D22778" t="str">
        <f>"44883"</f>
        <v>44883</v>
      </c>
      <c r="E22778">
        <v>73.680000000000007</v>
      </c>
    </row>
    <row r="22779" spans="1:5" x14ac:dyDescent="0.2">
      <c r="A22779">
        <v>44887</v>
      </c>
      <c r="B22779" t="s">
        <v>41</v>
      </c>
      <c r="C22779">
        <v>44887</v>
      </c>
      <c r="D22779" t="str">
        <f>"44887"</f>
        <v>44887</v>
      </c>
      <c r="E22779">
        <v>77.08</v>
      </c>
    </row>
    <row r="22780" spans="1:5" x14ac:dyDescent="0.2">
      <c r="A22780">
        <v>44889</v>
      </c>
      <c r="B22780" t="s">
        <v>41</v>
      </c>
      <c r="C22780">
        <v>44889</v>
      </c>
      <c r="D22780" t="str">
        <f>"44889"</f>
        <v>44889</v>
      </c>
      <c r="E22780">
        <v>77.23</v>
      </c>
    </row>
    <row r="22781" spans="1:5" x14ac:dyDescent="0.2">
      <c r="A22781">
        <v>44890</v>
      </c>
      <c r="B22781" t="s">
        <v>41</v>
      </c>
      <c r="C22781">
        <v>44890</v>
      </c>
      <c r="D22781" t="str">
        <f>"44890"</f>
        <v>44890</v>
      </c>
      <c r="E22781">
        <v>69.34</v>
      </c>
    </row>
    <row r="22782" spans="1:5" x14ac:dyDescent="0.2">
      <c r="A22782">
        <v>44901</v>
      </c>
      <c r="B22782" t="s">
        <v>41</v>
      </c>
      <c r="C22782">
        <v>44901</v>
      </c>
      <c r="D22782" t="str">
        <f>"44901"</f>
        <v>44901</v>
      </c>
      <c r="E22782" t="s">
        <v>6</v>
      </c>
    </row>
    <row r="22783" spans="1:5" x14ac:dyDescent="0.2">
      <c r="A22783">
        <v>44902</v>
      </c>
      <c r="B22783" t="s">
        <v>41</v>
      </c>
      <c r="C22783">
        <v>44902</v>
      </c>
      <c r="D22783" t="str">
        <f>"44902"</f>
        <v>44902</v>
      </c>
      <c r="E22783">
        <v>47.25</v>
      </c>
    </row>
    <row r="22784" spans="1:5" x14ac:dyDescent="0.2">
      <c r="A22784">
        <v>44903</v>
      </c>
      <c r="B22784" t="s">
        <v>41</v>
      </c>
      <c r="C22784">
        <v>44903</v>
      </c>
      <c r="D22784" t="str">
        <f>"44903"</f>
        <v>44903</v>
      </c>
      <c r="E22784">
        <v>69.92</v>
      </c>
    </row>
    <row r="22785" spans="1:5" x14ac:dyDescent="0.2">
      <c r="A22785">
        <v>44904</v>
      </c>
      <c r="B22785" t="s">
        <v>41</v>
      </c>
      <c r="C22785">
        <v>44904</v>
      </c>
      <c r="D22785" t="str">
        <f>"44904"</f>
        <v>44904</v>
      </c>
      <c r="E22785">
        <v>76.44</v>
      </c>
    </row>
    <row r="22786" spans="1:5" x14ac:dyDescent="0.2">
      <c r="A22786">
        <v>44905</v>
      </c>
      <c r="B22786" t="s">
        <v>41</v>
      </c>
      <c r="C22786">
        <v>44905</v>
      </c>
      <c r="D22786" t="str">
        <f>"44905"</f>
        <v>44905</v>
      </c>
      <c r="E22786">
        <v>68.38</v>
      </c>
    </row>
    <row r="22787" spans="1:5" x14ac:dyDescent="0.2">
      <c r="A22787">
        <v>44906</v>
      </c>
      <c r="B22787" t="s">
        <v>41</v>
      </c>
      <c r="C22787">
        <v>44906</v>
      </c>
      <c r="D22787" t="str">
        <f>"44906"</f>
        <v>44906</v>
      </c>
      <c r="E22787">
        <v>68.42</v>
      </c>
    </row>
    <row r="22788" spans="1:5" x14ac:dyDescent="0.2">
      <c r="A22788">
        <v>44907</v>
      </c>
      <c r="B22788" t="s">
        <v>41</v>
      </c>
      <c r="C22788">
        <v>44907</v>
      </c>
      <c r="D22788" t="str">
        <f>"44907"</f>
        <v>44907</v>
      </c>
      <c r="E22788">
        <v>68.790000000000006</v>
      </c>
    </row>
    <row r="22789" spans="1:5" x14ac:dyDescent="0.2">
      <c r="A22789">
        <v>45001</v>
      </c>
      <c r="B22789" t="s">
        <v>41</v>
      </c>
      <c r="C22789">
        <v>45001</v>
      </c>
      <c r="D22789" t="str">
        <f>"45001"</f>
        <v>45001</v>
      </c>
      <c r="E22789" t="s">
        <v>6</v>
      </c>
    </row>
    <row r="22790" spans="1:5" x14ac:dyDescent="0.2">
      <c r="A22790">
        <v>45002</v>
      </c>
      <c r="B22790" t="s">
        <v>41</v>
      </c>
      <c r="C22790">
        <v>45002</v>
      </c>
      <c r="D22790" t="str">
        <f>"45002"</f>
        <v>45002</v>
      </c>
      <c r="E22790">
        <v>77.010000000000005</v>
      </c>
    </row>
    <row r="22791" spans="1:5" x14ac:dyDescent="0.2">
      <c r="A22791">
        <v>45003</v>
      </c>
      <c r="B22791" t="s">
        <v>41</v>
      </c>
      <c r="C22791">
        <v>45003</v>
      </c>
      <c r="D22791" t="str">
        <f>"45003"</f>
        <v>45003</v>
      </c>
      <c r="E22791">
        <v>72.34</v>
      </c>
    </row>
    <row r="22792" spans="1:5" x14ac:dyDescent="0.2">
      <c r="A22792">
        <v>45005</v>
      </c>
      <c r="B22792" t="s">
        <v>41</v>
      </c>
      <c r="C22792">
        <v>45005</v>
      </c>
      <c r="D22792" t="str">
        <f>"45005"</f>
        <v>45005</v>
      </c>
      <c r="E22792">
        <v>74.77</v>
      </c>
    </row>
    <row r="22793" spans="1:5" x14ac:dyDescent="0.2">
      <c r="A22793">
        <v>45011</v>
      </c>
      <c r="B22793" t="s">
        <v>41</v>
      </c>
      <c r="C22793">
        <v>45011</v>
      </c>
      <c r="D22793" t="str">
        <f>"45011"</f>
        <v>45011</v>
      </c>
      <c r="E22793">
        <v>72.760000000000005</v>
      </c>
    </row>
    <row r="22794" spans="1:5" x14ac:dyDescent="0.2">
      <c r="A22794">
        <v>45013</v>
      </c>
      <c r="B22794" t="s">
        <v>41</v>
      </c>
      <c r="C22794">
        <v>45013</v>
      </c>
      <c r="D22794" t="str">
        <f>"45013"</f>
        <v>45013</v>
      </c>
      <c r="E22794">
        <v>74.91</v>
      </c>
    </row>
    <row r="22795" spans="1:5" x14ac:dyDescent="0.2">
      <c r="A22795">
        <v>45014</v>
      </c>
      <c r="B22795" t="s">
        <v>41</v>
      </c>
      <c r="C22795">
        <v>45014</v>
      </c>
      <c r="D22795" t="str">
        <f>"45014"</f>
        <v>45014</v>
      </c>
      <c r="E22795">
        <v>74.27</v>
      </c>
    </row>
    <row r="22796" spans="1:5" x14ac:dyDescent="0.2">
      <c r="A22796">
        <v>45015</v>
      </c>
      <c r="B22796" t="s">
        <v>41</v>
      </c>
      <c r="C22796">
        <v>45015</v>
      </c>
      <c r="D22796" t="str">
        <f>"45015"</f>
        <v>45015</v>
      </c>
      <c r="E22796">
        <v>65.62</v>
      </c>
    </row>
    <row r="22797" spans="1:5" x14ac:dyDescent="0.2">
      <c r="A22797">
        <v>45030</v>
      </c>
      <c r="B22797" t="s">
        <v>41</v>
      </c>
      <c r="C22797">
        <v>45030</v>
      </c>
      <c r="D22797" t="str">
        <f>"45030"</f>
        <v>45030</v>
      </c>
      <c r="E22797">
        <v>79.12</v>
      </c>
    </row>
    <row r="22798" spans="1:5" x14ac:dyDescent="0.2">
      <c r="A22798">
        <v>45032</v>
      </c>
      <c r="B22798" t="s">
        <v>41</v>
      </c>
      <c r="C22798">
        <v>45032</v>
      </c>
      <c r="D22798" t="str">
        <f>"45032"</f>
        <v>45032</v>
      </c>
      <c r="E22798" t="s">
        <v>6</v>
      </c>
    </row>
    <row r="22799" spans="1:5" x14ac:dyDescent="0.2">
      <c r="A22799">
        <v>45033</v>
      </c>
      <c r="B22799" t="s">
        <v>41</v>
      </c>
      <c r="C22799">
        <v>45033</v>
      </c>
      <c r="D22799" t="str">
        <f>"45033"</f>
        <v>45033</v>
      </c>
      <c r="E22799">
        <v>61.54</v>
      </c>
    </row>
    <row r="22800" spans="1:5" x14ac:dyDescent="0.2">
      <c r="A22800">
        <v>45034</v>
      </c>
      <c r="B22800" t="s">
        <v>41</v>
      </c>
      <c r="C22800">
        <v>45034</v>
      </c>
      <c r="D22800" t="str">
        <f>"45034"</f>
        <v>45034</v>
      </c>
      <c r="E22800">
        <v>75</v>
      </c>
    </row>
    <row r="22801" spans="1:5" x14ac:dyDescent="0.2">
      <c r="A22801">
        <v>45036</v>
      </c>
      <c r="B22801" t="s">
        <v>41</v>
      </c>
      <c r="C22801">
        <v>45036</v>
      </c>
      <c r="D22801" t="str">
        <f>"45036"</f>
        <v>45036</v>
      </c>
      <c r="E22801">
        <v>77.22</v>
      </c>
    </row>
    <row r="22802" spans="1:5" x14ac:dyDescent="0.2">
      <c r="A22802">
        <v>45039</v>
      </c>
      <c r="B22802" t="s">
        <v>41</v>
      </c>
      <c r="C22802">
        <v>45039</v>
      </c>
      <c r="D22802" t="str">
        <f>"45039"</f>
        <v>45039</v>
      </c>
      <c r="E22802">
        <v>82.69</v>
      </c>
    </row>
    <row r="22803" spans="1:5" x14ac:dyDescent="0.2">
      <c r="A22803">
        <v>45040</v>
      </c>
      <c r="B22803" t="s">
        <v>41</v>
      </c>
      <c r="C22803">
        <v>45040</v>
      </c>
      <c r="D22803" t="str">
        <f>"45040"</f>
        <v>45040</v>
      </c>
      <c r="E22803">
        <v>79.77</v>
      </c>
    </row>
    <row r="22804" spans="1:5" x14ac:dyDescent="0.2">
      <c r="A22804">
        <v>45041</v>
      </c>
      <c r="B22804" t="s">
        <v>41</v>
      </c>
      <c r="C22804">
        <v>45041</v>
      </c>
      <c r="D22804" t="str">
        <f>"45041"</f>
        <v>45041</v>
      </c>
      <c r="E22804" t="s">
        <v>6</v>
      </c>
    </row>
    <row r="22805" spans="1:5" x14ac:dyDescent="0.2">
      <c r="A22805">
        <v>45042</v>
      </c>
      <c r="B22805" t="s">
        <v>41</v>
      </c>
      <c r="C22805">
        <v>45042</v>
      </c>
      <c r="D22805" t="str">
        <f>"45042"</f>
        <v>45042</v>
      </c>
      <c r="E22805">
        <v>73.95</v>
      </c>
    </row>
    <row r="22806" spans="1:5" x14ac:dyDescent="0.2">
      <c r="A22806">
        <v>45044</v>
      </c>
      <c r="B22806" t="s">
        <v>41</v>
      </c>
      <c r="C22806">
        <v>45044</v>
      </c>
      <c r="D22806" t="str">
        <f>"45044"</f>
        <v>45044</v>
      </c>
      <c r="E22806">
        <v>69.849999999999994</v>
      </c>
    </row>
    <row r="22807" spans="1:5" x14ac:dyDescent="0.2">
      <c r="A22807">
        <v>45050</v>
      </c>
      <c r="B22807" t="s">
        <v>41</v>
      </c>
      <c r="C22807">
        <v>45050</v>
      </c>
      <c r="D22807" t="str">
        <f>"45050"</f>
        <v>45050</v>
      </c>
      <c r="E22807">
        <v>79.56</v>
      </c>
    </row>
    <row r="22808" spans="1:5" x14ac:dyDescent="0.2">
      <c r="A22808">
        <v>45052</v>
      </c>
      <c r="B22808" t="s">
        <v>41</v>
      </c>
      <c r="C22808">
        <v>45052</v>
      </c>
      <c r="D22808" t="str">
        <f>"45052"</f>
        <v>45052</v>
      </c>
      <c r="E22808">
        <v>80.84</v>
      </c>
    </row>
    <row r="22809" spans="1:5" x14ac:dyDescent="0.2">
      <c r="A22809">
        <v>45053</v>
      </c>
      <c r="B22809" t="s">
        <v>41</v>
      </c>
      <c r="C22809">
        <v>45053</v>
      </c>
      <c r="D22809" t="str">
        <f>"45053"</f>
        <v>45053</v>
      </c>
      <c r="E22809">
        <v>82.21</v>
      </c>
    </row>
    <row r="22810" spans="1:5" x14ac:dyDescent="0.2">
      <c r="A22810">
        <v>45054</v>
      </c>
      <c r="B22810" t="s">
        <v>41</v>
      </c>
      <c r="C22810">
        <v>45054</v>
      </c>
      <c r="D22810" t="str">
        <f>"45054"</f>
        <v>45054</v>
      </c>
      <c r="E22810">
        <v>79.13</v>
      </c>
    </row>
    <row r="22811" spans="1:5" x14ac:dyDescent="0.2">
      <c r="A22811">
        <v>45056</v>
      </c>
      <c r="B22811" t="s">
        <v>41</v>
      </c>
      <c r="C22811">
        <v>45056</v>
      </c>
      <c r="D22811" t="str">
        <f>"45056"</f>
        <v>45056</v>
      </c>
      <c r="E22811">
        <v>76.67</v>
      </c>
    </row>
    <row r="22812" spans="1:5" x14ac:dyDescent="0.2">
      <c r="A22812">
        <v>45062</v>
      </c>
      <c r="B22812" t="s">
        <v>41</v>
      </c>
      <c r="C22812">
        <v>45062</v>
      </c>
      <c r="D22812" t="str">
        <f>"45062"</f>
        <v>45062</v>
      </c>
      <c r="E22812" t="s">
        <v>6</v>
      </c>
    </row>
    <row r="22813" spans="1:5" x14ac:dyDescent="0.2">
      <c r="A22813">
        <v>45064</v>
      </c>
      <c r="B22813" t="s">
        <v>41</v>
      </c>
      <c r="C22813">
        <v>45064</v>
      </c>
      <c r="D22813" t="str">
        <f>"45064"</f>
        <v>45064</v>
      </c>
      <c r="E22813">
        <v>76.98</v>
      </c>
    </row>
    <row r="22814" spans="1:5" x14ac:dyDescent="0.2">
      <c r="A22814">
        <v>45065</v>
      </c>
      <c r="B22814" t="s">
        <v>41</v>
      </c>
      <c r="C22814">
        <v>45065</v>
      </c>
      <c r="D22814" t="str">
        <f>"45065"</f>
        <v>45065</v>
      </c>
      <c r="E22814">
        <v>75.09</v>
      </c>
    </row>
    <row r="22815" spans="1:5" x14ac:dyDescent="0.2">
      <c r="A22815">
        <v>45066</v>
      </c>
      <c r="B22815" t="s">
        <v>41</v>
      </c>
      <c r="C22815">
        <v>45066</v>
      </c>
      <c r="D22815" t="str">
        <f>"45066"</f>
        <v>45066</v>
      </c>
      <c r="E22815">
        <v>81.48</v>
      </c>
    </row>
    <row r="22816" spans="1:5" x14ac:dyDescent="0.2">
      <c r="A22816">
        <v>45067</v>
      </c>
      <c r="B22816" t="s">
        <v>41</v>
      </c>
      <c r="C22816">
        <v>45067</v>
      </c>
      <c r="D22816" t="str">
        <f>"45067"</f>
        <v>45067</v>
      </c>
      <c r="E22816">
        <v>75.22</v>
      </c>
    </row>
    <row r="22817" spans="1:5" x14ac:dyDescent="0.2">
      <c r="A22817">
        <v>45068</v>
      </c>
      <c r="B22817" t="s">
        <v>41</v>
      </c>
      <c r="C22817">
        <v>45068</v>
      </c>
      <c r="D22817" t="str">
        <f>"45068"</f>
        <v>45068</v>
      </c>
      <c r="E22817">
        <v>80.11</v>
      </c>
    </row>
    <row r="22818" spans="1:5" x14ac:dyDescent="0.2">
      <c r="A22818">
        <v>45069</v>
      </c>
      <c r="B22818" t="s">
        <v>41</v>
      </c>
      <c r="C22818">
        <v>45069</v>
      </c>
      <c r="D22818" t="str">
        <f>"45069"</f>
        <v>45069</v>
      </c>
      <c r="E22818">
        <v>80.31</v>
      </c>
    </row>
    <row r="22819" spans="1:5" x14ac:dyDescent="0.2">
      <c r="A22819">
        <v>45070</v>
      </c>
      <c r="B22819" t="s">
        <v>41</v>
      </c>
      <c r="C22819">
        <v>45070</v>
      </c>
      <c r="D22819" t="str">
        <f>"45070"</f>
        <v>45070</v>
      </c>
      <c r="E22819" t="s">
        <v>6</v>
      </c>
    </row>
    <row r="22820" spans="1:5" x14ac:dyDescent="0.2">
      <c r="A22820">
        <v>45101</v>
      </c>
      <c r="B22820" t="s">
        <v>41</v>
      </c>
      <c r="C22820">
        <v>45101</v>
      </c>
      <c r="D22820" t="str">
        <f>"45101"</f>
        <v>45101</v>
      </c>
      <c r="E22820">
        <v>69.569999999999993</v>
      </c>
    </row>
    <row r="22821" spans="1:5" x14ac:dyDescent="0.2">
      <c r="A22821">
        <v>45102</v>
      </c>
      <c r="B22821" t="s">
        <v>41</v>
      </c>
      <c r="C22821">
        <v>45102</v>
      </c>
      <c r="D22821" t="str">
        <f>"45102"</f>
        <v>45102</v>
      </c>
      <c r="E22821">
        <v>75.599999999999994</v>
      </c>
    </row>
    <row r="22822" spans="1:5" x14ac:dyDescent="0.2">
      <c r="A22822">
        <v>45103</v>
      </c>
      <c r="B22822" t="s">
        <v>41</v>
      </c>
      <c r="C22822">
        <v>45103</v>
      </c>
      <c r="D22822" t="str">
        <f>"45103"</f>
        <v>45103</v>
      </c>
      <c r="E22822">
        <v>76.73</v>
      </c>
    </row>
    <row r="22823" spans="1:5" x14ac:dyDescent="0.2">
      <c r="A22823">
        <v>45106</v>
      </c>
      <c r="B22823" t="s">
        <v>41</v>
      </c>
      <c r="C22823">
        <v>45106</v>
      </c>
      <c r="D22823" t="str">
        <f>"45106"</f>
        <v>45106</v>
      </c>
      <c r="E22823">
        <v>73.540000000000006</v>
      </c>
    </row>
    <row r="22824" spans="1:5" x14ac:dyDescent="0.2">
      <c r="A22824">
        <v>45107</v>
      </c>
      <c r="B22824" t="s">
        <v>41</v>
      </c>
      <c r="C22824">
        <v>45107</v>
      </c>
      <c r="D22824" t="str">
        <f>"45107"</f>
        <v>45107</v>
      </c>
      <c r="E22824">
        <v>73.39</v>
      </c>
    </row>
    <row r="22825" spans="1:5" x14ac:dyDescent="0.2">
      <c r="A22825">
        <v>45111</v>
      </c>
      <c r="B22825" t="s">
        <v>41</v>
      </c>
      <c r="C22825">
        <v>45111</v>
      </c>
      <c r="D22825" t="str">
        <f>"45111"</f>
        <v>45111</v>
      </c>
      <c r="E22825">
        <v>70</v>
      </c>
    </row>
    <row r="22826" spans="1:5" x14ac:dyDescent="0.2">
      <c r="A22826">
        <v>45112</v>
      </c>
      <c r="B22826" t="s">
        <v>41</v>
      </c>
      <c r="C22826">
        <v>45112</v>
      </c>
      <c r="D22826" t="str">
        <f>"45112"</f>
        <v>45112</v>
      </c>
      <c r="E22826" t="s">
        <v>6</v>
      </c>
    </row>
    <row r="22827" spans="1:5" x14ac:dyDescent="0.2">
      <c r="A22827">
        <v>45113</v>
      </c>
      <c r="B22827" t="s">
        <v>41</v>
      </c>
      <c r="C22827">
        <v>45113</v>
      </c>
      <c r="D22827" t="str">
        <f>"45113"</f>
        <v>45113</v>
      </c>
      <c r="E22827">
        <v>77.95</v>
      </c>
    </row>
    <row r="22828" spans="1:5" x14ac:dyDescent="0.2">
      <c r="A22828">
        <v>45118</v>
      </c>
      <c r="B22828" t="s">
        <v>41</v>
      </c>
      <c r="C22828">
        <v>45118</v>
      </c>
      <c r="D22828" t="str">
        <f>"45118"</f>
        <v>45118</v>
      </c>
      <c r="E22828">
        <v>74.709999999999994</v>
      </c>
    </row>
    <row r="22829" spans="1:5" x14ac:dyDescent="0.2">
      <c r="A22829">
        <v>45120</v>
      </c>
      <c r="B22829" t="s">
        <v>41</v>
      </c>
      <c r="C22829">
        <v>45120</v>
      </c>
      <c r="D22829" t="str">
        <f>"45120"</f>
        <v>45120</v>
      </c>
      <c r="E22829">
        <v>68.28</v>
      </c>
    </row>
    <row r="22830" spans="1:5" x14ac:dyDescent="0.2">
      <c r="A22830">
        <v>45121</v>
      </c>
      <c r="B22830" t="s">
        <v>41</v>
      </c>
      <c r="C22830">
        <v>45121</v>
      </c>
      <c r="D22830" t="str">
        <f>"45121"</f>
        <v>45121</v>
      </c>
      <c r="E22830">
        <v>70.48</v>
      </c>
    </row>
    <row r="22831" spans="1:5" x14ac:dyDescent="0.2">
      <c r="A22831">
        <v>45122</v>
      </c>
      <c r="B22831" t="s">
        <v>41</v>
      </c>
      <c r="C22831">
        <v>45122</v>
      </c>
      <c r="D22831" t="str">
        <f>"45122"</f>
        <v>45122</v>
      </c>
      <c r="E22831">
        <v>74.209999999999994</v>
      </c>
    </row>
    <row r="22832" spans="1:5" x14ac:dyDescent="0.2">
      <c r="A22832">
        <v>45123</v>
      </c>
      <c r="B22832" t="s">
        <v>41</v>
      </c>
      <c r="C22832">
        <v>45123</v>
      </c>
      <c r="D22832" t="str">
        <f>"45123"</f>
        <v>45123</v>
      </c>
      <c r="E22832">
        <v>64.430000000000007</v>
      </c>
    </row>
    <row r="22833" spans="1:5" x14ac:dyDescent="0.2">
      <c r="A22833">
        <v>45130</v>
      </c>
      <c r="B22833" t="s">
        <v>41</v>
      </c>
      <c r="C22833">
        <v>45130</v>
      </c>
      <c r="D22833" t="str">
        <f>"45130"</f>
        <v>45130</v>
      </c>
      <c r="E22833">
        <v>70.510000000000005</v>
      </c>
    </row>
    <row r="22834" spans="1:5" x14ac:dyDescent="0.2">
      <c r="A22834">
        <v>45131</v>
      </c>
      <c r="B22834" t="s">
        <v>41</v>
      </c>
      <c r="C22834">
        <v>45131</v>
      </c>
      <c r="D22834" t="str">
        <f>"45131"</f>
        <v>45131</v>
      </c>
      <c r="E22834" t="s">
        <v>6</v>
      </c>
    </row>
    <row r="22835" spans="1:5" x14ac:dyDescent="0.2">
      <c r="A22835">
        <v>45132</v>
      </c>
      <c r="B22835" t="s">
        <v>41</v>
      </c>
      <c r="C22835">
        <v>45132</v>
      </c>
      <c r="D22835" t="str">
        <f>"45132"</f>
        <v>45132</v>
      </c>
      <c r="E22835" t="s">
        <v>6</v>
      </c>
    </row>
    <row r="22836" spans="1:5" x14ac:dyDescent="0.2">
      <c r="A22836">
        <v>45133</v>
      </c>
      <c r="B22836" t="s">
        <v>41</v>
      </c>
      <c r="C22836">
        <v>45133</v>
      </c>
      <c r="D22836" t="str">
        <f>"45133"</f>
        <v>45133</v>
      </c>
      <c r="E22836">
        <v>66.900000000000006</v>
      </c>
    </row>
    <row r="22837" spans="1:5" x14ac:dyDescent="0.2">
      <c r="A22837">
        <v>45135</v>
      </c>
      <c r="B22837" t="s">
        <v>41</v>
      </c>
      <c r="C22837">
        <v>45135</v>
      </c>
      <c r="D22837" t="str">
        <f>"45135"</f>
        <v>45135</v>
      </c>
      <c r="E22837">
        <v>72.25</v>
      </c>
    </row>
    <row r="22838" spans="1:5" x14ac:dyDescent="0.2">
      <c r="A22838">
        <v>45140</v>
      </c>
      <c r="B22838" t="s">
        <v>41</v>
      </c>
      <c r="C22838">
        <v>45140</v>
      </c>
      <c r="D22838" t="str">
        <f>"45140"</f>
        <v>45140</v>
      </c>
      <c r="E22838">
        <v>79.78</v>
      </c>
    </row>
    <row r="22839" spans="1:5" x14ac:dyDescent="0.2">
      <c r="A22839">
        <v>45142</v>
      </c>
      <c r="B22839" t="s">
        <v>41</v>
      </c>
      <c r="C22839">
        <v>45142</v>
      </c>
      <c r="D22839" t="str">
        <f>"45142"</f>
        <v>45142</v>
      </c>
      <c r="E22839">
        <v>72.06</v>
      </c>
    </row>
    <row r="22840" spans="1:5" x14ac:dyDescent="0.2">
      <c r="A22840">
        <v>45144</v>
      </c>
      <c r="B22840" t="s">
        <v>41</v>
      </c>
      <c r="C22840">
        <v>45144</v>
      </c>
      <c r="D22840" t="str">
        <f>"45144"</f>
        <v>45144</v>
      </c>
      <c r="E22840">
        <v>64.86</v>
      </c>
    </row>
    <row r="22841" spans="1:5" x14ac:dyDescent="0.2">
      <c r="A22841">
        <v>45146</v>
      </c>
      <c r="B22841" t="s">
        <v>41</v>
      </c>
      <c r="C22841">
        <v>45146</v>
      </c>
      <c r="D22841" t="str">
        <f>"45146"</f>
        <v>45146</v>
      </c>
      <c r="E22841">
        <v>70</v>
      </c>
    </row>
    <row r="22842" spans="1:5" x14ac:dyDescent="0.2">
      <c r="A22842">
        <v>45147</v>
      </c>
      <c r="B22842" t="s">
        <v>41</v>
      </c>
      <c r="C22842">
        <v>45147</v>
      </c>
      <c r="D22842" t="str">
        <f>"45147"</f>
        <v>45147</v>
      </c>
      <c r="E22842" t="s">
        <v>6</v>
      </c>
    </row>
    <row r="22843" spans="1:5" x14ac:dyDescent="0.2">
      <c r="A22843">
        <v>45148</v>
      </c>
      <c r="B22843" t="s">
        <v>41</v>
      </c>
      <c r="C22843">
        <v>45148</v>
      </c>
      <c r="D22843" t="str">
        <f>"45148"</f>
        <v>45148</v>
      </c>
      <c r="E22843">
        <v>72.97</v>
      </c>
    </row>
    <row r="22844" spans="1:5" x14ac:dyDescent="0.2">
      <c r="A22844">
        <v>45150</v>
      </c>
      <c r="B22844" t="s">
        <v>41</v>
      </c>
      <c r="C22844">
        <v>45150</v>
      </c>
      <c r="D22844" t="str">
        <f>"45150"</f>
        <v>45150</v>
      </c>
      <c r="E22844">
        <v>78.319999999999993</v>
      </c>
    </row>
    <row r="22845" spans="1:5" x14ac:dyDescent="0.2">
      <c r="A22845">
        <v>45152</v>
      </c>
      <c r="B22845" t="s">
        <v>41</v>
      </c>
      <c r="C22845">
        <v>45152</v>
      </c>
      <c r="D22845" t="str">
        <f>"45152"</f>
        <v>45152</v>
      </c>
      <c r="E22845">
        <v>80</v>
      </c>
    </row>
    <row r="22846" spans="1:5" x14ac:dyDescent="0.2">
      <c r="A22846">
        <v>45153</v>
      </c>
      <c r="B22846" t="s">
        <v>41</v>
      </c>
      <c r="C22846">
        <v>45153</v>
      </c>
      <c r="D22846" t="str">
        <f>"45153"</f>
        <v>45153</v>
      </c>
      <c r="E22846">
        <v>74.03</v>
      </c>
    </row>
    <row r="22847" spans="1:5" x14ac:dyDescent="0.2">
      <c r="A22847">
        <v>45154</v>
      </c>
      <c r="B22847" t="s">
        <v>41</v>
      </c>
      <c r="C22847">
        <v>45154</v>
      </c>
      <c r="D22847" t="str">
        <f>"45154"</f>
        <v>45154</v>
      </c>
      <c r="E22847">
        <v>71.12</v>
      </c>
    </row>
    <row r="22848" spans="1:5" x14ac:dyDescent="0.2">
      <c r="A22848">
        <v>45155</v>
      </c>
      <c r="B22848" t="s">
        <v>41</v>
      </c>
      <c r="C22848">
        <v>45155</v>
      </c>
      <c r="D22848" t="str">
        <f>"45155"</f>
        <v>45155</v>
      </c>
      <c r="E22848" t="s">
        <v>6</v>
      </c>
    </row>
    <row r="22849" spans="1:5" x14ac:dyDescent="0.2">
      <c r="A22849">
        <v>45156</v>
      </c>
      <c r="B22849" t="s">
        <v>41</v>
      </c>
      <c r="C22849">
        <v>45156</v>
      </c>
      <c r="D22849" t="str">
        <f>"45156"</f>
        <v>45156</v>
      </c>
      <c r="E22849" t="s">
        <v>6</v>
      </c>
    </row>
    <row r="22850" spans="1:5" x14ac:dyDescent="0.2">
      <c r="A22850">
        <v>45157</v>
      </c>
      <c r="B22850" t="s">
        <v>41</v>
      </c>
      <c r="C22850">
        <v>45157</v>
      </c>
      <c r="D22850" t="str">
        <f>"45157"</f>
        <v>45157</v>
      </c>
      <c r="E22850">
        <v>74.16</v>
      </c>
    </row>
    <row r="22851" spans="1:5" x14ac:dyDescent="0.2">
      <c r="A22851">
        <v>45158</v>
      </c>
      <c r="B22851" t="s">
        <v>41</v>
      </c>
      <c r="C22851">
        <v>45158</v>
      </c>
      <c r="D22851" t="str">
        <f>"45158"</f>
        <v>45158</v>
      </c>
      <c r="E22851" t="s">
        <v>6</v>
      </c>
    </row>
    <row r="22852" spans="1:5" x14ac:dyDescent="0.2">
      <c r="A22852">
        <v>45159</v>
      </c>
      <c r="B22852" t="s">
        <v>41</v>
      </c>
      <c r="C22852">
        <v>45159</v>
      </c>
      <c r="D22852" t="str">
        <f>"45159"</f>
        <v>45159</v>
      </c>
      <c r="E22852">
        <v>72.959999999999994</v>
      </c>
    </row>
    <row r="22853" spans="1:5" x14ac:dyDescent="0.2">
      <c r="A22853">
        <v>45160</v>
      </c>
      <c r="B22853" t="s">
        <v>41</v>
      </c>
      <c r="C22853">
        <v>45160</v>
      </c>
      <c r="D22853" t="str">
        <f>"45160"</f>
        <v>45160</v>
      </c>
      <c r="E22853">
        <v>66.67</v>
      </c>
    </row>
    <row r="22854" spans="1:5" x14ac:dyDescent="0.2">
      <c r="A22854">
        <v>45162</v>
      </c>
      <c r="B22854" t="s">
        <v>41</v>
      </c>
      <c r="C22854">
        <v>45162</v>
      </c>
      <c r="D22854" t="str">
        <f>"45162"</f>
        <v>45162</v>
      </c>
      <c r="E22854">
        <v>77.87</v>
      </c>
    </row>
    <row r="22855" spans="1:5" x14ac:dyDescent="0.2">
      <c r="A22855">
        <v>45164</v>
      </c>
      <c r="B22855" t="s">
        <v>41</v>
      </c>
      <c r="C22855">
        <v>45164</v>
      </c>
      <c r="D22855" t="str">
        <f>"45164"</f>
        <v>45164</v>
      </c>
      <c r="E22855" t="s">
        <v>6</v>
      </c>
    </row>
    <row r="22856" spans="1:5" x14ac:dyDescent="0.2">
      <c r="A22856">
        <v>45167</v>
      </c>
      <c r="B22856" t="s">
        <v>41</v>
      </c>
      <c r="C22856">
        <v>45167</v>
      </c>
      <c r="D22856" t="str">
        <f>"45167"</f>
        <v>45167</v>
      </c>
      <c r="E22856">
        <v>69.010000000000005</v>
      </c>
    </row>
    <row r="22857" spans="1:5" x14ac:dyDescent="0.2">
      <c r="A22857">
        <v>45168</v>
      </c>
      <c r="B22857" t="s">
        <v>41</v>
      </c>
      <c r="C22857">
        <v>45168</v>
      </c>
      <c r="D22857" t="str">
        <f>"45168"</f>
        <v>45168</v>
      </c>
      <c r="E22857">
        <v>71.209999999999994</v>
      </c>
    </row>
    <row r="22858" spans="1:5" x14ac:dyDescent="0.2">
      <c r="A22858">
        <v>45169</v>
      </c>
      <c r="B22858" t="s">
        <v>41</v>
      </c>
      <c r="C22858">
        <v>45169</v>
      </c>
      <c r="D22858" t="str">
        <f>"45169"</f>
        <v>45169</v>
      </c>
      <c r="E22858">
        <v>72.17</v>
      </c>
    </row>
    <row r="22859" spans="1:5" x14ac:dyDescent="0.2">
      <c r="A22859">
        <v>45171</v>
      </c>
      <c r="B22859" t="s">
        <v>41</v>
      </c>
      <c r="C22859">
        <v>45171</v>
      </c>
      <c r="D22859" t="str">
        <f>"45171"</f>
        <v>45171</v>
      </c>
      <c r="E22859">
        <v>72.22</v>
      </c>
    </row>
    <row r="22860" spans="1:5" x14ac:dyDescent="0.2">
      <c r="A22860">
        <v>45172</v>
      </c>
      <c r="B22860" t="s">
        <v>41</v>
      </c>
      <c r="C22860">
        <v>45172</v>
      </c>
      <c r="D22860" t="str">
        <f>"45172"</f>
        <v>45172</v>
      </c>
      <c r="E22860" t="s">
        <v>6</v>
      </c>
    </row>
    <row r="22861" spans="1:5" x14ac:dyDescent="0.2">
      <c r="A22861">
        <v>45174</v>
      </c>
      <c r="B22861" t="s">
        <v>41</v>
      </c>
      <c r="C22861">
        <v>45174</v>
      </c>
      <c r="D22861" t="str">
        <f>"45174"</f>
        <v>45174</v>
      </c>
      <c r="E22861">
        <v>81.819999999999993</v>
      </c>
    </row>
    <row r="22862" spans="1:5" x14ac:dyDescent="0.2">
      <c r="A22862">
        <v>45176</v>
      </c>
      <c r="B22862" t="s">
        <v>41</v>
      </c>
      <c r="C22862">
        <v>45176</v>
      </c>
      <c r="D22862" t="str">
        <f>"45176"</f>
        <v>45176</v>
      </c>
      <c r="E22862">
        <v>74.02</v>
      </c>
    </row>
    <row r="22863" spans="1:5" x14ac:dyDescent="0.2">
      <c r="A22863">
        <v>45177</v>
      </c>
      <c r="B22863" t="s">
        <v>41</v>
      </c>
      <c r="C22863">
        <v>45177</v>
      </c>
      <c r="D22863" t="str">
        <f>"45177"</f>
        <v>45177</v>
      </c>
      <c r="E22863">
        <v>72.22</v>
      </c>
    </row>
    <row r="22864" spans="1:5" x14ac:dyDescent="0.2">
      <c r="A22864">
        <v>45202</v>
      </c>
      <c r="B22864" t="s">
        <v>41</v>
      </c>
      <c r="C22864">
        <v>45202</v>
      </c>
      <c r="D22864" t="str">
        <f>"45202"</f>
        <v>45202</v>
      </c>
      <c r="E22864">
        <v>80.92</v>
      </c>
    </row>
    <row r="22865" spans="1:5" x14ac:dyDescent="0.2">
      <c r="A22865">
        <v>45203</v>
      </c>
      <c r="B22865" t="s">
        <v>41</v>
      </c>
      <c r="C22865">
        <v>45203</v>
      </c>
      <c r="D22865" t="str">
        <f>"45203"</f>
        <v>45203</v>
      </c>
      <c r="E22865">
        <v>56.12</v>
      </c>
    </row>
    <row r="22866" spans="1:5" x14ac:dyDescent="0.2">
      <c r="A22866">
        <v>45204</v>
      </c>
      <c r="B22866" t="s">
        <v>41</v>
      </c>
      <c r="C22866">
        <v>45204</v>
      </c>
      <c r="D22866" t="str">
        <f>"45204"</f>
        <v>45204</v>
      </c>
      <c r="E22866">
        <v>55.84</v>
      </c>
    </row>
    <row r="22867" spans="1:5" x14ac:dyDescent="0.2">
      <c r="A22867">
        <v>45205</v>
      </c>
      <c r="B22867" t="s">
        <v>41</v>
      </c>
      <c r="C22867">
        <v>45205</v>
      </c>
      <c r="D22867" t="str">
        <f>"45205"</f>
        <v>45205</v>
      </c>
      <c r="E22867">
        <v>49.86</v>
      </c>
    </row>
    <row r="22868" spans="1:5" x14ac:dyDescent="0.2">
      <c r="A22868">
        <v>45206</v>
      </c>
      <c r="B22868" t="s">
        <v>41</v>
      </c>
      <c r="C22868">
        <v>45206</v>
      </c>
      <c r="D22868" t="str">
        <f>"45206"</f>
        <v>45206</v>
      </c>
      <c r="E22868">
        <v>71.430000000000007</v>
      </c>
    </row>
    <row r="22869" spans="1:5" x14ac:dyDescent="0.2">
      <c r="A22869">
        <v>45207</v>
      </c>
      <c r="B22869" t="s">
        <v>41</v>
      </c>
      <c r="C22869">
        <v>45207</v>
      </c>
      <c r="D22869" t="str">
        <f>"45207"</f>
        <v>45207</v>
      </c>
      <c r="E22869">
        <v>54.44</v>
      </c>
    </row>
    <row r="22870" spans="1:5" x14ac:dyDescent="0.2">
      <c r="A22870">
        <v>45208</v>
      </c>
      <c r="B22870" t="s">
        <v>41</v>
      </c>
      <c r="C22870">
        <v>45208</v>
      </c>
      <c r="D22870" t="str">
        <f>"45208"</f>
        <v>45208</v>
      </c>
      <c r="E22870">
        <v>86.91</v>
      </c>
    </row>
    <row r="22871" spans="1:5" x14ac:dyDescent="0.2">
      <c r="A22871">
        <v>45209</v>
      </c>
      <c r="B22871" t="s">
        <v>41</v>
      </c>
      <c r="C22871">
        <v>45209</v>
      </c>
      <c r="D22871" t="str">
        <f>"45209"</f>
        <v>45209</v>
      </c>
      <c r="E22871">
        <v>87.72</v>
      </c>
    </row>
    <row r="22872" spans="1:5" x14ac:dyDescent="0.2">
      <c r="A22872">
        <v>45211</v>
      </c>
      <c r="B22872" t="s">
        <v>41</v>
      </c>
      <c r="C22872">
        <v>45211</v>
      </c>
      <c r="D22872" t="str">
        <f>"45211"</f>
        <v>45211</v>
      </c>
      <c r="E22872">
        <v>66.459999999999994</v>
      </c>
    </row>
    <row r="22873" spans="1:5" x14ac:dyDescent="0.2">
      <c r="A22873">
        <v>45212</v>
      </c>
      <c r="B22873" t="s">
        <v>41</v>
      </c>
      <c r="C22873">
        <v>45212</v>
      </c>
      <c r="D22873" t="str">
        <f>"45212"</f>
        <v>45212</v>
      </c>
      <c r="E22873">
        <v>73.06</v>
      </c>
    </row>
    <row r="22874" spans="1:5" x14ac:dyDescent="0.2">
      <c r="A22874">
        <v>45213</v>
      </c>
      <c r="B22874" t="s">
        <v>41</v>
      </c>
      <c r="C22874">
        <v>45213</v>
      </c>
      <c r="D22874" t="str">
        <f>"45213"</f>
        <v>45213</v>
      </c>
      <c r="E22874">
        <v>76.31</v>
      </c>
    </row>
    <row r="22875" spans="1:5" x14ac:dyDescent="0.2">
      <c r="A22875">
        <v>45214</v>
      </c>
      <c r="B22875" t="s">
        <v>41</v>
      </c>
      <c r="C22875">
        <v>45214</v>
      </c>
      <c r="D22875" t="str">
        <f>"45214"</f>
        <v>45214</v>
      </c>
      <c r="E22875">
        <v>45.08</v>
      </c>
    </row>
    <row r="22876" spans="1:5" x14ac:dyDescent="0.2">
      <c r="A22876">
        <v>45215</v>
      </c>
      <c r="B22876" t="s">
        <v>41</v>
      </c>
      <c r="C22876">
        <v>45215</v>
      </c>
      <c r="D22876" t="str">
        <f>"45215"</f>
        <v>45215</v>
      </c>
      <c r="E22876">
        <v>71.540000000000006</v>
      </c>
    </row>
    <row r="22877" spans="1:5" x14ac:dyDescent="0.2">
      <c r="A22877">
        <v>45216</v>
      </c>
      <c r="B22877" t="s">
        <v>41</v>
      </c>
      <c r="C22877">
        <v>45216</v>
      </c>
      <c r="D22877" t="str">
        <f>"45216"</f>
        <v>45216</v>
      </c>
      <c r="E22877">
        <v>61.8</v>
      </c>
    </row>
    <row r="22878" spans="1:5" x14ac:dyDescent="0.2">
      <c r="A22878">
        <v>45217</v>
      </c>
      <c r="B22878" t="s">
        <v>41</v>
      </c>
      <c r="C22878">
        <v>45217</v>
      </c>
      <c r="D22878" t="str">
        <f>"45217"</f>
        <v>45217</v>
      </c>
      <c r="E22878">
        <v>69.010000000000005</v>
      </c>
    </row>
    <row r="22879" spans="1:5" x14ac:dyDescent="0.2">
      <c r="A22879">
        <v>45218</v>
      </c>
      <c r="B22879" t="s">
        <v>41</v>
      </c>
      <c r="C22879">
        <v>45218</v>
      </c>
      <c r="D22879" t="str">
        <f>"45218"</f>
        <v>45218</v>
      </c>
      <c r="E22879">
        <v>75.959999999999994</v>
      </c>
    </row>
    <row r="22880" spans="1:5" x14ac:dyDescent="0.2">
      <c r="A22880">
        <v>45219</v>
      </c>
      <c r="B22880" t="s">
        <v>41</v>
      </c>
      <c r="C22880">
        <v>45219</v>
      </c>
      <c r="D22880" t="str">
        <f>"45219"</f>
        <v>45219</v>
      </c>
      <c r="E22880">
        <v>62.88</v>
      </c>
    </row>
    <row r="22881" spans="1:5" x14ac:dyDescent="0.2">
      <c r="A22881">
        <v>45220</v>
      </c>
      <c r="B22881" t="s">
        <v>41</v>
      </c>
      <c r="C22881">
        <v>45220</v>
      </c>
      <c r="D22881" t="str">
        <f>"45220"</f>
        <v>45220</v>
      </c>
      <c r="E22881">
        <v>74.09</v>
      </c>
    </row>
    <row r="22882" spans="1:5" x14ac:dyDescent="0.2">
      <c r="A22882">
        <v>45223</v>
      </c>
      <c r="B22882" t="s">
        <v>41</v>
      </c>
      <c r="C22882">
        <v>45223</v>
      </c>
      <c r="D22882" t="str">
        <f>"45223"</f>
        <v>45223</v>
      </c>
      <c r="E22882">
        <v>64.72</v>
      </c>
    </row>
    <row r="22883" spans="1:5" x14ac:dyDescent="0.2">
      <c r="A22883">
        <v>45224</v>
      </c>
      <c r="B22883" t="s">
        <v>41</v>
      </c>
      <c r="C22883">
        <v>45224</v>
      </c>
      <c r="D22883" t="str">
        <f>"45224"</f>
        <v>45224</v>
      </c>
      <c r="E22883">
        <v>70.06</v>
      </c>
    </row>
    <row r="22884" spans="1:5" x14ac:dyDescent="0.2">
      <c r="A22884">
        <v>45225</v>
      </c>
      <c r="B22884" t="s">
        <v>41</v>
      </c>
      <c r="C22884">
        <v>45225</v>
      </c>
      <c r="D22884" t="str">
        <f>"45225"</f>
        <v>45225</v>
      </c>
      <c r="E22884">
        <v>35.71</v>
      </c>
    </row>
    <row r="22885" spans="1:5" x14ac:dyDescent="0.2">
      <c r="A22885">
        <v>45226</v>
      </c>
      <c r="B22885" t="s">
        <v>41</v>
      </c>
      <c r="C22885">
        <v>45226</v>
      </c>
      <c r="D22885" t="str">
        <f>"45226"</f>
        <v>45226</v>
      </c>
      <c r="E22885">
        <v>85.23</v>
      </c>
    </row>
    <row r="22886" spans="1:5" x14ac:dyDescent="0.2">
      <c r="A22886">
        <v>45227</v>
      </c>
      <c r="B22886" t="s">
        <v>41</v>
      </c>
      <c r="C22886">
        <v>45227</v>
      </c>
      <c r="D22886" t="str">
        <f>"45227"</f>
        <v>45227</v>
      </c>
      <c r="E22886">
        <v>76.47</v>
      </c>
    </row>
    <row r="22887" spans="1:5" x14ac:dyDescent="0.2">
      <c r="A22887">
        <v>45229</v>
      </c>
      <c r="B22887" t="s">
        <v>41</v>
      </c>
      <c r="C22887">
        <v>45229</v>
      </c>
      <c r="D22887" t="str">
        <f>"45229"</f>
        <v>45229</v>
      </c>
      <c r="E22887">
        <v>56.06</v>
      </c>
    </row>
    <row r="22888" spans="1:5" x14ac:dyDescent="0.2">
      <c r="A22888">
        <v>45230</v>
      </c>
      <c r="B22888" t="s">
        <v>41</v>
      </c>
      <c r="C22888">
        <v>45230</v>
      </c>
      <c r="D22888" t="str">
        <f>"45230"</f>
        <v>45230</v>
      </c>
      <c r="E22888">
        <v>79.430000000000007</v>
      </c>
    </row>
    <row r="22889" spans="1:5" x14ac:dyDescent="0.2">
      <c r="A22889">
        <v>45231</v>
      </c>
      <c r="B22889" t="s">
        <v>41</v>
      </c>
      <c r="C22889">
        <v>45231</v>
      </c>
      <c r="D22889" t="str">
        <f>"45231"</f>
        <v>45231</v>
      </c>
      <c r="E22889">
        <v>69.55</v>
      </c>
    </row>
    <row r="22890" spans="1:5" x14ac:dyDescent="0.2">
      <c r="A22890">
        <v>45232</v>
      </c>
      <c r="B22890" t="s">
        <v>41</v>
      </c>
      <c r="C22890">
        <v>45232</v>
      </c>
      <c r="D22890" t="str">
        <f>"45232"</f>
        <v>45232</v>
      </c>
      <c r="E22890">
        <v>39.93</v>
      </c>
    </row>
    <row r="22891" spans="1:5" x14ac:dyDescent="0.2">
      <c r="A22891">
        <v>45233</v>
      </c>
      <c r="B22891" t="s">
        <v>41</v>
      </c>
      <c r="C22891">
        <v>45233</v>
      </c>
      <c r="D22891" t="str">
        <f>"45233"</f>
        <v>45233</v>
      </c>
      <c r="E22891">
        <v>79.819999999999993</v>
      </c>
    </row>
    <row r="22892" spans="1:5" x14ac:dyDescent="0.2">
      <c r="A22892">
        <v>45236</v>
      </c>
      <c r="B22892" t="s">
        <v>41</v>
      </c>
      <c r="C22892">
        <v>45236</v>
      </c>
      <c r="D22892" t="str">
        <f>"45236"</f>
        <v>45236</v>
      </c>
      <c r="E22892">
        <v>79.91</v>
      </c>
    </row>
    <row r="22893" spans="1:5" x14ac:dyDescent="0.2">
      <c r="A22893">
        <v>45237</v>
      </c>
      <c r="B22893" t="s">
        <v>41</v>
      </c>
      <c r="C22893">
        <v>45237</v>
      </c>
      <c r="D22893" t="str">
        <f>"45237"</f>
        <v>45237</v>
      </c>
      <c r="E22893">
        <v>63.68</v>
      </c>
    </row>
    <row r="22894" spans="1:5" x14ac:dyDescent="0.2">
      <c r="A22894">
        <v>45238</v>
      </c>
      <c r="B22894" t="s">
        <v>41</v>
      </c>
      <c r="C22894">
        <v>45238</v>
      </c>
      <c r="D22894" t="str">
        <f>"45238"</f>
        <v>45238</v>
      </c>
      <c r="E22894">
        <v>72.040000000000006</v>
      </c>
    </row>
    <row r="22895" spans="1:5" x14ac:dyDescent="0.2">
      <c r="A22895">
        <v>45239</v>
      </c>
      <c r="B22895" t="s">
        <v>41</v>
      </c>
      <c r="C22895">
        <v>45239</v>
      </c>
      <c r="D22895" t="str">
        <f>"45239"</f>
        <v>45239</v>
      </c>
      <c r="E22895">
        <v>68.72</v>
      </c>
    </row>
    <row r="22896" spans="1:5" x14ac:dyDescent="0.2">
      <c r="A22896">
        <v>45240</v>
      </c>
      <c r="B22896" t="s">
        <v>41</v>
      </c>
      <c r="C22896">
        <v>45240</v>
      </c>
      <c r="D22896" t="str">
        <f>"45240"</f>
        <v>45240</v>
      </c>
      <c r="E22896">
        <v>66.95</v>
      </c>
    </row>
    <row r="22897" spans="1:5" x14ac:dyDescent="0.2">
      <c r="A22897">
        <v>45241</v>
      </c>
      <c r="B22897" t="s">
        <v>41</v>
      </c>
      <c r="C22897">
        <v>45241</v>
      </c>
      <c r="D22897" t="str">
        <f>"45241"</f>
        <v>45241</v>
      </c>
      <c r="E22897">
        <v>79.16</v>
      </c>
    </row>
    <row r="22898" spans="1:5" x14ac:dyDescent="0.2">
      <c r="A22898">
        <v>45242</v>
      </c>
      <c r="B22898" t="s">
        <v>41</v>
      </c>
      <c r="C22898">
        <v>45242</v>
      </c>
      <c r="D22898" t="str">
        <f>"45242"</f>
        <v>45242</v>
      </c>
      <c r="E22898">
        <v>80.67</v>
      </c>
    </row>
    <row r="22899" spans="1:5" x14ac:dyDescent="0.2">
      <c r="A22899">
        <v>45243</v>
      </c>
      <c r="B22899" t="s">
        <v>41</v>
      </c>
      <c r="C22899">
        <v>45243</v>
      </c>
      <c r="D22899" t="str">
        <f>"45243"</f>
        <v>45243</v>
      </c>
      <c r="E22899">
        <v>82.28</v>
      </c>
    </row>
    <row r="22900" spans="1:5" x14ac:dyDescent="0.2">
      <c r="A22900">
        <v>45244</v>
      </c>
      <c r="B22900" t="s">
        <v>41</v>
      </c>
      <c r="C22900">
        <v>45244</v>
      </c>
      <c r="D22900" t="str">
        <f>"45244"</f>
        <v>45244</v>
      </c>
      <c r="E22900">
        <v>79.17</v>
      </c>
    </row>
    <row r="22901" spans="1:5" x14ac:dyDescent="0.2">
      <c r="A22901">
        <v>45245</v>
      </c>
      <c r="B22901" t="s">
        <v>41</v>
      </c>
      <c r="C22901">
        <v>45245</v>
      </c>
      <c r="D22901" t="str">
        <f>"45245"</f>
        <v>45245</v>
      </c>
      <c r="E22901">
        <v>79.760000000000005</v>
      </c>
    </row>
    <row r="22902" spans="1:5" x14ac:dyDescent="0.2">
      <c r="A22902">
        <v>45246</v>
      </c>
      <c r="B22902" t="s">
        <v>41</v>
      </c>
      <c r="C22902">
        <v>45246</v>
      </c>
      <c r="D22902" t="str">
        <f>"45246"</f>
        <v>45246</v>
      </c>
      <c r="E22902">
        <v>69.03</v>
      </c>
    </row>
    <row r="22903" spans="1:5" x14ac:dyDescent="0.2">
      <c r="A22903">
        <v>45247</v>
      </c>
      <c r="B22903" t="s">
        <v>41</v>
      </c>
      <c r="C22903">
        <v>45247</v>
      </c>
      <c r="D22903" t="str">
        <f>"45247"</f>
        <v>45247</v>
      </c>
      <c r="E22903">
        <v>81.42</v>
      </c>
    </row>
    <row r="22904" spans="1:5" x14ac:dyDescent="0.2">
      <c r="A22904">
        <v>45248</v>
      </c>
      <c r="B22904" t="s">
        <v>41</v>
      </c>
      <c r="C22904">
        <v>45248</v>
      </c>
      <c r="D22904" t="str">
        <f>"45248"</f>
        <v>45248</v>
      </c>
      <c r="E22904">
        <v>80.28</v>
      </c>
    </row>
    <row r="22905" spans="1:5" x14ac:dyDescent="0.2">
      <c r="A22905">
        <v>45249</v>
      </c>
      <c r="B22905" t="s">
        <v>41</v>
      </c>
      <c r="C22905">
        <v>45249</v>
      </c>
      <c r="D22905" t="str">
        <f>"45249"</f>
        <v>45249</v>
      </c>
      <c r="E22905">
        <v>79.010000000000005</v>
      </c>
    </row>
    <row r="22906" spans="1:5" x14ac:dyDescent="0.2">
      <c r="A22906">
        <v>45251</v>
      </c>
      <c r="B22906" t="s">
        <v>41</v>
      </c>
      <c r="C22906">
        <v>45251</v>
      </c>
      <c r="D22906" t="str">
        <f>"45251"</f>
        <v>45251</v>
      </c>
      <c r="E22906">
        <v>72.34</v>
      </c>
    </row>
    <row r="22907" spans="1:5" x14ac:dyDescent="0.2">
      <c r="A22907">
        <v>45252</v>
      </c>
      <c r="B22907" t="s">
        <v>41</v>
      </c>
      <c r="C22907">
        <v>45252</v>
      </c>
      <c r="D22907" t="str">
        <f>"45252"</f>
        <v>45252</v>
      </c>
      <c r="E22907">
        <v>81.92</v>
      </c>
    </row>
    <row r="22908" spans="1:5" x14ac:dyDescent="0.2">
      <c r="A22908">
        <v>45255</v>
      </c>
      <c r="B22908" t="s">
        <v>41</v>
      </c>
      <c r="C22908">
        <v>45255</v>
      </c>
      <c r="D22908" t="str">
        <f>"45255"</f>
        <v>45255</v>
      </c>
      <c r="E22908">
        <v>80.02</v>
      </c>
    </row>
    <row r="22909" spans="1:5" x14ac:dyDescent="0.2">
      <c r="A22909">
        <v>45301</v>
      </c>
      <c r="B22909" t="s">
        <v>41</v>
      </c>
      <c r="C22909">
        <v>45301</v>
      </c>
      <c r="D22909" t="str">
        <f>"45301"</f>
        <v>45301</v>
      </c>
      <c r="E22909" t="s">
        <v>6</v>
      </c>
    </row>
    <row r="22910" spans="1:5" x14ac:dyDescent="0.2">
      <c r="A22910">
        <v>45302</v>
      </c>
      <c r="B22910" t="s">
        <v>41</v>
      </c>
      <c r="C22910">
        <v>45302</v>
      </c>
      <c r="D22910" t="str">
        <f>"45302"</f>
        <v>45302</v>
      </c>
      <c r="E22910">
        <v>79.53</v>
      </c>
    </row>
    <row r="22911" spans="1:5" x14ac:dyDescent="0.2">
      <c r="A22911">
        <v>45303</v>
      </c>
      <c r="B22911" t="s">
        <v>41</v>
      </c>
      <c r="C22911">
        <v>45303</v>
      </c>
      <c r="D22911" t="str">
        <f>"45303"</f>
        <v>45303</v>
      </c>
      <c r="E22911">
        <v>68.930000000000007</v>
      </c>
    </row>
    <row r="22912" spans="1:5" x14ac:dyDescent="0.2">
      <c r="A22912">
        <v>45304</v>
      </c>
      <c r="B22912" t="s">
        <v>41</v>
      </c>
      <c r="C22912">
        <v>45304</v>
      </c>
      <c r="D22912" t="str">
        <f>"45304"</f>
        <v>45304</v>
      </c>
      <c r="E22912">
        <v>75.94</v>
      </c>
    </row>
    <row r="22913" spans="1:5" x14ac:dyDescent="0.2">
      <c r="A22913">
        <v>45305</v>
      </c>
      <c r="B22913" t="s">
        <v>41</v>
      </c>
      <c r="C22913">
        <v>45305</v>
      </c>
      <c r="D22913" t="str">
        <f>"45305"</f>
        <v>45305</v>
      </c>
      <c r="E22913">
        <v>79.680000000000007</v>
      </c>
    </row>
    <row r="22914" spans="1:5" x14ac:dyDescent="0.2">
      <c r="A22914">
        <v>45306</v>
      </c>
      <c r="B22914" t="s">
        <v>41</v>
      </c>
      <c r="C22914">
        <v>45306</v>
      </c>
      <c r="D22914" t="str">
        <f>"45306"</f>
        <v>45306</v>
      </c>
      <c r="E22914">
        <v>81.25</v>
      </c>
    </row>
    <row r="22915" spans="1:5" x14ac:dyDescent="0.2">
      <c r="A22915">
        <v>45308</v>
      </c>
      <c r="B22915" t="s">
        <v>41</v>
      </c>
      <c r="C22915">
        <v>45308</v>
      </c>
      <c r="D22915" t="str">
        <f>"45308"</f>
        <v>45308</v>
      </c>
      <c r="E22915">
        <v>73.52</v>
      </c>
    </row>
    <row r="22916" spans="1:5" x14ac:dyDescent="0.2">
      <c r="A22916">
        <v>45309</v>
      </c>
      <c r="B22916" t="s">
        <v>41</v>
      </c>
      <c r="C22916">
        <v>45309</v>
      </c>
      <c r="D22916" t="str">
        <f>"45309"</f>
        <v>45309</v>
      </c>
      <c r="E22916">
        <v>77.08</v>
      </c>
    </row>
    <row r="22917" spans="1:5" x14ac:dyDescent="0.2">
      <c r="A22917">
        <v>45310</v>
      </c>
      <c r="B22917" t="s">
        <v>41</v>
      </c>
      <c r="C22917">
        <v>45310</v>
      </c>
      <c r="D22917" t="str">
        <f>"45310"</f>
        <v>45310</v>
      </c>
      <c r="E22917" t="s">
        <v>6</v>
      </c>
    </row>
    <row r="22918" spans="1:5" x14ac:dyDescent="0.2">
      <c r="A22918">
        <v>45311</v>
      </c>
      <c r="B22918" t="s">
        <v>41</v>
      </c>
      <c r="C22918">
        <v>45311</v>
      </c>
      <c r="D22918" t="str">
        <f>"45311"</f>
        <v>45311</v>
      </c>
      <c r="E22918">
        <v>71.86</v>
      </c>
    </row>
    <row r="22919" spans="1:5" x14ac:dyDescent="0.2">
      <c r="A22919">
        <v>45312</v>
      </c>
      <c r="B22919" t="s">
        <v>41</v>
      </c>
      <c r="C22919">
        <v>45312</v>
      </c>
      <c r="D22919" t="str">
        <f>"45312"</f>
        <v>45312</v>
      </c>
      <c r="E22919">
        <v>79.489999999999995</v>
      </c>
    </row>
    <row r="22920" spans="1:5" x14ac:dyDescent="0.2">
      <c r="A22920">
        <v>45314</v>
      </c>
      <c r="B22920" t="s">
        <v>41</v>
      </c>
      <c r="C22920">
        <v>45314</v>
      </c>
      <c r="D22920" t="str">
        <f>"45314"</f>
        <v>45314</v>
      </c>
      <c r="E22920">
        <v>72.22</v>
      </c>
    </row>
    <row r="22921" spans="1:5" x14ac:dyDescent="0.2">
      <c r="A22921">
        <v>45315</v>
      </c>
      <c r="B22921" t="s">
        <v>41</v>
      </c>
      <c r="C22921">
        <v>45315</v>
      </c>
      <c r="D22921" t="str">
        <f>"45315"</f>
        <v>45315</v>
      </c>
      <c r="E22921">
        <v>78.19</v>
      </c>
    </row>
    <row r="22922" spans="1:5" x14ac:dyDescent="0.2">
      <c r="A22922">
        <v>45316</v>
      </c>
      <c r="B22922" t="s">
        <v>41</v>
      </c>
      <c r="C22922">
        <v>45316</v>
      </c>
      <c r="D22922" t="str">
        <f>"45316"</f>
        <v>45316</v>
      </c>
      <c r="E22922" t="s">
        <v>6</v>
      </c>
    </row>
    <row r="22923" spans="1:5" x14ac:dyDescent="0.2">
      <c r="A22923">
        <v>45317</v>
      </c>
      <c r="B22923" t="s">
        <v>41</v>
      </c>
      <c r="C22923">
        <v>45317</v>
      </c>
      <c r="D22923" t="str">
        <f>"45317"</f>
        <v>45317</v>
      </c>
      <c r="E22923">
        <v>73.47</v>
      </c>
    </row>
    <row r="22924" spans="1:5" x14ac:dyDescent="0.2">
      <c r="A22924">
        <v>45318</v>
      </c>
      <c r="B22924" t="s">
        <v>41</v>
      </c>
      <c r="C22924">
        <v>45318</v>
      </c>
      <c r="D22924" t="str">
        <f>"45318"</f>
        <v>45318</v>
      </c>
      <c r="E22924">
        <v>75.19</v>
      </c>
    </row>
    <row r="22925" spans="1:5" x14ac:dyDescent="0.2">
      <c r="A22925">
        <v>45319</v>
      </c>
      <c r="B22925" t="s">
        <v>41</v>
      </c>
      <c r="C22925">
        <v>45319</v>
      </c>
      <c r="D22925" t="str">
        <f>"45319"</f>
        <v>45319</v>
      </c>
      <c r="E22925" t="s">
        <v>6</v>
      </c>
    </row>
    <row r="22926" spans="1:5" x14ac:dyDescent="0.2">
      <c r="A22926">
        <v>45320</v>
      </c>
      <c r="B22926" t="s">
        <v>41</v>
      </c>
      <c r="C22926">
        <v>45320</v>
      </c>
      <c r="D22926" t="str">
        <f>"45320"</f>
        <v>45320</v>
      </c>
      <c r="E22926">
        <v>74.14</v>
      </c>
    </row>
    <row r="22927" spans="1:5" x14ac:dyDescent="0.2">
      <c r="A22927">
        <v>45321</v>
      </c>
      <c r="B22927" t="s">
        <v>41</v>
      </c>
      <c r="C22927">
        <v>45321</v>
      </c>
      <c r="D22927" t="str">
        <f>"45321"</f>
        <v>45321</v>
      </c>
      <c r="E22927">
        <v>75.61</v>
      </c>
    </row>
    <row r="22928" spans="1:5" x14ac:dyDescent="0.2">
      <c r="A22928">
        <v>45322</v>
      </c>
      <c r="B22928" t="s">
        <v>41</v>
      </c>
      <c r="C22928">
        <v>45322</v>
      </c>
      <c r="D22928" t="str">
        <f>"45322"</f>
        <v>45322</v>
      </c>
      <c r="E22928">
        <v>77.12</v>
      </c>
    </row>
    <row r="22929" spans="1:5" x14ac:dyDescent="0.2">
      <c r="A22929">
        <v>45323</v>
      </c>
      <c r="B22929" t="s">
        <v>41</v>
      </c>
      <c r="C22929">
        <v>45323</v>
      </c>
      <c r="D22929" t="str">
        <f>"45323"</f>
        <v>45323</v>
      </c>
      <c r="E22929">
        <v>78.75</v>
      </c>
    </row>
    <row r="22930" spans="1:5" x14ac:dyDescent="0.2">
      <c r="A22930">
        <v>45324</v>
      </c>
      <c r="B22930" t="s">
        <v>41</v>
      </c>
      <c r="C22930">
        <v>45324</v>
      </c>
      <c r="D22930" t="str">
        <f>"45324"</f>
        <v>45324</v>
      </c>
      <c r="E22930">
        <v>73.010000000000005</v>
      </c>
    </row>
    <row r="22931" spans="1:5" x14ac:dyDescent="0.2">
      <c r="A22931">
        <v>45325</v>
      </c>
      <c r="B22931" t="s">
        <v>41</v>
      </c>
      <c r="C22931">
        <v>45325</v>
      </c>
      <c r="D22931" t="str">
        <f>"45325"</f>
        <v>45325</v>
      </c>
      <c r="E22931">
        <v>76.23</v>
      </c>
    </row>
    <row r="22932" spans="1:5" x14ac:dyDescent="0.2">
      <c r="A22932">
        <v>45326</v>
      </c>
      <c r="B22932" t="s">
        <v>41</v>
      </c>
      <c r="C22932">
        <v>45326</v>
      </c>
      <c r="D22932" t="str">
        <f>"45326"</f>
        <v>45326</v>
      </c>
      <c r="E22932">
        <v>77.59</v>
      </c>
    </row>
    <row r="22933" spans="1:5" x14ac:dyDescent="0.2">
      <c r="A22933">
        <v>45327</v>
      </c>
      <c r="B22933" t="s">
        <v>41</v>
      </c>
      <c r="C22933">
        <v>45327</v>
      </c>
      <c r="D22933" t="str">
        <f>"45327"</f>
        <v>45327</v>
      </c>
      <c r="E22933">
        <v>76.819999999999993</v>
      </c>
    </row>
    <row r="22934" spans="1:5" x14ac:dyDescent="0.2">
      <c r="A22934">
        <v>45328</v>
      </c>
      <c r="B22934" t="s">
        <v>41</v>
      </c>
      <c r="C22934">
        <v>45328</v>
      </c>
      <c r="D22934" t="str">
        <f>"45328"</f>
        <v>45328</v>
      </c>
      <c r="E22934" t="s">
        <v>6</v>
      </c>
    </row>
    <row r="22935" spans="1:5" x14ac:dyDescent="0.2">
      <c r="A22935">
        <v>45330</v>
      </c>
      <c r="B22935" t="s">
        <v>41</v>
      </c>
      <c r="C22935">
        <v>45330</v>
      </c>
      <c r="D22935" t="str">
        <f>"45330"</f>
        <v>45330</v>
      </c>
      <c r="E22935" t="s">
        <v>6</v>
      </c>
    </row>
    <row r="22936" spans="1:5" x14ac:dyDescent="0.2">
      <c r="A22936">
        <v>45331</v>
      </c>
      <c r="B22936" t="s">
        <v>41</v>
      </c>
      <c r="C22936">
        <v>45331</v>
      </c>
      <c r="D22936" t="str">
        <f>"45331"</f>
        <v>45331</v>
      </c>
      <c r="E22936">
        <v>71.27</v>
      </c>
    </row>
    <row r="22937" spans="1:5" x14ac:dyDescent="0.2">
      <c r="A22937">
        <v>45332</v>
      </c>
      <c r="B22937" t="s">
        <v>41</v>
      </c>
      <c r="C22937">
        <v>45332</v>
      </c>
      <c r="D22937" t="str">
        <f>"45332"</f>
        <v>45332</v>
      </c>
      <c r="E22937">
        <v>70.37</v>
      </c>
    </row>
    <row r="22938" spans="1:5" x14ac:dyDescent="0.2">
      <c r="A22938">
        <v>45333</v>
      </c>
      <c r="B22938" t="s">
        <v>41</v>
      </c>
      <c r="C22938">
        <v>45333</v>
      </c>
      <c r="D22938" t="str">
        <f>"45333"</f>
        <v>45333</v>
      </c>
      <c r="E22938">
        <v>71.83</v>
      </c>
    </row>
    <row r="22939" spans="1:5" x14ac:dyDescent="0.2">
      <c r="A22939">
        <v>45334</v>
      </c>
      <c r="B22939" t="s">
        <v>41</v>
      </c>
      <c r="C22939">
        <v>45334</v>
      </c>
      <c r="D22939" t="str">
        <f>"45334"</f>
        <v>45334</v>
      </c>
      <c r="E22939">
        <v>78.790000000000006</v>
      </c>
    </row>
    <row r="22940" spans="1:5" x14ac:dyDescent="0.2">
      <c r="A22940">
        <v>45335</v>
      </c>
      <c r="B22940" t="s">
        <v>41</v>
      </c>
      <c r="C22940">
        <v>45335</v>
      </c>
      <c r="D22940" t="str">
        <f>"45335"</f>
        <v>45335</v>
      </c>
      <c r="E22940">
        <v>75.59</v>
      </c>
    </row>
    <row r="22941" spans="1:5" x14ac:dyDescent="0.2">
      <c r="A22941">
        <v>45336</v>
      </c>
      <c r="B22941" t="s">
        <v>41</v>
      </c>
      <c r="C22941">
        <v>45336</v>
      </c>
      <c r="D22941" t="str">
        <f>"45336"</f>
        <v>45336</v>
      </c>
      <c r="E22941" t="s">
        <v>6</v>
      </c>
    </row>
    <row r="22942" spans="1:5" x14ac:dyDescent="0.2">
      <c r="A22942">
        <v>45337</v>
      </c>
      <c r="B22942" t="s">
        <v>41</v>
      </c>
      <c r="C22942">
        <v>45337</v>
      </c>
      <c r="D22942" t="str">
        <f>"45337"</f>
        <v>45337</v>
      </c>
      <c r="E22942">
        <v>77.010000000000005</v>
      </c>
    </row>
    <row r="22943" spans="1:5" x14ac:dyDescent="0.2">
      <c r="A22943">
        <v>45338</v>
      </c>
      <c r="B22943" t="s">
        <v>41</v>
      </c>
      <c r="C22943">
        <v>45338</v>
      </c>
      <c r="D22943" t="str">
        <f>"45338"</f>
        <v>45338</v>
      </c>
      <c r="E22943">
        <v>75.2</v>
      </c>
    </row>
    <row r="22944" spans="1:5" x14ac:dyDescent="0.2">
      <c r="A22944">
        <v>45339</v>
      </c>
      <c r="B22944" t="s">
        <v>41</v>
      </c>
      <c r="C22944">
        <v>45339</v>
      </c>
      <c r="D22944" t="str">
        <f>"45339"</f>
        <v>45339</v>
      </c>
      <c r="E22944">
        <v>79.37</v>
      </c>
    </row>
    <row r="22945" spans="1:5" x14ac:dyDescent="0.2">
      <c r="A22945">
        <v>45340</v>
      </c>
      <c r="B22945" t="s">
        <v>41</v>
      </c>
      <c r="C22945">
        <v>45340</v>
      </c>
      <c r="D22945" t="str">
        <f>"45340"</f>
        <v>45340</v>
      </c>
      <c r="E22945">
        <v>78.05</v>
      </c>
    </row>
    <row r="22946" spans="1:5" x14ac:dyDescent="0.2">
      <c r="A22946">
        <v>45341</v>
      </c>
      <c r="B22946" t="s">
        <v>41</v>
      </c>
      <c r="C22946">
        <v>45341</v>
      </c>
      <c r="D22946" t="str">
        <f>"45341"</f>
        <v>45341</v>
      </c>
      <c r="E22946">
        <v>69.14</v>
      </c>
    </row>
    <row r="22947" spans="1:5" x14ac:dyDescent="0.2">
      <c r="A22947">
        <v>45342</v>
      </c>
      <c r="B22947" t="s">
        <v>41</v>
      </c>
      <c r="C22947">
        <v>45342</v>
      </c>
      <c r="D22947" t="str">
        <f>"45342"</f>
        <v>45342</v>
      </c>
      <c r="E22947">
        <v>76.27</v>
      </c>
    </row>
    <row r="22948" spans="1:5" x14ac:dyDescent="0.2">
      <c r="A22948">
        <v>45344</v>
      </c>
      <c r="B22948" t="s">
        <v>41</v>
      </c>
      <c r="C22948">
        <v>45344</v>
      </c>
      <c r="D22948" t="str">
        <f>"45344"</f>
        <v>45344</v>
      </c>
      <c r="E22948">
        <v>72.44</v>
      </c>
    </row>
    <row r="22949" spans="1:5" x14ac:dyDescent="0.2">
      <c r="A22949">
        <v>45345</v>
      </c>
      <c r="B22949" t="s">
        <v>41</v>
      </c>
      <c r="C22949">
        <v>45345</v>
      </c>
      <c r="D22949" t="str">
        <f>"45345"</f>
        <v>45345</v>
      </c>
      <c r="E22949">
        <v>72.89</v>
      </c>
    </row>
    <row r="22950" spans="1:5" x14ac:dyDescent="0.2">
      <c r="A22950">
        <v>45346</v>
      </c>
      <c r="B22950" t="s">
        <v>41</v>
      </c>
      <c r="C22950">
        <v>45346</v>
      </c>
      <c r="D22950" t="str">
        <f>"45346"</f>
        <v>45346</v>
      </c>
      <c r="E22950">
        <v>74.53</v>
      </c>
    </row>
    <row r="22951" spans="1:5" x14ac:dyDescent="0.2">
      <c r="A22951">
        <v>45347</v>
      </c>
      <c r="B22951" t="s">
        <v>41</v>
      </c>
      <c r="C22951">
        <v>45347</v>
      </c>
      <c r="D22951" t="str">
        <f>"45347"</f>
        <v>45347</v>
      </c>
      <c r="E22951">
        <v>72.25</v>
      </c>
    </row>
    <row r="22952" spans="1:5" x14ac:dyDescent="0.2">
      <c r="A22952">
        <v>45348</v>
      </c>
      <c r="B22952" t="s">
        <v>41</v>
      </c>
      <c r="C22952">
        <v>45348</v>
      </c>
      <c r="D22952" t="str">
        <f>"45348"</f>
        <v>45348</v>
      </c>
      <c r="E22952">
        <v>72.73</v>
      </c>
    </row>
    <row r="22953" spans="1:5" x14ac:dyDescent="0.2">
      <c r="A22953">
        <v>45349</v>
      </c>
      <c r="B22953" t="s">
        <v>41</v>
      </c>
      <c r="C22953">
        <v>45349</v>
      </c>
      <c r="D22953" t="str">
        <f>"45349"</f>
        <v>45349</v>
      </c>
      <c r="E22953" t="s">
        <v>6</v>
      </c>
    </row>
    <row r="22954" spans="1:5" x14ac:dyDescent="0.2">
      <c r="A22954">
        <v>45351</v>
      </c>
      <c r="B22954" t="s">
        <v>41</v>
      </c>
      <c r="C22954">
        <v>45351</v>
      </c>
      <c r="D22954" t="str">
        <f>"45351"</f>
        <v>45351</v>
      </c>
      <c r="E22954" t="s">
        <v>6</v>
      </c>
    </row>
    <row r="22955" spans="1:5" x14ac:dyDescent="0.2">
      <c r="A22955">
        <v>45352</v>
      </c>
      <c r="B22955" t="s">
        <v>41</v>
      </c>
      <c r="C22955">
        <v>45352</v>
      </c>
      <c r="D22955" t="str">
        <f>"45352"</f>
        <v>45352</v>
      </c>
      <c r="E22955" t="s">
        <v>6</v>
      </c>
    </row>
    <row r="22956" spans="1:5" x14ac:dyDescent="0.2">
      <c r="A22956">
        <v>45353</v>
      </c>
      <c r="B22956" t="s">
        <v>41</v>
      </c>
      <c r="C22956">
        <v>45353</v>
      </c>
      <c r="D22956" t="str">
        <f>"45353"</f>
        <v>45353</v>
      </c>
      <c r="E22956" t="s">
        <v>6</v>
      </c>
    </row>
    <row r="22957" spans="1:5" x14ac:dyDescent="0.2">
      <c r="A22957">
        <v>45354</v>
      </c>
      <c r="B22957" t="s">
        <v>41</v>
      </c>
      <c r="C22957">
        <v>45354</v>
      </c>
      <c r="D22957" t="str">
        <f>"45354"</f>
        <v>45354</v>
      </c>
      <c r="E22957" t="s">
        <v>6</v>
      </c>
    </row>
    <row r="22958" spans="1:5" x14ac:dyDescent="0.2">
      <c r="A22958">
        <v>45356</v>
      </c>
      <c r="B22958" t="s">
        <v>41</v>
      </c>
      <c r="C22958">
        <v>45356</v>
      </c>
      <c r="D22958" t="str">
        <f>"45356"</f>
        <v>45356</v>
      </c>
      <c r="E22958">
        <v>70.53</v>
      </c>
    </row>
    <row r="22959" spans="1:5" x14ac:dyDescent="0.2">
      <c r="A22959">
        <v>45358</v>
      </c>
      <c r="B22959" t="s">
        <v>41</v>
      </c>
      <c r="C22959">
        <v>45358</v>
      </c>
      <c r="D22959" t="str">
        <f>"45358"</f>
        <v>45358</v>
      </c>
      <c r="E22959" t="s">
        <v>6</v>
      </c>
    </row>
    <row r="22960" spans="1:5" x14ac:dyDescent="0.2">
      <c r="A22960">
        <v>45359</v>
      </c>
      <c r="B22960" t="s">
        <v>41</v>
      </c>
      <c r="C22960">
        <v>45359</v>
      </c>
      <c r="D22960" t="str">
        <f>"45359"</f>
        <v>45359</v>
      </c>
      <c r="E22960">
        <v>75.27</v>
      </c>
    </row>
    <row r="22961" spans="1:5" x14ac:dyDescent="0.2">
      <c r="A22961">
        <v>45360</v>
      </c>
      <c r="B22961" t="s">
        <v>41</v>
      </c>
      <c r="C22961">
        <v>45360</v>
      </c>
      <c r="D22961" t="str">
        <f>"45360"</f>
        <v>45360</v>
      </c>
      <c r="E22961" t="s">
        <v>6</v>
      </c>
    </row>
    <row r="22962" spans="1:5" x14ac:dyDescent="0.2">
      <c r="A22962">
        <v>45361</v>
      </c>
      <c r="B22962" t="s">
        <v>41</v>
      </c>
      <c r="C22962">
        <v>45361</v>
      </c>
      <c r="D22962" t="str">
        <f>"45361"</f>
        <v>45361</v>
      </c>
      <c r="E22962" t="s">
        <v>6</v>
      </c>
    </row>
    <row r="22963" spans="1:5" x14ac:dyDescent="0.2">
      <c r="A22963">
        <v>45362</v>
      </c>
      <c r="B22963" t="s">
        <v>41</v>
      </c>
      <c r="C22963">
        <v>45362</v>
      </c>
      <c r="D22963" t="str">
        <f>"45362"</f>
        <v>45362</v>
      </c>
      <c r="E22963">
        <v>80</v>
      </c>
    </row>
    <row r="22964" spans="1:5" x14ac:dyDescent="0.2">
      <c r="A22964">
        <v>45363</v>
      </c>
      <c r="B22964" t="s">
        <v>41</v>
      </c>
      <c r="C22964">
        <v>45363</v>
      </c>
      <c r="D22964" t="str">
        <f>"45363"</f>
        <v>45363</v>
      </c>
      <c r="E22964">
        <v>79.31</v>
      </c>
    </row>
    <row r="22965" spans="1:5" x14ac:dyDescent="0.2">
      <c r="A22965">
        <v>45365</v>
      </c>
      <c r="B22965" t="s">
        <v>41</v>
      </c>
      <c r="C22965">
        <v>45365</v>
      </c>
      <c r="D22965" t="str">
        <f>"45365"</f>
        <v>45365</v>
      </c>
      <c r="E22965">
        <v>72.61</v>
      </c>
    </row>
    <row r="22966" spans="1:5" x14ac:dyDescent="0.2">
      <c r="A22966">
        <v>45368</v>
      </c>
      <c r="B22966" t="s">
        <v>41</v>
      </c>
      <c r="C22966">
        <v>45368</v>
      </c>
      <c r="D22966" t="str">
        <f>"45368"</f>
        <v>45368</v>
      </c>
      <c r="E22966">
        <v>74.790000000000006</v>
      </c>
    </row>
    <row r="22967" spans="1:5" x14ac:dyDescent="0.2">
      <c r="A22967">
        <v>45369</v>
      </c>
      <c r="B22967" t="s">
        <v>41</v>
      </c>
      <c r="C22967">
        <v>45369</v>
      </c>
      <c r="D22967" t="str">
        <f>"45369"</f>
        <v>45369</v>
      </c>
      <c r="E22967">
        <v>77.09</v>
      </c>
    </row>
    <row r="22968" spans="1:5" x14ac:dyDescent="0.2">
      <c r="A22968">
        <v>45370</v>
      </c>
      <c r="B22968" t="s">
        <v>41</v>
      </c>
      <c r="C22968">
        <v>45370</v>
      </c>
      <c r="D22968" t="str">
        <f>"45370"</f>
        <v>45370</v>
      </c>
      <c r="E22968">
        <v>77.59</v>
      </c>
    </row>
    <row r="22969" spans="1:5" x14ac:dyDescent="0.2">
      <c r="A22969">
        <v>45371</v>
      </c>
      <c r="B22969" t="s">
        <v>41</v>
      </c>
      <c r="C22969">
        <v>45371</v>
      </c>
      <c r="D22969" t="str">
        <f>"45371"</f>
        <v>45371</v>
      </c>
      <c r="E22969">
        <v>78.53</v>
      </c>
    </row>
    <row r="22970" spans="1:5" x14ac:dyDescent="0.2">
      <c r="A22970">
        <v>45372</v>
      </c>
      <c r="B22970" t="s">
        <v>41</v>
      </c>
      <c r="C22970">
        <v>45372</v>
      </c>
      <c r="D22970" t="str">
        <f>"45372"</f>
        <v>45372</v>
      </c>
      <c r="E22970" t="s">
        <v>6</v>
      </c>
    </row>
    <row r="22971" spans="1:5" x14ac:dyDescent="0.2">
      <c r="A22971">
        <v>45373</v>
      </c>
      <c r="B22971" t="s">
        <v>41</v>
      </c>
      <c r="C22971">
        <v>45373</v>
      </c>
      <c r="D22971" t="str">
        <f>"45373"</f>
        <v>45373</v>
      </c>
      <c r="E22971">
        <v>76.650000000000006</v>
      </c>
    </row>
    <row r="22972" spans="1:5" x14ac:dyDescent="0.2">
      <c r="A22972">
        <v>45374</v>
      </c>
      <c r="B22972" t="s">
        <v>41</v>
      </c>
      <c r="C22972">
        <v>45374</v>
      </c>
      <c r="D22972" t="str">
        <f>"45374"</f>
        <v>45374</v>
      </c>
      <c r="E22972" t="s">
        <v>6</v>
      </c>
    </row>
    <row r="22973" spans="1:5" x14ac:dyDescent="0.2">
      <c r="A22973">
        <v>45377</v>
      </c>
      <c r="B22973" t="s">
        <v>41</v>
      </c>
      <c r="C22973">
        <v>45377</v>
      </c>
      <c r="D22973" t="str">
        <f>"45377"</f>
        <v>45377</v>
      </c>
      <c r="E22973">
        <v>77.72</v>
      </c>
    </row>
    <row r="22974" spans="1:5" x14ac:dyDescent="0.2">
      <c r="A22974">
        <v>45378</v>
      </c>
      <c r="B22974" t="s">
        <v>41</v>
      </c>
      <c r="C22974">
        <v>45378</v>
      </c>
      <c r="D22974" t="str">
        <f>"45378"</f>
        <v>45378</v>
      </c>
      <c r="E22974" t="s">
        <v>6</v>
      </c>
    </row>
    <row r="22975" spans="1:5" x14ac:dyDescent="0.2">
      <c r="A22975">
        <v>45380</v>
      </c>
      <c r="B22975" t="s">
        <v>41</v>
      </c>
      <c r="C22975">
        <v>45380</v>
      </c>
      <c r="D22975" t="str">
        <f>"45380"</f>
        <v>45380</v>
      </c>
      <c r="E22975">
        <v>77.069999999999993</v>
      </c>
    </row>
    <row r="22976" spans="1:5" x14ac:dyDescent="0.2">
      <c r="A22976">
        <v>45381</v>
      </c>
      <c r="B22976" t="s">
        <v>41</v>
      </c>
      <c r="C22976">
        <v>45381</v>
      </c>
      <c r="D22976" t="str">
        <f>"45381"</f>
        <v>45381</v>
      </c>
      <c r="E22976">
        <v>73.44</v>
      </c>
    </row>
    <row r="22977" spans="1:5" x14ac:dyDescent="0.2">
      <c r="A22977">
        <v>45382</v>
      </c>
      <c r="B22977" t="s">
        <v>41</v>
      </c>
      <c r="C22977">
        <v>45382</v>
      </c>
      <c r="D22977" t="str">
        <f>"45382"</f>
        <v>45382</v>
      </c>
      <c r="E22977">
        <v>70.59</v>
      </c>
    </row>
    <row r="22978" spans="1:5" x14ac:dyDescent="0.2">
      <c r="A22978">
        <v>45383</v>
      </c>
      <c r="B22978" t="s">
        <v>41</v>
      </c>
      <c r="C22978">
        <v>45383</v>
      </c>
      <c r="D22978" t="str">
        <f>"45383"</f>
        <v>45383</v>
      </c>
      <c r="E22978">
        <v>74.02</v>
      </c>
    </row>
    <row r="22979" spans="1:5" x14ac:dyDescent="0.2">
      <c r="A22979">
        <v>45384</v>
      </c>
      <c r="B22979" t="s">
        <v>41</v>
      </c>
      <c r="C22979">
        <v>45384</v>
      </c>
      <c r="D22979" t="str">
        <f>"45384"</f>
        <v>45384</v>
      </c>
      <c r="E22979" t="s">
        <v>6</v>
      </c>
    </row>
    <row r="22980" spans="1:5" x14ac:dyDescent="0.2">
      <c r="A22980">
        <v>45385</v>
      </c>
      <c r="B22980" t="s">
        <v>41</v>
      </c>
      <c r="C22980">
        <v>45385</v>
      </c>
      <c r="D22980" t="str">
        <f>"45385"</f>
        <v>45385</v>
      </c>
      <c r="E22980">
        <v>73.34</v>
      </c>
    </row>
    <row r="22981" spans="1:5" x14ac:dyDescent="0.2">
      <c r="A22981">
        <v>45387</v>
      </c>
      <c r="B22981" t="s">
        <v>41</v>
      </c>
      <c r="C22981">
        <v>45387</v>
      </c>
      <c r="D22981" t="str">
        <f>"45387"</f>
        <v>45387</v>
      </c>
      <c r="E22981">
        <v>77.739999999999995</v>
      </c>
    </row>
    <row r="22982" spans="1:5" x14ac:dyDescent="0.2">
      <c r="A22982">
        <v>45388</v>
      </c>
      <c r="B22982" t="s">
        <v>41</v>
      </c>
      <c r="C22982">
        <v>45388</v>
      </c>
      <c r="D22982" t="str">
        <f>"45388"</f>
        <v>45388</v>
      </c>
      <c r="E22982">
        <v>74.290000000000006</v>
      </c>
    </row>
    <row r="22983" spans="1:5" x14ac:dyDescent="0.2">
      <c r="A22983">
        <v>45389</v>
      </c>
      <c r="B22983" t="s">
        <v>41</v>
      </c>
      <c r="C22983">
        <v>45389</v>
      </c>
      <c r="D22983" t="str">
        <f>"45389"</f>
        <v>45389</v>
      </c>
      <c r="E22983" t="s">
        <v>6</v>
      </c>
    </row>
    <row r="22984" spans="1:5" x14ac:dyDescent="0.2">
      <c r="A22984">
        <v>45390</v>
      </c>
      <c r="B22984" t="s">
        <v>41</v>
      </c>
      <c r="C22984">
        <v>45390</v>
      </c>
      <c r="D22984" t="str">
        <f>"45390"</f>
        <v>45390</v>
      </c>
      <c r="E22984">
        <v>65.94</v>
      </c>
    </row>
    <row r="22985" spans="1:5" x14ac:dyDescent="0.2">
      <c r="A22985">
        <v>45402</v>
      </c>
      <c r="B22985" t="s">
        <v>41</v>
      </c>
      <c r="C22985">
        <v>45402</v>
      </c>
      <c r="D22985" t="str">
        <f>"45402"</f>
        <v>45402</v>
      </c>
      <c r="E22985">
        <v>60.86</v>
      </c>
    </row>
    <row r="22986" spans="1:5" x14ac:dyDescent="0.2">
      <c r="A22986">
        <v>45403</v>
      </c>
      <c r="B22986" t="s">
        <v>41</v>
      </c>
      <c r="C22986">
        <v>45403</v>
      </c>
      <c r="D22986" t="str">
        <f>"45403"</f>
        <v>45403</v>
      </c>
      <c r="E22986">
        <v>55.88</v>
      </c>
    </row>
    <row r="22987" spans="1:5" x14ac:dyDescent="0.2">
      <c r="A22987">
        <v>45404</v>
      </c>
      <c r="B22987" t="s">
        <v>41</v>
      </c>
      <c r="C22987">
        <v>45404</v>
      </c>
      <c r="D22987" t="str">
        <f>"45404"</f>
        <v>45404</v>
      </c>
      <c r="E22987">
        <v>54.63</v>
      </c>
    </row>
    <row r="22988" spans="1:5" x14ac:dyDescent="0.2">
      <c r="A22988">
        <v>45405</v>
      </c>
      <c r="B22988" t="s">
        <v>41</v>
      </c>
      <c r="C22988">
        <v>45405</v>
      </c>
      <c r="D22988" t="str">
        <f>"45405"</f>
        <v>45405</v>
      </c>
      <c r="E22988">
        <v>57.95</v>
      </c>
    </row>
    <row r="22989" spans="1:5" x14ac:dyDescent="0.2">
      <c r="A22989">
        <v>45406</v>
      </c>
      <c r="B22989" t="s">
        <v>41</v>
      </c>
      <c r="C22989">
        <v>45406</v>
      </c>
      <c r="D22989" t="str">
        <f>"45406"</f>
        <v>45406</v>
      </c>
      <c r="E22989">
        <v>55.81</v>
      </c>
    </row>
    <row r="22990" spans="1:5" x14ac:dyDescent="0.2">
      <c r="A22990">
        <v>45409</v>
      </c>
      <c r="B22990" t="s">
        <v>41</v>
      </c>
      <c r="C22990">
        <v>45409</v>
      </c>
      <c r="D22990" t="str">
        <f>"45409"</f>
        <v>45409</v>
      </c>
      <c r="E22990">
        <v>78.209999999999994</v>
      </c>
    </row>
    <row r="22991" spans="1:5" x14ac:dyDescent="0.2">
      <c r="A22991">
        <v>45410</v>
      </c>
      <c r="B22991" t="s">
        <v>41</v>
      </c>
      <c r="C22991">
        <v>45410</v>
      </c>
      <c r="D22991" t="str">
        <f>"45410"</f>
        <v>45410</v>
      </c>
      <c r="E22991">
        <v>63</v>
      </c>
    </row>
    <row r="22992" spans="1:5" x14ac:dyDescent="0.2">
      <c r="A22992">
        <v>45414</v>
      </c>
      <c r="B22992" t="s">
        <v>41</v>
      </c>
      <c r="C22992">
        <v>45414</v>
      </c>
      <c r="D22992" t="str">
        <f>"45414"</f>
        <v>45414</v>
      </c>
      <c r="E22992">
        <v>69.290000000000006</v>
      </c>
    </row>
    <row r="22993" spans="1:5" x14ac:dyDescent="0.2">
      <c r="A22993">
        <v>45415</v>
      </c>
      <c r="B22993" t="s">
        <v>41</v>
      </c>
      <c r="C22993">
        <v>45415</v>
      </c>
      <c r="D22993" t="str">
        <f>"45415"</f>
        <v>45415</v>
      </c>
      <c r="E22993">
        <v>73.599999999999994</v>
      </c>
    </row>
    <row r="22994" spans="1:5" x14ac:dyDescent="0.2">
      <c r="A22994">
        <v>45416</v>
      </c>
      <c r="B22994" t="s">
        <v>41</v>
      </c>
      <c r="C22994">
        <v>45416</v>
      </c>
      <c r="D22994" t="str">
        <f>"45416"</f>
        <v>45416</v>
      </c>
      <c r="E22994">
        <v>57.2</v>
      </c>
    </row>
    <row r="22995" spans="1:5" x14ac:dyDescent="0.2">
      <c r="A22995">
        <v>45417</v>
      </c>
      <c r="B22995" t="s">
        <v>41</v>
      </c>
      <c r="C22995">
        <v>45417</v>
      </c>
      <c r="D22995" t="str">
        <f>"45417"</f>
        <v>45417</v>
      </c>
      <c r="E22995">
        <v>51.35</v>
      </c>
    </row>
    <row r="22996" spans="1:5" x14ac:dyDescent="0.2">
      <c r="A22996">
        <v>45419</v>
      </c>
      <c r="B22996" t="s">
        <v>41</v>
      </c>
      <c r="C22996">
        <v>45419</v>
      </c>
      <c r="D22996" t="str">
        <f>"45419"</f>
        <v>45419</v>
      </c>
      <c r="E22996">
        <v>78.91</v>
      </c>
    </row>
    <row r="22997" spans="1:5" x14ac:dyDescent="0.2">
      <c r="A22997">
        <v>45420</v>
      </c>
      <c r="B22997" t="s">
        <v>41</v>
      </c>
      <c r="C22997">
        <v>45420</v>
      </c>
      <c r="D22997" t="str">
        <f>"45420"</f>
        <v>45420</v>
      </c>
      <c r="E22997">
        <v>73.66</v>
      </c>
    </row>
    <row r="22998" spans="1:5" x14ac:dyDescent="0.2">
      <c r="A22998">
        <v>45423</v>
      </c>
      <c r="B22998" t="s">
        <v>41</v>
      </c>
      <c r="C22998">
        <v>45423</v>
      </c>
      <c r="D22998" t="str">
        <f>"45423"</f>
        <v>45423</v>
      </c>
      <c r="E22998" t="s">
        <v>6</v>
      </c>
    </row>
    <row r="22999" spans="1:5" x14ac:dyDescent="0.2">
      <c r="A22999">
        <v>45424</v>
      </c>
      <c r="B22999" t="s">
        <v>41</v>
      </c>
      <c r="C22999">
        <v>45424</v>
      </c>
      <c r="D22999" t="str">
        <f>"45424"</f>
        <v>45424</v>
      </c>
      <c r="E22999">
        <v>74.209999999999994</v>
      </c>
    </row>
    <row r="23000" spans="1:5" x14ac:dyDescent="0.2">
      <c r="A23000">
        <v>45426</v>
      </c>
      <c r="B23000" t="s">
        <v>41</v>
      </c>
      <c r="C23000">
        <v>45426</v>
      </c>
      <c r="D23000" t="str">
        <f>"45426"</f>
        <v>45426</v>
      </c>
      <c r="E23000">
        <v>63.08</v>
      </c>
    </row>
    <row r="23001" spans="1:5" x14ac:dyDescent="0.2">
      <c r="A23001">
        <v>45429</v>
      </c>
      <c r="B23001" t="s">
        <v>41</v>
      </c>
      <c r="C23001">
        <v>45429</v>
      </c>
      <c r="D23001" t="str">
        <f>"45429"</f>
        <v>45429</v>
      </c>
      <c r="E23001">
        <v>78.760000000000005</v>
      </c>
    </row>
    <row r="23002" spans="1:5" x14ac:dyDescent="0.2">
      <c r="A23002">
        <v>45430</v>
      </c>
      <c r="B23002" t="s">
        <v>41</v>
      </c>
      <c r="C23002">
        <v>45430</v>
      </c>
      <c r="D23002" t="str">
        <f>"45430"</f>
        <v>45430</v>
      </c>
      <c r="E23002">
        <v>83.55</v>
      </c>
    </row>
    <row r="23003" spans="1:5" x14ac:dyDescent="0.2">
      <c r="A23003">
        <v>45431</v>
      </c>
      <c r="B23003" t="s">
        <v>41</v>
      </c>
      <c r="C23003">
        <v>45431</v>
      </c>
      <c r="D23003" t="str">
        <f>"45431"</f>
        <v>45431</v>
      </c>
      <c r="E23003">
        <v>76.180000000000007</v>
      </c>
    </row>
    <row r="23004" spans="1:5" x14ac:dyDescent="0.2">
      <c r="A23004">
        <v>45432</v>
      </c>
      <c r="B23004" t="s">
        <v>41</v>
      </c>
      <c r="C23004">
        <v>45432</v>
      </c>
      <c r="D23004" t="str">
        <f>"45432"</f>
        <v>45432</v>
      </c>
      <c r="E23004">
        <v>77.31</v>
      </c>
    </row>
    <row r="23005" spans="1:5" x14ac:dyDescent="0.2">
      <c r="A23005">
        <v>45433</v>
      </c>
      <c r="B23005" t="s">
        <v>41</v>
      </c>
      <c r="C23005">
        <v>45433</v>
      </c>
      <c r="D23005" t="str">
        <f>"45433"</f>
        <v>45433</v>
      </c>
      <c r="E23005">
        <v>80</v>
      </c>
    </row>
    <row r="23006" spans="1:5" x14ac:dyDescent="0.2">
      <c r="A23006">
        <v>45434</v>
      </c>
      <c r="B23006" t="s">
        <v>41</v>
      </c>
      <c r="C23006">
        <v>45434</v>
      </c>
      <c r="D23006" t="str">
        <f>"45434"</f>
        <v>45434</v>
      </c>
      <c r="E23006">
        <v>82.75</v>
      </c>
    </row>
    <row r="23007" spans="1:5" x14ac:dyDescent="0.2">
      <c r="A23007">
        <v>45439</v>
      </c>
      <c r="B23007" t="s">
        <v>41</v>
      </c>
      <c r="C23007">
        <v>45439</v>
      </c>
      <c r="D23007" t="str">
        <f>"45439"</f>
        <v>45439</v>
      </c>
      <c r="E23007">
        <v>68.67</v>
      </c>
    </row>
    <row r="23008" spans="1:5" x14ac:dyDescent="0.2">
      <c r="A23008">
        <v>45440</v>
      </c>
      <c r="B23008" t="s">
        <v>41</v>
      </c>
      <c r="C23008">
        <v>45440</v>
      </c>
      <c r="D23008" t="str">
        <f>"45440"</f>
        <v>45440</v>
      </c>
      <c r="E23008">
        <v>79.67</v>
      </c>
    </row>
    <row r="23009" spans="1:5" x14ac:dyDescent="0.2">
      <c r="A23009">
        <v>45449</v>
      </c>
      <c r="B23009" t="s">
        <v>41</v>
      </c>
      <c r="C23009">
        <v>45449</v>
      </c>
      <c r="D23009" t="str">
        <f>"45449"</f>
        <v>45449</v>
      </c>
      <c r="E23009">
        <v>72.62</v>
      </c>
    </row>
    <row r="23010" spans="1:5" x14ac:dyDescent="0.2">
      <c r="A23010">
        <v>45458</v>
      </c>
      <c r="B23010" t="s">
        <v>41</v>
      </c>
      <c r="C23010">
        <v>45458</v>
      </c>
      <c r="D23010" t="str">
        <f>"45458"</f>
        <v>45458</v>
      </c>
      <c r="E23010">
        <v>80.97</v>
      </c>
    </row>
    <row r="23011" spans="1:5" x14ac:dyDescent="0.2">
      <c r="A23011">
        <v>45459</v>
      </c>
      <c r="B23011" t="s">
        <v>41</v>
      </c>
      <c r="C23011">
        <v>45459</v>
      </c>
      <c r="D23011" t="str">
        <f>"45459"</f>
        <v>45459</v>
      </c>
      <c r="E23011">
        <v>80.75</v>
      </c>
    </row>
    <row r="23012" spans="1:5" x14ac:dyDescent="0.2">
      <c r="A23012">
        <v>45502</v>
      </c>
      <c r="B23012" t="s">
        <v>41</v>
      </c>
      <c r="C23012">
        <v>45502</v>
      </c>
      <c r="D23012" t="str">
        <f>"45502"</f>
        <v>45502</v>
      </c>
      <c r="E23012">
        <v>78.45</v>
      </c>
    </row>
    <row r="23013" spans="1:5" x14ac:dyDescent="0.2">
      <c r="A23013">
        <v>45503</v>
      </c>
      <c r="B23013" t="s">
        <v>41</v>
      </c>
      <c r="C23013">
        <v>45503</v>
      </c>
      <c r="D23013" t="str">
        <f>"45503"</f>
        <v>45503</v>
      </c>
      <c r="E23013">
        <v>71.48</v>
      </c>
    </row>
    <row r="23014" spans="1:5" x14ac:dyDescent="0.2">
      <c r="A23014">
        <v>45504</v>
      </c>
      <c r="B23014" t="s">
        <v>41</v>
      </c>
      <c r="C23014">
        <v>45504</v>
      </c>
      <c r="D23014" t="str">
        <f>"45504"</f>
        <v>45504</v>
      </c>
      <c r="E23014">
        <v>73.010000000000005</v>
      </c>
    </row>
    <row r="23015" spans="1:5" x14ac:dyDescent="0.2">
      <c r="A23015">
        <v>45505</v>
      </c>
      <c r="B23015" t="s">
        <v>41</v>
      </c>
      <c r="C23015">
        <v>45505</v>
      </c>
      <c r="D23015" t="str">
        <f>"45505"</f>
        <v>45505</v>
      </c>
      <c r="E23015">
        <v>59.68</v>
      </c>
    </row>
    <row r="23016" spans="1:5" x14ac:dyDescent="0.2">
      <c r="A23016">
        <v>45506</v>
      </c>
      <c r="B23016" t="s">
        <v>41</v>
      </c>
      <c r="C23016">
        <v>45506</v>
      </c>
      <c r="D23016" t="str">
        <f>"45506"</f>
        <v>45506</v>
      </c>
      <c r="E23016">
        <v>59.28</v>
      </c>
    </row>
    <row r="23017" spans="1:5" x14ac:dyDescent="0.2">
      <c r="A23017">
        <v>45601</v>
      </c>
      <c r="B23017" t="s">
        <v>41</v>
      </c>
      <c r="C23017">
        <v>45601</v>
      </c>
      <c r="D23017" t="str">
        <f>"45601"</f>
        <v>45601</v>
      </c>
      <c r="E23017">
        <v>71.599999999999994</v>
      </c>
    </row>
    <row r="23018" spans="1:5" x14ac:dyDescent="0.2">
      <c r="A23018">
        <v>45612</v>
      </c>
      <c r="B23018" t="s">
        <v>41</v>
      </c>
      <c r="C23018">
        <v>45612</v>
      </c>
      <c r="D23018" t="str">
        <f>"45612"</f>
        <v>45612</v>
      </c>
      <c r="E23018">
        <v>63.45</v>
      </c>
    </row>
    <row r="23019" spans="1:5" x14ac:dyDescent="0.2">
      <c r="A23019">
        <v>45613</v>
      </c>
      <c r="B23019" t="s">
        <v>41</v>
      </c>
      <c r="C23019">
        <v>45613</v>
      </c>
      <c r="D23019" t="str">
        <f>"45613"</f>
        <v>45613</v>
      </c>
      <c r="E23019">
        <v>64.34</v>
      </c>
    </row>
    <row r="23020" spans="1:5" x14ac:dyDescent="0.2">
      <c r="A23020">
        <v>45614</v>
      </c>
      <c r="B23020" t="s">
        <v>41</v>
      </c>
      <c r="C23020">
        <v>45614</v>
      </c>
      <c r="D23020" t="str">
        <f>"45614"</f>
        <v>45614</v>
      </c>
      <c r="E23020">
        <v>67.959999999999994</v>
      </c>
    </row>
    <row r="23021" spans="1:5" x14ac:dyDescent="0.2">
      <c r="A23021">
        <v>45616</v>
      </c>
      <c r="B23021" t="s">
        <v>41</v>
      </c>
      <c r="C23021">
        <v>45616</v>
      </c>
      <c r="D23021" t="str">
        <f>"45616"</f>
        <v>45616</v>
      </c>
      <c r="E23021">
        <v>62.5</v>
      </c>
    </row>
    <row r="23022" spans="1:5" x14ac:dyDescent="0.2">
      <c r="A23022">
        <v>45619</v>
      </c>
      <c r="B23022" t="s">
        <v>41</v>
      </c>
      <c r="C23022">
        <v>45619</v>
      </c>
      <c r="D23022" t="str">
        <f>"45619"</f>
        <v>45619</v>
      </c>
      <c r="E23022">
        <v>71.040000000000006</v>
      </c>
    </row>
    <row r="23023" spans="1:5" x14ac:dyDescent="0.2">
      <c r="A23023">
        <v>45620</v>
      </c>
      <c r="B23023" t="s">
        <v>41</v>
      </c>
      <c r="C23023">
        <v>45620</v>
      </c>
      <c r="D23023" t="str">
        <f>"45620"</f>
        <v>45620</v>
      </c>
      <c r="E23023">
        <v>73.680000000000007</v>
      </c>
    </row>
    <row r="23024" spans="1:5" x14ac:dyDescent="0.2">
      <c r="A23024">
        <v>45621</v>
      </c>
      <c r="B23024" t="s">
        <v>41</v>
      </c>
      <c r="C23024">
        <v>45621</v>
      </c>
      <c r="D23024" t="str">
        <f>"45621"</f>
        <v>45621</v>
      </c>
      <c r="E23024" t="s">
        <v>6</v>
      </c>
    </row>
    <row r="23025" spans="1:5" x14ac:dyDescent="0.2">
      <c r="A23025">
        <v>45622</v>
      </c>
      <c r="B23025" t="s">
        <v>41</v>
      </c>
      <c r="C23025">
        <v>45622</v>
      </c>
      <c r="D23025" t="str">
        <f>"45622"</f>
        <v>45622</v>
      </c>
      <c r="E23025">
        <v>63.16</v>
      </c>
    </row>
    <row r="23026" spans="1:5" x14ac:dyDescent="0.2">
      <c r="A23026">
        <v>45623</v>
      </c>
      <c r="B23026" t="s">
        <v>41</v>
      </c>
      <c r="C23026">
        <v>45623</v>
      </c>
      <c r="D23026" t="str">
        <f>"45623"</f>
        <v>45623</v>
      </c>
      <c r="E23026">
        <v>68.75</v>
      </c>
    </row>
    <row r="23027" spans="1:5" x14ac:dyDescent="0.2">
      <c r="A23027">
        <v>45624</v>
      </c>
      <c r="B23027" t="s">
        <v>41</v>
      </c>
      <c r="C23027">
        <v>45624</v>
      </c>
      <c r="D23027" t="str">
        <f>"45624"</f>
        <v>45624</v>
      </c>
      <c r="E23027" t="s">
        <v>6</v>
      </c>
    </row>
    <row r="23028" spans="1:5" x14ac:dyDescent="0.2">
      <c r="A23028">
        <v>45628</v>
      </c>
      <c r="B23028" t="s">
        <v>41</v>
      </c>
      <c r="C23028">
        <v>45628</v>
      </c>
      <c r="D23028" t="str">
        <f>"45628"</f>
        <v>45628</v>
      </c>
      <c r="E23028">
        <v>74.260000000000005</v>
      </c>
    </row>
    <row r="23029" spans="1:5" x14ac:dyDescent="0.2">
      <c r="A23029">
        <v>45629</v>
      </c>
      <c r="B23029" t="s">
        <v>41</v>
      </c>
      <c r="C23029">
        <v>45629</v>
      </c>
      <c r="D23029" t="str">
        <f>"45629"</f>
        <v>45629</v>
      </c>
      <c r="E23029">
        <v>70.83</v>
      </c>
    </row>
    <row r="23030" spans="1:5" x14ac:dyDescent="0.2">
      <c r="A23030">
        <v>45630</v>
      </c>
      <c r="B23030" t="s">
        <v>41</v>
      </c>
      <c r="C23030">
        <v>45630</v>
      </c>
      <c r="D23030" t="str">
        <f>"45630"</f>
        <v>45630</v>
      </c>
      <c r="E23030" t="s">
        <v>6</v>
      </c>
    </row>
    <row r="23031" spans="1:5" x14ac:dyDescent="0.2">
      <c r="A23031">
        <v>45631</v>
      </c>
      <c r="B23031" t="s">
        <v>41</v>
      </c>
      <c r="C23031">
        <v>45631</v>
      </c>
      <c r="D23031" t="str">
        <f>"45631"</f>
        <v>45631</v>
      </c>
      <c r="E23031">
        <v>71.150000000000006</v>
      </c>
    </row>
    <row r="23032" spans="1:5" x14ac:dyDescent="0.2">
      <c r="A23032">
        <v>45633</v>
      </c>
      <c r="B23032" t="s">
        <v>41</v>
      </c>
      <c r="C23032">
        <v>45633</v>
      </c>
      <c r="D23032" t="str">
        <f>"45633"</f>
        <v>45633</v>
      </c>
      <c r="E23032" t="s">
        <v>6</v>
      </c>
    </row>
    <row r="23033" spans="1:5" x14ac:dyDescent="0.2">
      <c r="A23033">
        <v>45634</v>
      </c>
      <c r="B23033" t="s">
        <v>41</v>
      </c>
      <c r="C23033">
        <v>45634</v>
      </c>
      <c r="D23033" t="str">
        <f>"45634"</f>
        <v>45634</v>
      </c>
      <c r="E23033">
        <v>62.67</v>
      </c>
    </row>
    <row r="23034" spans="1:5" x14ac:dyDescent="0.2">
      <c r="A23034">
        <v>45638</v>
      </c>
      <c r="B23034" t="s">
        <v>41</v>
      </c>
      <c r="C23034">
        <v>45638</v>
      </c>
      <c r="D23034" t="str">
        <f>"45638"</f>
        <v>45638</v>
      </c>
      <c r="E23034">
        <v>67.22</v>
      </c>
    </row>
    <row r="23035" spans="1:5" x14ac:dyDescent="0.2">
      <c r="A23035">
        <v>45640</v>
      </c>
      <c r="B23035" t="s">
        <v>41</v>
      </c>
      <c r="C23035">
        <v>45640</v>
      </c>
      <c r="D23035" t="str">
        <f>"45640"</f>
        <v>45640</v>
      </c>
      <c r="E23035">
        <v>70.09</v>
      </c>
    </row>
    <row r="23036" spans="1:5" x14ac:dyDescent="0.2">
      <c r="A23036">
        <v>45644</v>
      </c>
      <c r="B23036" t="s">
        <v>41</v>
      </c>
      <c r="C23036">
        <v>45644</v>
      </c>
      <c r="D23036" t="str">
        <f>"45644"</f>
        <v>45644</v>
      </c>
      <c r="E23036">
        <v>75.739999999999995</v>
      </c>
    </row>
    <row r="23037" spans="1:5" x14ac:dyDescent="0.2">
      <c r="A23037">
        <v>45645</v>
      </c>
      <c r="B23037" t="s">
        <v>41</v>
      </c>
      <c r="C23037">
        <v>45645</v>
      </c>
      <c r="D23037" t="str">
        <f>"45645"</f>
        <v>45645</v>
      </c>
      <c r="E23037">
        <v>71.930000000000007</v>
      </c>
    </row>
    <row r="23038" spans="1:5" x14ac:dyDescent="0.2">
      <c r="A23038">
        <v>45646</v>
      </c>
      <c r="B23038" t="s">
        <v>41</v>
      </c>
      <c r="C23038">
        <v>45646</v>
      </c>
      <c r="D23038" t="str">
        <f>"45646"</f>
        <v>45646</v>
      </c>
      <c r="E23038">
        <v>58.82</v>
      </c>
    </row>
    <row r="23039" spans="1:5" x14ac:dyDescent="0.2">
      <c r="A23039">
        <v>45647</v>
      </c>
      <c r="B23039" t="s">
        <v>41</v>
      </c>
      <c r="C23039">
        <v>45647</v>
      </c>
      <c r="D23039" t="str">
        <f>"45647"</f>
        <v>45647</v>
      </c>
      <c r="E23039">
        <v>68.37</v>
      </c>
    </row>
    <row r="23040" spans="1:5" x14ac:dyDescent="0.2">
      <c r="A23040">
        <v>45648</v>
      </c>
      <c r="B23040" t="s">
        <v>41</v>
      </c>
      <c r="C23040">
        <v>45648</v>
      </c>
      <c r="D23040" t="str">
        <f>"45648"</f>
        <v>45648</v>
      </c>
      <c r="E23040">
        <v>69.87</v>
      </c>
    </row>
    <row r="23041" spans="1:5" x14ac:dyDescent="0.2">
      <c r="A23041">
        <v>45650</v>
      </c>
      <c r="B23041" t="s">
        <v>41</v>
      </c>
      <c r="C23041">
        <v>45650</v>
      </c>
      <c r="D23041" t="str">
        <f>"45650"</f>
        <v>45650</v>
      </c>
      <c r="E23041">
        <v>57.14</v>
      </c>
    </row>
    <row r="23042" spans="1:5" x14ac:dyDescent="0.2">
      <c r="A23042">
        <v>45651</v>
      </c>
      <c r="B23042" t="s">
        <v>41</v>
      </c>
      <c r="C23042">
        <v>45651</v>
      </c>
      <c r="D23042" t="str">
        <f>"45651"</f>
        <v>45651</v>
      </c>
      <c r="E23042">
        <v>67.56</v>
      </c>
    </row>
    <row r="23043" spans="1:5" x14ac:dyDescent="0.2">
      <c r="A23043">
        <v>45652</v>
      </c>
      <c r="B23043" t="s">
        <v>41</v>
      </c>
      <c r="C23043">
        <v>45652</v>
      </c>
      <c r="D23043" t="str">
        <f>"45652"</f>
        <v>45652</v>
      </c>
      <c r="E23043">
        <v>69.599999999999994</v>
      </c>
    </row>
    <row r="23044" spans="1:5" x14ac:dyDescent="0.2">
      <c r="A23044">
        <v>45653</v>
      </c>
      <c r="B23044" t="s">
        <v>41</v>
      </c>
      <c r="C23044">
        <v>45653</v>
      </c>
      <c r="D23044" t="str">
        <f>"45653"</f>
        <v>45653</v>
      </c>
      <c r="E23044">
        <v>74.209999999999994</v>
      </c>
    </row>
    <row r="23045" spans="1:5" x14ac:dyDescent="0.2">
      <c r="A23045">
        <v>45654</v>
      </c>
      <c r="B23045" t="s">
        <v>41</v>
      </c>
      <c r="C23045">
        <v>45654</v>
      </c>
      <c r="D23045" t="str">
        <f>"45654"</f>
        <v>45654</v>
      </c>
      <c r="E23045">
        <v>70.73</v>
      </c>
    </row>
    <row r="23046" spans="1:5" x14ac:dyDescent="0.2">
      <c r="A23046">
        <v>45656</v>
      </c>
      <c r="B23046" t="s">
        <v>41</v>
      </c>
      <c r="C23046">
        <v>45656</v>
      </c>
      <c r="D23046" t="str">
        <f>"45656"</f>
        <v>45656</v>
      </c>
      <c r="E23046">
        <v>67.72</v>
      </c>
    </row>
    <row r="23047" spans="1:5" x14ac:dyDescent="0.2">
      <c r="A23047">
        <v>45657</v>
      </c>
      <c r="B23047" t="s">
        <v>41</v>
      </c>
      <c r="C23047">
        <v>45657</v>
      </c>
      <c r="D23047" t="str">
        <f>"45657"</f>
        <v>45657</v>
      </c>
      <c r="E23047">
        <v>63.74</v>
      </c>
    </row>
    <row r="23048" spans="1:5" x14ac:dyDescent="0.2">
      <c r="A23048">
        <v>45658</v>
      </c>
      <c r="B23048" t="s">
        <v>41</v>
      </c>
      <c r="C23048">
        <v>45658</v>
      </c>
      <c r="D23048" t="str">
        <f>"45658"</f>
        <v>45658</v>
      </c>
      <c r="E23048">
        <v>65.52</v>
      </c>
    </row>
    <row r="23049" spans="1:5" x14ac:dyDescent="0.2">
      <c r="A23049">
        <v>45659</v>
      </c>
      <c r="B23049" t="s">
        <v>41</v>
      </c>
      <c r="C23049">
        <v>45659</v>
      </c>
      <c r="D23049" t="str">
        <f>"45659"</f>
        <v>45659</v>
      </c>
      <c r="E23049">
        <v>66</v>
      </c>
    </row>
    <row r="23050" spans="1:5" x14ac:dyDescent="0.2">
      <c r="A23050">
        <v>45660</v>
      </c>
      <c r="B23050" t="s">
        <v>41</v>
      </c>
      <c r="C23050">
        <v>45660</v>
      </c>
      <c r="D23050" t="str">
        <f>"45660"</f>
        <v>45660</v>
      </c>
      <c r="E23050">
        <v>64.260000000000005</v>
      </c>
    </row>
    <row r="23051" spans="1:5" x14ac:dyDescent="0.2">
      <c r="A23051">
        <v>45661</v>
      </c>
      <c r="B23051" t="s">
        <v>41</v>
      </c>
      <c r="C23051">
        <v>45661</v>
      </c>
      <c r="D23051" t="str">
        <f>"45661"</f>
        <v>45661</v>
      </c>
      <c r="E23051">
        <v>64.790000000000006</v>
      </c>
    </row>
    <row r="23052" spans="1:5" x14ac:dyDescent="0.2">
      <c r="A23052">
        <v>45662</v>
      </c>
      <c r="B23052" t="s">
        <v>41</v>
      </c>
      <c r="C23052">
        <v>45662</v>
      </c>
      <c r="D23052" t="str">
        <f>"45662"</f>
        <v>45662</v>
      </c>
      <c r="E23052">
        <v>63.69</v>
      </c>
    </row>
    <row r="23053" spans="1:5" x14ac:dyDescent="0.2">
      <c r="A23053">
        <v>45663</v>
      </c>
      <c r="B23053" t="s">
        <v>41</v>
      </c>
      <c r="C23053">
        <v>45663</v>
      </c>
      <c r="D23053" t="str">
        <f>"45663"</f>
        <v>45663</v>
      </c>
      <c r="E23053">
        <v>64.540000000000006</v>
      </c>
    </row>
    <row r="23054" spans="1:5" x14ac:dyDescent="0.2">
      <c r="A23054">
        <v>45669</v>
      </c>
      <c r="B23054" t="s">
        <v>41</v>
      </c>
      <c r="C23054">
        <v>45669</v>
      </c>
      <c r="D23054" t="str">
        <f>"45669"</f>
        <v>45669</v>
      </c>
      <c r="E23054">
        <v>74.05</v>
      </c>
    </row>
    <row r="23055" spans="1:5" x14ac:dyDescent="0.2">
      <c r="A23055">
        <v>45671</v>
      </c>
      <c r="B23055" t="s">
        <v>41</v>
      </c>
      <c r="C23055">
        <v>45671</v>
      </c>
      <c r="D23055" t="str">
        <f>"45671"</f>
        <v>45671</v>
      </c>
      <c r="E23055">
        <v>64.709999999999994</v>
      </c>
    </row>
    <row r="23056" spans="1:5" x14ac:dyDescent="0.2">
      <c r="A23056">
        <v>45672</v>
      </c>
      <c r="B23056" t="s">
        <v>41</v>
      </c>
      <c r="C23056">
        <v>45672</v>
      </c>
      <c r="D23056" t="str">
        <f>"45672"</f>
        <v>45672</v>
      </c>
      <c r="E23056">
        <v>70</v>
      </c>
    </row>
    <row r="23057" spans="1:5" x14ac:dyDescent="0.2">
      <c r="A23057">
        <v>45673</v>
      </c>
      <c r="B23057" t="s">
        <v>41</v>
      </c>
      <c r="C23057">
        <v>45673</v>
      </c>
      <c r="D23057" t="str">
        <f>"45673"</f>
        <v>45673</v>
      </c>
      <c r="E23057">
        <v>68.42</v>
      </c>
    </row>
    <row r="23058" spans="1:5" x14ac:dyDescent="0.2">
      <c r="A23058">
        <v>45674</v>
      </c>
      <c r="B23058" t="s">
        <v>41</v>
      </c>
      <c r="C23058">
        <v>45674</v>
      </c>
      <c r="D23058" t="str">
        <f>"45674"</f>
        <v>45674</v>
      </c>
      <c r="E23058" t="s">
        <v>6</v>
      </c>
    </row>
    <row r="23059" spans="1:5" x14ac:dyDescent="0.2">
      <c r="A23059">
        <v>45678</v>
      </c>
      <c r="B23059" t="s">
        <v>41</v>
      </c>
      <c r="C23059">
        <v>45678</v>
      </c>
      <c r="D23059" t="str">
        <f>"45678"</f>
        <v>45678</v>
      </c>
      <c r="E23059">
        <v>68.09</v>
      </c>
    </row>
    <row r="23060" spans="1:5" x14ac:dyDescent="0.2">
      <c r="A23060">
        <v>45679</v>
      </c>
      <c r="B23060" t="s">
        <v>41</v>
      </c>
      <c r="C23060">
        <v>45679</v>
      </c>
      <c r="D23060" t="str">
        <f>"45679"</f>
        <v>45679</v>
      </c>
      <c r="E23060">
        <v>63.41</v>
      </c>
    </row>
    <row r="23061" spans="1:5" x14ac:dyDescent="0.2">
      <c r="A23061">
        <v>45680</v>
      </c>
      <c r="B23061" t="s">
        <v>41</v>
      </c>
      <c r="C23061">
        <v>45680</v>
      </c>
      <c r="D23061" t="str">
        <f>"45680"</f>
        <v>45680</v>
      </c>
      <c r="E23061">
        <v>68.11</v>
      </c>
    </row>
    <row r="23062" spans="1:5" x14ac:dyDescent="0.2">
      <c r="A23062">
        <v>45681</v>
      </c>
      <c r="B23062" t="s">
        <v>41</v>
      </c>
      <c r="C23062">
        <v>45681</v>
      </c>
      <c r="D23062" t="str">
        <f>"45681"</f>
        <v>45681</v>
      </c>
      <c r="E23062">
        <v>68.75</v>
      </c>
    </row>
    <row r="23063" spans="1:5" x14ac:dyDescent="0.2">
      <c r="A23063">
        <v>45682</v>
      </c>
      <c r="B23063" t="s">
        <v>41</v>
      </c>
      <c r="C23063">
        <v>45682</v>
      </c>
      <c r="D23063" t="str">
        <f>"45682"</f>
        <v>45682</v>
      </c>
      <c r="E23063">
        <v>67.86</v>
      </c>
    </row>
    <row r="23064" spans="1:5" x14ac:dyDescent="0.2">
      <c r="A23064">
        <v>45684</v>
      </c>
      <c r="B23064" t="s">
        <v>41</v>
      </c>
      <c r="C23064">
        <v>45684</v>
      </c>
      <c r="D23064" t="str">
        <f>"45684"</f>
        <v>45684</v>
      </c>
      <c r="E23064">
        <v>70.42</v>
      </c>
    </row>
    <row r="23065" spans="1:5" x14ac:dyDescent="0.2">
      <c r="A23065">
        <v>45685</v>
      </c>
      <c r="B23065" t="s">
        <v>41</v>
      </c>
      <c r="C23065">
        <v>45685</v>
      </c>
      <c r="D23065" t="str">
        <f>"45685"</f>
        <v>45685</v>
      </c>
      <c r="E23065">
        <v>64.709999999999994</v>
      </c>
    </row>
    <row r="23066" spans="1:5" x14ac:dyDescent="0.2">
      <c r="A23066">
        <v>45686</v>
      </c>
      <c r="B23066" t="s">
        <v>41</v>
      </c>
      <c r="C23066">
        <v>45686</v>
      </c>
      <c r="D23066" t="str">
        <f>"45686"</f>
        <v>45686</v>
      </c>
      <c r="E23066">
        <v>63.93</v>
      </c>
    </row>
    <row r="23067" spans="1:5" x14ac:dyDescent="0.2">
      <c r="A23067">
        <v>45688</v>
      </c>
      <c r="B23067" t="s">
        <v>41</v>
      </c>
      <c r="C23067">
        <v>45688</v>
      </c>
      <c r="D23067" t="str">
        <f>"45688"</f>
        <v>45688</v>
      </c>
      <c r="E23067">
        <v>50</v>
      </c>
    </row>
    <row r="23068" spans="1:5" x14ac:dyDescent="0.2">
      <c r="A23068">
        <v>45690</v>
      </c>
      <c r="B23068" t="s">
        <v>41</v>
      </c>
      <c r="C23068">
        <v>45690</v>
      </c>
      <c r="D23068" t="str">
        <f>"45690"</f>
        <v>45690</v>
      </c>
      <c r="E23068">
        <v>69.27</v>
      </c>
    </row>
    <row r="23069" spans="1:5" x14ac:dyDescent="0.2">
      <c r="A23069">
        <v>45692</v>
      </c>
      <c r="B23069" t="s">
        <v>41</v>
      </c>
      <c r="C23069">
        <v>45692</v>
      </c>
      <c r="D23069" t="str">
        <f>"45692"</f>
        <v>45692</v>
      </c>
      <c r="E23069">
        <v>66.86</v>
      </c>
    </row>
    <row r="23070" spans="1:5" x14ac:dyDescent="0.2">
      <c r="A23070">
        <v>45693</v>
      </c>
      <c r="B23070" t="s">
        <v>41</v>
      </c>
      <c r="C23070">
        <v>45693</v>
      </c>
      <c r="D23070" t="str">
        <f>"45693"</f>
        <v>45693</v>
      </c>
      <c r="E23070">
        <v>67.14</v>
      </c>
    </row>
    <row r="23071" spans="1:5" x14ac:dyDescent="0.2">
      <c r="A23071">
        <v>45694</v>
      </c>
      <c r="B23071" t="s">
        <v>41</v>
      </c>
      <c r="C23071">
        <v>45694</v>
      </c>
      <c r="D23071" t="str">
        <f>"45694"</f>
        <v>45694</v>
      </c>
      <c r="E23071">
        <v>72.58</v>
      </c>
    </row>
    <row r="23072" spans="1:5" x14ac:dyDescent="0.2">
      <c r="A23072">
        <v>45695</v>
      </c>
      <c r="B23072" t="s">
        <v>41</v>
      </c>
      <c r="C23072">
        <v>45695</v>
      </c>
      <c r="D23072" t="str">
        <f>"45695"</f>
        <v>45695</v>
      </c>
      <c r="E23072">
        <v>62.5</v>
      </c>
    </row>
    <row r="23073" spans="1:5" x14ac:dyDescent="0.2">
      <c r="A23073">
        <v>45696</v>
      </c>
      <c r="B23073" t="s">
        <v>41</v>
      </c>
      <c r="C23073">
        <v>45696</v>
      </c>
      <c r="D23073" t="str">
        <f>"45696"</f>
        <v>45696</v>
      </c>
      <c r="E23073">
        <v>72.22</v>
      </c>
    </row>
    <row r="23074" spans="1:5" x14ac:dyDescent="0.2">
      <c r="A23074">
        <v>45697</v>
      </c>
      <c r="B23074" t="s">
        <v>41</v>
      </c>
      <c r="C23074">
        <v>45697</v>
      </c>
      <c r="D23074" t="str">
        <f>"45697"</f>
        <v>45697</v>
      </c>
      <c r="E23074">
        <v>72.91</v>
      </c>
    </row>
    <row r="23075" spans="1:5" x14ac:dyDescent="0.2">
      <c r="A23075">
        <v>45698</v>
      </c>
      <c r="B23075" t="s">
        <v>41</v>
      </c>
      <c r="C23075">
        <v>45698</v>
      </c>
      <c r="D23075" t="str">
        <f>"45698"</f>
        <v>45698</v>
      </c>
      <c r="E23075" t="s">
        <v>6</v>
      </c>
    </row>
    <row r="23076" spans="1:5" x14ac:dyDescent="0.2">
      <c r="A23076">
        <v>45701</v>
      </c>
      <c r="B23076" t="s">
        <v>41</v>
      </c>
      <c r="C23076">
        <v>45701</v>
      </c>
      <c r="D23076" t="str">
        <f>"45701"</f>
        <v>45701</v>
      </c>
      <c r="E23076">
        <v>72.31</v>
      </c>
    </row>
    <row r="23077" spans="1:5" x14ac:dyDescent="0.2">
      <c r="A23077">
        <v>45710</v>
      </c>
      <c r="B23077" t="s">
        <v>41</v>
      </c>
      <c r="C23077">
        <v>45710</v>
      </c>
      <c r="D23077" t="str">
        <f>"45710"</f>
        <v>45710</v>
      </c>
      <c r="E23077">
        <v>74.510000000000005</v>
      </c>
    </row>
    <row r="23078" spans="1:5" x14ac:dyDescent="0.2">
      <c r="A23078">
        <v>45711</v>
      </c>
      <c r="B23078" t="s">
        <v>41</v>
      </c>
      <c r="C23078">
        <v>45711</v>
      </c>
      <c r="D23078" t="str">
        <f>"45711"</f>
        <v>45711</v>
      </c>
      <c r="E23078">
        <v>65</v>
      </c>
    </row>
    <row r="23079" spans="1:5" x14ac:dyDescent="0.2">
      <c r="A23079">
        <v>45714</v>
      </c>
      <c r="B23079" t="s">
        <v>41</v>
      </c>
      <c r="C23079">
        <v>45714</v>
      </c>
      <c r="D23079" t="str">
        <f>"45714"</f>
        <v>45714</v>
      </c>
      <c r="E23079">
        <v>70.52</v>
      </c>
    </row>
    <row r="23080" spans="1:5" x14ac:dyDescent="0.2">
      <c r="A23080">
        <v>45715</v>
      </c>
      <c r="B23080" t="s">
        <v>41</v>
      </c>
      <c r="C23080">
        <v>45715</v>
      </c>
      <c r="D23080" t="str">
        <f>"45715"</f>
        <v>45715</v>
      </c>
      <c r="E23080">
        <v>72.13</v>
      </c>
    </row>
    <row r="23081" spans="1:5" x14ac:dyDescent="0.2">
      <c r="A23081">
        <v>45716</v>
      </c>
      <c r="B23081" t="s">
        <v>41</v>
      </c>
      <c r="C23081">
        <v>45716</v>
      </c>
      <c r="D23081" t="str">
        <f>"45716"</f>
        <v>45716</v>
      </c>
      <c r="E23081" t="s">
        <v>6</v>
      </c>
    </row>
    <row r="23082" spans="1:5" x14ac:dyDescent="0.2">
      <c r="A23082">
        <v>45719</v>
      </c>
      <c r="B23082" t="s">
        <v>41</v>
      </c>
      <c r="C23082">
        <v>45719</v>
      </c>
      <c r="D23082" t="str">
        <f>"45719"</f>
        <v>45719</v>
      </c>
      <c r="E23082" t="s">
        <v>6</v>
      </c>
    </row>
    <row r="23083" spans="1:5" x14ac:dyDescent="0.2">
      <c r="A23083">
        <v>45720</v>
      </c>
      <c r="B23083" t="s">
        <v>41</v>
      </c>
      <c r="C23083">
        <v>45720</v>
      </c>
      <c r="D23083" t="str">
        <f>"45720"</f>
        <v>45720</v>
      </c>
      <c r="E23083" t="s">
        <v>6</v>
      </c>
    </row>
    <row r="23084" spans="1:5" x14ac:dyDescent="0.2">
      <c r="A23084">
        <v>45721</v>
      </c>
      <c r="B23084" t="s">
        <v>41</v>
      </c>
      <c r="C23084">
        <v>45721</v>
      </c>
      <c r="D23084" t="str">
        <f>"45721"</f>
        <v>45721</v>
      </c>
      <c r="E23084" t="s">
        <v>6</v>
      </c>
    </row>
    <row r="23085" spans="1:5" x14ac:dyDescent="0.2">
      <c r="A23085">
        <v>45723</v>
      </c>
      <c r="B23085" t="s">
        <v>41</v>
      </c>
      <c r="C23085">
        <v>45723</v>
      </c>
      <c r="D23085" t="str">
        <f>"45723"</f>
        <v>45723</v>
      </c>
      <c r="E23085">
        <v>71.52</v>
      </c>
    </row>
    <row r="23086" spans="1:5" x14ac:dyDescent="0.2">
      <c r="A23086">
        <v>45724</v>
      </c>
      <c r="B23086" t="s">
        <v>41</v>
      </c>
      <c r="C23086">
        <v>45724</v>
      </c>
      <c r="D23086" t="str">
        <f>"45724"</f>
        <v>45724</v>
      </c>
      <c r="E23086">
        <v>73.33</v>
      </c>
    </row>
    <row r="23087" spans="1:5" x14ac:dyDescent="0.2">
      <c r="A23087">
        <v>45727</v>
      </c>
      <c r="B23087" t="s">
        <v>41</v>
      </c>
      <c r="C23087">
        <v>45727</v>
      </c>
      <c r="D23087" t="str">
        <f>"45727"</f>
        <v>45727</v>
      </c>
      <c r="E23087">
        <v>73.91</v>
      </c>
    </row>
    <row r="23088" spans="1:5" x14ac:dyDescent="0.2">
      <c r="A23088">
        <v>45729</v>
      </c>
      <c r="B23088" t="s">
        <v>41</v>
      </c>
      <c r="C23088">
        <v>45729</v>
      </c>
      <c r="D23088" t="str">
        <f>"45729"</f>
        <v>45729</v>
      </c>
      <c r="E23088">
        <v>77.459999999999994</v>
      </c>
    </row>
    <row r="23089" spans="1:5" x14ac:dyDescent="0.2">
      <c r="A23089">
        <v>45732</v>
      </c>
      <c r="B23089" t="s">
        <v>41</v>
      </c>
      <c r="C23089">
        <v>45732</v>
      </c>
      <c r="D23089" t="str">
        <f>"45732"</f>
        <v>45732</v>
      </c>
      <c r="E23089">
        <v>68.23</v>
      </c>
    </row>
    <row r="23090" spans="1:5" x14ac:dyDescent="0.2">
      <c r="A23090">
        <v>45734</v>
      </c>
      <c r="B23090" t="s">
        <v>41</v>
      </c>
      <c r="C23090">
        <v>45734</v>
      </c>
      <c r="D23090" t="str">
        <f>"45734"</f>
        <v>45734</v>
      </c>
      <c r="E23090">
        <v>62.5</v>
      </c>
    </row>
    <row r="23091" spans="1:5" x14ac:dyDescent="0.2">
      <c r="A23091">
        <v>45735</v>
      </c>
      <c r="B23091" t="s">
        <v>41</v>
      </c>
      <c r="C23091">
        <v>45735</v>
      </c>
      <c r="D23091" t="str">
        <f>"45735"</f>
        <v>45735</v>
      </c>
      <c r="E23091">
        <v>72.97</v>
      </c>
    </row>
    <row r="23092" spans="1:5" x14ac:dyDescent="0.2">
      <c r="A23092">
        <v>45740</v>
      </c>
      <c r="B23092" t="s">
        <v>41</v>
      </c>
      <c r="C23092">
        <v>45740</v>
      </c>
      <c r="D23092" t="str">
        <f>"45740"</f>
        <v>45740</v>
      </c>
      <c r="E23092" t="s">
        <v>6</v>
      </c>
    </row>
    <row r="23093" spans="1:5" x14ac:dyDescent="0.2">
      <c r="A23093">
        <v>45741</v>
      </c>
      <c r="B23093" t="s">
        <v>41</v>
      </c>
      <c r="C23093">
        <v>45741</v>
      </c>
      <c r="D23093" t="str">
        <f>"45741"</f>
        <v>45741</v>
      </c>
      <c r="E23093">
        <v>65.63</v>
      </c>
    </row>
    <row r="23094" spans="1:5" x14ac:dyDescent="0.2">
      <c r="A23094">
        <v>45742</v>
      </c>
      <c r="B23094" t="s">
        <v>41</v>
      </c>
      <c r="C23094">
        <v>45742</v>
      </c>
      <c r="D23094" t="str">
        <f>"45742"</f>
        <v>45742</v>
      </c>
      <c r="E23094">
        <v>77.94</v>
      </c>
    </row>
    <row r="23095" spans="1:5" x14ac:dyDescent="0.2">
      <c r="A23095">
        <v>45743</v>
      </c>
      <c r="B23095" t="s">
        <v>41</v>
      </c>
      <c r="C23095">
        <v>45743</v>
      </c>
      <c r="D23095" t="str">
        <f>"45743"</f>
        <v>45743</v>
      </c>
      <c r="E23095">
        <v>68.52</v>
      </c>
    </row>
    <row r="23096" spans="1:5" x14ac:dyDescent="0.2">
      <c r="A23096">
        <v>45744</v>
      </c>
      <c r="B23096" t="s">
        <v>41</v>
      </c>
      <c r="C23096">
        <v>45744</v>
      </c>
      <c r="D23096" t="str">
        <f>"45744"</f>
        <v>45744</v>
      </c>
      <c r="E23096">
        <v>71.209999999999994</v>
      </c>
    </row>
    <row r="23097" spans="1:5" x14ac:dyDescent="0.2">
      <c r="A23097">
        <v>45745</v>
      </c>
      <c r="B23097" t="s">
        <v>41</v>
      </c>
      <c r="C23097">
        <v>45745</v>
      </c>
      <c r="D23097" t="str">
        <f>"45745"</f>
        <v>45745</v>
      </c>
      <c r="E23097">
        <v>64.58</v>
      </c>
    </row>
    <row r="23098" spans="1:5" x14ac:dyDescent="0.2">
      <c r="A23098">
        <v>45746</v>
      </c>
      <c r="B23098" t="s">
        <v>41</v>
      </c>
      <c r="C23098">
        <v>45746</v>
      </c>
      <c r="D23098" t="str">
        <f>"45746"</f>
        <v>45746</v>
      </c>
      <c r="E23098">
        <v>62.5</v>
      </c>
    </row>
    <row r="23099" spans="1:5" x14ac:dyDescent="0.2">
      <c r="A23099">
        <v>45750</v>
      </c>
      <c r="B23099" t="s">
        <v>41</v>
      </c>
      <c r="C23099">
        <v>45750</v>
      </c>
      <c r="D23099" t="str">
        <f>"45750"</f>
        <v>45750</v>
      </c>
      <c r="E23099">
        <v>72.88</v>
      </c>
    </row>
    <row r="23100" spans="1:5" x14ac:dyDescent="0.2">
      <c r="A23100">
        <v>45760</v>
      </c>
      <c r="B23100" t="s">
        <v>41</v>
      </c>
      <c r="C23100">
        <v>45760</v>
      </c>
      <c r="D23100" t="str">
        <f>"45760"</f>
        <v>45760</v>
      </c>
      <c r="E23100">
        <v>65.319999999999993</v>
      </c>
    </row>
    <row r="23101" spans="1:5" x14ac:dyDescent="0.2">
      <c r="A23101">
        <v>45761</v>
      </c>
      <c r="B23101" t="s">
        <v>41</v>
      </c>
      <c r="C23101">
        <v>45761</v>
      </c>
      <c r="D23101" t="str">
        <f>"45761"</f>
        <v>45761</v>
      </c>
      <c r="E23101">
        <v>68.180000000000007</v>
      </c>
    </row>
    <row r="23102" spans="1:5" x14ac:dyDescent="0.2">
      <c r="A23102">
        <v>45764</v>
      </c>
      <c r="B23102" t="s">
        <v>41</v>
      </c>
      <c r="C23102">
        <v>45764</v>
      </c>
      <c r="D23102" t="str">
        <f>"45764"</f>
        <v>45764</v>
      </c>
      <c r="E23102">
        <v>67.22</v>
      </c>
    </row>
    <row r="23103" spans="1:5" x14ac:dyDescent="0.2">
      <c r="A23103">
        <v>45766</v>
      </c>
      <c r="B23103" t="s">
        <v>41</v>
      </c>
      <c r="C23103">
        <v>45766</v>
      </c>
      <c r="D23103" t="str">
        <f>"45766"</f>
        <v>45766</v>
      </c>
      <c r="E23103">
        <v>70.97</v>
      </c>
    </row>
    <row r="23104" spans="1:5" x14ac:dyDescent="0.2">
      <c r="A23104">
        <v>45767</v>
      </c>
      <c r="B23104" t="s">
        <v>41</v>
      </c>
      <c r="C23104">
        <v>45767</v>
      </c>
      <c r="D23104" t="str">
        <f>"45767"</f>
        <v>45767</v>
      </c>
      <c r="E23104">
        <v>67.650000000000006</v>
      </c>
    </row>
    <row r="23105" spans="1:5" x14ac:dyDescent="0.2">
      <c r="A23105">
        <v>45768</v>
      </c>
      <c r="B23105" t="s">
        <v>41</v>
      </c>
      <c r="C23105">
        <v>45768</v>
      </c>
      <c r="D23105" t="str">
        <f>"45768"</f>
        <v>45768</v>
      </c>
      <c r="E23105">
        <v>75.31</v>
      </c>
    </row>
    <row r="23106" spans="1:5" x14ac:dyDescent="0.2">
      <c r="A23106">
        <v>45769</v>
      </c>
      <c r="B23106" t="s">
        <v>41</v>
      </c>
      <c r="C23106">
        <v>45769</v>
      </c>
      <c r="D23106" t="str">
        <f>"45769"</f>
        <v>45769</v>
      </c>
      <c r="E23106">
        <v>68.33</v>
      </c>
    </row>
    <row r="23107" spans="1:5" x14ac:dyDescent="0.2">
      <c r="A23107">
        <v>45770</v>
      </c>
      <c r="B23107" t="s">
        <v>41</v>
      </c>
      <c r="C23107">
        <v>45770</v>
      </c>
      <c r="D23107" t="str">
        <f>"45770"</f>
        <v>45770</v>
      </c>
      <c r="E23107">
        <v>70</v>
      </c>
    </row>
    <row r="23108" spans="1:5" x14ac:dyDescent="0.2">
      <c r="A23108">
        <v>45771</v>
      </c>
      <c r="B23108" t="s">
        <v>41</v>
      </c>
      <c r="C23108">
        <v>45771</v>
      </c>
      <c r="D23108" t="str">
        <f>"45771"</f>
        <v>45771</v>
      </c>
      <c r="E23108">
        <v>72.08</v>
      </c>
    </row>
    <row r="23109" spans="1:5" x14ac:dyDescent="0.2">
      <c r="A23109">
        <v>45772</v>
      </c>
      <c r="B23109" t="s">
        <v>41</v>
      </c>
      <c r="C23109">
        <v>45772</v>
      </c>
      <c r="D23109" t="str">
        <f>"45772"</f>
        <v>45772</v>
      </c>
      <c r="E23109">
        <v>71.83</v>
      </c>
    </row>
    <row r="23110" spans="1:5" x14ac:dyDescent="0.2">
      <c r="A23110">
        <v>45773</v>
      </c>
      <c r="B23110" t="s">
        <v>41</v>
      </c>
      <c r="C23110">
        <v>45773</v>
      </c>
      <c r="D23110" t="str">
        <f>"45773"</f>
        <v>45773</v>
      </c>
      <c r="E23110">
        <v>71.88</v>
      </c>
    </row>
    <row r="23111" spans="1:5" x14ac:dyDescent="0.2">
      <c r="A23111">
        <v>45775</v>
      </c>
      <c r="B23111" t="s">
        <v>41</v>
      </c>
      <c r="C23111">
        <v>45775</v>
      </c>
      <c r="D23111" t="str">
        <f>"45775"</f>
        <v>45775</v>
      </c>
      <c r="E23111">
        <v>66.069999999999993</v>
      </c>
    </row>
    <row r="23112" spans="1:5" x14ac:dyDescent="0.2">
      <c r="A23112">
        <v>45776</v>
      </c>
      <c r="B23112" t="s">
        <v>41</v>
      </c>
      <c r="C23112">
        <v>45776</v>
      </c>
      <c r="D23112" t="str">
        <f>"45776"</f>
        <v>45776</v>
      </c>
      <c r="E23112">
        <v>65.63</v>
      </c>
    </row>
    <row r="23113" spans="1:5" x14ac:dyDescent="0.2">
      <c r="A23113">
        <v>45778</v>
      </c>
      <c r="B23113" t="s">
        <v>41</v>
      </c>
      <c r="C23113">
        <v>45778</v>
      </c>
      <c r="D23113" t="str">
        <f>"45778"</f>
        <v>45778</v>
      </c>
      <c r="E23113">
        <v>63.89</v>
      </c>
    </row>
    <row r="23114" spans="1:5" x14ac:dyDescent="0.2">
      <c r="A23114">
        <v>45779</v>
      </c>
      <c r="B23114" t="s">
        <v>41</v>
      </c>
      <c r="C23114">
        <v>45779</v>
      </c>
      <c r="D23114" t="str">
        <f>"45779"</f>
        <v>45779</v>
      </c>
      <c r="E23114" t="s">
        <v>6</v>
      </c>
    </row>
    <row r="23115" spans="1:5" x14ac:dyDescent="0.2">
      <c r="A23115">
        <v>45780</v>
      </c>
      <c r="B23115" t="s">
        <v>41</v>
      </c>
      <c r="C23115">
        <v>45780</v>
      </c>
      <c r="D23115" t="str">
        <f>"45780"</f>
        <v>45780</v>
      </c>
      <c r="E23115">
        <v>69.5</v>
      </c>
    </row>
    <row r="23116" spans="1:5" x14ac:dyDescent="0.2">
      <c r="A23116">
        <v>45782</v>
      </c>
      <c r="B23116" t="s">
        <v>41</v>
      </c>
      <c r="C23116">
        <v>45782</v>
      </c>
      <c r="D23116" t="str">
        <f>"45782"</f>
        <v>45782</v>
      </c>
      <c r="E23116" t="s">
        <v>6</v>
      </c>
    </row>
    <row r="23117" spans="1:5" x14ac:dyDescent="0.2">
      <c r="A23117">
        <v>45784</v>
      </c>
      <c r="B23117" t="s">
        <v>41</v>
      </c>
      <c r="C23117">
        <v>45784</v>
      </c>
      <c r="D23117" t="str">
        <f>"45784"</f>
        <v>45784</v>
      </c>
      <c r="E23117">
        <v>75.84</v>
      </c>
    </row>
    <row r="23118" spans="1:5" x14ac:dyDescent="0.2">
      <c r="A23118">
        <v>45786</v>
      </c>
      <c r="B23118" t="s">
        <v>41</v>
      </c>
      <c r="C23118">
        <v>45786</v>
      </c>
      <c r="D23118" t="str">
        <f>"45786"</f>
        <v>45786</v>
      </c>
      <c r="E23118">
        <v>73.290000000000006</v>
      </c>
    </row>
    <row r="23119" spans="1:5" x14ac:dyDescent="0.2">
      <c r="A23119">
        <v>45788</v>
      </c>
      <c r="B23119" t="s">
        <v>41</v>
      </c>
      <c r="C23119">
        <v>45788</v>
      </c>
      <c r="D23119" t="str">
        <f>"45788"</f>
        <v>45788</v>
      </c>
      <c r="E23119">
        <v>75</v>
      </c>
    </row>
    <row r="23120" spans="1:5" x14ac:dyDescent="0.2">
      <c r="A23120">
        <v>45789</v>
      </c>
      <c r="B23120" t="s">
        <v>41</v>
      </c>
      <c r="C23120">
        <v>45789</v>
      </c>
      <c r="D23120" t="str">
        <f>"45789"</f>
        <v>45789</v>
      </c>
      <c r="E23120" t="s">
        <v>6</v>
      </c>
    </row>
    <row r="23121" spans="1:5" x14ac:dyDescent="0.2">
      <c r="A23121">
        <v>45801</v>
      </c>
      <c r="B23121" t="s">
        <v>41</v>
      </c>
      <c r="C23121">
        <v>45801</v>
      </c>
      <c r="D23121" t="str">
        <f>"45801"</f>
        <v>45801</v>
      </c>
      <c r="E23121">
        <v>64.89</v>
      </c>
    </row>
    <row r="23122" spans="1:5" x14ac:dyDescent="0.2">
      <c r="A23122">
        <v>45804</v>
      </c>
      <c r="B23122" t="s">
        <v>41</v>
      </c>
      <c r="C23122">
        <v>45804</v>
      </c>
      <c r="D23122" t="str">
        <f>"45804"</f>
        <v>45804</v>
      </c>
      <c r="E23122">
        <v>58.94</v>
      </c>
    </row>
    <row r="23123" spans="1:5" x14ac:dyDescent="0.2">
      <c r="A23123">
        <v>45805</v>
      </c>
      <c r="B23123" t="s">
        <v>41</v>
      </c>
      <c r="C23123">
        <v>45805</v>
      </c>
      <c r="D23123" t="str">
        <f>"45805"</f>
        <v>45805</v>
      </c>
      <c r="E23123">
        <v>71.3</v>
      </c>
    </row>
    <row r="23124" spans="1:5" x14ac:dyDescent="0.2">
      <c r="A23124">
        <v>45806</v>
      </c>
      <c r="B23124" t="s">
        <v>41</v>
      </c>
      <c r="C23124">
        <v>45806</v>
      </c>
      <c r="D23124" t="str">
        <f>"45806"</f>
        <v>45806</v>
      </c>
      <c r="E23124">
        <v>76.900000000000006</v>
      </c>
    </row>
    <row r="23125" spans="1:5" x14ac:dyDescent="0.2">
      <c r="A23125">
        <v>45807</v>
      </c>
      <c r="B23125" t="s">
        <v>41</v>
      </c>
      <c r="C23125">
        <v>45807</v>
      </c>
      <c r="D23125" t="str">
        <f>"45807"</f>
        <v>45807</v>
      </c>
      <c r="E23125">
        <v>79.41</v>
      </c>
    </row>
    <row r="23126" spans="1:5" x14ac:dyDescent="0.2">
      <c r="A23126">
        <v>45808</v>
      </c>
      <c r="B23126" t="s">
        <v>41</v>
      </c>
      <c r="C23126">
        <v>45808</v>
      </c>
      <c r="D23126" t="str">
        <f>"45808"</f>
        <v>45808</v>
      </c>
      <c r="E23126">
        <v>66.67</v>
      </c>
    </row>
    <row r="23127" spans="1:5" x14ac:dyDescent="0.2">
      <c r="A23127">
        <v>45809</v>
      </c>
      <c r="B23127" t="s">
        <v>41</v>
      </c>
      <c r="C23127">
        <v>45809</v>
      </c>
      <c r="D23127" t="str">
        <f>"45809"</f>
        <v>45809</v>
      </c>
      <c r="E23127" t="s">
        <v>6</v>
      </c>
    </row>
    <row r="23128" spans="1:5" x14ac:dyDescent="0.2">
      <c r="A23128">
        <v>45810</v>
      </c>
      <c r="B23128" t="s">
        <v>41</v>
      </c>
      <c r="C23128">
        <v>45810</v>
      </c>
      <c r="D23128" t="str">
        <f>"45810"</f>
        <v>45810</v>
      </c>
      <c r="E23128">
        <v>73.430000000000007</v>
      </c>
    </row>
    <row r="23129" spans="1:5" x14ac:dyDescent="0.2">
      <c r="A23129">
        <v>45812</v>
      </c>
      <c r="B23129" t="s">
        <v>41</v>
      </c>
      <c r="C23129">
        <v>45812</v>
      </c>
      <c r="D23129" t="str">
        <f>"45812"</f>
        <v>45812</v>
      </c>
      <c r="E23129">
        <v>70.239999999999995</v>
      </c>
    </row>
    <row r="23130" spans="1:5" x14ac:dyDescent="0.2">
      <c r="A23130">
        <v>45813</v>
      </c>
      <c r="B23130" t="s">
        <v>41</v>
      </c>
      <c r="C23130">
        <v>45813</v>
      </c>
      <c r="D23130" t="str">
        <f>"45813"</f>
        <v>45813</v>
      </c>
      <c r="E23130">
        <v>73.84</v>
      </c>
    </row>
    <row r="23131" spans="1:5" x14ac:dyDescent="0.2">
      <c r="A23131">
        <v>45814</v>
      </c>
      <c r="B23131" t="s">
        <v>41</v>
      </c>
      <c r="C23131">
        <v>45814</v>
      </c>
      <c r="D23131" t="str">
        <f>"45814"</f>
        <v>45814</v>
      </c>
      <c r="E23131">
        <v>76.739999999999995</v>
      </c>
    </row>
    <row r="23132" spans="1:5" x14ac:dyDescent="0.2">
      <c r="A23132">
        <v>45816</v>
      </c>
      <c r="B23132" t="s">
        <v>41</v>
      </c>
      <c r="C23132">
        <v>45816</v>
      </c>
      <c r="D23132" t="str">
        <f>"45816"</f>
        <v>45816</v>
      </c>
      <c r="E23132" t="s">
        <v>6</v>
      </c>
    </row>
    <row r="23133" spans="1:5" x14ac:dyDescent="0.2">
      <c r="A23133">
        <v>45817</v>
      </c>
      <c r="B23133" t="s">
        <v>41</v>
      </c>
      <c r="C23133">
        <v>45817</v>
      </c>
      <c r="D23133" t="str">
        <f>"45817"</f>
        <v>45817</v>
      </c>
      <c r="E23133">
        <v>78.42</v>
      </c>
    </row>
    <row r="23134" spans="1:5" x14ac:dyDescent="0.2">
      <c r="A23134">
        <v>45819</v>
      </c>
      <c r="B23134" t="s">
        <v>41</v>
      </c>
      <c r="C23134">
        <v>45819</v>
      </c>
      <c r="D23134" t="str">
        <f>"45819"</f>
        <v>45819</v>
      </c>
      <c r="E23134">
        <v>80</v>
      </c>
    </row>
    <row r="23135" spans="1:5" x14ac:dyDescent="0.2">
      <c r="A23135">
        <v>45820</v>
      </c>
      <c r="B23135" t="s">
        <v>41</v>
      </c>
      <c r="C23135">
        <v>45820</v>
      </c>
      <c r="D23135" t="str">
        <f>"45820"</f>
        <v>45820</v>
      </c>
      <c r="E23135" t="s">
        <v>6</v>
      </c>
    </row>
    <row r="23136" spans="1:5" x14ac:dyDescent="0.2">
      <c r="A23136">
        <v>45821</v>
      </c>
      <c r="B23136" t="s">
        <v>41</v>
      </c>
      <c r="C23136">
        <v>45821</v>
      </c>
      <c r="D23136" t="str">
        <f>"45821"</f>
        <v>45821</v>
      </c>
      <c r="E23136">
        <v>77.42</v>
      </c>
    </row>
    <row r="23137" spans="1:5" x14ac:dyDescent="0.2">
      <c r="A23137">
        <v>45822</v>
      </c>
      <c r="B23137" t="s">
        <v>41</v>
      </c>
      <c r="C23137">
        <v>45822</v>
      </c>
      <c r="D23137" t="str">
        <f>"45822"</f>
        <v>45822</v>
      </c>
      <c r="E23137">
        <v>74.900000000000006</v>
      </c>
    </row>
    <row r="23138" spans="1:5" x14ac:dyDescent="0.2">
      <c r="A23138">
        <v>45827</v>
      </c>
      <c r="B23138" t="s">
        <v>41</v>
      </c>
      <c r="C23138">
        <v>45827</v>
      </c>
      <c r="D23138" t="str">
        <f>"45827"</f>
        <v>45827</v>
      </c>
      <c r="E23138">
        <v>79.25</v>
      </c>
    </row>
    <row r="23139" spans="1:5" x14ac:dyDescent="0.2">
      <c r="A23139">
        <v>45828</v>
      </c>
      <c r="B23139" t="s">
        <v>41</v>
      </c>
      <c r="C23139">
        <v>45828</v>
      </c>
      <c r="D23139" t="str">
        <f>"45828"</f>
        <v>45828</v>
      </c>
      <c r="E23139">
        <v>77.95</v>
      </c>
    </row>
    <row r="23140" spans="1:5" x14ac:dyDescent="0.2">
      <c r="A23140">
        <v>45830</v>
      </c>
      <c r="B23140" t="s">
        <v>41</v>
      </c>
      <c r="C23140">
        <v>45830</v>
      </c>
      <c r="D23140" t="str">
        <f>"45830"</f>
        <v>45830</v>
      </c>
      <c r="E23140">
        <v>77.44</v>
      </c>
    </row>
    <row r="23141" spans="1:5" x14ac:dyDescent="0.2">
      <c r="A23141">
        <v>45831</v>
      </c>
      <c r="B23141" t="s">
        <v>41</v>
      </c>
      <c r="C23141">
        <v>45831</v>
      </c>
      <c r="D23141" t="str">
        <f>"45831"</f>
        <v>45831</v>
      </c>
      <c r="E23141">
        <v>76.349999999999994</v>
      </c>
    </row>
    <row r="23142" spans="1:5" x14ac:dyDescent="0.2">
      <c r="A23142">
        <v>45832</v>
      </c>
      <c r="B23142" t="s">
        <v>41</v>
      </c>
      <c r="C23142">
        <v>45832</v>
      </c>
      <c r="D23142" t="str">
        <f>"45832"</f>
        <v>45832</v>
      </c>
      <c r="E23142">
        <v>75.56</v>
      </c>
    </row>
    <row r="23143" spans="1:5" x14ac:dyDescent="0.2">
      <c r="A23143">
        <v>45833</v>
      </c>
      <c r="B23143" t="s">
        <v>41</v>
      </c>
      <c r="C23143">
        <v>45833</v>
      </c>
      <c r="D23143" t="str">
        <f>"45833"</f>
        <v>45833</v>
      </c>
      <c r="E23143">
        <v>75.53</v>
      </c>
    </row>
    <row r="23144" spans="1:5" x14ac:dyDescent="0.2">
      <c r="A23144">
        <v>45835</v>
      </c>
      <c r="B23144" t="s">
        <v>41</v>
      </c>
      <c r="C23144">
        <v>45835</v>
      </c>
      <c r="D23144" t="str">
        <f>"45835"</f>
        <v>45835</v>
      </c>
      <c r="E23144">
        <v>78.260000000000005</v>
      </c>
    </row>
    <row r="23145" spans="1:5" x14ac:dyDescent="0.2">
      <c r="A23145">
        <v>45836</v>
      </c>
      <c r="B23145" t="s">
        <v>41</v>
      </c>
      <c r="C23145">
        <v>45836</v>
      </c>
      <c r="D23145" t="str">
        <f>"45836"</f>
        <v>45836</v>
      </c>
      <c r="E23145">
        <v>69.7</v>
      </c>
    </row>
    <row r="23146" spans="1:5" x14ac:dyDescent="0.2">
      <c r="A23146">
        <v>45838</v>
      </c>
      <c r="B23146" t="s">
        <v>41</v>
      </c>
      <c r="C23146">
        <v>45838</v>
      </c>
      <c r="D23146" t="str">
        <f>"45838"</f>
        <v>45838</v>
      </c>
      <c r="E23146" t="s">
        <v>6</v>
      </c>
    </row>
    <row r="23147" spans="1:5" x14ac:dyDescent="0.2">
      <c r="A23147">
        <v>45840</v>
      </c>
      <c r="B23147" t="s">
        <v>41</v>
      </c>
      <c r="C23147">
        <v>45840</v>
      </c>
      <c r="D23147" t="str">
        <f>"45840"</f>
        <v>45840</v>
      </c>
      <c r="E23147">
        <v>75.62</v>
      </c>
    </row>
    <row r="23148" spans="1:5" x14ac:dyDescent="0.2">
      <c r="A23148">
        <v>45841</v>
      </c>
      <c r="B23148" t="s">
        <v>41</v>
      </c>
      <c r="C23148">
        <v>45841</v>
      </c>
      <c r="D23148" t="str">
        <f>"45841"</f>
        <v>45841</v>
      </c>
      <c r="E23148">
        <v>79.59</v>
      </c>
    </row>
    <row r="23149" spans="1:5" x14ac:dyDescent="0.2">
      <c r="A23149">
        <v>45843</v>
      </c>
      <c r="B23149" t="s">
        <v>41</v>
      </c>
      <c r="C23149">
        <v>45843</v>
      </c>
      <c r="D23149" t="str">
        <f>"45843"</f>
        <v>45843</v>
      </c>
      <c r="E23149">
        <v>73.680000000000007</v>
      </c>
    </row>
    <row r="23150" spans="1:5" x14ac:dyDescent="0.2">
      <c r="A23150">
        <v>45844</v>
      </c>
      <c r="B23150" t="s">
        <v>41</v>
      </c>
      <c r="C23150">
        <v>45844</v>
      </c>
      <c r="D23150" t="str">
        <f>"45844"</f>
        <v>45844</v>
      </c>
      <c r="E23150">
        <v>80.37</v>
      </c>
    </row>
    <row r="23151" spans="1:5" x14ac:dyDescent="0.2">
      <c r="A23151">
        <v>45845</v>
      </c>
      <c r="B23151" t="s">
        <v>41</v>
      </c>
      <c r="C23151">
        <v>45845</v>
      </c>
      <c r="D23151" t="str">
        <f>"45845"</f>
        <v>45845</v>
      </c>
      <c r="E23151">
        <v>81.180000000000007</v>
      </c>
    </row>
    <row r="23152" spans="1:5" x14ac:dyDescent="0.2">
      <c r="A23152">
        <v>45846</v>
      </c>
      <c r="B23152" t="s">
        <v>41</v>
      </c>
      <c r="C23152">
        <v>45846</v>
      </c>
      <c r="D23152" t="str">
        <f>"45846"</f>
        <v>45846</v>
      </c>
      <c r="E23152">
        <v>75.349999999999994</v>
      </c>
    </row>
    <row r="23153" spans="1:5" x14ac:dyDescent="0.2">
      <c r="A23153">
        <v>45849</v>
      </c>
      <c r="B23153" t="s">
        <v>41</v>
      </c>
      <c r="C23153">
        <v>45849</v>
      </c>
      <c r="D23153" t="str">
        <f>"45849"</f>
        <v>45849</v>
      </c>
      <c r="E23153">
        <v>73.08</v>
      </c>
    </row>
    <row r="23154" spans="1:5" x14ac:dyDescent="0.2">
      <c r="A23154">
        <v>45850</v>
      </c>
      <c r="B23154" t="s">
        <v>41</v>
      </c>
      <c r="C23154">
        <v>45850</v>
      </c>
      <c r="D23154" t="str">
        <f>"45850"</f>
        <v>45850</v>
      </c>
      <c r="E23154">
        <v>77.91</v>
      </c>
    </row>
    <row r="23155" spans="1:5" x14ac:dyDescent="0.2">
      <c r="A23155">
        <v>45851</v>
      </c>
      <c r="B23155" t="s">
        <v>41</v>
      </c>
      <c r="C23155">
        <v>45851</v>
      </c>
      <c r="D23155" t="str">
        <f>"45851"</f>
        <v>45851</v>
      </c>
      <c r="E23155">
        <v>78.569999999999993</v>
      </c>
    </row>
    <row r="23156" spans="1:5" x14ac:dyDescent="0.2">
      <c r="A23156">
        <v>45853</v>
      </c>
      <c r="B23156" t="s">
        <v>41</v>
      </c>
      <c r="C23156">
        <v>45853</v>
      </c>
      <c r="D23156" t="str">
        <f>"45853"</f>
        <v>45853</v>
      </c>
      <c r="E23156" t="s">
        <v>6</v>
      </c>
    </row>
    <row r="23157" spans="1:5" x14ac:dyDescent="0.2">
      <c r="A23157">
        <v>45854</v>
      </c>
      <c r="B23157" t="s">
        <v>41</v>
      </c>
      <c r="C23157">
        <v>45854</v>
      </c>
      <c r="D23157" t="str">
        <f>"45854"</f>
        <v>45854</v>
      </c>
      <c r="E23157" t="s">
        <v>6</v>
      </c>
    </row>
    <row r="23158" spans="1:5" x14ac:dyDescent="0.2">
      <c r="A23158">
        <v>45855</v>
      </c>
      <c r="B23158" t="s">
        <v>41</v>
      </c>
      <c r="C23158">
        <v>45855</v>
      </c>
      <c r="D23158" t="str">
        <f>"45855"</f>
        <v>45855</v>
      </c>
      <c r="E23158" t="s">
        <v>6</v>
      </c>
    </row>
    <row r="23159" spans="1:5" x14ac:dyDescent="0.2">
      <c r="A23159">
        <v>45856</v>
      </c>
      <c r="B23159" t="s">
        <v>41</v>
      </c>
      <c r="C23159">
        <v>45856</v>
      </c>
      <c r="D23159" t="str">
        <f>"45856"</f>
        <v>45856</v>
      </c>
      <c r="E23159">
        <v>74.599999999999994</v>
      </c>
    </row>
    <row r="23160" spans="1:5" x14ac:dyDescent="0.2">
      <c r="A23160">
        <v>45858</v>
      </c>
      <c r="B23160" t="s">
        <v>41</v>
      </c>
      <c r="C23160">
        <v>45858</v>
      </c>
      <c r="D23160" t="str">
        <f>"45858"</f>
        <v>45858</v>
      </c>
      <c r="E23160">
        <v>72.19</v>
      </c>
    </row>
    <row r="23161" spans="1:5" x14ac:dyDescent="0.2">
      <c r="A23161">
        <v>45859</v>
      </c>
      <c r="B23161" t="s">
        <v>41</v>
      </c>
      <c r="C23161">
        <v>45859</v>
      </c>
      <c r="D23161" t="str">
        <f>"45859"</f>
        <v>45859</v>
      </c>
      <c r="E23161" t="s">
        <v>6</v>
      </c>
    </row>
    <row r="23162" spans="1:5" x14ac:dyDescent="0.2">
      <c r="A23162">
        <v>45860</v>
      </c>
      <c r="B23162" t="s">
        <v>41</v>
      </c>
      <c r="C23162">
        <v>45860</v>
      </c>
      <c r="D23162" t="str">
        <f>"45860"</f>
        <v>45860</v>
      </c>
      <c r="E23162">
        <v>79.819999999999993</v>
      </c>
    </row>
    <row r="23163" spans="1:5" x14ac:dyDescent="0.2">
      <c r="A23163">
        <v>45861</v>
      </c>
      <c r="B23163" t="s">
        <v>41</v>
      </c>
      <c r="C23163">
        <v>45861</v>
      </c>
      <c r="D23163" t="str">
        <f>"45861"</f>
        <v>45861</v>
      </c>
      <c r="E23163" t="s">
        <v>6</v>
      </c>
    </row>
    <row r="23164" spans="1:5" x14ac:dyDescent="0.2">
      <c r="A23164">
        <v>45862</v>
      </c>
      <c r="B23164" t="s">
        <v>41</v>
      </c>
      <c r="C23164">
        <v>45862</v>
      </c>
      <c r="D23164" t="str">
        <f>"45862"</f>
        <v>45862</v>
      </c>
      <c r="E23164">
        <v>72.06</v>
      </c>
    </row>
    <row r="23165" spans="1:5" x14ac:dyDescent="0.2">
      <c r="A23165">
        <v>45863</v>
      </c>
      <c r="B23165" t="s">
        <v>41</v>
      </c>
      <c r="C23165">
        <v>45863</v>
      </c>
      <c r="D23165" t="str">
        <f>"45863"</f>
        <v>45863</v>
      </c>
      <c r="E23165">
        <v>71.67</v>
      </c>
    </row>
    <row r="23166" spans="1:5" x14ac:dyDescent="0.2">
      <c r="A23166">
        <v>45864</v>
      </c>
      <c r="B23166" t="s">
        <v>41</v>
      </c>
      <c r="C23166">
        <v>45864</v>
      </c>
      <c r="D23166" t="str">
        <f>"45864"</f>
        <v>45864</v>
      </c>
      <c r="E23166" t="s">
        <v>6</v>
      </c>
    </row>
    <row r="23167" spans="1:5" x14ac:dyDescent="0.2">
      <c r="A23167">
        <v>45865</v>
      </c>
      <c r="B23167" t="s">
        <v>41</v>
      </c>
      <c r="C23167">
        <v>45865</v>
      </c>
      <c r="D23167" t="str">
        <f>"45865"</f>
        <v>45865</v>
      </c>
      <c r="E23167">
        <v>81.5</v>
      </c>
    </row>
    <row r="23168" spans="1:5" x14ac:dyDescent="0.2">
      <c r="A23168">
        <v>45866</v>
      </c>
      <c r="B23168" t="s">
        <v>41</v>
      </c>
      <c r="C23168">
        <v>45866</v>
      </c>
      <c r="D23168" t="str">
        <f>"45866"</f>
        <v>45866</v>
      </c>
      <c r="E23168" t="s">
        <v>6</v>
      </c>
    </row>
    <row r="23169" spans="1:5" x14ac:dyDescent="0.2">
      <c r="A23169">
        <v>45867</v>
      </c>
      <c r="B23169" t="s">
        <v>41</v>
      </c>
      <c r="C23169">
        <v>45867</v>
      </c>
      <c r="D23169" t="str">
        <f>"45867"</f>
        <v>45867</v>
      </c>
      <c r="E23169">
        <v>75.41</v>
      </c>
    </row>
    <row r="23170" spans="1:5" x14ac:dyDescent="0.2">
      <c r="A23170">
        <v>45868</v>
      </c>
      <c r="B23170" t="s">
        <v>41</v>
      </c>
      <c r="C23170">
        <v>45868</v>
      </c>
      <c r="D23170" t="str">
        <f>"45868"</f>
        <v>45868</v>
      </c>
      <c r="E23170">
        <v>78.13</v>
      </c>
    </row>
    <row r="23171" spans="1:5" x14ac:dyDescent="0.2">
      <c r="A23171">
        <v>45869</v>
      </c>
      <c r="B23171" t="s">
        <v>41</v>
      </c>
      <c r="C23171">
        <v>45869</v>
      </c>
      <c r="D23171" t="str">
        <f>"45869"</f>
        <v>45869</v>
      </c>
      <c r="E23171">
        <v>80.42</v>
      </c>
    </row>
    <row r="23172" spans="1:5" x14ac:dyDescent="0.2">
      <c r="A23172">
        <v>45870</v>
      </c>
      <c r="B23172" t="s">
        <v>41</v>
      </c>
      <c r="C23172">
        <v>45870</v>
      </c>
      <c r="D23172" t="str">
        <f>"45870"</f>
        <v>45870</v>
      </c>
      <c r="E23172" t="s">
        <v>6</v>
      </c>
    </row>
    <row r="23173" spans="1:5" x14ac:dyDescent="0.2">
      <c r="A23173">
        <v>45871</v>
      </c>
      <c r="B23173" t="s">
        <v>41</v>
      </c>
      <c r="C23173">
        <v>45871</v>
      </c>
      <c r="D23173" t="str">
        <f>"45871"</f>
        <v>45871</v>
      </c>
      <c r="E23173">
        <v>76.19</v>
      </c>
    </row>
    <row r="23174" spans="1:5" x14ac:dyDescent="0.2">
      <c r="A23174">
        <v>45872</v>
      </c>
      <c r="B23174" t="s">
        <v>41</v>
      </c>
      <c r="C23174">
        <v>45872</v>
      </c>
      <c r="D23174" t="str">
        <f>"45872"</f>
        <v>45872</v>
      </c>
      <c r="E23174">
        <v>73.849999999999994</v>
      </c>
    </row>
    <row r="23175" spans="1:5" x14ac:dyDescent="0.2">
      <c r="A23175">
        <v>45873</v>
      </c>
      <c r="B23175" t="s">
        <v>41</v>
      </c>
      <c r="C23175">
        <v>45873</v>
      </c>
      <c r="D23175" t="str">
        <f>"45873"</f>
        <v>45873</v>
      </c>
      <c r="E23175">
        <v>70.27</v>
      </c>
    </row>
    <row r="23176" spans="1:5" x14ac:dyDescent="0.2">
      <c r="A23176">
        <v>45874</v>
      </c>
      <c r="B23176" t="s">
        <v>41</v>
      </c>
      <c r="C23176">
        <v>45874</v>
      </c>
      <c r="D23176" t="str">
        <f>"45874"</f>
        <v>45874</v>
      </c>
      <c r="E23176">
        <v>74.760000000000005</v>
      </c>
    </row>
    <row r="23177" spans="1:5" x14ac:dyDescent="0.2">
      <c r="A23177">
        <v>45875</v>
      </c>
      <c r="B23177" t="s">
        <v>41</v>
      </c>
      <c r="C23177">
        <v>45875</v>
      </c>
      <c r="D23177" t="str">
        <f>"45875"</f>
        <v>45875</v>
      </c>
      <c r="E23177">
        <v>79.349999999999994</v>
      </c>
    </row>
    <row r="23178" spans="1:5" x14ac:dyDescent="0.2">
      <c r="A23178">
        <v>45876</v>
      </c>
      <c r="B23178" t="s">
        <v>41</v>
      </c>
      <c r="C23178">
        <v>45876</v>
      </c>
      <c r="D23178" t="str">
        <f>"45876"</f>
        <v>45876</v>
      </c>
      <c r="E23178" t="s">
        <v>6</v>
      </c>
    </row>
    <row r="23179" spans="1:5" x14ac:dyDescent="0.2">
      <c r="A23179">
        <v>45877</v>
      </c>
      <c r="B23179" t="s">
        <v>41</v>
      </c>
      <c r="C23179">
        <v>45877</v>
      </c>
      <c r="D23179" t="str">
        <f>"45877"</f>
        <v>45877</v>
      </c>
      <c r="E23179">
        <v>75</v>
      </c>
    </row>
    <row r="23180" spans="1:5" x14ac:dyDescent="0.2">
      <c r="A23180">
        <v>45879</v>
      </c>
      <c r="B23180" t="s">
        <v>41</v>
      </c>
      <c r="C23180">
        <v>45879</v>
      </c>
      <c r="D23180" t="str">
        <f>"45879"</f>
        <v>45879</v>
      </c>
      <c r="E23180">
        <v>73.099999999999994</v>
      </c>
    </row>
    <row r="23181" spans="1:5" x14ac:dyDescent="0.2">
      <c r="A23181">
        <v>45880</v>
      </c>
      <c r="B23181" t="s">
        <v>41</v>
      </c>
      <c r="C23181">
        <v>45880</v>
      </c>
      <c r="D23181" t="str">
        <f>"45880"</f>
        <v>45880</v>
      </c>
      <c r="E23181">
        <v>76.319999999999993</v>
      </c>
    </row>
    <row r="23182" spans="1:5" x14ac:dyDescent="0.2">
      <c r="A23182">
        <v>45881</v>
      </c>
      <c r="B23182" t="s">
        <v>41</v>
      </c>
      <c r="C23182">
        <v>45881</v>
      </c>
      <c r="D23182" t="str">
        <f>"45881"</f>
        <v>45881</v>
      </c>
      <c r="E23182">
        <v>73.849999999999994</v>
      </c>
    </row>
    <row r="23183" spans="1:5" x14ac:dyDescent="0.2">
      <c r="A23183">
        <v>45882</v>
      </c>
      <c r="B23183" t="s">
        <v>41</v>
      </c>
      <c r="C23183">
        <v>45882</v>
      </c>
      <c r="D23183" t="str">
        <f>"45882"</f>
        <v>45882</v>
      </c>
      <c r="E23183">
        <v>75.17</v>
      </c>
    </row>
    <row r="23184" spans="1:5" x14ac:dyDescent="0.2">
      <c r="A23184">
        <v>45883</v>
      </c>
      <c r="B23184" t="s">
        <v>41</v>
      </c>
      <c r="C23184">
        <v>45883</v>
      </c>
      <c r="D23184" t="str">
        <f>"45883"</f>
        <v>45883</v>
      </c>
      <c r="E23184">
        <v>80.400000000000006</v>
      </c>
    </row>
    <row r="23185" spans="1:5" x14ac:dyDescent="0.2">
      <c r="A23185">
        <v>45884</v>
      </c>
      <c r="B23185" t="s">
        <v>41</v>
      </c>
      <c r="C23185">
        <v>45884</v>
      </c>
      <c r="D23185" t="str">
        <f>"45884"</f>
        <v>45884</v>
      </c>
      <c r="E23185" t="s">
        <v>6</v>
      </c>
    </row>
    <row r="23186" spans="1:5" x14ac:dyDescent="0.2">
      <c r="A23186">
        <v>45885</v>
      </c>
      <c r="B23186" t="s">
        <v>41</v>
      </c>
      <c r="C23186">
        <v>45885</v>
      </c>
      <c r="D23186" t="str">
        <f>"45885"</f>
        <v>45885</v>
      </c>
      <c r="E23186">
        <v>76.37</v>
      </c>
    </row>
    <row r="23187" spans="1:5" x14ac:dyDescent="0.2">
      <c r="A23187">
        <v>45886</v>
      </c>
      <c r="B23187" t="s">
        <v>41</v>
      </c>
      <c r="C23187">
        <v>45886</v>
      </c>
      <c r="D23187" t="str">
        <f>"45886"</f>
        <v>45886</v>
      </c>
      <c r="E23187">
        <v>68</v>
      </c>
    </row>
    <row r="23188" spans="1:5" x14ac:dyDescent="0.2">
      <c r="A23188">
        <v>45887</v>
      </c>
      <c r="B23188" t="s">
        <v>41</v>
      </c>
      <c r="C23188">
        <v>45887</v>
      </c>
      <c r="D23188" t="str">
        <f>"45887"</f>
        <v>45887</v>
      </c>
      <c r="E23188">
        <v>73.95</v>
      </c>
    </row>
    <row r="23189" spans="1:5" x14ac:dyDescent="0.2">
      <c r="A23189">
        <v>45888</v>
      </c>
      <c r="B23189" t="s">
        <v>41</v>
      </c>
      <c r="C23189">
        <v>45888</v>
      </c>
      <c r="D23189" t="str">
        <f>"45888"</f>
        <v>45888</v>
      </c>
      <c r="E23189" t="s">
        <v>6</v>
      </c>
    </row>
    <row r="23190" spans="1:5" x14ac:dyDescent="0.2">
      <c r="A23190">
        <v>45889</v>
      </c>
      <c r="B23190" t="s">
        <v>41</v>
      </c>
      <c r="C23190">
        <v>45889</v>
      </c>
      <c r="D23190" t="str">
        <f>"45889"</f>
        <v>45889</v>
      </c>
      <c r="E23190">
        <v>79.22</v>
      </c>
    </row>
    <row r="23191" spans="1:5" x14ac:dyDescent="0.2">
      <c r="A23191">
        <v>45890</v>
      </c>
      <c r="B23191" t="s">
        <v>41</v>
      </c>
      <c r="C23191">
        <v>45890</v>
      </c>
      <c r="D23191" t="str">
        <f>"45890"</f>
        <v>45890</v>
      </c>
      <c r="E23191">
        <v>78.13</v>
      </c>
    </row>
    <row r="23192" spans="1:5" x14ac:dyDescent="0.2">
      <c r="A23192">
        <v>45891</v>
      </c>
      <c r="B23192" t="s">
        <v>41</v>
      </c>
      <c r="C23192">
        <v>45891</v>
      </c>
      <c r="D23192" t="str">
        <f>"45891"</f>
        <v>45891</v>
      </c>
      <c r="E23192">
        <v>71.849999999999994</v>
      </c>
    </row>
    <row r="23193" spans="1:5" x14ac:dyDescent="0.2">
      <c r="A23193">
        <v>45893</v>
      </c>
      <c r="B23193" t="s">
        <v>41</v>
      </c>
      <c r="C23193">
        <v>45893</v>
      </c>
      <c r="D23193" t="str">
        <f>"45893"</f>
        <v>45893</v>
      </c>
      <c r="E23193" t="s">
        <v>6</v>
      </c>
    </row>
    <row r="23194" spans="1:5" x14ac:dyDescent="0.2">
      <c r="A23194">
        <v>45894</v>
      </c>
      <c r="B23194" t="s">
        <v>41</v>
      </c>
      <c r="C23194">
        <v>45894</v>
      </c>
      <c r="D23194" t="str">
        <f>"45894"</f>
        <v>45894</v>
      </c>
      <c r="E23194">
        <v>75.760000000000005</v>
      </c>
    </row>
    <row r="23195" spans="1:5" x14ac:dyDescent="0.2">
      <c r="A23195">
        <v>45895</v>
      </c>
      <c r="B23195" t="s">
        <v>41</v>
      </c>
      <c r="C23195">
        <v>45895</v>
      </c>
      <c r="D23195" t="str">
        <f>"45895"</f>
        <v>45895</v>
      </c>
      <c r="E23195">
        <v>77.150000000000006</v>
      </c>
    </row>
    <row r="23196" spans="1:5" x14ac:dyDescent="0.2">
      <c r="A23196">
        <v>45896</v>
      </c>
      <c r="B23196" t="s">
        <v>41</v>
      </c>
      <c r="C23196">
        <v>45896</v>
      </c>
      <c r="D23196" t="str">
        <f>"45896"</f>
        <v>45896</v>
      </c>
      <c r="E23196">
        <v>72.73</v>
      </c>
    </row>
    <row r="23197" spans="1:5" x14ac:dyDescent="0.2">
      <c r="A23197">
        <v>45897</v>
      </c>
      <c r="B23197" t="s">
        <v>41</v>
      </c>
      <c r="C23197">
        <v>45897</v>
      </c>
      <c r="D23197" t="str">
        <f>"45897"</f>
        <v>45897</v>
      </c>
      <c r="E23197" t="s">
        <v>6</v>
      </c>
    </row>
    <row r="23198" spans="1:5" x14ac:dyDescent="0.2">
      <c r="A23198">
        <v>45898</v>
      </c>
      <c r="B23198" t="s">
        <v>41</v>
      </c>
      <c r="C23198">
        <v>45898</v>
      </c>
      <c r="D23198" t="str">
        <f>"45898"</f>
        <v>45898</v>
      </c>
      <c r="E23198">
        <v>68.42</v>
      </c>
    </row>
    <row r="23199" spans="1:5" x14ac:dyDescent="0.2">
      <c r="A23199">
        <v>45899</v>
      </c>
      <c r="B23199" t="s">
        <v>41</v>
      </c>
      <c r="C23199">
        <v>45899</v>
      </c>
      <c r="D23199" t="str">
        <f>"45899"</f>
        <v>45899</v>
      </c>
      <c r="E23199" t="s">
        <v>6</v>
      </c>
    </row>
    <row r="23200" spans="1:5" x14ac:dyDescent="0.2">
      <c r="A23200">
        <v>73002</v>
      </c>
      <c r="B23200" t="s">
        <v>42</v>
      </c>
      <c r="C23200">
        <v>73002</v>
      </c>
      <c r="D23200" t="str">
        <f>"73002"</f>
        <v>73002</v>
      </c>
      <c r="E23200">
        <v>69.05</v>
      </c>
    </row>
    <row r="23201" spans="1:5" x14ac:dyDescent="0.2">
      <c r="A23201">
        <v>73003</v>
      </c>
      <c r="B23201" t="s">
        <v>42</v>
      </c>
      <c r="C23201">
        <v>73003</v>
      </c>
      <c r="D23201" t="str">
        <f>"73003"</f>
        <v>73003</v>
      </c>
      <c r="E23201">
        <v>73.89</v>
      </c>
    </row>
    <row r="23202" spans="1:5" x14ac:dyDescent="0.2">
      <c r="A23202">
        <v>73004</v>
      </c>
      <c r="B23202" t="s">
        <v>42</v>
      </c>
      <c r="C23202">
        <v>73004</v>
      </c>
      <c r="D23202" t="str">
        <f>"73004"</f>
        <v>73004</v>
      </c>
      <c r="E23202">
        <v>72.97</v>
      </c>
    </row>
    <row r="23203" spans="1:5" x14ac:dyDescent="0.2">
      <c r="A23203">
        <v>73005</v>
      </c>
      <c r="B23203" t="s">
        <v>42</v>
      </c>
      <c r="C23203">
        <v>73005</v>
      </c>
      <c r="D23203" t="str">
        <f>"73005"</f>
        <v>73005</v>
      </c>
      <c r="E23203">
        <v>60.06</v>
      </c>
    </row>
    <row r="23204" spans="1:5" x14ac:dyDescent="0.2">
      <c r="A23204">
        <v>73006</v>
      </c>
      <c r="B23204" t="s">
        <v>42</v>
      </c>
      <c r="C23204">
        <v>73006</v>
      </c>
      <c r="D23204" t="str">
        <f>"73006"</f>
        <v>73006</v>
      </c>
      <c r="E23204">
        <v>66.42</v>
      </c>
    </row>
    <row r="23205" spans="1:5" x14ac:dyDescent="0.2">
      <c r="A23205">
        <v>73007</v>
      </c>
      <c r="B23205" t="s">
        <v>42</v>
      </c>
      <c r="C23205">
        <v>73007</v>
      </c>
      <c r="D23205" t="str">
        <f>"73007"</f>
        <v>73007</v>
      </c>
      <c r="E23205">
        <v>77.48</v>
      </c>
    </row>
    <row r="23206" spans="1:5" x14ac:dyDescent="0.2">
      <c r="A23206">
        <v>73008</v>
      </c>
      <c r="B23206" t="s">
        <v>42</v>
      </c>
      <c r="C23206">
        <v>73008</v>
      </c>
      <c r="D23206" t="str">
        <f>"73008"</f>
        <v>73008</v>
      </c>
      <c r="E23206">
        <v>65.56</v>
      </c>
    </row>
    <row r="23207" spans="1:5" x14ac:dyDescent="0.2">
      <c r="A23207">
        <v>73009</v>
      </c>
      <c r="B23207" t="s">
        <v>42</v>
      </c>
      <c r="C23207">
        <v>73009</v>
      </c>
      <c r="D23207" t="str">
        <f>"73009"</f>
        <v>73009</v>
      </c>
      <c r="E23207">
        <v>66.67</v>
      </c>
    </row>
    <row r="23208" spans="1:5" x14ac:dyDescent="0.2">
      <c r="A23208">
        <v>73010</v>
      </c>
      <c r="B23208" t="s">
        <v>42</v>
      </c>
      <c r="C23208">
        <v>73010</v>
      </c>
      <c r="D23208" t="str">
        <f>"73010"</f>
        <v>73010</v>
      </c>
      <c r="E23208">
        <v>75.72</v>
      </c>
    </row>
    <row r="23209" spans="1:5" x14ac:dyDescent="0.2">
      <c r="A23209">
        <v>73011</v>
      </c>
      <c r="B23209" t="s">
        <v>42</v>
      </c>
      <c r="C23209">
        <v>73011</v>
      </c>
      <c r="D23209" t="str">
        <f>"73011"</f>
        <v>73011</v>
      </c>
      <c r="E23209">
        <v>66.67</v>
      </c>
    </row>
    <row r="23210" spans="1:5" x14ac:dyDescent="0.2">
      <c r="A23210">
        <v>73012</v>
      </c>
      <c r="B23210" t="s">
        <v>42</v>
      </c>
      <c r="C23210">
        <v>73012</v>
      </c>
      <c r="D23210" t="str">
        <f>"73012"</f>
        <v>73012</v>
      </c>
      <c r="E23210">
        <v>79.989999999999995</v>
      </c>
    </row>
    <row r="23211" spans="1:5" x14ac:dyDescent="0.2">
      <c r="A23211">
        <v>73013</v>
      </c>
      <c r="B23211" t="s">
        <v>42</v>
      </c>
      <c r="C23211">
        <v>73013</v>
      </c>
      <c r="D23211" t="str">
        <f>"73013"</f>
        <v>73013</v>
      </c>
      <c r="E23211">
        <v>78.48</v>
      </c>
    </row>
    <row r="23212" spans="1:5" x14ac:dyDescent="0.2">
      <c r="A23212">
        <v>73014</v>
      </c>
      <c r="B23212" t="s">
        <v>42</v>
      </c>
      <c r="C23212">
        <v>73014</v>
      </c>
      <c r="D23212" t="str">
        <f>"73014"</f>
        <v>73014</v>
      </c>
      <c r="E23212">
        <v>73.02</v>
      </c>
    </row>
    <row r="23213" spans="1:5" x14ac:dyDescent="0.2">
      <c r="A23213">
        <v>73015</v>
      </c>
      <c r="B23213" t="s">
        <v>42</v>
      </c>
      <c r="C23213">
        <v>73015</v>
      </c>
      <c r="D23213" t="str">
        <f>"73015"</f>
        <v>73015</v>
      </c>
      <c r="E23213">
        <v>56.44</v>
      </c>
    </row>
    <row r="23214" spans="1:5" x14ac:dyDescent="0.2">
      <c r="A23214">
        <v>73016</v>
      </c>
      <c r="B23214" t="s">
        <v>42</v>
      </c>
      <c r="C23214">
        <v>73016</v>
      </c>
      <c r="D23214" t="str">
        <f>"73016"</f>
        <v>73016</v>
      </c>
      <c r="E23214">
        <v>74.069999999999993</v>
      </c>
    </row>
    <row r="23215" spans="1:5" x14ac:dyDescent="0.2">
      <c r="A23215">
        <v>73017</v>
      </c>
      <c r="B23215" t="s">
        <v>42</v>
      </c>
      <c r="C23215">
        <v>73017</v>
      </c>
      <c r="D23215" t="str">
        <f>"73017"</f>
        <v>73017</v>
      </c>
      <c r="E23215">
        <v>63.93</v>
      </c>
    </row>
    <row r="23216" spans="1:5" x14ac:dyDescent="0.2">
      <c r="A23216">
        <v>73018</v>
      </c>
      <c r="B23216" t="s">
        <v>42</v>
      </c>
      <c r="C23216">
        <v>73018</v>
      </c>
      <c r="D23216" t="str">
        <f>"73018"</f>
        <v>73018</v>
      </c>
      <c r="E23216">
        <v>66.62</v>
      </c>
    </row>
    <row r="23217" spans="1:5" x14ac:dyDescent="0.2">
      <c r="A23217">
        <v>73019</v>
      </c>
      <c r="B23217" t="s">
        <v>42</v>
      </c>
      <c r="C23217">
        <v>73019</v>
      </c>
      <c r="D23217" t="str">
        <f>"73019"</f>
        <v>73019</v>
      </c>
      <c r="E23217" t="s">
        <v>6</v>
      </c>
    </row>
    <row r="23218" spans="1:5" x14ac:dyDescent="0.2">
      <c r="A23218">
        <v>73020</v>
      </c>
      <c r="B23218" t="s">
        <v>42</v>
      </c>
      <c r="C23218">
        <v>73020</v>
      </c>
      <c r="D23218" t="str">
        <f>"73020"</f>
        <v>73020</v>
      </c>
      <c r="E23218">
        <v>78.069999999999993</v>
      </c>
    </row>
    <row r="23219" spans="1:5" x14ac:dyDescent="0.2">
      <c r="A23219">
        <v>73021</v>
      </c>
      <c r="B23219" t="s">
        <v>42</v>
      </c>
      <c r="C23219">
        <v>73021</v>
      </c>
      <c r="D23219" t="str">
        <f>"73021"</f>
        <v>73021</v>
      </c>
      <c r="E23219">
        <v>69.23</v>
      </c>
    </row>
    <row r="23220" spans="1:5" x14ac:dyDescent="0.2">
      <c r="A23220">
        <v>73022</v>
      </c>
      <c r="B23220" t="s">
        <v>42</v>
      </c>
      <c r="C23220">
        <v>73022</v>
      </c>
      <c r="D23220" t="str">
        <f>"73022"</f>
        <v>73022</v>
      </c>
      <c r="E23220" t="s">
        <v>6</v>
      </c>
    </row>
    <row r="23221" spans="1:5" x14ac:dyDescent="0.2">
      <c r="A23221">
        <v>73024</v>
      </c>
      <c r="B23221" t="s">
        <v>42</v>
      </c>
      <c r="C23221">
        <v>73024</v>
      </c>
      <c r="D23221" t="str">
        <f>"73024"</f>
        <v>73024</v>
      </c>
      <c r="E23221">
        <v>67.86</v>
      </c>
    </row>
    <row r="23222" spans="1:5" x14ac:dyDescent="0.2">
      <c r="A23222">
        <v>73025</v>
      </c>
      <c r="B23222" t="s">
        <v>42</v>
      </c>
      <c r="C23222">
        <v>73025</v>
      </c>
      <c r="D23222" t="str">
        <f>"73025"</f>
        <v>73025</v>
      </c>
      <c r="E23222">
        <v>79.77</v>
      </c>
    </row>
    <row r="23223" spans="1:5" x14ac:dyDescent="0.2">
      <c r="A23223">
        <v>73026</v>
      </c>
      <c r="B23223" t="s">
        <v>42</v>
      </c>
      <c r="C23223">
        <v>73026</v>
      </c>
      <c r="D23223" t="str">
        <f>"73026"</f>
        <v>73026</v>
      </c>
      <c r="E23223">
        <v>75.98</v>
      </c>
    </row>
    <row r="23224" spans="1:5" x14ac:dyDescent="0.2">
      <c r="A23224">
        <v>73027</v>
      </c>
      <c r="B23224" t="s">
        <v>42</v>
      </c>
      <c r="C23224">
        <v>73027</v>
      </c>
      <c r="D23224" t="str">
        <f>"73027"</f>
        <v>73027</v>
      </c>
      <c r="E23224">
        <v>68.290000000000006</v>
      </c>
    </row>
    <row r="23225" spans="1:5" x14ac:dyDescent="0.2">
      <c r="A23225">
        <v>73028</v>
      </c>
      <c r="B23225" t="s">
        <v>42</v>
      </c>
      <c r="C23225">
        <v>73028</v>
      </c>
      <c r="D23225" t="str">
        <f>"73028"</f>
        <v>73028</v>
      </c>
      <c r="E23225">
        <v>70.150000000000006</v>
      </c>
    </row>
    <row r="23226" spans="1:5" x14ac:dyDescent="0.2">
      <c r="A23226">
        <v>73029</v>
      </c>
      <c r="B23226" t="s">
        <v>42</v>
      </c>
      <c r="C23226">
        <v>73029</v>
      </c>
      <c r="D23226" t="str">
        <f>"73029"</f>
        <v>73029</v>
      </c>
      <c r="E23226">
        <v>70.31</v>
      </c>
    </row>
    <row r="23227" spans="1:5" x14ac:dyDescent="0.2">
      <c r="A23227">
        <v>73030</v>
      </c>
      <c r="B23227" t="s">
        <v>42</v>
      </c>
      <c r="C23227">
        <v>73030</v>
      </c>
      <c r="D23227" t="str">
        <f>"73030"</f>
        <v>73030</v>
      </c>
      <c r="E23227">
        <v>68.72</v>
      </c>
    </row>
    <row r="23228" spans="1:5" x14ac:dyDescent="0.2">
      <c r="A23228">
        <v>73032</v>
      </c>
      <c r="B23228" t="s">
        <v>42</v>
      </c>
      <c r="C23228">
        <v>73032</v>
      </c>
      <c r="D23228" t="str">
        <f>"73032"</f>
        <v>73032</v>
      </c>
      <c r="E23228" t="s">
        <v>6</v>
      </c>
    </row>
    <row r="23229" spans="1:5" x14ac:dyDescent="0.2">
      <c r="A23229">
        <v>73033</v>
      </c>
      <c r="B23229" t="s">
        <v>42</v>
      </c>
      <c r="C23229">
        <v>73033</v>
      </c>
      <c r="D23229" t="str">
        <f>"73033"</f>
        <v>73033</v>
      </c>
      <c r="E23229" t="s">
        <v>6</v>
      </c>
    </row>
    <row r="23230" spans="1:5" x14ac:dyDescent="0.2">
      <c r="A23230">
        <v>73034</v>
      </c>
      <c r="B23230" t="s">
        <v>42</v>
      </c>
      <c r="C23230">
        <v>73034</v>
      </c>
      <c r="D23230" t="str">
        <f>"73034"</f>
        <v>73034</v>
      </c>
      <c r="E23230">
        <v>76.510000000000005</v>
      </c>
    </row>
    <row r="23231" spans="1:5" x14ac:dyDescent="0.2">
      <c r="A23231">
        <v>73036</v>
      </c>
      <c r="B23231" t="s">
        <v>42</v>
      </c>
      <c r="C23231">
        <v>73036</v>
      </c>
      <c r="D23231" t="str">
        <f>"73036"</f>
        <v>73036</v>
      </c>
      <c r="E23231">
        <v>69.08</v>
      </c>
    </row>
    <row r="23232" spans="1:5" x14ac:dyDescent="0.2">
      <c r="A23232">
        <v>73038</v>
      </c>
      <c r="B23232" t="s">
        <v>42</v>
      </c>
      <c r="C23232">
        <v>73038</v>
      </c>
      <c r="D23232" t="str">
        <f>"73038"</f>
        <v>73038</v>
      </c>
      <c r="E23232">
        <v>64.38</v>
      </c>
    </row>
    <row r="23233" spans="1:5" x14ac:dyDescent="0.2">
      <c r="A23233">
        <v>73040</v>
      </c>
      <c r="B23233" t="s">
        <v>42</v>
      </c>
      <c r="C23233">
        <v>73040</v>
      </c>
      <c r="D23233" t="str">
        <f>"73040"</f>
        <v>73040</v>
      </c>
      <c r="E23233">
        <v>67.739999999999995</v>
      </c>
    </row>
    <row r="23234" spans="1:5" x14ac:dyDescent="0.2">
      <c r="A23234">
        <v>73041</v>
      </c>
      <c r="B23234" t="s">
        <v>42</v>
      </c>
      <c r="C23234">
        <v>73041</v>
      </c>
      <c r="D23234" t="str">
        <f>"73041"</f>
        <v>73041</v>
      </c>
      <c r="E23234">
        <v>72.73</v>
      </c>
    </row>
    <row r="23235" spans="1:5" x14ac:dyDescent="0.2">
      <c r="A23235">
        <v>73042</v>
      </c>
      <c r="B23235" t="s">
        <v>42</v>
      </c>
      <c r="C23235">
        <v>73042</v>
      </c>
      <c r="D23235" t="str">
        <f>"73042"</f>
        <v>73042</v>
      </c>
      <c r="E23235">
        <v>66.67</v>
      </c>
    </row>
    <row r="23236" spans="1:5" x14ac:dyDescent="0.2">
      <c r="A23236">
        <v>73043</v>
      </c>
      <c r="B23236" t="s">
        <v>42</v>
      </c>
      <c r="C23236">
        <v>73043</v>
      </c>
      <c r="D23236" t="str">
        <f>"73043"</f>
        <v>73043</v>
      </c>
      <c r="E23236" t="s">
        <v>6</v>
      </c>
    </row>
    <row r="23237" spans="1:5" x14ac:dyDescent="0.2">
      <c r="A23237">
        <v>73044</v>
      </c>
      <c r="B23237" t="s">
        <v>42</v>
      </c>
      <c r="C23237">
        <v>73044</v>
      </c>
      <c r="D23237" t="str">
        <f>"73044"</f>
        <v>73044</v>
      </c>
      <c r="E23237">
        <v>69.959999999999994</v>
      </c>
    </row>
    <row r="23238" spans="1:5" x14ac:dyDescent="0.2">
      <c r="A23238">
        <v>73045</v>
      </c>
      <c r="B23238" t="s">
        <v>42</v>
      </c>
      <c r="C23238">
        <v>73045</v>
      </c>
      <c r="D23238" t="str">
        <f>"73045"</f>
        <v>73045</v>
      </c>
      <c r="E23238">
        <v>73.069999999999993</v>
      </c>
    </row>
    <row r="23239" spans="1:5" x14ac:dyDescent="0.2">
      <c r="A23239">
        <v>73047</v>
      </c>
      <c r="B23239" t="s">
        <v>42</v>
      </c>
      <c r="C23239">
        <v>73047</v>
      </c>
      <c r="D23239" t="str">
        <f>"73047"</f>
        <v>73047</v>
      </c>
      <c r="E23239">
        <v>70.150000000000006</v>
      </c>
    </row>
    <row r="23240" spans="1:5" x14ac:dyDescent="0.2">
      <c r="A23240">
        <v>73048</v>
      </c>
      <c r="B23240" t="s">
        <v>42</v>
      </c>
      <c r="C23240">
        <v>73048</v>
      </c>
      <c r="D23240" t="str">
        <f>"73048"</f>
        <v>73048</v>
      </c>
      <c r="E23240">
        <v>73.260000000000005</v>
      </c>
    </row>
    <row r="23241" spans="1:5" x14ac:dyDescent="0.2">
      <c r="A23241">
        <v>73049</v>
      </c>
      <c r="B23241" t="s">
        <v>42</v>
      </c>
      <c r="C23241">
        <v>73049</v>
      </c>
      <c r="D23241" t="str">
        <f>"73049"</f>
        <v>73049</v>
      </c>
      <c r="E23241">
        <v>73.63</v>
      </c>
    </row>
    <row r="23242" spans="1:5" x14ac:dyDescent="0.2">
      <c r="A23242">
        <v>73050</v>
      </c>
      <c r="B23242" t="s">
        <v>42</v>
      </c>
      <c r="C23242">
        <v>73050</v>
      </c>
      <c r="D23242" t="str">
        <f>"73050"</f>
        <v>73050</v>
      </c>
      <c r="E23242" t="s">
        <v>6</v>
      </c>
    </row>
    <row r="23243" spans="1:5" x14ac:dyDescent="0.2">
      <c r="A23243">
        <v>73051</v>
      </c>
      <c r="B23243" t="s">
        <v>42</v>
      </c>
      <c r="C23243">
        <v>73051</v>
      </c>
      <c r="D23243" t="str">
        <f>"73051"</f>
        <v>73051</v>
      </c>
      <c r="E23243">
        <v>66.900000000000006</v>
      </c>
    </row>
    <row r="23244" spans="1:5" x14ac:dyDescent="0.2">
      <c r="A23244">
        <v>73052</v>
      </c>
      <c r="B23244" t="s">
        <v>42</v>
      </c>
      <c r="C23244">
        <v>73052</v>
      </c>
      <c r="D23244" t="str">
        <f>"73052"</f>
        <v>73052</v>
      </c>
      <c r="E23244">
        <v>68.98</v>
      </c>
    </row>
    <row r="23245" spans="1:5" x14ac:dyDescent="0.2">
      <c r="A23245">
        <v>73053</v>
      </c>
      <c r="B23245" t="s">
        <v>42</v>
      </c>
      <c r="C23245">
        <v>73053</v>
      </c>
      <c r="D23245" t="str">
        <f>"73053"</f>
        <v>73053</v>
      </c>
      <c r="E23245">
        <v>67.86</v>
      </c>
    </row>
    <row r="23246" spans="1:5" x14ac:dyDescent="0.2">
      <c r="A23246">
        <v>73054</v>
      </c>
      <c r="B23246" t="s">
        <v>42</v>
      </c>
      <c r="C23246">
        <v>73054</v>
      </c>
      <c r="D23246" t="str">
        <f>"73054"</f>
        <v>73054</v>
      </c>
      <c r="E23246">
        <v>68.48</v>
      </c>
    </row>
    <row r="23247" spans="1:5" x14ac:dyDescent="0.2">
      <c r="A23247">
        <v>73055</v>
      </c>
      <c r="B23247" t="s">
        <v>42</v>
      </c>
      <c r="C23247">
        <v>73055</v>
      </c>
      <c r="D23247" t="str">
        <f>"73055"</f>
        <v>73055</v>
      </c>
      <c r="E23247">
        <v>68.78</v>
      </c>
    </row>
    <row r="23248" spans="1:5" x14ac:dyDescent="0.2">
      <c r="A23248">
        <v>73056</v>
      </c>
      <c r="B23248" t="s">
        <v>42</v>
      </c>
      <c r="C23248">
        <v>73056</v>
      </c>
      <c r="D23248" t="str">
        <f>"73056"</f>
        <v>73056</v>
      </c>
      <c r="E23248">
        <v>66.67</v>
      </c>
    </row>
    <row r="23249" spans="1:5" x14ac:dyDescent="0.2">
      <c r="A23249">
        <v>73057</v>
      </c>
      <c r="B23249" t="s">
        <v>42</v>
      </c>
      <c r="C23249">
        <v>73057</v>
      </c>
      <c r="D23249" t="str">
        <f>"73057"</f>
        <v>73057</v>
      </c>
      <c r="E23249">
        <v>67.06</v>
      </c>
    </row>
    <row r="23250" spans="1:5" x14ac:dyDescent="0.2">
      <c r="A23250">
        <v>73058</v>
      </c>
      <c r="B23250" t="s">
        <v>42</v>
      </c>
      <c r="C23250">
        <v>73058</v>
      </c>
      <c r="D23250" t="str">
        <f>"73058"</f>
        <v>73058</v>
      </c>
      <c r="E23250">
        <v>76.92</v>
      </c>
    </row>
    <row r="23251" spans="1:5" x14ac:dyDescent="0.2">
      <c r="A23251">
        <v>73059</v>
      </c>
      <c r="B23251" t="s">
        <v>42</v>
      </c>
      <c r="C23251">
        <v>73059</v>
      </c>
      <c r="D23251" t="str">
        <f>"73059"</f>
        <v>73059</v>
      </c>
      <c r="E23251">
        <v>72.88</v>
      </c>
    </row>
    <row r="23252" spans="1:5" x14ac:dyDescent="0.2">
      <c r="A23252">
        <v>73061</v>
      </c>
      <c r="B23252" t="s">
        <v>42</v>
      </c>
      <c r="C23252">
        <v>73061</v>
      </c>
      <c r="D23252" t="str">
        <f>"73061"</f>
        <v>73061</v>
      </c>
      <c r="E23252">
        <v>74.239999999999995</v>
      </c>
    </row>
    <row r="23253" spans="1:5" x14ac:dyDescent="0.2">
      <c r="A23253">
        <v>73062</v>
      </c>
      <c r="B23253" t="s">
        <v>42</v>
      </c>
      <c r="C23253">
        <v>73062</v>
      </c>
      <c r="D23253" t="str">
        <f>"73062"</f>
        <v>73062</v>
      </c>
      <c r="E23253">
        <v>62.5</v>
      </c>
    </row>
    <row r="23254" spans="1:5" x14ac:dyDescent="0.2">
      <c r="A23254">
        <v>73063</v>
      </c>
      <c r="B23254" t="s">
        <v>42</v>
      </c>
      <c r="C23254">
        <v>73063</v>
      </c>
      <c r="D23254" t="str">
        <f>"73063"</f>
        <v>73063</v>
      </c>
      <c r="E23254">
        <v>73.33</v>
      </c>
    </row>
    <row r="23255" spans="1:5" x14ac:dyDescent="0.2">
      <c r="A23255">
        <v>73064</v>
      </c>
      <c r="B23255" t="s">
        <v>42</v>
      </c>
      <c r="C23255">
        <v>73064</v>
      </c>
      <c r="D23255" t="str">
        <f>"73064"</f>
        <v>73064</v>
      </c>
      <c r="E23255">
        <v>77.38</v>
      </c>
    </row>
    <row r="23256" spans="1:5" x14ac:dyDescent="0.2">
      <c r="A23256">
        <v>73065</v>
      </c>
      <c r="B23256" t="s">
        <v>42</v>
      </c>
      <c r="C23256">
        <v>73065</v>
      </c>
      <c r="D23256" t="str">
        <f>"73065"</f>
        <v>73065</v>
      </c>
      <c r="E23256">
        <v>77.239999999999995</v>
      </c>
    </row>
    <row r="23257" spans="1:5" x14ac:dyDescent="0.2">
      <c r="A23257">
        <v>73067</v>
      </c>
      <c r="B23257" t="s">
        <v>42</v>
      </c>
      <c r="C23257">
        <v>73067</v>
      </c>
      <c r="D23257" t="str">
        <f>"73067"</f>
        <v>73067</v>
      </c>
      <c r="E23257">
        <v>68.12</v>
      </c>
    </row>
    <row r="23258" spans="1:5" x14ac:dyDescent="0.2">
      <c r="A23258">
        <v>73068</v>
      </c>
      <c r="B23258" t="s">
        <v>42</v>
      </c>
      <c r="C23258">
        <v>73068</v>
      </c>
      <c r="D23258" t="str">
        <f>"73068"</f>
        <v>73068</v>
      </c>
      <c r="E23258">
        <v>68.8</v>
      </c>
    </row>
    <row r="23259" spans="1:5" x14ac:dyDescent="0.2">
      <c r="A23259">
        <v>73069</v>
      </c>
      <c r="B23259" t="s">
        <v>42</v>
      </c>
      <c r="C23259">
        <v>73069</v>
      </c>
      <c r="D23259" t="str">
        <f>"73069"</f>
        <v>73069</v>
      </c>
      <c r="E23259">
        <v>71.930000000000007</v>
      </c>
    </row>
    <row r="23260" spans="1:5" x14ac:dyDescent="0.2">
      <c r="A23260">
        <v>73071</v>
      </c>
      <c r="B23260" t="s">
        <v>42</v>
      </c>
      <c r="C23260">
        <v>73071</v>
      </c>
      <c r="D23260" t="str">
        <f>"73071"</f>
        <v>73071</v>
      </c>
      <c r="E23260">
        <v>69.849999999999994</v>
      </c>
    </row>
    <row r="23261" spans="1:5" x14ac:dyDescent="0.2">
      <c r="A23261">
        <v>73072</v>
      </c>
      <c r="B23261" t="s">
        <v>42</v>
      </c>
      <c r="C23261">
        <v>73072</v>
      </c>
      <c r="D23261" t="str">
        <f>"73072"</f>
        <v>73072</v>
      </c>
      <c r="E23261">
        <v>76.180000000000007</v>
      </c>
    </row>
    <row r="23262" spans="1:5" x14ac:dyDescent="0.2">
      <c r="A23262">
        <v>73073</v>
      </c>
      <c r="B23262" t="s">
        <v>42</v>
      </c>
      <c r="C23262">
        <v>73073</v>
      </c>
      <c r="D23262" t="str">
        <f>"73073"</f>
        <v>73073</v>
      </c>
      <c r="E23262">
        <v>70.83</v>
      </c>
    </row>
    <row r="23263" spans="1:5" x14ac:dyDescent="0.2">
      <c r="A23263">
        <v>73074</v>
      </c>
      <c r="B23263" t="s">
        <v>42</v>
      </c>
      <c r="C23263">
        <v>73074</v>
      </c>
      <c r="D23263" t="str">
        <f>"73074"</f>
        <v>73074</v>
      </c>
      <c r="E23263">
        <v>69.569999999999993</v>
      </c>
    </row>
    <row r="23264" spans="1:5" x14ac:dyDescent="0.2">
      <c r="A23264">
        <v>73075</v>
      </c>
      <c r="B23264" t="s">
        <v>42</v>
      </c>
      <c r="C23264">
        <v>73075</v>
      </c>
      <c r="D23264" t="str">
        <f>"73075"</f>
        <v>73075</v>
      </c>
      <c r="E23264">
        <v>66.58</v>
      </c>
    </row>
    <row r="23265" spans="1:5" x14ac:dyDescent="0.2">
      <c r="A23265">
        <v>73077</v>
      </c>
      <c r="B23265" t="s">
        <v>42</v>
      </c>
      <c r="C23265">
        <v>73077</v>
      </c>
      <c r="D23265" t="str">
        <f>"73077"</f>
        <v>73077</v>
      </c>
      <c r="E23265">
        <v>72.760000000000005</v>
      </c>
    </row>
    <row r="23266" spans="1:5" x14ac:dyDescent="0.2">
      <c r="A23266">
        <v>73078</v>
      </c>
      <c r="B23266" t="s">
        <v>42</v>
      </c>
      <c r="C23266">
        <v>73078</v>
      </c>
      <c r="D23266" t="str">
        <f>"73078"</f>
        <v>73078</v>
      </c>
      <c r="E23266">
        <v>78.69</v>
      </c>
    </row>
    <row r="23267" spans="1:5" x14ac:dyDescent="0.2">
      <c r="A23267">
        <v>73079</v>
      </c>
      <c r="B23267" t="s">
        <v>42</v>
      </c>
      <c r="C23267">
        <v>73079</v>
      </c>
      <c r="D23267" t="str">
        <f>"73079"</f>
        <v>73079</v>
      </c>
      <c r="E23267">
        <v>73.08</v>
      </c>
    </row>
    <row r="23268" spans="1:5" x14ac:dyDescent="0.2">
      <c r="A23268">
        <v>73080</v>
      </c>
      <c r="B23268" t="s">
        <v>42</v>
      </c>
      <c r="C23268">
        <v>73080</v>
      </c>
      <c r="D23268" t="str">
        <f>"73080"</f>
        <v>73080</v>
      </c>
      <c r="E23268">
        <v>69.37</v>
      </c>
    </row>
    <row r="23269" spans="1:5" x14ac:dyDescent="0.2">
      <c r="A23269">
        <v>73082</v>
      </c>
      <c r="B23269" t="s">
        <v>42</v>
      </c>
      <c r="C23269">
        <v>73082</v>
      </c>
      <c r="D23269" t="str">
        <f>"73082"</f>
        <v>73082</v>
      </c>
      <c r="E23269">
        <v>65</v>
      </c>
    </row>
    <row r="23270" spans="1:5" x14ac:dyDescent="0.2">
      <c r="A23270">
        <v>73084</v>
      </c>
      <c r="B23270" t="s">
        <v>42</v>
      </c>
      <c r="C23270">
        <v>73084</v>
      </c>
      <c r="D23270" t="str">
        <f>"73084"</f>
        <v>73084</v>
      </c>
      <c r="E23270">
        <v>55.09</v>
      </c>
    </row>
    <row r="23271" spans="1:5" x14ac:dyDescent="0.2">
      <c r="A23271">
        <v>73086</v>
      </c>
      <c r="B23271" t="s">
        <v>42</v>
      </c>
      <c r="C23271">
        <v>73086</v>
      </c>
      <c r="D23271" t="str">
        <f>"73086"</f>
        <v>73086</v>
      </c>
      <c r="E23271">
        <v>67.91</v>
      </c>
    </row>
    <row r="23272" spans="1:5" x14ac:dyDescent="0.2">
      <c r="A23272">
        <v>73089</v>
      </c>
      <c r="B23272" t="s">
        <v>42</v>
      </c>
      <c r="C23272">
        <v>73089</v>
      </c>
      <c r="D23272" t="str">
        <f>"73089"</f>
        <v>73089</v>
      </c>
      <c r="E23272">
        <v>77.53</v>
      </c>
    </row>
    <row r="23273" spans="1:5" x14ac:dyDescent="0.2">
      <c r="A23273">
        <v>73090</v>
      </c>
      <c r="B23273" t="s">
        <v>42</v>
      </c>
      <c r="C23273">
        <v>73090</v>
      </c>
      <c r="D23273" t="str">
        <f>"73090"</f>
        <v>73090</v>
      </c>
      <c r="E23273">
        <v>72.09</v>
      </c>
    </row>
    <row r="23274" spans="1:5" x14ac:dyDescent="0.2">
      <c r="A23274">
        <v>73092</v>
      </c>
      <c r="B23274" t="s">
        <v>42</v>
      </c>
      <c r="C23274">
        <v>73092</v>
      </c>
      <c r="D23274" t="str">
        <f>"73092"</f>
        <v>73092</v>
      </c>
      <c r="E23274">
        <v>71.88</v>
      </c>
    </row>
    <row r="23275" spans="1:5" x14ac:dyDescent="0.2">
      <c r="A23275">
        <v>73093</v>
      </c>
      <c r="B23275" t="s">
        <v>42</v>
      </c>
      <c r="C23275">
        <v>73093</v>
      </c>
      <c r="D23275" t="str">
        <f>"73093"</f>
        <v>73093</v>
      </c>
      <c r="E23275">
        <v>78.569999999999993</v>
      </c>
    </row>
    <row r="23276" spans="1:5" x14ac:dyDescent="0.2">
      <c r="A23276">
        <v>73095</v>
      </c>
      <c r="B23276" t="s">
        <v>42</v>
      </c>
      <c r="C23276">
        <v>73095</v>
      </c>
      <c r="D23276" t="str">
        <f>"73095"</f>
        <v>73095</v>
      </c>
      <c r="E23276">
        <v>69.739999999999995</v>
      </c>
    </row>
    <row r="23277" spans="1:5" x14ac:dyDescent="0.2">
      <c r="A23277">
        <v>73096</v>
      </c>
      <c r="B23277" t="s">
        <v>42</v>
      </c>
      <c r="C23277">
        <v>73096</v>
      </c>
      <c r="D23277" t="str">
        <f>"73096"</f>
        <v>73096</v>
      </c>
      <c r="E23277">
        <v>69.84</v>
      </c>
    </row>
    <row r="23278" spans="1:5" x14ac:dyDescent="0.2">
      <c r="A23278">
        <v>73097</v>
      </c>
      <c r="B23278" t="s">
        <v>42</v>
      </c>
      <c r="C23278">
        <v>73097</v>
      </c>
      <c r="D23278" t="str">
        <f>"73097"</f>
        <v>73097</v>
      </c>
      <c r="E23278" t="s">
        <v>6</v>
      </c>
    </row>
    <row r="23279" spans="1:5" x14ac:dyDescent="0.2">
      <c r="A23279">
        <v>73098</v>
      </c>
      <c r="B23279" t="s">
        <v>42</v>
      </c>
      <c r="C23279">
        <v>73098</v>
      </c>
      <c r="D23279" t="str">
        <f>"73098"</f>
        <v>73098</v>
      </c>
      <c r="E23279">
        <v>68.790000000000006</v>
      </c>
    </row>
    <row r="23280" spans="1:5" x14ac:dyDescent="0.2">
      <c r="A23280">
        <v>73099</v>
      </c>
      <c r="B23280" t="s">
        <v>42</v>
      </c>
      <c r="C23280">
        <v>73099</v>
      </c>
      <c r="D23280" t="str">
        <f>"73099"</f>
        <v>73099</v>
      </c>
      <c r="E23280">
        <v>77.73</v>
      </c>
    </row>
    <row r="23281" spans="1:5" x14ac:dyDescent="0.2">
      <c r="A23281">
        <v>73102</v>
      </c>
      <c r="B23281" t="s">
        <v>42</v>
      </c>
      <c r="C23281">
        <v>73102</v>
      </c>
      <c r="D23281" t="str">
        <f>"73102"</f>
        <v>73102</v>
      </c>
      <c r="E23281">
        <v>84.69</v>
      </c>
    </row>
    <row r="23282" spans="1:5" x14ac:dyDescent="0.2">
      <c r="A23282">
        <v>73103</v>
      </c>
      <c r="B23282" t="s">
        <v>42</v>
      </c>
      <c r="C23282">
        <v>73103</v>
      </c>
      <c r="D23282" t="str">
        <f>"73103"</f>
        <v>73103</v>
      </c>
      <c r="E23282">
        <v>82.2</v>
      </c>
    </row>
    <row r="23283" spans="1:5" x14ac:dyDescent="0.2">
      <c r="A23283">
        <v>73104</v>
      </c>
      <c r="B23283" t="s">
        <v>42</v>
      </c>
      <c r="C23283">
        <v>73104</v>
      </c>
      <c r="D23283" t="str">
        <f>"73104"</f>
        <v>73104</v>
      </c>
      <c r="E23283">
        <v>80.92</v>
      </c>
    </row>
    <row r="23284" spans="1:5" x14ac:dyDescent="0.2">
      <c r="A23284">
        <v>73105</v>
      </c>
      <c r="B23284" t="s">
        <v>42</v>
      </c>
      <c r="C23284">
        <v>73105</v>
      </c>
      <c r="D23284" t="str">
        <f>"73105"</f>
        <v>73105</v>
      </c>
      <c r="E23284">
        <v>66.03</v>
      </c>
    </row>
    <row r="23285" spans="1:5" x14ac:dyDescent="0.2">
      <c r="A23285">
        <v>73106</v>
      </c>
      <c r="B23285" t="s">
        <v>42</v>
      </c>
      <c r="C23285">
        <v>73106</v>
      </c>
      <c r="D23285" t="str">
        <f>"73106"</f>
        <v>73106</v>
      </c>
      <c r="E23285">
        <v>64.319999999999993</v>
      </c>
    </row>
    <row r="23286" spans="1:5" x14ac:dyDescent="0.2">
      <c r="A23286">
        <v>73107</v>
      </c>
      <c r="B23286" t="s">
        <v>42</v>
      </c>
      <c r="C23286">
        <v>73107</v>
      </c>
      <c r="D23286" t="str">
        <f>"73107"</f>
        <v>73107</v>
      </c>
      <c r="E23286">
        <v>64.2</v>
      </c>
    </row>
    <row r="23287" spans="1:5" x14ac:dyDescent="0.2">
      <c r="A23287">
        <v>73108</v>
      </c>
      <c r="B23287" t="s">
        <v>42</v>
      </c>
      <c r="C23287">
        <v>73108</v>
      </c>
      <c r="D23287" t="str">
        <f>"73108"</f>
        <v>73108</v>
      </c>
      <c r="E23287">
        <v>44.96</v>
      </c>
    </row>
    <row r="23288" spans="1:5" x14ac:dyDescent="0.2">
      <c r="A23288">
        <v>73109</v>
      </c>
      <c r="B23288" t="s">
        <v>42</v>
      </c>
      <c r="C23288">
        <v>73109</v>
      </c>
      <c r="D23288" t="str">
        <f>"73109"</f>
        <v>73109</v>
      </c>
      <c r="E23288">
        <v>48.85</v>
      </c>
    </row>
    <row r="23289" spans="1:5" x14ac:dyDescent="0.2">
      <c r="A23289">
        <v>73110</v>
      </c>
      <c r="B23289" t="s">
        <v>42</v>
      </c>
      <c r="C23289">
        <v>73110</v>
      </c>
      <c r="D23289" t="str">
        <f>"73110"</f>
        <v>73110</v>
      </c>
      <c r="E23289">
        <v>66.739999999999995</v>
      </c>
    </row>
    <row r="23290" spans="1:5" x14ac:dyDescent="0.2">
      <c r="A23290">
        <v>73111</v>
      </c>
      <c r="B23290" t="s">
        <v>42</v>
      </c>
      <c r="C23290">
        <v>73111</v>
      </c>
      <c r="D23290" t="str">
        <f>"73111"</f>
        <v>73111</v>
      </c>
      <c r="E23290">
        <v>53.29</v>
      </c>
    </row>
    <row r="23291" spans="1:5" x14ac:dyDescent="0.2">
      <c r="A23291">
        <v>73112</v>
      </c>
      <c r="B23291" t="s">
        <v>42</v>
      </c>
      <c r="C23291">
        <v>73112</v>
      </c>
      <c r="D23291" t="str">
        <f>"73112"</f>
        <v>73112</v>
      </c>
      <c r="E23291">
        <v>71.41</v>
      </c>
    </row>
    <row r="23292" spans="1:5" x14ac:dyDescent="0.2">
      <c r="A23292">
        <v>73114</v>
      </c>
      <c r="B23292" t="s">
        <v>42</v>
      </c>
      <c r="C23292">
        <v>73114</v>
      </c>
      <c r="D23292" t="str">
        <f>"73114"</f>
        <v>73114</v>
      </c>
      <c r="E23292">
        <v>56.98</v>
      </c>
    </row>
    <row r="23293" spans="1:5" x14ac:dyDescent="0.2">
      <c r="A23293">
        <v>73115</v>
      </c>
      <c r="B23293" t="s">
        <v>42</v>
      </c>
      <c r="C23293">
        <v>73115</v>
      </c>
      <c r="D23293" t="str">
        <f>"73115"</f>
        <v>73115</v>
      </c>
      <c r="E23293">
        <v>65.73</v>
      </c>
    </row>
    <row r="23294" spans="1:5" x14ac:dyDescent="0.2">
      <c r="A23294">
        <v>73116</v>
      </c>
      <c r="B23294" t="s">
        <v>42</v>
      </c>
      <c r="C23294">
        <v>73116</v>
      </c>
      <c r="D23294" t="str">
        <f>"73116"</f>
        <v>73116</v>
      </c>
      <c r="E23294">
        <v>79.92</v>
      </c>
    </row>
    <row r="23295" spans="1:5" x14ac:dyDescent="0.2">
      <c r="A23295">
        <v>73117</v>
      </c>
      <c r="B23295" t="s">
        <v>42</v>
      </c>
      <c r="C23295">
        <v>73117</v>
      </c>
      <c r="D23295" t="str">
        <f>"73117"</f>
        <v>73117</v>
      </c>
      <c r="E23295">
        <v>52.4</v>
      </c>
    </row>
    <row r="23296" spans="1:5" x14ac:dyDescent="0.2">
      <c r="A23296">
        <v>73118</v>
      </c>
      <c r="B23296" t="s">
        <v>42</v>
      </c>
      <c r="C23296">
        <v>73118</v>
      </c>
      <c r="D23296" t="str">
        <f>"73118"</f>
        <v>73118</v>
      </c>
      <c r="E23296">
        <v>76.290000000000006</v>
      </c>
    </row>
    <row r="23297" spans="1:5" x14ac:dyDescent="0.2">
      <c r="A23297">
        <v>73119</v>
      </c>
      <c r="B23297" t="s">
        <v>42</v>
      </c>
      <c r="C23297">
        <v>73119</v>
      </c>
      <c r="D23297" t="str">
        <f>"73119"</f>
        <v>73119</v>
      </c>
      <c r="E23297">
        <v>47.53</v>
      </c>
    </row>
    <row r="23298" spans="1:5" x14ac:dyDescent="0.2">
      <c r="A23298">
        <v>73120</v>
      </c>
      <c r="B23298" t="s">
        <v>42</v>
      </c>
      <c r="C23298">
        <v>73120</v>
      </c>
      <c r="D23298" t="str">
        <f>"73120"</f>
        <v>73120</v>
      </c>
      <c r="E23298">
        <v>74.900000000000006</v>
      </c>
    </row>
    <row r="23299" spans="1:5" x14ac:dyDescent="0.2">
      <c r="A23299">
        <v>73121</v>
      </c>
      <c r="B23299" t="s">
        <v>42</v>
      </c>
      <c r="C23299">
        <v>73121</v>
      </c>
      <c r="D23299" t="str">
        <f>"73121"</f>
        <v>73121</v>
      </c>
      <c r="E23299">
        <v>65.52</v>
      </c>
    </row>
    <row r="23300" spans="1:5" x14ac:dyDescent="0.2">
      <c r="A23300">
        <v>73122</v>
      </c>
      <c r="B23300" t="s">
        <v>42</v>
      </c>
      <c r="C23300">
        <v>73122</v>
      </c>
      <c r="D23300" t="str">
        <f>"73122"</f>
        <v>73122</v>
      </c>
      <c r="E23300">
        <v>62.75</v>
      </c>
    </row>
    <row r="23301" spans="1:5" x14ac:dyDescent="0.2">
      <c r="A23301">
        <v>73127</v>
      </c>
      <c r="B23301" t="s">
        <v>42</v>
      </c>
      <c r="C23301">
        <v>73127</v>
      </c>
      <c r="D23301" t="str">
        <f>"73127"</f>
        <v>73127</v>
      </c>
      <c r="E23301">
        <v>54.76</v>
      </c>
    </row>
    <row r="23302" spans="1:5" x14ac:dyDescent="0.2">
      <c r="A23302">
        <v>73128</v>
      </c>
      <c r="B23302" t="s">
        <v>42</v>
      </c>
      <c r="C23302">
        <v>73128</v>
      </c>
      <c r="D23302" t="str">
        <f>"73128"</f>
        <v>73128</v>
      </c>
      <c r="E23302">
        <v>73.819999999999993</v>
      </c>
    </row>
    <row r="23303" spans="1:5" x14ac:dyDescent="0.2">
      <c r="A23303">
        <v>73129</v>
      </c>
      <c r="B23303" t="s">
        <v>42</v>
      </c>
      <c r="C23303">
        <v>73129</v>
      </c>
      <c r="D23303" t="str">
        <f>"73129"</f>
        <v>73129</v>
      </c>
      <c r="E23303">
        <v>45.97</v>
      </c>
    </row>
    <row r="23304" spans="1:5" x14ac:dyDescent="0.2">
      <c r="A23304">
        <v>73130</v>
      </c>
      <c r="B23304" t="s">
        <v>42</v>
      </c>
      <c r="C23304">
        <v>73130</v>
      </c>
      <c r="D23304" t="str">
        <f>"73130"</f>
        <v>73130</v>
      </c>
      <c r="E23304">
        <v>73.569999999999993</v>
      </c>
    </row>
    <row r="23305" spans="1:5" x14ac:dyDescent="0.2">
      <c r="A23305">
        <v>73131</v>
      </c>
      <c r="B23305" t="s">
        <v>42</v>
      </c>
      <c r="C23305">
        <v>73131</v>
      </c>
      <c r="D23305" t="str">
        <f>"73131"</f>
        <v>73131</v>
      </c>
      <c r="E23305">
        <v>81.25</v>
      </c>
    </row>
    <row r="23306" spans="1:5" x14ac:dyDescent="0.2">
      <c r="A23306">
        <v>73132</v>
      </c>
      <c r="B23306" t="s">
        <v>42</v>
      </c>
      <c r="C23306">
        <v>73132</v>
      </c>
      <c r="D23306" t="str">
        <f>"73132"</f>
        <v>73132</v>
      </c>
      <c r="E23306">
        <v>68.52</v>
      </c>
    </row>
    <row r="23307" spans="1:5" x14ac:dyDescent="0.2">
      <c r="A23307">
        <v>73134</v>
      </c>
      <c r="B23307" t="s">
        <v>42</v>
      </c>
      <c r="C23307">
        <v>73134</v>
      </c>
      <c r="D23307" t="str">
        <f>"73134"</f>
        <v>73134</v>
      </c>
      <c r="E23307">
        <v>77.36</v>
      </c>
    </row>
    <row r="23308" spans="1:5" x14ac:dyDescent="0.2">
      <c r="A23308">
        <v>73135</v>
      </c>
      <c r="B23308" t="s">
        <v>42</v>
      </c>
      <c r="C23308">
        <v>73135</v>
      </c>
      <c r="D23308" t="str">
        <f>"73135"</f>
        <v>73135</v>
      </c>
      <c r="E23308">
        <v>67.39</v>
      </c>
    </row>
    <row r="23309" spans="1:5" x14ac:dyDescent="0.2">
      <c r="A23309">
        <v>73139</v>
      </c>
      <c r="B23309" t="s">
        <v>42</v>
      </c>
      <c r="C23309">
        <v>73139</v>
      </c>
      <c r="D23309" t="str">
        <f>"73139"</f>
        <v>73139</v>
      </c>
      <c r="E23309">
        <v>65.02</v>
      </c>
    </row>
    <row r="23310" spans="1:5" x14ac:dyDescent="0.2">
      <c r="A23310">
        <v>73141</v>
      </c>
      <c r="B23310" t="s">
        <v>42</v>
      </c>
      <c r="C23310">
        <v>73141</v>
      </c>
      <c r="D23310" t="str">
        <f>"73141"</f>
        <v>73141</v>
      </c>
      <c r="E23310">
        <v>64.150000000000006</v>
      </c>
    </row>
    <row r="23311" spans="1:5" x14ac:dyDescent="0.2">
      <c r="A23311">
        <v>73142</v>
      </c>
      <c r="B23311" t="s">
        <v>42</v>
      </c>
      <c r="C23311">
        <v>73142</v>
      </c>
      <c r="D23311" t="str">
        <f>"73142"</f>
        <v>73142</v>
      </c>
      <c r="E23311">
        <v>77.900000000000006</v>
      </c>
    </row>
    <row r="23312" spans="1:5" x14ac:dyDescent="0.2">
      <c r="A23312">
        <v>73145</v>
      </c>
      <c r="B23312" t="s">
        <v>42</v>
      </c>
      <c r="C23312">
        <v>73145</v>
      </c>
      <c r="D23312" t="str">
        <f>"73145"</f>
        <v>73145</v>
      </c>
      <c r="E23312">
        <v>75.78</v>
      </c>
    </row>
    <row r="23313" spans="1:5" x14ac:dyDescent="0.2">
      <c r="A23313">
        <v>73149</v>
      </c>
      <c r="B23313" t="s">
        <v>42</v>
      </c>
      <c r="C23313">
        <v>73149</v>
      </c>
      <c r="D23313" t="str">
        <f>"73149"</f>
        <v>73149</v>
      </c>
      <c r="E23313">
        <v>58.42</v>
      </c>
    </row>
    <row r="23314" spans="1:5" x14ac:dyDescent="0.2">
      <c r="A23314">
        <v>73150</v>
      </c>
      <c r="B23314" t="s">
        <v>42</v>
      </c>
      <c r="C23314">
        <v>73150</v>
      </c>
      <c r="D23314" t="str">
        <f>"73150"</f>
        <v>73150</v>
      </c>
      <c r="E23314">
        <v>79.91</v>
      </c>
    </row>
    <row r="23315" spans="1:5" x14ac:dyDescent="0.2">
      <c r="A23315">
        <v>73151</v>
      </c>
      <c r="B23315" t="s">
        <v>42</v>
      </c>
      <c r="C23315">
        <v>73151</v>
      </c>
      <c r="D23315" t="str">
        <f>"73151"</f>
        <v>73151</v>
      </c>
      <c r="E23315">
        <v>83.33</v>
      </c>
    </row>
    <row r="23316" spans="1:5" x14ac:dyDescent="0.2">
      <c r="A23316">
        <v>73153</v>
      </c>
      <c r="B23316" t="s">
        <v>42</v>
      </c>
      <c r="C23316">
        <v>73153</v>
      </c>
      <c r="D23316" t="str">
        <f>"73153"</f>
        <v>73153</v>
      </c>
      <c r="E23316" t="s">
        <v>6</v>
      </c>
    </row>
    <row r="23317" spans="1:5" x14ac:dyDescent="0.2">
      <c r="A23317">
        <v>73159</v>
      </c>
      <c r="B23317" t="s">
        <v>42</v>
      </c>
      <c r="C23317">
        <v>73159</v>
      </c>
      <c r="D23317" t="str">
        <f>"73159"</f>
        <v>73159</v>
      </c>
      <c r="E23317">
        <v>66.23</v>
      </c>
    </row>
    <row r="23318" spans="1:5" x14ac:dyDescent="0.2">
      <c r="A23318">
        <v>73160</v>
      </c>
      <c r="B23318" t="s">
        <v>42</v>
      </c>
      <c r="C23318">
        <v>73160</v>
      </c>
      <c r="D23318" t="str">
        <f>"73160"</f>
        <v>73160</v>
      </c>
      <c r="E23318">
        <v>73.819999999999993</v>
      </c>
    </row>
    <row r="23319" spans="1:5" x14ac:dyDescent="0.2">
      <c r="A23319">
        <v>73162</v>
      </c>
      <c r="B23319" t="s">
        <v>42</v>
      </c>
      <c r="C23319">
        <v>73162</v>
      </c>
      <c r="D23319" t="str">
        <f>"73162"</f>
        <v>73162</v>
      </c>
      <c r="E23319">
        <v>76.47</v>
      </c>
    </row>
    <row r="23320" spans="1:5" x14ac:dyDescent="0.2">
      <c r="A23320">
        <v>73165</v>
      </c>
      <c r="B23320" t="s">
        <v>42</v>
      </c>
      <c r="C23320">
        <v>73165</v>
      </c>
      <c r="D23320" t="str">
        <f>"73165"</f>
        <v>73165</v>
      </c>
      <c r="E23320">
        <v>79.38</v>
      </c>
    </row>
    <row r="23321" spans="1:5" x14ac:dyDescent="0.2">
      <c r="A23321">
        <v>73169</v>
      </c>
      <c r="B23321" t="s">
        <v>42</v>
      </c>
      <c r="C23321">
        <v>73169</v>
      </c>
      <c r="D23321" t="str">
        <f>"73169"</f>
        <v>73169</v>
      </c>
      <c r="E23321">
        <v>73.5</v>
      </c>
    </row>
    <row r="23322" spans="1:5" x14ac:dyDescent="0.2">
      <c r="A23322">
        <v>73170</v>
      </c>
      <c r="B23322" t="s">
        <v>42</v>
      </c>
      <c r="C23322">
        <v>73170</v>
      </c>
      <c r="D23322" t="str">
        <f>"73170"</f>
        <v>73170</v>
      </c>
      <c r="E23322">
        <v>78.39</v>
      </c>
    </row>
    <row r="23323" spans="1:5" x14ac:dyDescent="0.2">
      <c r="A23323">
        <v>73173</v>
      </c>
      <c r="B23323" t="s">
        <v>42</v>
      </c>
      <c r="C23323">
        <v>73173</v>
      </c>
      <c r="D23323" t="str">
        <f>"73173"</f>
        <v>73173</v>
      </c>
      <c r="E23323">
        <v>83.78</v>
      </c>
    </row>
    <row r="23324" spans="1:5" x14ac:dyDescent="0.2">
      <c r="A23324">
        <v>73179</v>
      </c>
      <c r="B23324" t="s">
        <v>42</v>
      </c>
      <c r="C23324">
        <v>73179</v>
      </c>
      <c r="D23324" t="str">
        <f>"73179"</f>
        <v>73179</v>
      </c>
      <c r="E23324">
        <v>78.23</v>
      </c>
    </row>
    <row r="23325" spans="1:5" x14ac:dyDescent="0.2">
      <c r="A23325">
        <v>73401</v>
      </c>
      <c r="B23325" t="s">
        <v>42</v>
      </c>
      <c r="C23325">
        <v>73401</v>
      </c>
      <c r="D23325" t="str">
        <f>"73401"</f>
        <v>73401</v>
      </c>
      <c r="E23325">
        <v>65.930000000000007</v>
      </c>
    </row>
    <row r="23326" spans="1:5" x14ac:dyDescent="0.2">
      <c r="A23326">
        <v>73402</v>
      </c>
      <c r="B23326" t="s">
        <v>42</v>
      </c>
      <c r="C23326">
        <v>73402</v>
      </c>
      <c r="D23326" t="str">
        <f>"73402"</f>
        <v>73402</v>
      </c>
      <c r="E23326" t="s">
        <v>6</v>
      </c>
    </row>
    <row r="23327" spans="1:5" x14ac:dyDescent="0.2">
      <c r="A23327">
        <v>73430</v>
      </c>
      <c r="B23327" t="s">
        <v>42</v>
      </c>
      <c r="C23327">
        <v>73430</v>
      </c>
      <c r="D23327" t="str">
        <f>"73430"</f>
        <v>73430</v>
      </c>
      <c r="E23327">
        <v>70.209999999999994</v>
      </c>
    </row>
    <row r="23328" spans="1:5" x14ac:dyDescent="0.2">
      <c r="A23328">
        <v>73432</v>
      </c>
      <c r="B23328" t="s">
        <v>42</v>
      </c>
      <c r="C23328">
        <v>73432</v>
      </c>
      <c r="D23328" t="str">
        <f>"73432"</f>
        <v>73432</v>
      </c>
      <c r="E23328">
        <v>65.12</v>
      </c>
    </row>
    <row r="23329" spans="1:5" x14ac:dyDescent="0.2">
      <c r="A23329">
        <v>73433</v>
      </c>
      <c r="B23329" t="s">
        <v>42</v>
      </c>
      <c r="C23329">
        <v>73433</v>
      </c>
      <c r="D23329" t="str">
        <f>"73433"</f>
        <v>73433</v>
      </c>
      <c r="E23329">
        <v>67.680000000000007</v>
      </c>
    </row>
    <row r="23330" spans="1:5" x14ac:dyDescent="0.2">
      <c r="A23330">
        <v>73434</v>
      </c>
      <c r="B23330" t="s">
        <v>42</v>
      </c>
      <c r="C23330">
        <v>73434</v>
      </c>
      <c r="D23330" t="str">
        <f>"73434"</f>
        <v>73434</v>
      </c>
      <c r="E23330">
        <v>61.54</v>
      </c>
    </row>
    <row r="23331" spans="1:5" x14ac:dyDescent="0.2">
      <c r="A23331">
        <v>73436</v>
      </c>
      <c r="B23331" t="s">
        <v>42</v>
      </c>
      <c r="C23331">
        <v>73436</v>
      </c>
      <c r="D23331" t="str">
        <f>"73436"</f>
        <v>73436</v>
      </c>
      <c r="E23331" t="s">
        <v>6</v>
      </c>
    </row>
    <row r="23332" spans="1:5" x14ac:dyDescent="0.2">
      <c r="A23332">
        <v>73437</v>
      </c>
      <c r="B23332" t="s">
        <v>42</v>
      </c>
      <c r="C23332">
        <v>73437</v>
      </c>
      <c r="D23332" t="str">
        <f>"73437"</f>
        <v>73437</v>
      </c>
      <c r="E23332" t="s">
        <v>6</v>
      </c>
    </row>
    <row r="23333" spans="1:5" x14ac:dyDescent="0.2">
      <c r="A23333">
        <v>73438</v>
      </c>
      <c r="B23333" t="s">
        <v>42</v>
      </c>
      <c r="C23333">
        <v>73438</v>
      </c>
      <c r="D23333" t="str">
        <f>"73438"</f>
        <v>73438</v>
      </c>
      <c r="E23333">
        <v>62.7</v>
      </c>
    </row>
    <row r="23334" spans="1:5" x14ac:dyDescent="0.2">
      <c r="A23334">
        <v>73439</v>
      </c>
      <c r="B23334" t="s">
        <v>42</v>
      </c>
      <c r="C23334">
        <v>73439</v>
      </c>
      <c r="D23334" t="str">
        <f>"73439"</f>
        <v>73439</v>
      </c>
      <c r="E23334">
        <v>66.099999999999994</v>
      </c>
    </row>
    <row r="23335" spans="1:5" x14ac:dyDescent="0.2">
      <c r="A23335">
        <v>73440</v>
      </c>
      <c r="B23335" t="s">
        <v>42</v>
      </c>
      <c r="C23335">
        <v>73440</v>
      </c>
      <c r="D23335" t="str">
        <f>"73440"</f>
        <v>73440</v>
      </c>
      <c r="E23335">
        <v>64.290000000000006</v>
      </c>
    </row>
    <row r="23336" spans="1:5" x14ac:dyDescent="0.2">
      <c r="A23336">
        <v>73441</v>
      </c>
      <c r="B23336" t="s">
        <v>42</v>
      </c>
      <c r="C23336">
        <v>73441</v>
      </c>
      <c r="D23336" t="str">
        <f>"73441"</f>
        <v>73441</v>
      </c>
      <c r="E23336" t="s">
        <v>6</v>
      </c>
    </row>
    <row r="23337" spans="1:5" x14ac:dyDescent="0.2">
      <c r="A23337">
        <v>73442</v>
      </c>
      <c r="B23337" t="s">
        <v>42</v>
      </c>
      <c r="C23337">
        <v>73442</v>
      </c>
      <c r="D23337" t="str">
        <f>"73442"</f>
        <v>73442</v>
      </c>
      <c r="E23337">
        <v>66.67</v>
      </c>
    </row>
    <row r="23338" spans="1:5" x14ac:dyDescent="0.2">
      <c r="A23338">
        <v>73443</v>
      </c>
      <c r="B23338" t="s">
        <v>42</v>
      </c>
      <c r="C23338">
        <v>73443</v>
      </c>
      <c r="D23338" t="str">
        <f>"73443"</f>
        <v>73443</v>
      </c>
      <c r="E23338">
        <v>67.86</v>
      </c>
    </row>
    <row r="23339" spans="1:5" x14ac:dyDescent="0.2">
      <c r="A23339">
        <v>73444</v>
      </c>
      <c r="B23339" t="s">
        <v>42</v>
      </c>
      <c r="C23339">
        <v>73444</v>
      </c>
      <c r="D23339" t="str">
        <f>"73444"</f>
        <v>73444</v>
      </c>
      <c r="E23339">
        <v>66.67</v>
      </c>
    </row>
    <row r="23340" spans="1:5" x14ac:dyDescent="0.2">
      <c r="A23340">
        <v>73446</v>
      </c>
      <c r="B23340" t="s">
        <v>42</v>
      </c>
      <c r="C23340">
        <v>73446</v>
      </c>
      <c r="D23340" t="str">
        <f>"73446"</f>
        <v>73446</v>
      </c>
      <c r="E23340">
        <v>64.53</v>
      </c>
    </row>
    <row r="23341" spans="1:5" x14ac:dyDescent="0.2">
      <c r="A23341">
        <v>73447</v>
      </c>
      <c r="B23341" t="s">
        <v>42</v>
      </c>
      <c r="C23341">
        <v>73447</v>
      </c>
      <c r="D23341" t="str">
        <f>"73447"</f>
        <v>73447</v>
      </c>
      <c r="E23341">
        <v>65.849999999999994</v>
      </c>
    </row>
    <row r="23342" spans="1:5" x14ac:dyDescent="0.2">
      <c r="A23342">
        <v>73448</v>
      </c>
      <c r="B23342" t="s">
        <v>42</v>
      </c>
      <c r="C23342">
        <v>73448</v>
      </c>
      <c r="D23342" t="str">
        <f>"73448"</f>
        <v>73448</v>
      </c>
      <c r="E23342">
        <v>67.44</v>
      </c>
    </row>
    <row r="23343" spans="1:5" x14ac:dyDescent="0.2">
      <c r="A23343">
        <v>73449</v>
      </c>
      <c r="B23343" t="s">
        <v>42</v>
      </c>
      <c r="C23343">
        <v>73449</v>
      </c>
      <c r="D23343" t="str">
        <f>"73449"</f>
        <v>73449</v>
      </c>
      <c r="E23343">
        <v>64.41</v>
      </c>
    </row>
    <row r="23344" spans="1:5" x14ac:dyDescent="0.2">
      <c r="A23344">
        <v>73450</v>
      </c>
      <c r="B23344" t="s">
        <v>42</v>
      </c>
      <c r="C23344">
        <v>73450</v>
      </c>
      <c r="D23344" t="str">
        <f>"73450"</f>
        <v>73450</v>
      </c>
      <c r="E23344">
        <v>65.22</v>
      </c>
    </row>
    <row r="23345" spans="1:5" x14ac:dyDescent="0.2">
      <c r="A23345">
        <v>73453</v>
      </c>
      <c r="B23345" t="s">
        <v>42</v>
      </c>
      <c r="C23345">
        <v>73453</v>
      </c>
      <c r="D23345" t="str">
        <f>"73453"</f>
        <v>73453</v>
      </c>
      <c r="E23345">
        <v>73.08</v>
      </c>
    </row>
    <row r="23346" spans="1:5" x14ac:dyDescent="0.2">
      <c r="A23346">
        <v>73455</v>
      </c>
      <c r="B23346" t="s">
        <v>42</v>
      </c>
      <c r="C23346">
        <v>73455</v>
      </c>
      <c r="D23346" t="str">
        <f>"73455"</f>
        <v>73455</v>
      </c>
      <c r="E23346" t="s">
        <v>6</v>
      </c>
    </row>
    <row r="23347" spans="1:5" x14ac:dyDescent="0.2">
      <c r="A23347">
        <v>73456</v>
      </c>
      <c r="B23347" t="s">
        <v>42</v>
      </c>
      <c r="C23347">
        <v>73456</v>
      </c>
      <c r="D23347" t="str">
        <f>"73456"</f>
        <v>73456</v>
      </c>
      <c r="E23347">
        <v>56.76</v>
      </c>
    </row>
    <row r="23348" spans="1:5" x14ac:dyDescent="0.2">
      <c r="A23348">
        <v>73458</v>
      </c>
      <c r="B23348" t="s">
        <v>42</v>
      </c>
      <c r="C23348">
        <v>73458</v>
      </c>
      <c r="D23348" t="str">
        <f>"73458"</f>
        <v>73458</v>
      </c>
      <c r="E23348">
        <v>70.73</v>
      </c>
    </row>
    <row r="23349" spans="1:5" x14ac:dyDescent="0.2">
      <c r="A23349">
        <v>73459</v>
      </c>
      <c r="B23349" t="s">
        <v>42</v>
      </c>
      <c r="C23349">
        <v>73459</v>
      </c>
      <c r="D23349" t="str">
        <f>"73459"</f>
        <v>73459</v>
      </c>
      <c r="E23349">
        <v>73.91</v>
      </c>
    </row>
    <row r="23350" spans="1:5" x14ac:dyDescent="0.2">
      <c r="A23350">
        <v>73460</v>
      </c>
      <c r="B23350" t="s">
        <v>42</v>
      </c>
      <c r="C23350">
        <v>73460</v>
      </c>
      <c r="D23350" t="str">
        <f>"73460"</f>
        <v>73460</v>
      </c>
      <c r="E23350">
        <v>62.73</v>
      </c>
    </row>
    <row r="23351" spans="1:5" x14ac:dyDescent="0.2">
      <c r="A23351">
        <v>73461</v>
      </c>
      <c r="B23351" t="s">
        <v>42</v>
      </c>
      <c r="C23351">
        <v>73461</v>
      </c>
      <c r="D23351" t="str">
        <f>"73461"</f>
        <v>73461</v>
      </c>
      <c r="E23351">
        <v>57.14</v>
      </c>
    </row>
    <row r="23352" spans="1:5" x14ac:dyDescent="0.2">
      <c r="A23352">
        <v>73463</v>
      </c>
      <c r="B23352" t="s">
        <v>42</v>
      </c>
      <c r="C23352">
        <v>73463</v>
      </c>
      <c r="D23352" t="str">
        <f>"73463"</f>
        <v>73463</v>
      </c>
      <c r="E23352">
        <v>64.569999999999993</v>
      </c>
    </row>
    <row r="23353" spans="1:5" x14ac:dyDescent="0.2">
      <c r="A23353">
        <v>73481</v>
      </c>
      <c r="B23353" t="s">
        <v>42</v>
      </c>
      <c r="C23353">
        <v>73481</v>
      </c>
      <c r="D23353" t="str">
        <f>"73481"</f>
        <v>73481</v>
      </c>
      <c r="E23353">
        <v>61.54</v>
      </c>
    </row>
    <row r="23354" spans="1:5" x14ac:dyDescent="0.2">
      <c r="A23354">
        <v>73487</v>
      </c>
      <c r="B23354" t="s">
        <v>42</v>
      </c>
      <c r="C23354">
        <v>73487</v>
      </c>
      <c r="D23354" t="str">
        <f>"73487"</f>
        <v>73487</v>
      </c>
      <c r="E23354" t="s">
        <v>6</v>
      </c>
    </row>
    <row r="23355" spans="1:5" x14ac:dyDescent="0.2">
      <c r="A23355">
        <v>73488</v>
      </c>
      <c r="B23355" t="s">
        <v>42</v>
      </c>
      <c r="C23355">
        <v>73488</v>
      </c>
      <c r="D23355" t="str">
        <f>"73488"</f>
        <v>73488</v>
      </c>
      <c r="E23355" t="s">
        <v>6</v>
      </c>
    </row>
    <row r="23356" spans="1:5" x14ac:dyDescent="0.2">
      <c r="A23356">
        <v>73491</v>
      </c>
      <c r="B23356" t="s">
        <v>42</v>
      </c>
      <c r="C23356">
        <v>73491</v>
      </c>
      <c r="D23356" t="str">
        <f>"73491"</f>
        <v>73491</v>
      </c>
      <c r="E23356" t="s">
        <v>6</v>
      </c>
    </row>
    <row r="23357" spans="1:5" x14ac:dyDescent="0.2">
      <c r="A23357">
        <v>73501</v>
      </c>
      <c r="B23357" t="s">
        <v>42</v>
      </c>
      <c r="C23357">
        <v>73501</v>
      </c>
      <c r="D23357" t="str">
        <f>"73501"</f>
        <v>73501</v>
      </c>
      <c r="E23357">
        <v>61.74</v>
      </c>
    </row>
    <row r="23358" spans="1:5" x14ac:dyDescent="0.2">
      <c r="A23358">
        <v>73503</v>
      </c>
      <c r="B23358" t="s">
        <v>42</v>
      </c>
      <c r="C23358">
        <v>73503</v>
      </c>
      <c r="D23358" t="str">
        <f>"73503"</f>
        <v>73503</v>
      </c>
      <c r="E23358">
        <v>63.94</v>
      </c>
    </row>
    <row r="23359" spans="1:5" x14ac:dyDescent="0.2">
      <c r="A23359">
        <v>73505</v>
      </c>
      <c r="B23359" t="s">
        <v>42</v>
      </c>
      <c r="C23359">
        <v>73505</v>
      </c>
      <c r="D23359" t="str">
        <f>"73505"</f>
        <v>73505</v>
      </c>
      <c r="E23359">
        <v>65.989999999999995</v>
      </c>
    </row>
    <row r="23360" spans="1:5" x14ac:dyDescent="0.2">
      <c r="A23360">
        <v>73507</v>
      </c>
      <c r="B23360" t="s">
        <v>42</v>
      </c>
      <c r="C23360">
        <v>73507</v>
      </c>
      <c r="D23360" t="str">
        <f>"73507"</f>
        <v>73507</v>
      </c>
      <c r="E23360">
        <v>66.150000000000006</v>
      </c>
    </row>
    <row r="23361" spans="1:5" x14ac:dyDescent="0.2">
      <c r="A23361">
        <v>73520</v>
      </c>
      <c r="B23361" t="s">
        <v>42</v>
      </c>
      <c r="C23361">
        <v>73520</v>
      </c>
      <c r="D23361" t="str">
        <f>"73520"</f>
        <v>73520</v>
      </c>
      <c r="E23361" t="s">
        <v>6</v>
      </c>
    </row>
    <row r="23362" spans="1:5" x14ac:dyDescent="0.2">
      <c r="A23362">
        <v>73521</v>
      </c>
      <c r="B23362" t="s">
        <v>42</v>
      </c>
      <c r="C23362">
        <v>73521</v>
      </c>
      <c r="D23362" t="str">
        <f>"73521"</f>
        <v>73521</v>
      </c>
      <c r="E23362">
        <v>68.41</v>
      </c>
    </row>
    <row r="23363" spans="1:5" x14ac:dyDescent="0.2">
      <c r="A23363">
        <v>73523</v>
      </c>
      <c r="B23363" t="s">
        <v>42</v>
      </c>
      <c r="C23363">
        <v>73523</v>
      </c>
      <c r="D23363" t="str">
        <f>"73523"</f>
        <v>73523</v>
      </c>
      <c r="E23363" t="s">
        <v>6</v>
      </c>
    </row>
    <row r="23364" spans="1:5" x14ac:dyDescent="0.2">
      <c r="A23364">
        <v>73526</v>
      </c>
      <c r="B23364" t="s">
        <v>42</v>
      </c>
      <c r="C23364">
        <v>73526</v>
      </c>
      <c r="D23364" t="str">
        <f>"73526"</f>
        <v>73526</v>
      </c>
      <c r="E23364">
        <v>71.25</v>
      </c>
    </row>
    <row r="23365" spans="1:5" x14ac:dyDescent="0.2">
      <c r="A23365">
        <v>73527</v>
      </c>
      <c r="B23365" t="s">
        <v>42</v>
      </c>
      <c r="C23365">
        <v>73527</v>
      </c>
      <c r="D23365" t="str">
        <f>"73527"</f>
        <v>73527</v>
      </c>
      <c r="E23365">
        <v>71.81</v>
      </c>
    </row>
    <row r="23366" spans="1:5" x14ac:dyDescent="0.2">
      <c r="A23366">
        <v>73528</v>
      </c>
      <c r="B23366" t="s">
        <v>42</v>
      </c>
      <c r="C23366">
        <v>73528</v>
      </c>
      <c r="D23366" t="str">
        <f>"73528"</f>
        <v>73528</v>
      </c>
      <c r="E23366">
        <v>67.739999999999995</v>
      </c>
    </row>
    <row r="23367" spans="1:5" x14ac:dyDescent="0.2">
      <c r="A23367">
        <v>73529</v>
      </c>
      <c r="B23367" t="s">
        <v>42</v>
      </c>
      <c r="C23367">
        <v>73529</v>
      </c>
      <c r="D23367" t="str">
        <f>"73529"</f>
        <v>73529</v>
      </c>
      <c r="E23367">
        <v>65.12</v>
      </c>
    </row>
    <row r="23368" spans="1:5" x14ac:dyDescent="0.2">
      <c r="A23368">
        <v>73530</v>
      </c>
      <c r="B23368" t="s">
        <v>42</v>
      </c>
      <c r="C23368">
        <v>73530</v>
      </c>
      <c r="D23368" t="str">
        <f>"73530"</f>
        <v>73530</v>
      </c>
      <c r="E23368">
        <v>68.75</v>
      </c>
    </row>
    <row r="23369" spans="1:5" x14ac:dyDescent="0.2">
      <c r="A23369">
        <v>73531</v>
      </c>
      <c r="B23369" t="s">
        <v>42</v>
      </c>
      <c r="C23369">
        <v>73531</v>
      </c>
      <c r="D23369" t="str">
        <f>"73531"</f>
        <v>73531</v>
      </c>
      <c r="E23369">
        <v>68.75</v>
      </c>
    </row>
    <row r="23370" spans="1:5" x14ac:dyDescent="0.2">
      <c r="A23370">
        <v>73532</v>
      </c>
      <c r="B23370" t="s">
        <v>42</v>
      </c>
      <c r="C23370">
        <v>73532</v>
      </c>
      <c r="D23370" t="str">
        <f>"73532"</f>
        <v>73532</v>
      </c>
      <c r="E23370">
        <v>77.27</v>
      </c>
    </row>
    <row r="23371" spans="1:5" x14ac:dyDescent="0.2">
      <c r="A23371">
        <v>73533</v>
      </c>
      <c r="B23371" t="s">
        <v>42</v>
      </c>
      <c r="C23371">
        <v>73533</v>
      </c>
      <c r="D23371" t="str">
        <f>"73533"</f>
        <v>73533</v>
      </c>
      <c r="E23371">
        <v>65.900000000000006</v>
      </c>
    </row>
    <row r="23372" spans="1:5" x14ac:dyDescent="0.2">
      <c r="A23372">
        <v>73537</v>
      </c>
      <c r="B23372" t="s">
        <v>42</v>
      </c>
      <c r="C23372">
        <v>73537</v>
      </c>
      <c r="D23372" t="str">
        <f>"73537"</f>
        <v>73537</v>
      </c>
      <c r="E23372">
        <v>61.54</v>
      </c>
    </row>
    <row r="23373" spans="1:5" x14ac:dyDescent="0.2">
      <c r="A23373">
        <v>73538</v>
      </c>
      <c r="B23373" t="s">
        <v>42</v>
      </c>
      <c r="C23373">
        <v>73538</v>
      </c>
      <c r="D23373" t="str">
        <f>"73538"</f>
        <v>73538</v>
      </c>
      <c r="E23373">
        <v>71.16</v>
      </c>
    </row>
    <row r="23374" spans="1:5" x14ac:dyDescent="0.2">
      <c r="A23374">
        <v>73539</v>
      </c>
      <c r="B23374" t="s">
        <v>42</v>
      </c>
      <c r="C23374">
        <v>73539</v>
      </c>
      <c r="D23374" t="str">
        <f>"73539"</f>
        <v>73539</v>
      </c>
      <c r="E23374" t="s">
        <v>6</v>
      </c>
    </row>
    <row r="23375" spans="1:5" x14ac:dyDescent="0.2">
      <c r="A23375">
        <v>73540</v>
      </c>
      <c r="B23375" t="s">
        <v>42</v>
      </c>
      <c r="C23375">
        <v>73540</v>
      </c>
      <c r="D23375" t="str">
        <f>"73540"</f>
        <v>73540</v>
      </c>
      <c r="E23375">
        <v>65</v>
      </c>
    </row>
    <row r="23376" spans="1:5" x14ac:dyDescent="0.2">
      <c r="A23376">
        <v>73541</v>
      </c>
      <c r="B23376" t="s">
        <v>42</v>
      </c>
      <c r="C23376">
        <v>73541</v>
      </c>
      <c r="D23376" t="str">
        <f>"73541"</f>
        <v>73541</v>
      </c>
      <c r="E23376">
        <v>67.67</v>
      </c>
    </row>
    <row r="23377" spans="1:5" x14ac:dyDescent="0.2">
      <c r="A23377">
        <v>73542</v>
      </c>
      <c r="B23377" t="s">
        <v>42</v>
      </c>
      <c r="C23377">
        <v>73542</v>
      </c>
      <c r="D23377" t="str">
        <f>"73542"</f>
        <v>73542</v>
      </c>
      <c r="E23377">
        <v>61.78</v>
      </c>
    </row>
    <row r="23378" spans="1:5" x14ac:dyDescent="0.2">
      <c r="A23378">
        <v>73543</v>
      </c>
      <c r="B23378" t="s">
        <v>42</v>
      </c>
      <c r="C23378">
        <v>73543</v>
      </c>
      <c r="D23378" t="str">
        <f>"73543"</f>
        <v>73543</v>
      </c>
      <c r="E23378">
        <v>66.67</v>
      </c>
    </row>
    <row r="23379" spans="1:5" x14ac:dyDescent="0.2">
      <c r="A23379">
        <v>73544</v>
      </c>
      <c r="B23379" t="s">
        <v>42</v>
      </c>
      <c r="C23379">
        <v>73544</v>
      </c>
      <c r="D23379" t="str">
        <f>"73544"</f>
        <v>73544</v>
      </c>
      <c r="E23379">
        <v>60</v>
      </c>
    </row>
    <row r="23380" spans="1:5" x14ac:dyDescent="0.2">
      <c r="A23380">
        <v>73546</v>
      </c>
      <c r="B23380" t="s">
        <v>42</v>
      </c>
      <c r="C23380">
        <v>73546</v>
      </c>
      <c r="D23380" t="str">
        <f>"73546"</f>
        <v>73546</v>
      </c>
      <c r="E23380">
        <v>58.97</v>
      </c>
    </row>
    <row r="23381" spans="1:5" x14ac:dyDescent="0.2">
      <c r="A23381">
        <v>73547</v>
      </c>
      <c r="B23381" t="s">
        <v>42</v>
      </c>
      <c r="C23381">
        <v>73547</v>
      </c>
      <c r="D23381" t="str">
        <f>"73547"</f>
        <v>73547</v>
      </c>
      <c r="E23381">
        <v>66.67</v>
      </c>
    </row>
    <row r="23382" spans="1:5" x14ac:dyDescent="0.2">
      <c r="A23382">
        <v>73548</v>
      </c>
      <c r="B23382" t="s">
        <v>42</v>
      </c>
      <c r="C23382">
        <v>73548</v>
      </c>
      <c r="D23382" t="str">
        <f>"73548"</f>
        <v>73548</v>
      </c>
      <c r="E23382">
        <v>70.59</v>
      </c>
    </row>
    <row r="23383" spans="1:5" x14ac:dyDescent="0.2">
      <c r="A23383">
        <v>73549</v>
      </c>
      <c r="B23383" t="s">
        <v>42</v>
      </c>
      <c r="C23383">
        <v>73549</v>
      </c>
      <c r="D23383" t="str">
        <f>"73549"</f>
        <v>73549</v>
      </c>
      <c r="E23383">
        <v>63.64</v>
      </c>
    </row>
    <row r="23384" spans="1:5" x14ac:dyDescent="0.2">
      <c r="A23384">
        <v>73550</v>
      </c>
      <c r="B23384" t="s">
        <v>42</v>
      </c>
      <c r="C23384">
        <v>73550</v>
      </c>
      <c r="D23384" t="str">
        <f>"73550"</f>
        <v>73550</v>
      </c>
      <c r="E23384">
        <v>55.84</v>
      </c>
    </row>
    <row r="23385" spans="1:5" x14ac:dyDescent="0.2">
      <c r="A23385">
        <v>73551</v>
      </c>
      <c r="B23385" t="s">
        <v>42</v>
      </c>
      <c r="C23385">
        <v>73551</v>
      </c>
      <c r="D23385" t="str">
        <f>"73551"</f>
        <v>73551</v>
      </c>
      <c r="E23385" t="s">
        <v>6</v>
      </c>
    </row>
    <row r="23386" spans="1:5" x14ac:dyDescent="0.2">
      <c r="A23386">
        <v>73552</v>
      </c>
      <c r="B23386" t="s">
        <v>42</v>
      </c>
      <c r="C23386">
        <v>73552</v>
      </c>
      <c r="D23386" t="str">
        <f>"73552"</f>
        <v>73552</v>
      </c>
      <c r="E23386">
        <v>70.59</v>
      </c>
    </row>
    <row r="23387" spans="1:5" x14ac:dyDescent="0.2">
      <c r="A23387">
        <v>73553</v>
      </c>
      <c r="B23387" t="s">
        <v>42</v>
      </c>
      <c r="C23387">
        <v>73553</v>
      </c>
      <c r="D23387" t="str">
        <f>"73553"</f>
        <v>73553</v>
      </c>
      <c r="E23387" t="s">
        <v>6</v>
      </c>
    </row>
    <row r="23388" spans="1:5" x14ac:dyDescent="0.2">
      <c r="A23388">
        <v>73554</v>
      </c>
      <c r="B23388" t="s">
        <v>42</v>
      </c>
      <c r="C23388">
        <v>73554</v>
      </c>
      <c r="D23388" t="str">
        <f>"73554"</f>
        <v>73554</v>
      </c>
      <c r="E23388">
        <v>58.12</v>
      </c>
    </row>
    <row r="23389" spans="1:5" x14ac:dyDescent="0.2">
      <c r="A23389">
        <v>73555</v>
      </c>
      <c r="B23389" t="s">
        <v>42</v>
      </c>
      <c r="C23389">
        <v>73555</v>
      </c>
      <c r="D23389" t="str">
        <f>"73555"</f>
        <v>73555</v>
      </c>
      <c r="E23389" t="s">
        <v>6</v>
      </c>
    </row>
    <row r="23390" spans="1:5" x14ac:dyDescent="0.2">
      <c r="A23390">
        <v>73556</v>
      </c>
      <c r="B23390" t="s">
        <v>42</v>
      </c>
      <c r="C23390">
        <v>73556</v>
      </c>
      <c r="D23390" t="str">
        <f>"73556"</f>
        <v>73556</v>
      </c>
      <c r="E23390" t="s">
        <v>6</v>
      </c>
    </row>
    <row r="23391" spans="1:5" x14ac:dyDescent="0.2">
      <c r="A23391">
        <v>73557</v>
      </c>
      <c r="B23391" t="s">
        <v>42</v>
      </c>
      <c r="C23391">
        <v>73557</v>
      </c>
      <c r="D23391" t="str">
        <f>"73557"</f>
        <v>73557</v>
      </c>
      <c r="E23391" t="s">
        <v>6</v>
      </c>
    </row>
    <row r="23392" spans="1:5" x14ac:dyDescent="0.2">
      <c r="A23392">
        <v>73559</v>
      </c>
      <c r="B23392" t="s">
        <v>42</v>
      </c>
      <c r="C23392">
        <v>73559</v>
      </c>
      <c r="D23392" t="str">
        <f>"73559"</f>
        <v>73559</v>
      </c>
      <c r="E23392">
        <v>60</v>
      </c>
    </row>
    <row r="23393" spans="1:5" x14ac:dyDescent="0.2">
      <c r="A23393">
        <v>73560</v>
      </c>
      <c r="B23393" t="s">
        <v>42</v>
      </c>
      <c r="C23393">
        <v>73560</v>
      </c>
      <c r="D23393" t="str">
        <f>"73560"</f>
        <v>73560</v>
      </c>
      <c r="E23393">
        <v>57.14</v>
      </c>
    </row>
    <row r="23394" spans="1:5" x14ac:dyDescent="0.2">
      <c r="A23394">
        <v>73562</v>
      </c>
      <c r="B23394" t="s">
        <v>42</v>
      </c>
      <c r="C23394">
        <v>73562</v>
      </c>
      <c r="D23394" t="str">
        <f>"73562"</f>
        <v>73562</v>
      </c>
      <c r="E23394">
        <v>66.67</v>
      </c>
    </row>
    <row r="23395" spans="1:5" x14ac:dyDescent="0.2">
      <c r="A23395">
        <v>73564</v>
      </c>
      <c r="B23395" t="s">
        <v>42</v>
      </c>
      <c r="C23395">
        <v>73564</v>
      </c>
      <c r="D23395" t="str">
        <f>"73564"</f>
        <v>73564</v>
      </c>
      <c r="E23395">
        <v>65</v>
      </c>
    </row>
    <row r="23396" spans="1:5" x14ac:dyDescent="0.2">
      <c r="A23396">
        <v>73565</v>
      </c>
      <c r="B23396" t="s">
        <v>42</v>
      </c>
      <c r="C23396">
        <v>73565</v>
      </c>
      <c r="D23396" t="str">
        <f>"73565"</f>
        <v>73565</v>
      </c>
      <c r="E23396">
        <v>58.62</v>
      </c>
    </row>
    <row r="23397" spans="1:5" x14ac:dyDescent="0.2">
      <c r="A23397">
        <v>73566</v>
      </c>
      <c r="B23397" t="s">
        <v>42</v>
      </c>
      <c r="C23397">
        <v>73566</v>
      </c>
      <c r="D23397" t="str">
        <f>"73566"</f>
        <v>73566</v>
      </c>
      <c r="E23397">
        <v>66.13</v>
      </c>
    </row>
    <row r="23398" spans="1:5" x14ac:dyDescent="0.2">
      <c r="A23398">
        <v>73567</v>
      </c>
      <c r="B23398" t="s">
        <v>42</v>
      </c>
      <c r="C23398">
        <v>73567</v>
      </c>
      <c r="D23398" t="str">
        <f>"73567"</f>
        <v>73567</v>
      </c>
      <c r="E23398" t="s">
        <v>6</v>
      </c>
    </row>
    <row r="23399" spans="1:5" x14ac:dyDescent="0.2">
      <c r="A23399">
        <v>73568</v>
      </c>
      <c r="B23399" t="s">
        <v>42</v>
      </c>
      <c r="C23399">
        <v>73568</v>
      </c>
      <c r="D23399" t="str">
        <f>"73568"</f>
        <v>73568</v>
      </c>
      <c r="E23399">
        <v>57.89</v>
      </c>
    </row>
    <row r="23400" spans="1:5" x14ac:dyDescent="0.2">
      <c r="A23400">
        <v>73569</v>
      </c>
      <c r="B23400" t="s">
        <v>42</v>
      </c>
      <c r="C23400">
        <v>73569</v>
      </c>
      <c r="D23400" t="str">
        <f>"73569"</f>
        <v>73569</v>
      </c>
      <c r="E23400">
        <v>52.94</v>
      </c>
    </row>
    <row r="23401" spans="1:5" x14ac:dyDescent="0.2">
      <c r="A23401">
        <v>73570</v>
      </c>
      <c r="B23401" t="s">
        <v>42</v>
      </c>
      <c r="C23401">
        <v>73570</v>
      </c>
      <c r="D23401" t="str">
        <f>"73570"</f>
        <v>73570</v>
      </c>
      <c r="E23401">
        <v>65</v>
      </c>
    </row>
    <row r="23402" spans="1:5" x14ac:dyDescent="0.2">
      <c r="A23402">
        <v>73571</v>
      </c>
      <c r="B23402" t="s">
        <v>42</v>
      </c>
      <c r="C23402">
        <v>73571</v>
      </c>
      <c r="D23402" t="str">
        <f>"73571"</f>
        <v>73571</v>
      </c>
      <c r="E23402" t="s">
        <v>6</v>
      </c>
    </row>
    <row r="23403" spans="1:5" x14ac:dyDescent="0.2">
      <c r="A23403">
        <v>73572</v>
      </c>
      <c r="B23403" t="s">
        <v>42</v>
      </c>
      <c r="C23403">
        <v>73572</v>
      </c>
      <c r="D23403" t="str">
        <f>"73572"</f>
        <v>73572</v>
      </c>
      <c r="E23403">
        <v>67.36</v>
      </c>
    </row>
    <row r="23404" spans="1:5" x14ac:dyDescent="0.2">
      <c r="A23404">
        <v>73573</v>
      </c>
      <c r="B23404" t="s">
        <v>42</v>
      </c>
      <c r="C23404">
        <v>73573</v>
      </c>
      <c r="D23404" t="str">
        <f>"73573"</f>
        <v>73573</v>
      </c>
      <c r="E23404">
        <v>62.2</v>
      </c>
    </row>
    <row r="23405" spans="1:5" x14ac:dyDescent="0.2">
      <c r="A23405">
        <v>73601</v>
      </c>
      <c r="B23405" t="s">
        <v>42</v>
      </c>
      <c r="C23405">
        <v>73601</v>
      </c>
      <c r="D23405" t="str">
        <f>"73601"</f>
        <v>73601</v>
      </c>
      <c r="E23405">
        <v>63.5</v>
      </c>
    </row>
    <row r="23406" spans="1:5" x14ac:dyDescent="0.2">
      <c r="A23406">
        <v>73620</v>
      </c>
      <c r="B23406" t="s">
        <v>42</v>
      </c>
      <c r="C23406">
        <v>73620</v>
      </c>
      <c r="D23406" t="str">
        <f>"73620"</f>
        <v>73620</v>
      </c>
      <c r="E23406">
        <v>72.73</v>
      </c>
    </row>
    <row r="23407" spans="1:5" x14ac:dyDescent="0.2">
      <c r="A23407">
        <v>73622</v>
      </c>
      <c r="B23407" t="s">
        <v>42</v>
      </c>
      <c r="C23407">
        <v>73622</v>
      </c>
      <c r="D23407" t="str">
        <f>"73622"</f>
        <v>73622</v>
      </c>
      <c r="E23407">
        <v>72.73</v>
      </c>
    </row>
    <row r="23408" spans="1:5" x14ac:dyDescent="0.2">
      <c r="A23408">
        <v>73624</v>
      </c>
      <c r="B23408" t="s">
        <v>42</v>
      </c>
      <c r="C23408">
        <v>73624</v>
      </c>
      <c r="D23408" t="str">
        <f>"73624"</f>
        <v>73624</v>
      </c>
      <c r="E23408" t="s">
        <v>6</v>
      </c>
    </row>
    <row r="23409" spans="1:5" x14ac:dyDescent="0.2">
      <c r="A23409">
        <v>73625</v>
      </c>
      <c r="B23409" t="s">
        <v>42</v>
      </c>
      <c r="C23409">
        <v>73625</v>
      </c>
      <c r="D23409" t="str">
        <f>"73625"</f>
        <v>73625</v>
      </c>
      <c r="E23409">
        <v>70.59</v>
      </c>
    </row>
    <row r="23410" spans="1:5" x14ac:dyDescent="0.2">
      <c r="A23410">
        <v>73626</v>
      </c>
      <c r="B23410" t="s">
        <v>42</v>
      </c>
      <c r="C23410">
        <v>73626</v>
      </c>
      <c r="D23410" t="str">
        <f>"73626"</f>
        <v>73626</v>
      </c>
      <c r="E23410">
        <v>69.39</v>
      </c>
    </row>
    <row r="23411" spans="1:5" x14ac:dyDescent="0.2">
      <c r="A23411">
        <v>73627</v>
      </c>
      <c r="B23411" t="s">
        <v>42</v>
      </c>
      <c r="C23411">
        <v>73627</v>
      </c>
      <c r="D23411" t="str">
        <f>"73627"</f>
        <v>73627</v>
      </c>
      <c r="E23411">
        <v>69.569999999999993</v>
      </c>
    </row>
    <row r="23412" spans="1:5" x14ac:dyDescent="0.2">
      <c r="A23412">
        <v>73628</v>
      </c>
      <c r="B23412" t="s">
        <v>42</v>
      </c>
      <c r="C23412">
        <v>73628</v>
      </c>
      <c r="D23412" t="str">
        <f>"73628"</f>
        <v>73628</v>
      </c>
      <c r="E23412">
        <v>66.67</v>
      </c>
    </row>
    <row r="23413" spans="1:5" x14ac:dyDescent="0.2">
      <c r="A23413">
        <v>73632</v>
      </c>
      <c r="B23413" t="s">
        <v>42</v>
      </c>
      <c r="C23413">
        <v>73632</v>
      </c>
      <c r="D23413" t="str">
        <f>"73632"</f>
        <v>73632</v>
      </c>
      <c r="E23413">
        <v>67.67</v>
      </c>
    </row>
    <row r="23414" spans="1:5" x14ac:dyDescent="0.2">
      <c r="A23414">
        <v>73638</v>
      </c>
      <c r="B23414" t="s">
        <v>42</v>
      </c>
      <c r="C23414">
        <v>73638</v>
      </c>
      <c r="D23414" t="str">
        <f>"73638"</f>
        <v>73638</v>
      </c>
      <c r="E23414" t="s">
        <v>6</v>
      </c>
    </row>
    <row r="23415" spans="1:5" x14ac:dyDescent="0.2">
      <c r="A23415">
        <v>73639</v>
      </c>
      <c r="B23415" t="s">
        <v>42</v>
      </c>
      <c r="C23415">
        <v>73639</v>
      </c>
      <c r="D23415" t="str">
        <f>"73639"</f>
        <v>73639</v>
      </c>
      <c r="E23415">
        <v>60</v>
      </c>
    </row>
    <row r="23416" spans="1:5" x14ac:dyDescent="0.2">
      <c r="A23416">
        <v>73641</v>
      </c>
      <c r="B23416" t="s">
        <v>42</v>
      </c>
      <c r="C23416">
        <v>73641</v>
      </c>
      <c r="D23416" t="str">
        <f>"73641"</f>
        <v>73641</v>
      </c>
      <c r="E23416">
        <v>72</v>
      </c>
    </row>
    <row r="23417" spans="1:5" x14ac:dyDescent="0.2">
      <c r="A23417">
        <v>73642</v>
      </c>
      <c r="B23417" t="s">
        <v>42</v>
      </c>
      <c r="C23417">
        <v>73642</v>
      </c>
      <c r="D23417" t="str">
        <f>"73642"</f>
        <v>73642</v>
      </c>
      <c r="E23417" t="s">
        <v>6</v>
      </c>
    </row>
    <row r="23418" spans="1:5" x14ac:dyDescent="0.2">
      <c r="A23418">
        <v>73644</v>
      </c>
      <c r="B23418" t="s">
        <v>42</v>
      </c>
      <c r="C23418">
        <v>73644</v>
      </c>
      <c r="D23418" t="str">
        <f>"73644"</f>
        <v>73644</v>
      </c>
      <c r="E23418">
        <v>66.599999999999994</v>
      </c>
    </row>
    <row r="23419" spans="1:5" x14ac:dyDescent="0.2">
      <c r="A23419">
        <v>73645</v>
      </c>
      <c r="B23419" t="s">
        <v>42</v>
      </c>
      <c r="C23419">
        <v>73645</v>
      </c>
      <c r="D23419" t="str">
        <f>"73645"</f>
        <v>73645</v>
      </c>
      <c r="E23419">
        <v>58.33</v>
      </c>
    </row>
    <row r="23420" spans="1:5" x14ac:dyDescent="0.2">
      <c r="A23420">
        <v>73646</v>
      </c>
      <c r="B23420" t="s">
        <v>42</v>
      </c>
      <c r="C23420">
        <v>73646</v>
      </c>
      <c r="D23420" t="str">
        <f>"73646"</f>
        <v>73646</v>
      </c>
      <c r="E23420">
        <v>73.680000000000007</v>
      </c>
    </row>
    <row r="23421" spans="1:5" x14ac:dyDescent="0.2">
      <c r="A23421">
        <v>73647</v>
      </c>
      <c r="B23421" t="s">
        <v>42</v>
      </c>
      <c r="C23421">
        <v>73647</v>
      </c>
      <c r="D23421" t="str">
        <f>"73647"</f>
        <v>73647</v>
      </c>
      <c r="E23421">
        <v>57.58</v>
      </c>
    </row>
    <row r="23422" spans="1:5" x14ac:dyDescent="0.2">
      <c r="A23422">
        <v>73650</v>
      </c>
      <c r="B23422" t="s">
        <v>42</v>
      </c>
      <c r="C23422">
        <v>73650</v>
      </c>
      <c r="D23422" t="str">
        <f>"73650"</f>
        <v>73650</v>
      </c>
      <c r="E23422">
        <v>74.36</v>
      </c>
    </row>
    <row r="23423" spans="1:5" x14ac:dyDescent="0.2">
      <c r="A23423">
        <v>73651</v>
      </c>
      <c r="B23423" t="s">
        <v>42</v>
      </c>
      <c r="C23423">
        <v>73651</v>
      </c>
      <c r="D23423" t="str">
        <f>"73651"</f>
        <v>73651</v>
      </c>
      <c r="E23423">
        <v>59.72</v>
      </c>
    </row>
    <row r="23424" spans="1:5" x14ac:dyDescent="0.2">
      <c r="A23424">
        <v>73654</v>
      </c>
      <c r="B23424" t="s">
        <v>42</v>
      </c>
      <c r="C23424">
        <v>73654</v>
      </c>
      <c r="D23424" t="str">
        <f>"73654"</f>
        <v>73654</v>
      </c>
      <c r="E23424">
        <v>71.430000000000007</v>
      </c>
    </row>
    <row r="23425" spans="1:5" x14ac:dyDescent="0.2">
      <c r="A23425">
        <v>73655</v>
      </c>
      <c r="B23425" t="s">
        <v>42</v>
      </c>
      <c r="C23425">
        <v>73655</v>
      </c>
      <c r="D23425" t="str">
        <f>"73655"</f>
        <v>73655</v>
      </c>
      <c r="E23425">
        <v>58.06</v>
      </c>
    </row>
    <row r="23426" spans="1:5" x14ac:dyDescent="0.2">
      <c r="A23426">
        <v>73658</v>
      </c>
      <c r="B23426" t="s">
        <v>42</v>
      </c>
      <c r="C23426">
        <v>73658</v>
      </c>
      <c r="D23426" t="str">
        <f>"73658"</f>
        <v>73658</v>
      </c>
      <c r="E23426">
        <v>72.73</v>
      </c>
    </row>
    <row r="23427" spans="1:5" x14ac:dyDescent="0.2">
      <c r="A23427">
        <v>73659</v>
      </c>
      <c r="B23427" t="s">
        <v>42</v>
      </c>
      <c r="C23427">
        <v>73659</v>
      </c>
      <c r="D23427" t="str">
        <f>"73659"</f>
        <v>73659</v>
      </c>
      <c r="E23427" t="s">
        <v>6</v>
      </c>
    </row>
    <row r="23428" spans="1:5" x14ac:dyDescent="0.2">
      <c r="A23428">
        <v>73660</v>
      </c>
      <c r="B23428" t="s">
        <v>42</v>
      </c>
      <c r="C23428">
        <v>73660</v>
      </c>
      <c r="D23428" t="str">
        <f>"73660"</f>
        <v>73660</v>
      </c>
      <c r="E23428">
        <v>56.25</v>
      </c>
    </row>
    <row r="23429" spans="1:5" x14ac:dyDescent="0.2">
      <c r="A23429">
        <v>73661</v>
      </c>
      <c r="B23429" t="s">
        <v>42</v>
      </c>
      <c r="C23429">
        <v>73661</v>
      </c>
      <c r="D23429" t="str">
        <f>"73661"</f>
        <v>73661</v>
      </c>
      <c r="E23429">
        <v>66.67</v>
      </c>
    </row>
    <row r="23430" spans="1:5" x14ac:dyDescent="0.2">
      <c r="A23430">
        <v>73662</v>
      </c>
      <c r="B23430" t="s">
        <v>42</v>
      </c>
      <c r="C23430">
        <v>73662</v>
      </c>
      <c r="D23430" t="str">
        <f>"73662"</f>
        <v>73662</v>
      </c>
      <c r="E23430">
        <v>64.78</v>
      </c>
    </row>
    <row r="23431" spans="1:5" x14ac:dyDescent="0.2">
      <c r="A23431">
        <v>73663</v>
      </c>
      <c r="B23431" t="s">
        <v>42</v>
      </c>
      <c r="C23431">
        <v>73663</v>
      </c>
      <c r="D23431" t="str">
        <f>"73663"</f>
        <v>73663</v>
      </c>
      <c r="E23431">
        <v>69.23</v>
      </c>
    </row>
    <row r="23432" spans="1:5" x14ac:dyDescent="0.2">
      <c r="A23432">
        <v>73664</v>
      </c>
      <c r="B23432" t="s">
        <v>42</v>
      </c>
      <c r="C23432">
        <v>73664</v>
      </c>
      <c r="D23432" t="str">
        <f>"73664"</f>
        <v>73664</v>
      </c>
      <c r="E23432">
        <v>60.98</v>
      </c>
    </row>
    <row r="23433" spans="1:5" x14ac:dyDescent="0.2">
      <c r="A23433">
        <v>73666</v>
      </c>
      <c r="B23433" t="s">
        <v>42</v>
      </c>
      <c r="C23433">
        <v>73666</v>
      </c>
      <c r="D23433" t="str">
        <f>"73666"</f>
        <v>73666</v>
      </c>
      <c r="E23433">
        <v>58.33</v>
      </c>
    </row>
    <row r="23434" spans="1:5" x14ac:dyDescent="0.2">
      <c r="A23434">
        <v>73667</v>
      </c>
      <c r="B23434" t="s">
        <v>42</v>
      </c>
      <c r="C23434">
        <v>73667</v>
      </c>
      <c r="D23434" t="str">
        <f>"73667"</f>
        <v>73667</v>
      </c>
      <c r="E23434">
        <v>71.430000000000007</v>
      </c>
    </row>
    <row r="23435" spans="1:5" x14ac:dyDescent="0.2">
      <c r="A23435">
        <v>73668</v>
      </c>
      <c r="B23435" t="s">
        <v>42</v>
      </c>
      <c r="C23435">
        <v>73668</v>
      </c>
      <c r="D23435" t="str">
        <f>"73668"</f>
        <v>73668</v>
      </c>
      <c r="E23435" t="s">
        <v>6</v>
      </c>
    </row>
    <row r="23436" spans="1:5" x14ac:dyDescent="0.2">
      <c r="A23436">
        <v>73669</v>
      </c>
      <c r="B23436" t="s">
        <v>42</v>
      </c>
      <c r="C23436">
        <v>73669</v>
      </c>
      <c r="D23436" t="str">
        <f>"73669"</f>
        <v>73669</v>
      </c>
      <c r="E23436">
        <v>67.12</v>
      </c>
    </row>
    <row r="23437" spans="1:5" x14ac:dyDescent="0.2">
      <c r="A23437">
        <v>73673</v>
      </c>
      <c r="B23437" t="s">
        <v>42</v>
      </c>
      <c r="C23437">
        <v>73673</v>
      </c>
      <c r="D23437" t="str">
        <f>"73673"</f>
        <v>73673</v>
      </c>
      <c r="E23437">
        <v>70</v>
      </c>
    </row>
    <row r="23438" spans="1:5" x14ac:dyDescent="0.2">
      <c r="A23438">
        <v>73701</v>
      </c>
      <c r="B23438" t="s">
        <v>42</v>
      </c>
      <c r="C23438">
        <v>73701</v>
      </c>
      <c r="D23438" t="str">
        <f>"73701"</f>
        <v>73701</v>
      </c>
      <c r="E23438">
        <v>57.57</v>
      </c>
    </row>
    <row r="23439" spans="1:5" x14ac:dyDescent="0.2">
      <c r="A23439">
        <v>73703</v>
      </c>
      <c r="B23439" t="s">
        <v>42</v>
      </c>
      <c r="C23439">
        <v>73703</v>
      </c>
      <c r="D23439" t="str">
        <f>"73703"</f>
        <v>73703</v>
      </c>
      <c r="E23439">
        <v>73.8</v>
      </c>
    </row>
    <row r="23440" spans="1:5" x14ac:dyDescent="0.2">
      <c r="A23440">
        <v>73705</v>
      </c>
      <c r="B23440" t="s">
        <v>42</v>
      </c>
      <c r="C23440">
        <v>73705</v>
      </c>
      <c r="D23440" t="str">
        <f>"73705"</f>
        <v>73705</v>
      </c>
      <c r="E23440" t="s">
        <v>6</v>
      </c>
    </row>
    <row r="23441" spans="1:5" x14ac:dyDescent="0.2">
      <c r="A23441">
        <v>73716</v>
      </c>
      <c r="B23441" t="s">
        <v>42</v>
      </c>
      <c r="C23441">
        <v>73716</v>
      </c>
      <c r="D23441" t="str">
        <f>"73716"</f>
        <v>73716</v>
      </c>
      <c r="E23441">
        <v>73.680000000000007</v>
      </c>
    </row>
    <row r="23442" spans="1:5" x14ac:dyDescent="0.2">
      <c r="A23442">
        <v>73717</v>
      </c>
      <c r="B23442" t="s">
        <v>42</v>
      </c>
      <c r="C23442">
        <v>73717</v>
      </c>
      <c r="D23442" t="str">
        <f>"73717"</f>
        <v>73717</v>
      </c>
      <c r="E23442">
        <v>74.44</v>
      </c>
    </row>
    <row r="23443" spans="1:5" x14ac:dyDescent="0.2">
      <c r="A23443">
        <v>73718</v>
      </c>
      <c r="B23443" t="s">
        <v>42</v>
      </c>
      <c r="C23443">
        <v>73718</v>
      </c>
      <c r="D23443" t="str">
        <f>"73718"</f>
        <v>73718</v>
      </c>
      <c r="E23443">
        <v>72.73</v>
      </c>
    </row>
    <row r="23444" spans="1:5" x14ac:dyDescent="0.2">
      <c r="A23444">
        <v>73719</v>
      </c>
      <c r="B23444" t="s">
        <v>42</v>
      </c>
      <c r="C23444">
        <v>73719</v>
      </c>
      <c r="D23444" t="str">
        <f>"73719"</f>
        <v>73719</v>
      </c>
      <c r="E23444" t="s">
        <v>6</v>
      </c>
    </row>
    <row r="23445" spans="1:5" x14ac:dyDescent="0.2">
      <c r="A23445">
        <v>73720</v>
      </c>
      <c r="B23445" t="s">
        <v>42</v>
      </c>
      <c r="C23445">
        <v>73720</v>
      </c>
      <c r="D23445" t="str">
        <f>"73720"</f>
        <v>73720</v>
      </c>
      <c r="E23445">
        <v>80</v>
      </c>
    </row>
    <row r="23446" spans="1:5" x14ac:dyDescent="0.2">
      <c r="A23446">
        <v>73722</v>
      </c>
      <c r="B23446" t="s">
        <v>42</v>
      </c>
      <c r="C23446">
        <v>73722</v>
      </c>
      <c r="D23446" t="str">
        <f>"73722"</f>
        <v>73722</v>
      </c>
      <c r="E23446">
        <v>76.47</v>
      </c>
    </row>
    <row r="23447" spans="1:5" x14ac:dyDescent="0.2">
      <c r="A23447">
        <v>73724</v>
      </c>
      <c r="B23447" t="s">
        <v>42</v>
      </c>
      <c r="C23447">
        <v>73724</v>
      </c>
      <c r="D23447" t="str">
        <f>"73724"</f>
        <v>73724</v>
      </c>
      <c r="E23447">
        <v>73.47</v>
      </c>
    </row>
    <row r="23448" spans="1:5" x14ac:dyDescent="0.2">
      <c r="A23448">
        <v>73726</v>
      </c>
      <c r="B23448" t="s">
        <v>42</v>
      </c>
      <c r="C23448">
        <v>73726</v>
      </c>
      <c r="D23448" t="str">
        <f>"73726"</f>
        <v>73726</v>
      </c>
      <c r="E23448">
        <v>73.680000000000007</v>
      </c>
    </row>
    <row r="23449" spans="1:5" x14ac:dyDescent="0.2">
      <c r="A23449">
        <v>73727</v>
      </c>
      <c r="B23449" t="s">
        <v>42</v>
      </c>
      <c r="C23449">
        <v>73727</v>
      </c>
      <c r="D23449" t="str">
        <f>"73727"</f>
        <v>73727</v>
      </c>
      <c r="E23449">
        <v>72.73</v>
      </c>
    </row>
    <row r="23450" spans="1:5" x14ac:dyDescent="0.2">
      <c r="A23450">
        <v>73728</v>
      </c>
      <c r="B23450" t="s">
        <v>42</v>
      </c>
      <c r="C23450">
        <v>73728</v>
      </c>
      <c r="D23450" t="str">
        <f>"73728"</f>
        <v>73728</v>
      </c>
      <c r="E23450">
        <v>69.510000000000005</v>
      </c>
    </row>
    <row r="23451" spans="1:5" x14ac:dyDescent="0.2">
      <c r="A23451">
        <v>73729</v>
      </c>
      <c r="B23451" t="s">
        <v>42</v>
      </c>
      <c r="C23451">
        <v>73729</v>
      </c>
      <c r="D23451" t="str">
        <f>"73729"</f>
        <v>73729</v>
      </c>
      <c r="E23451">
        <v>75</v>
      </c>
    </row>
    <row r="23452" spans="1:5" x14ac:dyDescent="0.2">
      <c r="A23452">
        <v>73730</v>
      </c>
      <c r="B23452" t="s">
        <v>42</v>
      </c>
      <c r="C23452">
        <v>73730</v>
      </c>
      <c r="D23452" t="str">
        <f>"73730"</f>
        <v>73730</v>
      </c>
      <c r="E23452">
        <v>62.96</v>
      </c>
    </row>
    <row r="23453" spans="1:5" x14ac:dyDescent="0.2">
      <c r="A23453">
        <v>73731</v>
      </c>
      <c r="B23453" t="s">
        <v>42</v>
      </c>
      <c r="C23453">
        <v>73731</v>
      </c>
      <c r="D23453" t="str">
        <f>"73731"</f>
        <v>73731</v>
      </c>
      <c r="E23453" t="s">
        <v>6</v>
      </c>
    </row>
    <row r="23454" spans="1:5" x14ac:dyDescent="0.2">
      <c r="A23454">
        <v>73733</v>
      </c>
      <c r="B23454" t="s">
        <v>42</v>
      </c>
      <c r="C23454">
        <v>73733</v>
      </c>
      <c r="D23454" t="str">
        <f>"73733"</f>
        <v>73733</v>
      </c>
      <c r="E23454" t="s">
        <v>6</v>
      </c>
    </row>
    <row r="23455" spans="1:5" x14ac:dyDescent="0.2">
      <c r="A23455">
        <v>73734</v>
      </c>
      <c r="B23455" t="s">
        <v>42</v>
      </c>
      <c r="C23455">
        <v>73734</v>
      </c>
      <c r="D23455" t="str">
        <f>"73734"</f>
        <v>73734</v>
      </c>
      <c r="E23455">
        <v>70.45</v>
      </c>
    </row>
    <row r="23456" spans="1:5" x14ac:dyDescent="0.2">
      <c r="A23456">
        <v>73735</v>
      </c>
      <c r="B23456" t="s">
        <v>42</v>
      </c>
      <c r="C23456">
        <v>73735</v>
      </c>
      <c r="D23456" t="str">
        <f>"73735"</f>
        <v>73735</v>
      </c>
      <c r="E23456">
        <v>70.59</v>
      </c>
    </row>
    <row r="23457" spans="1:5" x14ac:dyDescent="0.2">
      <c r="A23457">
        <v>73736</v>
      </c>
      <c r="B23457" t="s">
        <v>42</v>
      </c>
      <c r="C23457">
        <v>73736</v>
      </c>
      <c r="D23457" t="str">
        <f>"73736"</f>
        <v>73736</v>
      </c>
      <c r="E23457">
        <v>72.22</v>
      </c>
    </row>
    <row r="23458" spans="1:5" x14ac:dyDescent="0.2">
      <c r="A23458">
        <v>73737</v>
      </c>
      <c r="B23458" t="s">
        <v>42</v>
      </c>
      <c r="C23458">
        <v>73737</v>
      </c>
      <c r="D23458" t="str">
        <f>"73737"</f>
        <v>73737</v>
      </c>
      <c r="E23458">
        <v>70.27</v>
      </c>
    </row>
    <row r="23459" spans="1:5" x14ac:dyDescent="0.2">
      <c r="A23459">
        <v>73738</v>
      </c>
      <c r="B23459" t="s">
        <v>42</v>
      </c>
      <c r="C23459">
        <v>73738</v>
      </c>
      <c r="D23459" t="str">
        <f>"73738"</f>
        <v>73738</v>
      </c>
      <c r="E23459">
        <v>68.180000000000007</v>
      </c>
    </row>
    <row r="23460" spans="1:5" x14ac:dyDescent="0.2">
      <c r="A23460">
        <v>73739</v>
      </c>
      <c r="B23460" t="s">
        <v>42</v>
      </c>
      <c r="C23460">
        <v>73739</v>
      </c>
      <c r="D23460" t="str">
        <f>"73739"</f>
        <v>73739</v>
      </c>
      <c r="E23460">
        <v>75</v>
      </c>
    </row>
    <row r="23461" spans="1:5" x14ac:dyDescent="0.2">
      <c r="A23461">
        <v>73741</v>
      </c>
      <c r="B23461" t="s">
        <v>42</v>
      </c>
      <c r="C23461">
        <v>73741</v>
      </c>
      <c r="D23461" t="str">
        <f>"73741"</f>
        <v>73741</v>
      </c>
      <c r="E23461">
        <v>73.91</v>
      </c>
    </row>
    <row r="23462" spans="1:5" x14ac:dyDescent="0.2">
      <c r="A23462">
        <v>73742</v>
      </c>
      <c r="B23462" t="s">
        <v>42</v>
      </c>
      <c r="C23462">
        <v>73742</v>
      </c>
      <c r="D23462" t="str">
        <f>"73742"</f>
        <v>73742</v>
      </c>
      <c r="E23462">
        <v>70</v>
      </c>
    </row>
    <row r="23463" spans="1:5" x14ac:dyDescent="0.2">
      <c r="A23463">
        <v>73743</v>
      </c>
      <c r="B23463" t="s">
        <v>42</v>
      </c>
      <c r="C23463">
        <v>73743</v>
      </c>
      <c r="D23463" t="str">
        <f>"73743"</f>
        <v>73743</v>
      </c>
      <c r="E23463" t="s">
        <v>6</v>
      </c>
    </row>
    <row r="23464" spans="1:5" x14ac:dyDescent="0.2">
      <c r="A23464">
        <v>73744</v>
      </c>
      <c r="B23464" t="s">
        <v>42</v>
      </c>
      <c r="C23464">
        <v>73744</v>
      </c>
      <c r="D23464" t="str">
        <f>"73744"</f>
        <v>73744</v>
      </c>
      <c r="E23464">
        <v>61.54</v>
      </c>
    </row>
    <row r="23465" spans="1:5" x14ac:dyDescent="0.2">
      <c r="A23465">
        <v>73747</v>
      </c>
      <c r="B23465" t="s">
        <v>42</v>
      </c>
      <c r="C23465">
        <v>73747</v>
      </c>
      <c r="D23465" t="str">
        <f>"73747"</f>
        <v>73747</v>
      </c>
      <c r="E23465">
        <v>66.67</v>
      </c>
    </row>
    <row r="23466" spans="1:5" x14ac:dyDescent="0.2">
      <c r="A23466">
        <v>73749</v>
      </c>
      <c r="B23466" t="s">
        <v>42</v>
      </c>
      <c r="C23466">
        <v>73749</v>
      </c>
      <c r="D23466" t="str">
        <f>"73749"</f>
        <v>73749</v>
      </c>
      <c r="E23466">
        <v>66.67</v>
      </c>
    </row>
    <row r="23467" spans="1:5" x14ac:dyDescent="0.2">
      <c r="A23467">
        <v>73750</v>
      </c>
      <c r="B23467" t="s">
        <v>42</v>
      </c>
      <c r="C23467">
        <v>73750</v>
      </c>
      <c r="D23467" t="str">
        <f>"73750"</f>
        <v>73750</v>
      </c>
      <c r="E23467">
        <v>75.64</v>
      </c>
    </row>
    <row r="23468" spans="1:5" x14ac:dyDescent="0.2">
      <c r="A23468">
        <v>73753</v>
      </c>
      <c r="B23468" t="s">
        <v>42</v>
      </c>
      <c r="C23468">
        <v>73753</v>
      </c>
      <c r="D23468" t="str">
        <f>"73753"</f>
        <v>73753</v>
      </c>
      <c r="E23468">
        <v>66.67</v>
      </c>
    </row>
    <row r="23469" spans="1:5" x14ac:dyDescent="0.2">
      <c r="A23469">
        <v>73754</v>
      </c>
      <c r="B23469" t="s">
        <v>42</v>
      </c>
      <c r="C23469">
        <v>73754</v>
      </c>
      <c r="D23469" t="str">
        <f>"73754"</f>
        <v>73754</v>
      </c>
      <c r="E23469">
        <v>73.33</v>
      </c>
    </row>
    <row r="23470" spans="1:5" x14ac:dyDescent="0.2">
      <c r="A23470">
        <v>73755</v>
      </c>
      <c r="B23470" t="s">
        <v>42</v>
      </c>
      <c r="C23470">
        <v>73755</v>
      </c>
      <c r="D23470" t="str">
        <f>"73755"</f>
        <v>73755</v>
      </c>
      <c r="E23470">
        <v>72.41</v>
      </c>
    </row>
    <row r="23471" spans="1:5" x14ac:dyDescent="0.2">
      <c r="A23471">
        <v>73756</v>
      </c>
      <c r="B23471" t="s">
        <v>42</v>
      </c>
      <c r="C23471">
        <v>73756</v>
      </c>
      <c r="D23471" t="str">
        <f>"73756"</f>
        <v>73756</v>
      </c>
      <c r="E23471">
        <v>66.67</v>
      </c>
    </row>
    <row r="23472" spans="1:5" x14ac:dyDescent="0.2">
      <c r="A23472">
        <v>73757</v>
      </c>
      <c r="B23472" t="s">
        <v>42</v>
      </c>
      <c r="C23472">
        <v>73757</v>
      </c>
      <c r="D23472" t="str">
        <f>"73757"</f>
        <v>73757</v>
      </c>
      <c r="E23472" t="s">
        <v>6</v>
      </c>
    </row>
    <row r="23473" spans="1:5" x14ac:dyDescent="0.2">
      <c r="A23473">
        <v>73758</v>
      </c>
      <c r="B23473" t="s">
        <v>42</v>
      </c>
      <c r="C23473">
        <v>73758</v>
      </c>
      <c r="D23473" t="str">
        <f>"73758"</f>
        <v>73758</v>
      </c>
      <c r="E23473" t="s">
        <v>6</v>
      </c>
    </row>
    <row r="23474" spans="1:5" x14ac:dyDescent="0.2">
      <c r="A23474">
        <v>73759</v>
      </c>
      <c r="B23474" t="s">
        <v>42</v>
      </c>
      <c r="C23474">
        <v>73759</v>
      </c>
      <c r="D23474" t="str">
        <f>"73759"</f>
        <v>73759</v>
      </c>
      <c r="E23474">
        <v>71.67</v>
      </c>
    </row>
    <row r="23475" spans="1:5" x14ac:dyDescent="0.2">
      <c r="A23475">
        <v>73760</v>
      </c>
      <c r="B23475" t="s">
        <v>42</v>
      </c>
      <c r="C23475">
        <v>73760</v>
      </c>
      <c r="D23475" t="str">
        <f>"73760"</f>
        <v>73760</v>
      </c>
      <c r="E23475">
        <v>66.67</v>
      </c>
    </row>
    <row r="23476" spans="1:5" x14ac:dyDescent="0.2">
      <c r="A23476">
        <v>73761</v>
      </c>
      <c r="B23476" t="s">
        <v>42</v>
      </c>
      <c r="C23476">
        <v>73761</v>
      </c>
      <c r="D23476" t="str">
        <f>"73761"</f>
        <v>73761</v>
      </c>
      <c r="E23476">
        <v>62.5</v>
      </c>
    </row>
    <row r="23477" spans="1:5" x14ac:dyDescent="0.2">
      <c r="A23477">
        <v>73762</v>
      </c>
      <c r="B23477" t="s">
        <v>42</v>
      </c>
      <c r="C23477">
        <v>73762</v>
      </c>
      <c r="D23477" t="str">
        <f>"73762"</f>
        <v>73762</v>
      </c>
      <c r="E23477">
        <v>76.47</v>
      </c>
    </row>
    <row r="23478" spans="1:5" x14ac:dyDescent="0.2">
      <c r="A23478">
        <v>73763</v>
      </c>
      <c r="B23478" t="s">
        <v>42</v>
      </c>
      <c r="C23478">
        <v>73763</v>
      </c>
      <c r="D23478" t="str">
        <f>"73763"</f>
        <v>73763</v>
      </c>
      <c r="E23478">
        <v>73.44</v>
      </c>
    </row>
    <row r="23479" spans="1:5" x14ac:dyDescent="0.2">
      <c r="A23479">
        <v>73764</v>
      </c>
      <c r="B23479" t="s">
        <v>42</v>
      </c>
      <c r="C23479">
        <v>73764</v>
      </c>
      <c r="D23479" t="str">
        <f>"73764"</f>
        <v>73764</v>
      </c>
      <c r="E23479" t="s">
        <v>6</v>
      </c>
    </row>
    <row r="23480" spans="1:5" x14ac:dyDescent="0.2">
      <c r="A23480">
        <v>73766</v>
      </c>
      <c r="B23480" t="s">
        <v>42</v>
      </c>
      <c r="C23480">
        <v>73766</v>
      </c>
      <c r="D23480" t="str">
        <f>"73766"</f>
        <v>73766</v>
      </c>
      <c r="E23480">
        <v>69.77</v>
      </c>
    </row>
    <row r="23481" spans="1:5" x14ac:dyDescent="0.2">
      <c r="A23481">
        <v>73768</v>
      </c>
      <c r="B23481" t="s">
        <v>42</v>
      </c>
      <c r="C23481">
        <v>73768</v>
      </c>
      <c r="D23481" t="str">
        <f>"73768"</f>
        <v>73768</v>
      </c>
      <c r="E23481">
        <v>70.150000000000006</v>
      </c>
    </row>
    <row r="23482" spans="1:5" x14ac:dyDescent="0.2">
      <c r="A23482">
        <v>73770</v>
      </c>
      <c r="B23482" t="s">
        <v>42</v>
      </c>
      <c r="C23482">
        <v>73770</v>
      </c>
      <c r="D23482" t="str">
        <f>"73770"</f>
        <v>73770</v>
      </c>
      <c r="E23482" t="s">
        <v>6</v>
      </c>
    </row>
    <row r="23483" spans="1:5" x14ac:dyDescent="0.2">
      <c r="A23483">
        <v>73771</v>
      </c>
      <c r="B23483" t="s">
        <v>42</v>
      </c>
      <c r="C23483">
        <v>73771</v>
      </c>
      <c r="D23483" t="str">
        <f>"73771"</f>
        <v>73771</v>
      </c>
      <c r="E23483">
        <v>64.709999999999994</v>
      </c>
    </row>
    <row r="23484" spans="1:5" x14ac:dyDescent="0.2">
      <c r="A23484">
        <v>73772</v>
      </c>
      <c r="B23484" t="s">
        <v>42</v>
      </c>
      <c r="C23484">
        <v>73772</v>
      </c>
      <c r="D23484" t="str">
        <f>"73772"</f>
        <v>73772</v>
      </c>
      <c r="E23484">
        <v>65.77</v>
      </c>
    </row>
    <row r="23485" spans="1:5" x14ac:dyDescent="0.2">
      <c r="A23485">
        <v>73773</v>
      </c>
      <c r="B23485" t="s">
        <v>42</v>
      </c>
      <c r="C23485">
        <v>73773</v>
      </c>
      <c r="D23485" t="str">
        <f>"73773"</f>
        <v>73773</v>
      </c>
      <c r="E23485">
        <v>70.83</v>
      </c>
    </row>
    <row r="23486" spans="1:5" x14ac:dyDescent="0.2">
      <c r="A23486">
        <v>73801</v>
      </c>
      <c r="B23486" t="s">
        <v>42</v>
      </c>
      <c r="C23486">
        <v>73801</v>
      </c>
      <c r="D23486" t="str">
        <f>"73801"</f>
        <v>73801</v>
      </c>
      <c r="E23486">
        <v>68.349999999999994</v>
      </c>
    </row>
    <row r="23487" spans="1:5" x14ac:dyDescent="0.2">
      <c r="A23487">
        <v>73832</v>
      </c>
      <c r="B23487" t="s">
        <v>42</v>
      </c>
      <c r="C23487">
        <v>73832</v>
      </c>
      <c r="D23487" t="str">
        <f>"73832"</f>
        <v>73832</v>
      </c>
      <c r="E23487">
        <v>74.36</v>
      </c>
    </row>
    <row r="23488" spans="1:5" x14ac:dyDescent="0.2">
      <c r="A23488">
        <v>73834</v>
      </c>
      <c r="B23488" t="s">
        <v>42</v>
      </c>
      <c r="C23488">
        <v>73834</v>
      </c>
      <c r="D23488" t="str">
        <f>"73834"</f>
        <v>73834</v>
      </c>
      <c r="E23488">
        <v>70</v>
      </c>
    </row>
    <row r="23489" spans="1:5" x14ac:dyDescent="0.2">
      <c r="A23489">
        <v>73835</v>
      </c>
      <c r="B23489" t="s">
        <v>42</v>
      </c>
      <c r="C23489">
        <v>73835</v>
      </c>
      <c r="D23489" t="str">
        <f>"73835"</f>
        <v>73835</v>
      </c>
      <c r="E23489">
        <v>63.64</v>
      </c>
    </row>
    <row r="23490" spans="1:5" x14ac:dyDescent="0.2">
      <c r="A23490">
        <v>73838</v>
      </c>
      <c r="B23490" t="s">
        <v>42</v>
      </c>
      <c r="C23490">
        <v>73838</v>
      </c>
      <c r="D23490" t="str">
        <f>"73838"</f>
        <v>73838</v>
      </c>
      <c r="E23490">
        <v>80</v>
      </c>
    </row>
    <row r="23491" spans="1:5" x14ac:dyDescent="0.2">
      <c r="A23491">
        <v>73840</v>
      </c>
      <c r="B23491" t="s">
        <v>42</v>
      </c>
      <c r="C23491">
        <v>73840</v>
      </c>
      <c r="D23491" t="str">
        <f>"73840"</f>
        <v>73840</v>
      </c>
      <c r="E23491">
        <v>64</v>
      </c>
    </row>
    <row r="23492" spans="1:5" x14ac:dyDescent="0.2">
      <c r="A23492">
        <v>73841</v>
      </c>
      <c r="B23492" t="s">
        <v>42</v>
      </c>
      <c r="C23492">
        <v>73841</v>
      </c>
      <c r="D23492" t="str">
        <f>"73841"</f>
        <v>73841</v>
      </c>
      <c r="E23492">
        <v>76.19</v>
      </c>
    </row>
    <row r="23493" spans="1:5" x14ac:dyDescent="0.2">
      <c r="A23493">
        <v>73842</v>
      </c>
      <c r="B23493" t="s">
        <v>42</v>
      </c>
      <c r="C23493">
        <v>73842</v>
      </c>
      <c r="D23493" t="str">
        <f>"73842"</f>
        <v>73842</v>
      </c>
      <c r="E23493">
        <v>68.180000000000007</v>
      </c>
    </row>
    <row r="23494" spans="1:5" x14ac:dyDescent="0.2">
      <c r="A23494">
        <v>73843</v>
      </c>
      <c r="B23494" t="s">
        <v>42</v>
      </c>
      <c r="C23494">
        <v>73843</v>
      </c>
      <c r="D23494" t="str">
        <f>"73843"</f>
        <v>73843</v>
      </c>
      <c r="E23494">
        <v>65.52</v>
      </c>
    </row>
    <row r="23495" spans="1:5" x14ac:dyDescent="0.2">
      <c r="A23495">
        <v>73844</v>
      </c>
      <c r="B23495" t="s">
        <v>42</v>
      </c>
      <c r="C23495">
        <v>73844</v>
      </c>
      <c r="D23495" t="str">
        <f>"73844"</f>
        <v>73844</v>
      </c>
      <c r="E23495">
        <v>70</v>
      </c>
    </row>
    <row r="23496" spans="1:5" x14ac:dyDescent="0.2">
      <c r="A23496">
        <v>73848</v>
      </c>
      <c r="B23496" t="s">
        <v>42</v>
      </c>
      <c r="C23496">
        <v>73848</v>
      </c>
      <c r="D23496" t="str">
        <f>"73848"</f>
        <v>73848</v>
      </c>
      <c r="E23496">
        <v>67.06</v>
      </c>
    </row>
    <row r="23497" spans="1:5" x14ac:dyDescent="0.2">
      <c r="A23497">
        <v>73851</v>
      </c>
      <c r="B23497" t="s">
        <v>42</v>
      </c>
      <c r="C23497">
        <v>73851</v>
      </c>
      <c r="D23497" t="str">
        <f>"73851"</f>
        <v>73851</v>
      </c>
      <c r="E23497" t="s">
        <v>6</v>
      </c>
    </row>
    <row r="23498" spans="1:5" x14ac:dyDescent="0.2">
      <c r="A23498">
        <v>73852</v>
      </c>
      <c r="B23498" t="s">
        <v>42</v>
      </c>
      <c r="C23498">
        <v>73852</v>
      </c>
      <c r="D23498" t="str">
        <f>"73852"</f>
        <v>73852</v>
      </c>
      <c r="E23498">
        <v>70.45</v>
      </c>
    </row>
    <row r="23499" spans="1:5" x14ac:dyDescent="0.2">
      <c r="A23499">
        <v>73853</v>
      </c>
      <c r="B23499" t="s">
        <v>42</v>
      </c>
      <c r="C23499">
        <v>73853</v>
      </c>
      <c r="D23499" t="str">
        <f>"73853"</f>
        <v>73853</v>
      </c>
      <c r="E23499">
        <v>64.709999999999994</v>
      </c>
    </row>
    <row r="23500" spans="1:5" x14ac:dyDescent="0.2">
      <c r="A23500">
        <v>73855</v>
      </c>
      <c r="B23500" t="s">
        <v>42</v>
      </c>
      <c r="C23500">
        <v>73855</v>
      </c>
      <c r="D23500" t="str">
        <f>"73855"</f>
        <v>73855</v>
      </c>
      <c r="E23500" t="s">
        <v>6</v>
      </c>
    </row>
    <row r="23501" spans="1:5" x14ac:dyDescent="0.2">
      <c r="A23501">
        <v>73857</v>
      </c>
      <c r="B23501" t="s">
        <v>42</v>
      </c>
      <c r="C23501">
        <v>73857</v>
      </c>
      <c r="D23501" t="str">
        <f>"73857"</f>
        <v>73857</v>
      </c>
      <c r="E23501">
        <v>73.08</v>
      </c>
    </row>
    <row r="23502" spans="1:5" x14ac:dyDescent="0.2">
      <c r="A23502">
        <v>73858</v>
      </c>
      <c r="B23502" t="s">
        <v>42</v>
      </c>
      <c r="C23502">
        <v>73858</v>
      </c>
      <c r="D23502" t="str">
        <f>"73858"</f>
        <v>73858</v>
      </c>
      <c r="E23502">
        <v>70.42</v>
      </c>
    </row>
    <row r="23503" spans="1:5" x14ac:dyDescent="0.2">
      <c r="A23503">
        <v>73859</v>
      </c>
      <c r="B23503" t="s">
        <v>42</v>
      </c>
      <c r="C23503">
        <v>73859</v>
      </c>
      <c r="D23503" t="str">
        <f>"73859"</f>
        <v>73859</v>
      </c>
      <c r="E23503">
        <v>66.099999999999994</v>
      </c>
    </row>
    <row r="23504" spans="1:5" x14ac:dyDescent="0.2">
      <c r="A23504">
        <v>73860</v>
      </c>
      <c r="B23504" t="s">
        <v>42</v>
      </c>
      <c r="C23504">
        <v>73860</v>
      </c>
      <c r="D23504" t="str">
        <f>"73860"</f>
        <v>73860</v>
      </c>
      <c r="E23504">
        <v>66</v>
      </c>
    </row>
    <row r="23505" spans="1:5" x14ac:dyDescent="0.2">
      <c r="A23505">
        <v>73901</v>
      </c>
      <c r="B23505" t="s">
        <v>42</v>
      </c>
      <c r="C23505">
        <v>73901</v>
      </c>
      <c r="D23505" t="str">
        <f>"73901"</f>
        <v>73901</v>
      </c>
      <c r="E23505" t="s">
        <v>6</v>
      </c>
    </row>
    <row r="23506" spans="1:5" x14ac:dyDescent="0.2">
      <c r="A23506">
        <v>73931</v>
      </c>
      <c r="B23506" t="s">
        <v>42</v>
      </c>
      <c r="C23506">
        <v>73931</v>
      </c>
      <c r="D23506" t="str">
        <f>"73931"</f>
        <v>73931</v>
      </c>
      <c r="E23506">
        <v>63.64</v>
      </c>
    </row>
    <row r="23507" spans="1:5" x14ac:dyDescent="0.2">
      <c r="A23507">
        <v>73932</v>
      </c>
      <c r="B23507" t="s">
        <v>42</v>
      </c>
      <c r="C23507">
        <v>73932</v>
      </c>
      <c r="D23507" t="str">
        <f>"73932"</f>
        <v>73932</v>
      </c>
      <c r="E23507">
        <v>67.5</v>
      </c>
    </row>
    <row r="23508" spans="1:5" x14ac:dyDescent="0.2">
      <c r="A23508">
        <v>73933</v>
      </c>
      <c r="B23508" t="s">
        <v>42</v>
      </c>
      <c r="C23508">
        <v>73933</v>
      </c>
      <c r="D23508" t="str">
        <f>"73933"</f>
        <v>73933</v>
      </c>
      <c r="E23508">
        <v>62.5</v>
      </c>
    </row>
    <row r="23509" spans="1:5" x14ac:dyDescent="0.2">
      <c r="A23509">
        <v>73937</v>
      </c>
      <c r="B23509" t="s">
        <v>42</v>
      </c>
      <c r="C23509">
        <v>73937</v>
      </c>
      <c r="D23509" t="str">
        <f>"73937"</f>
        <v>73937</v>
      </c>
      <c r="E23509" t="s">
        <v>6</v>
      </c>
    </row>
    <row r="23510" spans="1:5" x14ac:dyDescent="0.2">
      <c r="A23510">
        <v>73938</v>
      </c>
      <c r="B23510" t="s">
        <v>42</v>
      </c>
      <c r="C23510">
        <v>73938</v>
      </c>
      <c r="D23510" t="str">
        <f>"73938"</f>
        <v>73938</v>
      </c>
      <c r="E23510">
        <v>71.430000000000007</v>
      </c>
    </row>
    <row r="23511" spans="1:5" x14ac:dyDescent="0.2">
      <c r="A23511">
        <v>73939</v>
      </c>
      <c r="B23511" t="s">
        <v>42</v>
      </c>
      <c r="C23511">
        <v>73939</v>
      </c>
      <c r="D23511" t="str">
        <f>"73939"</f>
        <v>73939</v>
      </c>
      <c r="E23511">
        <v>72.34</v>
      </c>
    </row>
    <row r="23512" spans="1:5" x14ac:dyDescent="0.2">
      <c r="A23512">
        <v>73942</v>
      </c>
      <c r="B23512" t="s">
        <v>42</v>
      </c>
      <c r="C23512">
        <v>73942</v>
      </c>
      <c r="D23512" t="str">
        <f>"73942"</f>
        <v>73942</v>
      </c>
      <c r="E23512">
        <v>63.61</v>
      </c>
    </row>
    <row r="23513" spans="1:5" x14ac:dyDescent="0.2">
      <c r="A23513">
        <v>73944</v>
      </c>
      <c r="B23513" t="s">
        <v>42</v>
      </c>
      <c r="C23513">
        <v>73944</v>
      </c>
      <c r="D23513" t="str">
        <f>"73944"</f>
        <v>73944</v>
      </c>
      <c r="E23513">
        <v>53.33</v>
      </c>
    </row>
    <row r="23514" spans="1:5" x14ac:dyDescent="0.2">
      <c r="A23514">
        <v>73945</v>
      </c>
      <c r="B23514" t="s">
        <v>42</v>
      </c>
      <c r="C23514">
        <v>73945</v>
      </c>
      <c r="D23514" t="str">
        <f>"73945"</f>
        <v>73945</v>
      </c>
      <c r="E23514">
        <v>65.849999999999994</v>
      </c>
    </row>
    <row r="23515" spans="1:5" x14ac:dyDescent="0.2">
      <c r="A23515">
        <v>73946</v>
      </c>
      <c r="B23515" t="s">
        <v>42</v>
      </c>
      <c r="C23515">
        <v>73946</v>
      </c>
      <c r="D23515" t="str">
        <f>"73946"</f>
        <v>73946</v>
      </c>
      <c r="E23515" t="s">
        <v>6</v>
      </c>
    </row>
    <row r="23516" spans="1:5" x14ac:dyDescent="0.2">
      <c r="A23516">
        <v>73947</v>
      </c>
      <c r="B23516" t="s">
        <v>42</v>
      </c>
      <c r="C23516">
        <v>73947</v>
      </c>
      <c r="D23516" t="str">
        <f>"73947"</f>
        <v>73947</v>
      </c>
      <c r="E23516">
        <v>70</v>
      </c>
    </row>
    <row r="23517" spans="1:5" x14ac:dyDescent="0.2">
      <c r="A23517">
        <v>73949</v>
      </c>
      <c r="B23517" t="s">
        <v>42</v>
      </c>
      <c r="C23517">
        <v>73949</v>
      </c>
      <c r="D23517" t="str">
        <f>"73949"</f>
        <v>73949</v>
      </c>
      <c r="E23517">
        <v>66.67</v>
      </c>
    </row>
    <row r="23518" spans="1:5" x14ac:dyDescent="0.2">
      <c r="A23518">
        <v>73950</v>
      </c>
      <c r="B23518" t="s">
        <v>42</v>
      </c>
      <c r="C23518">
        <v>73950</v>
      </c>
      <c r="D23518" t="str">
        <f>"73950"</f>
        <v>73950</v>
      </c>
      <c r="E23518">
        <v>67.16</v>
      </c>
    </row>
    <row r="23519" spans="1:5" x14ac:dyDescent="0.2">
      <c r="A23519">
        <v>73951</v>
      </c>
      <c r="B23519" t="s">
        <v>42</v>
      </c>
      <c r="C23519">
        <v>73951</v>
      </c>
      <c r="D23519" t="str">
        <f>"73951"</f>
        <v>73951</v>
      </c>
      <c r="E23519">
        <v>61.36</v>
      </c>
    </row>
    <row r="23520" spans="1:5" x14ac:dyDescent="0.2">
      <c r="A23520">
        <v>74001</v>
      </c>
      <c r="B23520" t="s">
        <v>42</v>
      </c>
      <c r="C23520">
        <v>74001</v>
      </c>
      <c r="D23520" t="str">
        <f>"74001"</f>
        <v>74001</v>
      </c>
      <c r="E23520" t="s">
        <v>6</v>
      </c>
    </row>
    <row r="23521" spans="1:5" x14ac:dyDescent="0.2">
      <c r="A23521">
        <v>74002</v>
      </c>
      <c r="B23521" t="s">
        <v>42</v>
      </c>
      <c r="C23521">
        <v>74002</v>
      </c>
      <c r="D23521" t="str">
        <f>"74002"</f>
        <v>74002</v>
      </c>
      <c r="E23521">
        <v>67.09</v>
      </c>
    </row>
    <row r="23522" spans="1:5" x14ac:dyDescent="0.2">
      <c r="A23522">
        <v>74003</v>
      </c>
      <c r="B23522" t="s">
        <v>42</v>
      </c>
      <c r="C23522">
        <v>74003</v>
      </c>
      <c r="D23522" t="str">
        <f>"74003"</f>
        <v>74003</v>
      </c>
      <c r="E23522">
        <v>61.04</v>
      </c>
    </row>
    <row r="23523" spans="1:5" x14ac:dyDescent="0.2">
      <c r="A23523">
        <v>74006</v>
      </c>
      <c r="B23523" t="s">
        <v>42</v>
      </c>
      <c r="C23523">
        <v>74006</v>
      </c>
      <c r="D23523" t="str">
        <f>"74006"</f>
        <v>74006</v>
      </c>
      <c r="E23523">
        <v>74.14</v>
      </c>
    </row>
    <row r="23524" spans="1:5" x14ac:dyDescent="0.2">
      <c r="A23524">
        <v>74008</v>
      </c>
      <c r="B23524" t="s">
        <v>42</v>
      </c>
      <c r="C23524">
        <v>74008</v>
      </c>
      <c r="D23524" t="str">
        <f>"74008"</f>
        <v>74008</v>
      </c>
      <c r="E23524">
        <v>75.95</v>
      </c>
    </row>
    <row r="23525" spans="1:5" x14ac:dyDescent="0.2">
      <c r="A23525">
        <v>74010</v>
      </c>
      <c r="B23525" t="s">
        <v>42</v>
      </c>
      <c r="C23525">
        <v>74010</v>
      </c>
      <c r="D23525" t="str">
        <f>"74010"</f>
        <v>74010</v>
      </c>
      <c r="E23525">
        <v>66.16</v>
      </c>
    </row>
    <row r="23526" spans="1:5" x14ac:dyDescent="0.2">
      <c r="A23526">
        <v>74011</v>
      </c>
      <c r="B23526" t="s">
        <v>42</v>
      </c>
      <c r="C23526">
        <v>74011</v>
      </c>
      <c r="D23526" t="str">
        <f>"74011"</f>
        <v>74011</v>
      </c>
      <c r="E23526">
        <v>76.87</v>
      </c>
    </row>
    <row r="23527" spans="1:5" x14ac:dyDescent="0.2">
      <c r="A23527">
        <v>74012</v>
      </c>
      <c r="B23527" t="s">
        <v>42</v>
      </c>
      <c r="C23527">
        <v>74012</v>
      </c>
      <c r="D23527" t="str">
        <f>"74012"</f>
        <v>74012</v>
      </c>
      <c r="E23527">
        <v>74.08</v>
      </c>
    </row>
    <row r="23528" spans="1:5" x14ac:dyDescent="0.2">
      <c r="A23528">
        <v>74014</v>
      </c>
      <c r="B23528" t="s">
        <v>42</v>
      </c>
      <c r="C23528">
        <v>74014</v>
      </c>
      <c r="D23528" t="str">
        <f>"74014"</f>
        <v>74014</v>
      </c>
      <c r="E23528">
        <v>76.23</v>
      </c>
    </row>
    <row r="23529" spans="1:5" x14ac:dyDescent="0.2">
      <c r="A23529">
        <v>74015</v>
      </c>
      <c r="B23529" t="s">
        <v>42</v>
      </c>
      <c r="C23529">
        <v>74015</v>
      </c>
      <c r="D23529" t="str">
        <f>"74015"</f>
        <v>74015</v>
      </c>
      <c r="E23529">
        <v>73.739999999999995</v>
      </c>
    </row>
    <row r="23530" spans="1:5" x14ac:dyDescent="0.2">
      <c r="A23530">
        <v>74016</v>
      </c>
      <c r="B23530" t="s">
        <v>42</v>
      </c>
      <c r="C23530">
        <v>74016</v>
      </c>
      <c r="D23530" t="str">
        <f>"74016"</f>
        <v>74016</v>
      </c>
      <c r="E23530">
        <v>65.78</v>
      </c>
    </row>
    <row r="23531" spans="1:5" x14ac:dyDescent="0.2">
      <c r="A23531">
        <v>74017</v>
      </c>
      <c r="B23531" t="s">
        <v>42</v>
      </c>
      <c r="C23531">
        <v>74017</v>
      </c>
      <c r="D23531" t="str">
        <f>"74017"</f>
        <v>74017</v>
      </c>
      <c r="E23531">
        <v>70.5</v>
      </c>
    </row>
    <row r="23532" spans="1:5" x14ac:dyDescent="0.2">
      <c r="A23532">
        <v>74019</v>
      </c>
      <c r="B23532" t="s">
        <v>42</v>
      </c>
      <c r="C23532">
        <v>74019</v>
      </c>
      <c r="D23532" t="str">
        <f>"74019"</f>
        <v>74019</v>
      </c>
      <c r="E23532">
        <v>75.88</v>
      </c>
    </row>
    <row r="23533" spans="1:5" x14ac:dyDescent="0.2">
      <c r="A23533">
        <v>74020</v>
      </c>
      <c r="B23533" t="s">
        <v>42</v>
      </c>
      <c r="C23533">
        <v>74020</v>
      </c>
      <c r="D23533" t="str">
        <f>"74020"</f>
        <v>74020</v>
      </c>
      <c r="E23533">
        <v>68.180000000000007</v>
      </c>
    </row>
    <row r="23534" spans="1:5" x14ac:dyDescent="0.2">
      <c r="A23534">
        <v>74021</v>
      </c>
      <c r="B23534" t="s">
        <v>42</v>
      </c>
      <c r="C23534">
        <v>74021</v>
      </c>
      <c r="D23534" t="str">
        <f>"74021"</f>
        <v>74021</v>
      </c>
      <c r="E23534">
        <v>76.14</v>
      </c>
    </row>
    <row r="23535" spans="1:5" x14ac:dyDescent="0.2">
      <c r="A23535">
        <v>74022</v>
      </c>
      <c r="B23535" t="s">
        <v>42</v>
      </c>
      <c r="C23535">
        <v>74022</v>
      </c>
      <c r="D23535" t="str">
        <f>"74022"</f>
        <v>74022</v>
      </c>
      <c r="E23535">
        <v>68.12</v>
      </c>
    </row>
    <row r="23536" spans="1:5" x14ac:dyDescent="0.2">
      <c r="A23536">
        <v>74023</v>
      </c>
      <c r="B23536" t="s">
        <v>42</v>
      </c>
      <c r="C23536">
        <v>74023</v>
      </c>
      <c r="D23536" t="str">
        <f>"74023"</f>
        <v>74023</v>
      </c>
      <c r="E23536">
        <v>65.95</v>
      </c>
    </row>
    <row r="23537" spans="1:5" x14ac:dyDescent="0.2">
      <c r="A23537">
        <v>74026</v>
      </c>
      <c r="B23537" t="s">
        <v>42</v>
      </c>
      <c r="C23537">
        <v>74026</v>
      </c>
      <c r="D23537" t="str">
        <f>"74026"</f>
        <v>74026</v>
      </c>
      <c r="E23537" t="s">
        <v>6</v>
      </c>
    </row>
    <row r="23538" spans="1:5" x14ac:dyDescent="0.2">
      <c r="A23538">
        <v>74027</v>
      </c>
      <c r="B23538" t="s">
        <v>42</v>
      </c>
      <c r="C23538">
        <v>74027</v>
      </c>
      <c r="D23538" t="str">
        <f>"74027"</f>
        <v>74027</v>
      </c>
      <c r="E23538">
        <v>64.86</v>
      </c>
    </row>
    <row r="23539" spans="1:5" x14ac:dyDescent="0.2">
      <c r="A23539">
        <v>74028</v>
      </c>
      <c r="B23539" t="s">
        <v>42</v>
      </c>
      <c r="C23539">
        <v>74028</v>
      </c>
      <c r="D23539" t="str">
        <f>"74028"</f>
        <v>74028</v>
      </c>
      <c r="E23539">
        <v>60.26</v>
      </c>
    </row>
    <row r="23540" spans="1:5" x14ac:dyDescent="0.2">
      <c r="A23540">
        <v>74029</v>
      </c>
      <c r="B23540" t="s">
        <v>42</v>
      </c>
      <c r="C23540">
        <v>74029</v>
      </c>
      <c r="D23540" t="str">
        <f>"74029"</f>
        <v>74029</v>
      </c>
      <c r="E23540">
        <v>64.39</v>
      </c>
    </row>
    <row r="23541" spans="1:5" x14ac:dyDescent="0.2">
      <c r="A23541">
        <v>74030</v>
      </c>
      <c r="B23541" t="s">
        <v>42</v>
      </c>
      <c r="C23541">
        <v>74030</v>
      </c>
      <c r="D23541" t="str">
        <f>"74030"</f>
        <v>74030</v>
      </c>
      <c r="E23541">
        <v>65.44</v>
      </c>
    </row>
    <row r="23542" spans="1:5" x14ac:dyDescent="0.2">
      <c r="A23542">
        <v>74032</v>
      </c>
      <c r="B23542" t="s">
        <v>42</v>
      </c>
      <c r="C23542">
        <v>74032</v>
      </c>
      <c r="D23542" t="str">
        <f>"74032"</f>
        <v>74032</v>
      </c>
      <c r="E23542">
        <v>70</v>
      </c>
    </row>
    <row r="23543" spans="1:5" x14ac:dyDescent="0.2">
      <c r="A23543">
        <v>74033</v>
      </c>
      <c r="B23543" t="s">
        <v>42</v>
      </c>
      <c r="C23543">
        <v>74033</v>
      </c>
      <c r="D23543" t="str">
        <f>"74033"</f>
        <v>74033</v>
      </c>
      <c r="E23543">
        <v>71.94</v>
      </c>
    </row>
    <row r="23544" spans="1:5" x14ac:dyDescent="0.2">
      <c r="A23544">
        <v>74034</v>
      </c>
      <c r="B23544" t="s">
        <v>42</v>
      </c>
      <c r="C23544">
        <v>74034</v>
      </c>
      <c r="D23544" t="str">
        <f>"74034"</f>
        <v>74034</v>
      </c>
      <c r="E23544" t="s">
        <v>6</v>
      </c>
    </row>
    <row r="23545" spans="1:5" x14ac:dyDescent="0.2">
      <c r="A23545">
        <v>74035</v>
      </c>
      <c r="B23545" t="s">
        <v>42</v>
      </c>
      <c r="C23545">
        <v>74035</v>
      </c>
      <c r="D23545" t="str">
        <f>"74035"</f>
        <v>74035</v>
      </c>
      <c r="E23545">
        <v>59.56</v>
      </c>
    </row>
    <row r="23546" spans="1:5" x14ac:dyDescent="0.2">
      <c r="A23546">
        <v>74036</v>
      </c>
      <c r="B23546" t="s">
        <v>42</v>
      </c>
      <c r="C23546">
        <v>74036</v>
      </c>
      <c r="D23546" t="str">
        <f>"74036"</f>
        <v>74036</v>
      </c>
      <c r="E23546">
        <v>73.31</v>
      </c>
    </row>
    <row r="23547" spans="1:5" x14ac:dyDescent="0.2">
      <c r="A23547">
        <v>74037</v>
      </c>
      <c r="B23547" t="s">
        <v>42</v>
      </c>
      <c r="C23547">
        <v>74037</v>
      </c>
      <c r="D23547" t="str">
        <f>"74037"</f>
        <v>74037</v>
      </c>
      <c r="E23547">
        <v>78.14</v>
      </c>
    </row>
    <row r="23548" spans="1:5" x14ac:dyDescent="0.2">
      <c r="A23548">
        <v>74038</v>
      </c>
      <c r="B23548" t="s">
        <v>42</v>
      </c>
      <c r="C23548">
        <v>74038</v>
      </c>
      <c r="D23548" t="str">
        <f>"74038"</f>
        <v>74038</v>
      </c>
      <c r="E23548">
        <v>68.42</v>
      </c>
    </row>
    <row r="23549" spans="1:5" x14ac:dyDescent="0.2">
      <c r="A23549">
        <v>74039</v>
      </c>
      <c r="B23549" t="s">
        <v>42</v>
      </c>
      <c r="C23549">
        <v>74039</v>
      </c>
      <c r="D23549" t="str">
        <f>"74039"</f>
        <v>74039</v>
      </c>
      <c r="E23549">
        <v>67.33</v>
      </c>
    </row>
    <row r="23550" spans="1:5" x14ac:dyDescent="0.2">
      <c r="A23550">
        <v>74041</v>
      </c>
      <c r="B23550" t="s">
        <v>42</v>
      </c>
      <c r="C23550">
        <v>74041</v>
      </c>
      <c r="D23550" t="str">
        <f>"74041"</f>
        <v>74041</v>
      </c>
      <c r="E23550">
        <v>71.430000000000007</v>
      </c>
    </row>
    <row r="23551" spans="1:5" x14ac:dyDescent="0.2">
      <c r="A23551">
        <v>74042</v>
      </c>
      <c r="B23551" t="s">
        <v>42</v>
      </c>
      <c r="C23551">
        <v>74042</v>
      </c>
      <c r="D23551" t="str">
        <f>"74042"</f>
        <v>74042</v>
      </c>
      <c r="E23551">
        <v>61.11</v>
      </c>
    </row>
    <row r="23552" spans="1:5" x14ac:dyDescent="0.2">
      <c r="A23552">
        <v>74044</v>
      </c>
      <c r="B23552" t="s">
        <v>42</v>
      </c>
      <c r="C23552">
        <v>74044</v>
      </c>
      <c r="D23552" t="str">
        <f>"74044"</f>
        <v>74044</v>
      </c>
      <c r="E23552">
        <v>69.010000000000005</v>
      </c>
    </row>
    <row r="23553" spans="1:5" x14ac:dyDescent="0.2">
      <c r="A23553">
        <v>74045</v>
      </c>
      <c r="B23553" t="s">
        <v>42</v>
      </c>
      <c r="C23553">
        <v>74045</v>
      </c>
      <c r="D23553" t="str">
        <f>"74045"</f>
        <v>74045</v>
      </c>
      <c r="E23553">
        <v>76.92</v>
      </c>
    </row>
    <row r="23554" spans="1:5" x14ac:dyDescent="0.2">
      <c r="A23554">
        <v>74047</v>
      </c>
      <c r="B23554" t="s">
        <v>42</v>
      </c>
      <c r="C23554">
        <v>74047</v>
      </c>
      <c r="D23554" t="str">
        <f>"74047"</f>
        <v>74047</v>
      </c>
      <c r="E23554">
        <v>69.31</v>
      </c>
    </row>
    <row r="23555" spans="1:5" x14ac:dyDescent="0.2">
      <c r="A23555">
        <v>74048</v>
      </c>
      <c r="B23555" t="s">
        <v>42</v>
      </c>
      <c r="C23555">
        <v>74048</v>
      </c>
      <c r="D23555" t="str">
        <f>"74048"</f>
        <v>74048</v>
      </c>
      <c r="E23555">
        <v>62.56</v>
      </c>
    </row>
    <row r="23556" spans="1:5" x14ac:dyDescent="0.2">
      <c r="A23556">
        <v>74051</v>
      </c>
      <c r="B23556" t="s">
        <v>42</v>
      </c>
      <c r="C23556">
        <v>74051</v>
      </c>
      <c r="D23556" t="str">
        <f>"74051"</f>
        <v>74051</v>
      </c>
      <c r="E23556">
        <v>69.739999999999995</v>
      </c>
    </row>
    <row r="23557" spans="1:5" x14ac:dyDescent="0.2">
      <c r="A23557">
        <v>74052</v>
      </c>
      <c r="B23557" t="s">
        <v>42</v>
      </c>
      <c r="C23557">
        <v>74052</v>
      </c>
      <c r="D23557" t="str">
        <f>"74052"</f>
        <v>74052</v>
      </c>
      <c r="E23557" t="s">
        <v>6</v>
      </c>
    </row>
    <row r="23558" spans="1:5" x14ac:dyDescent="0.2">
      <c r="A23558">
        <v>74053</v>
      </c>
      <c r="B23558" t="s">
        <v>42</v>
      </c>
      <c r="C23558">
        <v>74053</v>
      </c>
      <c r="D23558" t="str">
        <f>"74053"</f>
        <v>74053</v>
      </c>
      <c r="E23558">
        <v>74.319999999999993</v>
      </c>
    </row>
    <row r="23559" spans="1:5" x14ac:dyDescent="0.2">
      <c r="A23559">
        <v>74054</v>
      </c>
      <c r="B23559" t="s">
        <v>42</v>
      </c>
      <c r="C23559">
        <v>74054</v>
      </c>
      <c r="D23559" t="str">
        <f>"74054"</f>
        <v>74054</v>
      </c>
      <c r="E23559">
        <v>68.42</v>
      </c>
    </row>
    <row r="23560" spans="1:5" x14ac:dyDescent="0.2">
      <c r="A23560">
        <v>74055</v>
      </c>
      <c r="B23560" t="s">
        <v>42</v>
      </c>
      <c r="C23560">
        <v>74055</v>
      </c>
      <c r="D23560" t="str">
        <f>"74055"</f>
        <v>74055</v>
      </c>
      <c r="E23560">
        <v>77.39</v>
      </c>
    </row>
    <row r="23561" spans="1:5" x14ac:dyDescent="0.2">
      <c r="A23561">
        <v>74056</v>
      </c>
      <c r="B23561" t="s">
        <v>42</v>
      </c>
      <c r="C23561">
        <v>74056</v>
      </c>
      <c r="D23561" t="str">
        <f>"74056"</f>
        <v>74056</v>
      </c>
      <c r="E23561">
        <v>63.02</v>
      </c>
    </row>
    <row r="23562" spans="1:5" x14ac:dyDescent="0.2">
      <c r="A23562">
        <v>74058</v>
      </c>
      <c r="B23562" t="s">
        <v>42</v>
      </c>
      <c r="C23562">
        <v>74058</v>
      </c>
      <c r="D23562" t="str">
        <f>"74058"</f>
        <v>74058</v>
      </c>
      <c r="E23562">
        <v>64.94</v>
      </c>
    </row>
    <row r="23563" spans="1:5" x14ac:dyDescent="0.2">
      <c r="A23563">
        <v>74059</v>
      </c>
      <c r="B23563" t="s">
        <v>42</v>
      </c>
      <c r="C23563">
        <v>74059</v>
      </c>
      <c r="D23563" t="str">
        <f>"74059"</f>
        <v>74059</v>
      </c>
      <c r="E23563">
        <v>68.83</v>
      </c>
    </row>
    <row r="23564" spans="1:5" x14ac:dyDescent="0.2">
      <c r="A23564">
        <v>74060</v>
      </c>
      <c r="B23564" t="s">
        <v>42</v>
      </c>
      <c r="C23564">
        <v>74060</v>
      </c>
      <c r="D23564" t="str">
        <f>"74060"</f>
        <v>74060</v>
      </c>
      <c r="E23564">
        <v>62.5</v>
      </c>
    </row>
    <row r="23565" spans="1:5" x14ac:dyDescent="0.2">
      <c r="A23565">
        <v>74061</v>
      </c>
      <c r="B23565" t="s">
        <v>42</v>
      </c>
      <c r="C23565">
        <v>74061</v>
      </c>
      <c r="D23565" t="str">
        <f>"74061"</f>
        <v>74061</v>
      </c>
      <c r="E23565">
        <v>72.290000000000006</v>
      </c>
    </row>
    <row r="23566" spans="1:5" x14ac:dyDescent="0.2">
      <c r="A23566">
        <v>74062</v>
      </c>
      <c r="B23566" t="s">
        <v>42</v>
      </c>
      <c r="C23566">
        <v>74062</v>
      </c>
      <c r="D23566" t="str">
        <f>"74062"</f>
        <v>74062</v>
      </c>
      <c r="E23566">
        <v>66.67</v>
      </c>
    </row>
    <row r="23567" spans="1:5" x14ac:dyDescent="0.2">
      <c r="A23567">
        <v>74063</v>
      </c>
      <c r="B23567" t="s">
        <v>42</v>
      </c>
      <c r="C23567">
        <v>74063</v>
      </c>
      <c r="D23567" t="str">
        <f>"74063"</f>
        <v>74063</v>
      </c>
      <c r="E23567">
        <v>72.290000000000006</v>
      </c>
    </row>
    <row r="23568" spans="1:5" x14ac:dyDescent="0.2">
      <c r="A23568">
        <v>74066</v>
      </c>
      <c r="B23568" t="s">
        <v>42</v>
      </c>
      <c r="C23568">
        <v>74066</v>
      </c>
      <c r="D23568" t="str">
        <f>"74066"</f>
        <v>74066</v>
      </c>
      <c r="E23568">
        <v>69.98</v>
      </c>
    </row>
    <row r="23569" spans="1:5" x14ac:dyDescent="0.2">
      <c r="A23569">
        <v>74068</v>
      </c>
      <c r="B23569" t="s">
        <v>42</v>
      </c>
      <c r="C23569">
        <v>74068</v>
      </c>
      <c r="D23569" t="str">
        <f>"74068"</f>
        <v>74068</v>
      </c>
      <c r="E23569" t="s">
        <v>6</v>
      </c>
    </row>
    <row r="23570" spans="1:5" x14ac:dyDescent="0.2">
      <c r="A23570">
        <v>74070</v>
      </c>
      <c r="B23570" t="s">
        <v>42</v>
      </c>
      <c r="C23570">
        <v>74070</v>
      </c>
      <c r="D23570" t="str">
        <f>"74070"</f>
        <v>74070</v>
      </c>
      <c r="E23570">
        <v>70.97</v>
      </c>
    </row>
    <row r="23571" spans="1:5" x14ac:dyDescent="0.2">
      <c r="A23571">
        <v>74072</v>
      </c>
      <c r="B23571" t="s">
        <v>42</v>
      </c>
      <c r="C23571">
        <v>74072</v>
      </c>
      <c r="D23571" t="str">
        <f>"74072"</f>
        <v>74072</v>
      </c>
      <c r="E23571">
        <v>66.23</v>
      </c>
    </row>
    <row r="23572" spans="1:5" x14ac:dyDescent="0.2">
      <c r="A23572">
        <v>74073</v>
      </c>
      <c r="B23572" t="s">
        <v>42</v>
      </c>
      <c r="C23572">
        <v>74073</v>
      </c>
      <c r="D23572" t="str">
        <f>"74073"</f>
        <v>74073</v>
      </c>
      <c r="E23572">
        <v>72.099999999999994</v>
      </c>
    </row>
    <row r="23573" spans="1:5" x14ac:dyDescent="0.2">
      <c r="A23573">
        <v>74074</v>
      </c>
      <c r="B23573" t="s">
        <v>42</v>
      </c>
      <c r="C23573">
        <v>74074</v>
      </c>
      <c r="D23573" t="str">
        <f>"74074"</f>
        <v>74074</v>
      </c>
      <c r="E23573">
        <v>71.78</v>
      </c>
    </row>
    <row r="23574" spans="1:5" x14ac:dyDescent="0.2">
      <c r="A23574">
        <v>74075</v>
      </c>
      <c r="B23574" t="s">
        <v>42</v>
      </c>
      <c r="C23574">
        <v>74075</v>
      </c>
      <c r="D23574" t="str">
        <f>"74075"</f>
        <v>74075</v>
      </c>
      <c r="E23574">
        <v>69.180000000000007</v>
      </c>
    </row>
    <row r="23575" spans="1:5" x14ac:dyDescent="0.2">
      <c r="A23575">
        <v>74078</v>
      </c>
      <c r="B23575" t="s">
        <v>42</v>
      </c>
      <c r="C23575">
        <v>74078</v>
      </c>
      <c r="D23575" t="str">
        <f>"74078"</f>
        <v>74078</v>
      </c>
      <c r="E23575" t="s">
        <v>6</v>
      </c>
    </row>
    <row r="23576" spans="1:5" x14ac:dyDescent="0.2">
      <c r="A23576">
        <v>74079</v>
      </c>
      <c r="B23576" t="s">
        <v>42</v>
      </c>
      <c r="C23576">
        <v>74079</v>
      </c>
      <c r="D23576" t="str">
        <f>"74079"</f>
        <v>74079</v>
      </c>
      <c r="E23576">
        <v>65.75</v>
      </c>
    </row>
    <row r="23577" spans="1:5" x14ac:dyDescent="0.2">
      <c r="A23577">
        <v>74080</v>
      </c>
      <c r="B23577" t="s">
        <v>42</v>
      </c>
      <c r="C23577">
        <v>74080</v>
      </c>
      <c r="D23577" t="str">
        <f>"74080"</f>
        <v>74080</v>
      </c>
      <c r="E23577">
        <v>74.77</v>
      </c>
    </row>
    <row r="23578" spans="1:5" x14ac:dyDescent="0.2">
      <c r="A23578">
        <v>74081</v>
      </c>
      <c r="B23578" t="s">
        <v>42</v>
      </c>
      <c r="C23578">
        <v>74081</v>
      </c>
      <c r="D23578" t="str">
        <f>"74081"</f>
        <v>74081</v>
      </c>
      <c r="E23578">
        <v>63.64</v>
      </c>
    </row>
    <row r="23579" spans="1:5" x14ac:dyDescent="0.2">
      <c r="A23579">
        <v>74082</v>
      </c>
      <c r="B23579" t="s">
        <v>42</v>
      </c>
      <c r="C23579">
        <v>74082</v>
      </c>
      <c r="D23579" t="str">
        <f>"74082"</f>
        <v>74082</v>
      </c>
      <c r="E23579" t="s">
        <v>6</v>
      </c>
    </row>
    <row r="23580" spans="1:5" x14ac:dyDescent="0.2">
      <c r="A23580">
        <v>74083</v>
      </c>
      <c r="B23580" t="s">
        <v>42</v>
      </c>
      <c r="C23580">
        <v>74083</v>
      </c>
      <c r="D23580" t="str">
        <f>"74083"</f>
        <v>74083</v>
      </c>
      <c r="E23580">
        <v>68.89</v>
      </c>
    </row>
    <row r="23581" spans="1:5" x14ac:dyDescent="0.2">
      <c r="A23581">
        <v>74084</v>
      </c>
      <c r="B23581" t="s">
        <v>42</v>
      </c>
      <c r="C23581">
        <v>74084</v>
      </c>
      <c r="D23581" t="str">
        <f>"74084"</f>
        <v>74084</v>
      </c>
      <c r="E23581">
        <v>59.09</v>
      </c>
    </row>
    <row r="23582" spans="1:5" x14ac:dyDescent="0.2">
      <c r="A23582">
        <v>74085</v>
      </c>
      <c r="B23582" t="s">
        <v>42</v>
      </c>
      <c r="C23582">
        <v>74085</v>
      </c>
      <c r="D23582" t="str">
        <f>"74085"</f>
        <v>74085</v>
      </c>
      <c r="E23582">
        <v>68.48</v>
      </c>
    </row>
    <row r="23583" spans="1:5" x14ac:dyDescent="0.2">
      <c r="A23583">
        <v>74103</v>
      </c>
      <c r="B23583" t="s">
        <v>42</v>
      </c>
      <c r="C23583">
        <v>74103</v>
      </c>
      <c r="D23583" t="str">
        <f>"74103"</f>
        <v>74103</v>
      </c>
      <c r="E23583">
        <v>78.459999999999994</v>
      </c>
    </row>
    <row r="23584" spans="1:5" x14ac:dyDescent="0.2">
      <c r="A23584">
        <v>74104</v>
      </c>
      <c r="B23584" t="s">
        <v>42</v>
      </c>
      <c r="C23584">
        <v>74104</v>
      </c>
      <c r="D23584" t="str">
        <f>"74104"</f>
        <v>74104</v>
      </c>
      <c r="E23584">
        <v>73.5</v>
      </c>
    </row>
    <row r="23585" spans="1:5" x14ac:dyDescent="0.2">
      <c r="A23585">
        <v>74105</v>
      </c>
      <c r="B23585" t="s">
        <v>42</v>
      </c>
      <c r="C23585">
        <v>74105</v>
      </c>
      <c r="D23585" t="str">
        <f>"74105"</f>
        <v>74105</v>
      </c>
      <c r="E23585">
        <v>75.290000000000006</v>
      </c>
    </row>
    <row r="23586" spans="1:5" x14ac:dyDescent="0.2">
      <c r="A23586">
        <v>74106</v>
      </c>
      <c r="B23586" t="s">
        <v>42</v>
      </c>
      <c r="C23586">
        <v>74106</v>
      </c>
      <c r="D23586" t="str">
        <f>"74106"</f>
        <v>74106</v>
      </c>
      <c r="E23586">
        <v>45.63</v>
      </c>
    </row>
    <row r="23587" spans="1:5" x14ac:dyDescent="0.2">
      <c r="A23587">
        <v>74107</v>
      </c>
      <c r="B23587" t="s">
        <v>42</v>
      </c>
      <c r="C23587">
        <v>74107</v>
      </c>
      <c r="D23587" t="str">
        <f>"74107"</f>
        <v>74107</v>
      </c>
      <c r="E23587">
        <v>61.69</v>
      </c>
    </row>
    <row r="23588" spans="1:5" x14ac:dyDescent="0.2">
      <c r="A23588">
        <v>74108</v>
      </c>
      <c r="B23588" t="s">
        <v>42</v>
      </c>
      <c r="C23588">
        <v>74108</v>
      </c>
      <c r="D23588" t="str">
        <f>"74108"</f>
        <v>74108</v>
      </c>
      <c r="E23588">
        <v>62.46</v>
      </c>
    </row>
    <row r="23589" spans="1:5" x14ac:dyDescent="0.2">
      <c r="A23589">
        <v>74110</v>
      </c>
      <c r="B23589" t="s">
        <v>42</v>
      </c>
      <c r="C23589">
        <v>74110</v>
      </c>
      <c r="D23589" t="str">
        <f>"74110"</f>
        <v>74110</v>
      </c>
      <c r="E23589">
        <v>45</v>
      </c>
    </row>
    <row r="23590" spans="1:5" x14ac:dyDescent="0.2">
      <c r="A23590">
        <v>74112</v>
      </c>
      <c r="B23590" t="s">
        <v>42</v>
      </c>
      <c r="C23590">
        <v>74112</v>
      </c>
      <c r="D23590" t="str">
        <f>"74112"</f>
        <v>74112</v>
      </c>
      <c r="E23590">
        <v>68.14</v>
      </c>
    </row>
    <row r="23591" spans="1:5" x14ac:dyDescent="0.2">
      <c r="A23591">
        <v>74114</v>
      </c>
      <c r="B23591" t="s">
        <v>42</v>
      </c>
      <c r="C23591">
        <v>74114</v>
      </c>
      <c r="D23591" t="str">
        <f>"74114"</f>
        <v>74114</v>
      </c>
      <c r="E23591">
        <v>80.38</v>
      </c>
    </row>
    <row r="23592" spans="1:5" x14ac:dyDescent="0.2">
      <c r="A23592">
        <v>74115</v>
      </c>
      <c r="B23592" t="s">
        <v>42</v>
      </c>
      <c r="C23592">
        <v>74115</v>
      </c>
      <c r="D23592" t="str">
        <f>"74115"</f>
        <v>74115</v>
      </c>
      <c r="E23592">
        <v>50.12</v>
      </c>
    </row>
    <row r="23593" spans="1:5" x14ac:dyDescent="0.2">
      <c r="A23593">
        <v>74116</v>
      </c>
      <c r="B23593" t="s">
        <v>42</v>
      </c>
      <c r="C23593">
        <v>74116</v>
      </c>
      <c r="D23593" t="str">
        <f>"74116"</f>
        <v>74116</v>
      </c>
      <c r="E23593">
        <v>52.48</v>
      </c>
    </row>
    <row r="23594" spans="1:5" x14ac:dyDescent="0.2">
      <c r="A23594">
        <v>74117</v>
      </c>
      <c r="B23594" t="s">
        <v>42</v>
      </c>
      <c r="C23594">
        <v>74117</v>
      </c>
      <c r="D23594" t="str">
        <f>"74117"</f>
        <v>74117</v>
      </c>
      <c r="E23594" t="s">
        <v>6</v>
      </c>
    </row>
    <row r="23595" spans="1:5" x14ac:dyDescent="0.2">
      <c r="A23595">
        <v>74119</v>
      </c>
      <c r="B23595" t="s">
        <v>42</v>
      </c>
      <c r="C23595">
        <v>74119</v>
      </c>
      <c r="D23595" t="str">
        <f>"74119"</f>
        <v>74119</v>
      </c>
      <c r="E23595">
        <v>81.66</v>
      </c>
    </row>
    <row r="23596" spans="1:5" x14ac:dyDescent="0.2">
      <c r="A23596">
        <v>74120</v>
      </c>
      <c r="B23596" t="s">
        <v>42</v>
      </c>
      <c r="C23596">
        <v>74120</v>
      </c>
      <c r="D23596" t="str">
        <f>"74120"</f>
        <v>74120</v>
      </c>
      <c r="E23596">
        <v>77.58</v>
      </c>
    </row>
    <row r="23597" spans="1:5" x14ac:dyDescent="0.2">
      <c r="A23597">
        <v>74126</v>
      </c>
      <c r="B23597" t="s">
        <v>42</v>
      </c>
      <c r="C23597">
        <v>74126</v>
      </c>
      <c r="D23597" t="str">
        <f>"74126"</f>
        <v>74126</v>
      </c>
      <c r="E23597">
        <v>46.56</v>
      </c>
    </row>
    <row r="23598" spans="1:5" x14ac:dyDescent="0.2">
      <c r="A23598">
        <v>74127</v>
      </c>
      <c r="B23598" t="s">
        <v>42</v>
      </c>
      <c r="C23598">
        <v>74127</v>
      </c>
      <c r="D23598" t="str">
        <f>"74127"</f>
        <v>74127</v>
      </c>
      <c r="E23598">
        <v>62.16</v>
      </c>
    </row>
    <row r="23599" spans="1:5" x14ac:dyDescent="0.2">
      <c r="A23599">
        <v>74128</v>
      </c>
      <c r="B23599" t="s">
        <v>42</v>
      </c>
      <c r="C23599">
        <v>74128</v>
      </c>
      <c r="D23599" t="str">
        <f>"74128"</f>
        <v>74128</v>
      </c>
      <c r="E23599">
        <v>55.82</v>
      </c>
    </row>
    <row r="23600" spans="1:5" x14ac:dyDescent="0.2">
      <c r="A23600">
        <v>74129</v>
      </c>
      <c r="B23600" t="s">
        <v>42</v>
      </c>
      <c r="C23600">
        <v>74129</v>
      </c>
      <c r="D23600" t="str">
        <f>"74129"</f>
        <v>74129</v>
      </c>
      <c r="E23600">
        <v>58.3</v>
      </c>
    </row>
    <row r="23601" spans="1:5" x14ac:dyDescent="0.2">
      <c r="A23601">
        <v>74130</v>
      </c>
      <c r="B23601" t="s">
        <v>42</v>
      </c>
      <c r="C23601">
        <v>74130</v>
      </c>
      <c r="D23601" t="str">
        <f>"74130"</f>
        <v>74130</v>
      </c>
      <c r="E23601">
        <v>51.95</v>
      </c>
    </row>
    <row r="23602" spans="1:5" x14ac:dyDescent="0.2">
      <c r="A23602">
        <v>74131</v>
      </c>
      <c r="B23602" t="s">
        <v>42</v>
      </c>
      <c r="C23602">
        <v>74131</v>
      </c>
      <c r="D23602" t="str">
        <f>"74131"</f>
        <v>74131</v>
      </c>
      <c r="E23602">
        <v>72.81</v>
      </c>
    </row>
    <row r="23603" spans="1:5" x14ac:dyDescent="0.2">
      <c r="A23603">
        <v>74132</v>
      </c>
      <c r="B23603" t="s">
        <v>42</v>
      </c>
      <c r="C23603">
        <v>74132</v>
      </c>
      <c r="D23603" t="str">
        <f>"74132"</f>
        <v>74132</v>
      </c>
      <c r="E23603">
        <v>76.040000000000006</v>
      </c>
    </row>
    <row r="23604" spans="1:5" x14ac:dyDescent="0.2">
      <c r="A23604">
        <v>74133</v>
      </c>
      <c r="B23604" t="s">
        <v>42</v>
      </c>
      <c r="C23604">
        <v>74133</v>
      </c>
      <c r="D23604" t="str">
        <f>"74133"</f>
        <v>74133</v>
      </c>
      <c r="E23604">
        <v>75</v>
      </c>
    </row>
    <row r="23605" spans="1:5" x14ac:dyDescent="0.2">
      <c r="A23605">
        <v>74134</v>
      </c>
      <c r="B23605" t="s">
        <v>42</v>
      </c>
      <c r="C23605">
        <v>74134</v>
      </c>
      <c r="D23605" t="str">
        <f>"74134"</f>
        <v>74134</v>
      </c>
      <c r="E23605">
        <v>69.17</v>
      </c>
    </row>
    <row r="23606" spans="1:5" x14ac:dyDescent="0.2">
      <c r="A23606">
        <v>74135</v>
      </c>
      <c r="B23606" t="s">
        <v>42</v>
      </c>
      <c r="C23606">
        <v>74135</v>
      </c>
      <c r="D23606" t="str">
        <f>"74135"</f>
        <v>74135</v>
      </c>
      <c r="E23606">
        <v>73.67</v>
      </c>
    </row>
    <row r="23607" spans="1:5" x14ac:dyDescent="0.2">
      <c r="A23607">
        <v>74136</v>
      </c>
      <c r="B23607" t="s">
        <v>42</v>
      </c>
      <c r="C23607">
        <v>74136</v>
      </c>
      <c r="D23607" t="str">
        <f>"74136"</f>
        <v>74136</v>
      </c>
      <c r="E23607">
        <v>68.89</v>
      </c>
    </row>
    <row r="23608" spans="1:5" x14ac:dyDescent="0.2">
      <c r="A23608">
        <v>74137</v>
      </c>
      <c r="B23608" t="s">
        <v>42</v>
      </c>
      <c r="C23608">
        <v>74137</v>
      </c>
      <c r="D23608" t="str">
        <f>"74137"</f>
        <v>74137</v>
      </c>
      <c r="E23608">
        <v>77.77</v>
      </c>
    </row>
    <row r="23609" spans="1:5" x14ac:dyDescent="0.2">
      <c r="A23609">
        <v>74145</v>
      </c>
      <c r="B23609" t="s">
        <v>42</v>
      </c>
      <c r="C23609">
        <v>74145</v>
      </c>
      <c r="D23609" t="str">
        <f>"74145"</f>
        <v>74145</v>
      </c>
      <c r="E23609">
        <v>67.27</v>
      </c>
    </row>
    <row r="23610" spans="1:5" x14ac:dyDescent="0.2">
      <c r="A23610">
        <v>74146</v>
      </c>
      <c r="B23610" t="s">
        <v>42</v>
      </c>
      <c r="C23610">
        <v>74146</v>
      </c>
      <c r="D23610" t="str">
        <f>"74146"</f>
        <v>74146</v>
      </c>
      <c r="E23610">
        <v>50.71</v>
      </c>
    </row>
    <row r="23611" spans="1:5" x14ac:dyDescent="0.2">
      <c r="A23611">
        <v>74172</v>
      </c>
      <c r="B23611" t="s">
        <v>42</v>
      </c>
      <c r="C23611">
        <v>74172</v>
      </c>
      <c r="D23611" t="str">
        <f>"74172"</f>
        <v>74172</v>
      </c>
      <c r="E23611" t="s">
        <v>6</v>
      </c>
    </row>
    <row r="23612" spans="1:5" x14ac:dyDescent="0.2">
      <c r="A23612">
        <v>74301</v>
      </c>
      <c r="B23612" t="s">
        <v>42</v>
      </c>
      <c r="C23612">
        <v>74301</v>
      </c>
      <c r="D23612" t="str">
        <f>"74301"</f>
        <v>74301</v>
      </c>
      <c r="E23612">
        <v>63.07</v>
      </c>
    </row>
    <row r="23613" spans="1:5" x14ac:dyDescent="0.2">
      <c r="A23613">
        <v>74330</v>
      </c>
      <c r="B23613" t="s">
        <v>42</v>
      </c>
      <c r="C23613">
        <v>74330</v>
      </c>
      <c r="D23613" t="str">
        <f>"74330"</f>
        <v>74330</v>
      </c>
      <c r="E23613">
        <v>69.23</v>
      </c>
    </row>
    <row r="23614" spans="1:5" x14ac:dyDescent="0.2">
      <c r="A23614">
        <v>74331</v>
      </c>
      <c r="B23614" t="s">
        <v>42</v>
      </c>
      <c r="C23614">
        <v>74331</v>
      </c>
      <c r="D23614" t="str">
        <f>"74331"</f>
        <v>74331</v>
      </c>
      <c r="E23614">
        <v>66.8</v>
      </c>
    </row>
    <row r="23615" spans="1:5" x14ac:dyDescent="0.2">
      <c r="A23615">
        <v>74332</v>
      </c>
      <c r="B23615" t="s">
        <v>42</v>
      </c>
      <c r="C23615">
        <v>74332</v>
      </c>
      <c r="D23615" t="str">
        <f>"74332"</f>
        <v>74332</v>
      </c>
      <c r="E23615">
        <v>63.77</v>
      </c>
    </row>
    <row r="23616" spans="1:5" x14ac:dyDescent="0.2">
      <c r="A23616">
        <v>74333</v>
      </c>
      <c r="B23616" t="s">
        <v>42</v>
      </c>
      <c r="C23616">
        <v>74333</v>
      </c>
      <c r="D23616" t="str">
        <f>"74333"</f>
        <v>74333</v>
      </c>
      <c r="E23616">
        <v>61.36</v>
      </c>
    </row>
    <row r="23617" spans="1:5" x14ac:dyDescent="0.2">
      <c r="A23617">
        <v>74335</v>
      </c>
      <c r="B23617" t="s">
        <v>42</v>
      </c>
      <c r="C23617">
        <v>74335</v>
      </c>
      <c r="D23617" t="str">
        <f>"74335"</f>
        <v>74335</v>
      </c>
      <c r="E23617" t="s">
        <v>6</v>
      </c>
    </row>
    <row r="23618" spans="1:5" x14ac:dyDescent="0.2">
      <c r="A23618">
        <v>74337</v>
      </c>
      <c r="B23618" t="s">
        <v>42</v>
      </c>
      <c r="C23618">
        <v>74337</v>
      </c>
      <c r="D23618" t="str">
        <f>"74337"</f>
        <v>74337</v>
      </c>
      <c r="E23618">
        <v>66.849999999999994</v>
      </c>
    </row>
    <row r="23619" spans="1:5" x14ac:dyDescent="0.2">
      <c r="A23619">
        <v>74338</v>
      </c>
      <c r="B23619" t="s">
        <v>42</v>
      </c>
      <c r="C23619">
        <v>74338</v>
      </c>
      <c r="D23619" t="str">
        <f>"74338"</f>
        <v>74338</v>
      </c>
      <c r="E23619">
        <v>60.77</v>
      </c>
    </row>
    <row r="23620" spans="1:5" x14ac:dyDescent="0.2">
      <c r="A23620">
        <v>74339</v>
      </c>
      <c r="B23620" t="s">
        <v>42</v>
      </c>
      <c r="C23620">
        <v>74339</v>
      </c>
      <c r="D23620" t="str">
        <f>"74339"</f>
        <v>74339</v>
      </c>
      <c r="E23620">
        <v>51.09</v>
      </c>
    </row>
    <row r="23621" spans="1:5" x14ac:dyDescent="0.2">
      <c r="A23621">
        <v>74340</v>
      </c>
      <c r="B23621" t="s">
        <v>42</v>
      </c>
      <c r="C23621">
        <v>74340</v>
      </c>
      <c r="D23621" t="str">
        <f>"74340"</f>
        <v>74340</v>
      </c>
      <c r="E23621" t="s">
        <v>6</v>
      </c>
    </row>
    <row r="23622" spans="1:5" x14ac:dyDescent="0.2">
      <c r="A23622">
        <v>74342</v>
      </c>
      <c r="B23622" t="s">
        <v>42</v>
      </c>
      <c r="C23622">
        <v>74342</v>
      </c>
      <c r="D23622" t="str">
        <f>"74342"</f>
        <v>74342</v>
      </c>
      <c r="E23622">
        <v>57.75</v>
      </c>
    </row>
    <row r="23623" spans="1:5" x14ac:dyDescent="0.2">
      <c r="A23623">
        <v>74343</v>
      </c>
      <c r="B23623" t="s">
        <v>42</v>
      </c>
      <c r="C23623">
        <v>74343</v>
      </c>
      <c r="D23623" t="str">
        <f>"74343"</f>
        <v>74343</v>
      </c>
      <c r="E23623">
        <v>63.78</v>
      </c>
    </row>
    <row r="23624" spans="1:5" x14ac:dyDescent="0.2">
      <c r="A23624">
        <v>74344</v>
      </c>
      <c r="B23624" t="s">
        <v>42</v>
      </c>
      <c r="C23624">
        <v>74344</v>
      </c>
      <c r="D23624" t="str">
        <f>"74344"</f>
        <v>74344</v>
      </c>
      <c r="E23624">
        <v>65.930000000000007</v>
      </c>
    </row>
    <row r="23625" spans="1:5" x14ac:dyDescent="0.2">
      <c r="A23625">
        <v>74346</v>
      </c>
      <c r="B23625" t="s">
        <v>42</v>
      </c>
      <c r="C23625">
        <v>74346</v>
      </c>
      <c r="D23625" t="str">
        <f>"74346"</f>
        <v>74346</v>
      </c>
      <c r="E23625">
        <v>58.56</v>
      </c>
    </row>
    <row r="23626" spans="1:5" x14ac:dyDescent="0.2">
      <c r="A23626">
        <v>74347</v>
      </c>
      <c r="B23626" t="s">
        <v>42</v>
      </c>
      <c r="C23626">
        <v>74347</v>
      </c>
      <c r="D23626" t="str">
        <f>"74347"</f>
        <v>74347</v>
      </c>
      <c r="E23626">
        <v>63.2</v>
      </c>
    </row>
    <row r="23627" spans="1:5" x14ac:dyDescent="0.2">
      <c r="A23627">
        <v>74349</v>
      </c>
      <c r="B23627" t="s">
        <v>42</v>
      </c>
      <c r="C23627">
        <v>74349</v>
      </c>
      <c r="D23627" t="str">
        <f>"74349"</f>
        <v>74349</v>
      </c>
      <c r="E23627" t="s">
        <v>6</v>
      </c>
    </row>
    <row r="23628" spans="1:5" x14ac:dyDescent="0.2">
      <c r="A23628">
        <v>74350</v>
      </c>
      <c r="B23628" t="s">
        <v>42</v>
      </c>
      <c r="C23628">
        <v>74350</v>
      </c>
      <c r="D23628" t="str">
        <f>"74350"</f>
        <v>74350</v>
      </c>
      <c r="E23628" t="s">
        <v>6</v>
      </c>
    </row>
    <row r="23629" spans="1:5" x14ac:dyDescent="0.2">
      <c r="A23629">
        <v>74352</v>
      </c>
      <c r="B23629" t="s">
        <v>42</v>
      </c>
      <c r="C23629">
        <v>74352</v>
      </c>
      <c r="D23629" t="str">
        <f>"74352"</f>
        <v>74352</v>
      </c>
      <c r="E23629">
        <v>63.68</v>
      </c>
    </row>
    <row r="23630" spans="1:5" x14ac:dyDescent="0.2">
      <c r="A23630">
        <v>74354</v>
      </c>
      <c r="B23630" t="s">
        <v>42</v>
      </c>
      <c r="C23630">
        <v>74354</v>
      </c>
      <c r="D23630" t="str">
        <f>"74354"</f>
        <v>74354</v>
      </c>
      <c r="E23630">
        <v>61.19</v>
      </c>
    </row>
    <row r="23631" spans="1:5" x14ac:dyDescent="0.2">
      <c r="A23631">
        <v>74358</v>
      </c>
      <c r="B23631" t="s">
        <v>42</v>
      </c>
      <c r="C23631">
        <v>74358</v>
      </c>
      <c r="D23631" t="str">
        <f>"74358"</f>
        <v>74358</v>
      </c>
      <c r="E23631" t="s">
        <v>6</v>
      </c>
    </row>
    <row r="23632" spans="1:5" x14ac:dyDescent="0.2">
      <c r="A23632">
        <v>74359</v>
      </c>
      <c r="B23632" t="s">
        <v>42</v>
      </c>
      <c r="C23632">
        <v>74359</v>
      </c>
      <c r="D23632" t="str">
        <f>"74359"</f>
        <v>74359</v>
      </c>
      <c r="E23632">
        <v>61.11</v>
      </c>
    </row>
    <row r="23633" spans="1:5" x14ac:dyDescent="0.2">
      <c r="A23633">
        <v>74360</v>
      </c>
      <c r="B23633" t="s">
        <v>42</v>
      </c>
      <c r="C23633">
        <v>74360</v>
      </c>
      <c r="D23633" t="str">
        <f>"74360"</f>
        <v>74360</v>
      </c>
      <c r="E23633" t="s">
        <v>6</v>
      </c>
    </row>
    <row r="23634" spans="1:5" x14ac:dyDescent="0.2">
      <c r="A23634">
        <v>74361</v>
      </c>
      <c r="B23634" t="s">
        <v>42</v>
      </c>
      <c r="C23634">
        <v>74361</v>
      </c>
      <c r="D23634" t="str">
        <f>"74361"</f>
        <v>74361</v>
      </c>
      <c r="E23634">
        <v>66.39</v>
      </c>
    </row>
    <row r="23635" spans="1:5" x14ac:dyDescent="0.2">
      <c r="A23635">
        <v>74363</v>
      </c>
      <c r="B23635" t="s">
        <v>42</v>
      </c>
      <c r="C23635">
        <v>74363</v>
      </c>
      <c r="D23635" t="str">
        <f>"74363"</f>
        <v>74363</v>
      </c>
      <c r="E23635">
        <v>63.16</v>
      </c>
    </row>
    <row r="23636" spans="1:5" x14ac:dyDescent="0.2">
      <c r="A23636">
        <v>74364</v>
      </c>
      <c r="B23636" t="s">
        <v>42</v>
      </c>
      <c r="C23636">
        <v>74364</v>
      </c>
      <c r="D23636" t="str">
        <f>"74364"</f>
        <v>74364</v>
      </c>
      <c r="E23636">
        <v>60.71</v>
      </c>
    </row>
    <row r="23637" spans="1:5" x14ac:dyDescent="0.2">
      <c r="A23637">
        <v>74365</v>
      </c>
      <c r="B23637" t="s">
        <v>42</v>
      </c>
      <c r="C23637">
        <v>74365</v>
      </c>
      <c r="D23637" t="str">
        <f>"74365"</f>
        <v>74365</v>
      </c>
      <c r="E23637">
        <v>64.849999999999994</v>
      </c>
    </row>
    <row r="23638" spans="1:5" x14ac:dyDescent="0.2">
      <c r="A23638">
        <v>74366</v>
      </c>
      <c r="B23638" t="s">
        <v>42</v>
      </c>
      <c r="C23638">
        <v>74366</v>
      </c>
      <c r="D23638" t="str">
        <f>"74366"</f>
        <v>74366</v>
      </c>
      <c r="E23638">
        <v>59.18</v>
      </c>
    </row>
    <row r="23639" spans="1:5" x14ac:dyDescent="0.2">
      <c r="A23639">
        <v>74367</v>
      </c>
      <c r="B23639" t="s">
        <v>42</v>
      </c>
      <c r="C23639">
        <v>74367</v>
      </c>
      <c r="D23639" t="str">
        <f>"74367"</f>
        <v>74367</v>
      </c>
      <c r="E23639">
        <v>63.16</v>
      </c>
    </row>
    <row r="23640" spans="1:5" x14ac:dyDescent="0.2">
      <c r="A23640">
        <v>74368</v>
      </c>
      <c r="B23640" t="s">
        <v>42</v>
      </c>
      <c r="C23640">
        <v>74368</v>
      </c>
      <c r="D23640" t="str">
        <f>"74368"</f>
        <v>74368</v>
      </c>
      <c r="E23640" t="s">
        <v>6</v>
      </c>
    </row>
    <row r="23641" spans="1:5" x14ac:dyDescent="0.2">
      <c r="A23641">
        <v>74369</v>
      </c>
      <c r="B23641" t="s">
        <v>42</v>
      </c>
      <c r="C23641">
        <v>74369</v>
      </c>
      <c r="D23641" t="str">
        <f>"74369"</f>
        <v>74369</v>
      </c>
      <c r="E23641">
        <v>59.7</v>
      </c>
    </row>
    <row r="23642" spans="1:5" x14ac:dyDescent="0.2">
      <c r="A23642">
        <v>74370</v>
      </c>
      <c r="B23642" t="s">
        <v>42</v>
      </c>
      <c r="C23642">
        <v>74370</v>
      </c>
      <c r="D23642" t="str">
        <f>"74370"</f>
        <v>74370</v>
      </c>
      <c r="E23642">
        <v>62.96</v>
      </c>
    </row>
    <row r="23643" spans="1:5" x14ac:dyDescent="0.2">
      <c r="A23643">
        <v>74401</v>
      </c>
      <c r="B23643" t="s">
        <v>42</v>
      </c>
      <c r="C23643">
        <v>74401</v>
      </c>
      <c r="D23643" t="str">
        <f>"74401"</f>
        <v>74401</v>
      </c>
      <c r="E23643">
        <v>57.44</v>
      </c>
    </row>
    <row r="23644" spans="1:5" x14ac:dyDescent="0.2">
      <c r="A23644">
        <v>74402</v>
      </c>
      <c r="B23644" t="s">
        <v>42</v>
      </c>
      <c r="C23644">
        <v>74402</v>
      </c>
      <c r="D23644" t="str">
        <f>"74402"</f>
        <v>74402</v>
      </c>
      <c r="E23644" t="s">
        <v>6</v>
      </c>
    </row>
    <row r="23645" spans="1:5" x14ac:dyDescent="0.2">
      <c r="A23645">
        <v>74403</v>
      </c>
      <c r="B23645" t="s">
        <v>42</v>
      </c>
      <c r="C23645">
        <v>74403</v>
      </c>
      <c r="D23645" t="str">
        <f>"74403"</f>
        <v>74403</v>
      </c>
      <c r="E23645">
        <v>65.81</v>
      </c>
    </row>
    <row r="23646" spans="1:5" x14ac:dyDescent="0.2">
      <c r="A23646">
        <v>74421</v>
      </c>
      <c r="B23646" t="s">
        <v>42</v>
      </c>
      <c r="C23646">
        <v>74421</v>
      </c>
      <c r="D23646" t="str">
        <f>"74421"</f>
        <v>74421</v>
      </c>
      <c r="E23646">
        <v>69.27</v>
      </c>
    </row>
    <row r="23647" spans="1:5" x14ac:dyDescent="0.2">
      <c r="A23647">
        <v>74422</v>
      </c>
      <c r="B23647" t="s">
        <v>42</v>
      </c>
      <c r="C23647">
        <v>74422</v>
      </c>
      <c r="D23647" t="str">
        <f>"74422"</f>
        <v>74422</v>
      </c>
      <c r="E23647">
        <v>65.38</v>
      </c>
    </row>
    <row r="23648" spans="1:5" x14ac:dyDescent="0.2">
      <c r="A23648">
        <v>74423</v>
      </c>
      <c r="B23648" t="s">
        <v>42</v>
      </c>
      <c r="C23648">
        <v>74423</v>
      </c>
      <c r="D23648" t="str">
        <f>"74423"</f>
        <v>74423</v>
      </c>
      <c r="E23648">
        <v>64.290000000000006</v>
      </c>
    </row>
    <row r="23649" spans="1:5" x14ac:dyDescent="0.2">
      <c r="A23649">
        <v>74425</v>
      </c>
      <c r="B23649" t="s">
        <v>42</v>
      </c>
      <c r="C23649">
        <v>74425</v>
      </c>
      <c r="D23649" t="str">
        <f>"74425"</f>
        <v>74425</v>
      </c>
      <c r="E23649">
        <v>62.79</v>
      </c>
    </row>
    <row r="23650" spans="1:5" x14ac:dyDescent="0.2">
      <c r="A23650">
        <v>74426</v>
      </c>
      <c r="B23650" t="s">
        <v>42</v>
      </c>
      <c r="C23650">
        <v>74426</v>
      </c>
      <c r="D23650" t="str">
        <f>"74426"</f>
        <v>74426</v>
      </c>
      <c r="E23650">
        <v>61.56</v>
      </c>
    </row>
    <row r="23651" spans="1:5" x14ac:dyDescent="0.2">
      <c r="A23651">
        <v>74427</v>
      </c>
      <c r="B23651" t="s">
        <v>42</v>
      </c>
      <c r="C23651">
        <v>74427</v>
      </c>
      <c r="D23651" t="str">
        <f>"74427"</f>
        <v>74427</v>
      </c>
      <c r="E23651">
        <v>69.09</v>
      </c>
    </row>
    <row r="23652" spans="1:5" x14ac:dyDescent="0.2">
      <c r="A23652">
        <v>74428</v>
      </c>
      <c r="B23652" t="s">
        <v>42</v>
      </c>
      <c r="C23652">
        <v>74428</v>
      </c>
      <c r="D23652" t="str">
        <f>"74428"</f>
        <v>74428</v>
      </c>
      <c r="E23652">
        <v>69.44</v>
      </c>
    </row>
    <row r="23653" spans="1:5" x14ac:dyDescent="0.2">
      <c r="A23653">
        <v>74429</v>
      </c>
      <c r="B23653" t="s">
        <v>42</v>
      </c>
      <c r="C23653">
        <v>74429</v>
      </c>
      <c r="D23653" t="str">
        <f>"74429"</f>
        <v>74429</v>
      </c>
      <c r="E23653">
        <v>71.47</v>
      </c>
    </row>
    <row r="23654" spans="1:5" x14ac:dyDescent="0.2">
      <c r="A23654">
        <v>74430</v>
      </c>
      <c r="B23654" t="s">
        <v>42</v>
      </c>
      <c r="C23654">
        <v>74430</v>
      </c>
      <c r="D23654" t="str">
        <f>"74430"</f>
        <v>74430</v>
      </c>
      <c r="E23654" t="s">
        <v>6</v>
      </c>
    </row>
    <row r="23655" spans="1:5" x14ac:dyDescent="0.2">
      <c r="A23655">
        <v>74431</v>
      </c>
      <c r="B23655" t="s">
        <v>42</v>
      </c>
      <c r="C23655">
        <v>74431</v>
      </c>
      <c r="D23655" t="str">
        <f>"74431"</f>
        <v>74431</v>
      </c>
      <c r="E23655" t="s">
        <v>6</v>
      </c>
    </row>
    <row r="23656" spans="1:5" x14ac:dyDescent="0.2">
      <c r="A23656">
        <v>74432</v>
      </c>
      <c r="B23656" t="s">
        <v>42</v>
      </c>
      <c r="C23656">
        <v>74432</v>
      </c>
      <c r="D23656" t="str">
        <f>"74432"</f>
        <v>74432</v>
      </c>
      <c r="E23656">
        <v>62.81</v>
      </c>
    </row>
    <row r="23657" spans="1:5" x14ac:dyDescent="0.2">
      <c r="A23657">
        <v>74434</v>
      </c>
      <c r="B23657" t="s">
        <v>42</v>
      </c>
      <c r="C23657">
        <v>74434</v>
      </c>
      <c r="D23657" t="str">
        <f>"74434"</f>
        <v>74434</v>
      </c>
      <c r="E23657">
        <v>69.06</v>
      </c>
    </row>
    <row r="23658" spans="1:5" x14ac:dyDescent="0.2">
      <c r="A23658">
        <v>74435</v>
      </c>
      <c r="B23658" t="s">
        <v>42</v>
      </c>
      <c r="C23658">
        <v>74435</v>
      </c>
      <c r="D23658" t="str">
        <f>"74435"</f>
        <v>74435</v>
      </c>
      <c r="E23658">
        <v>58.54</v>
      </c>
    </row>
    <row r="23659" spans="1:5" x14ac:dyDescent="0.2">
      <c r="A23659">
        <v>74436</v>
      </c>
      <c r="B23659" t="s">
        <v>42</v>
      </c>
      <c r="C23659">
        <v>74436</v>
      </c>
      <c r="D23659" t="str">
        <f>"74436"</f>
        <v>74436</v>
      </c>
      <c r="E23659">
        <v>64.47</v>
      </c>
    </row>
    <row r="23660" spans="1:5" x14ac:dyDescent="0.2">
      <c r="A23660">
        <v>74437</v>
      </c>
      <c r="B23660" t="s">
        <v>42</v>
      </c>
      <c r="C23660">
        <v>74437</v>
      </c>
      <c r="D23660" t="str">
        <f>"74437"</f>
        <v>74437</v>
      </c>
      <c r="E23660">
        <v>64.010000000000005</v>
      </c>
    </row>
    <row r="23661" spans="1:5" x14ac:dyDescent="0.2">
      <c r="A23661">
        <v>74438</v>
      </c>
      <c r="B23661" t="s">
        <v>42</v>
      </c>
      <c r="C23661">
        <v>74438</v>
      </c>
      <c r="D23661" t="str">
        <f>"74438"</f>
        <v>74438</v>
      </c>
      <c r="E23661" t="s">
        <v>6</v>
      </c>
    </row>
    <row r="23662" spans="1:5" x14ac:dyDescent="0.2">
      <c r="A23662">
        <v>74441</v>
      </c>
      <c r="B23662" t="s">
        <v>42</v>
      </c>
      <c r="C23662">
        <v>74441</v>
      </c>
      <c r="D23662" t="str">
        <f>"74441"</f>
        <v>74441</v>
      </c>
      <c r="E23662">
        <v>64.319999999999993</v>
      </c>
    </row>
    <row r="23663" spans="1:5" x14ac:dyDescent="0.2">
      <c r="A23663">
        <v>74442</v>
      </c>
      <c r="B23663" t="s">
        <v>42</v>
      </c>
      <c r="C23663">
        <v>74442</v>
      </c>
      <c r="D23663" t="str">
        <f>"74442"</f>
        <v>74442</v>
      </c>
      <c r="E23663">
        <v>61.29</v>
      </c>
    </row>
    <row r="23664" spans="1:5" x14ac:dyDescent="0.2">
      <c r="A23664">
        <v>74445</v>
      </c>
      <c r="B23664" t="s">
        <v>42</v>
      </c>
      <c r="C23664">
        <v>74445</v>
      </c>
      <c r="D23664" t="str">
        <f>"74445"</f>
        <v>74445</v>
      </c>
      <c r="E23664">
        <v>68.38</v>
      </c>
    </row>
    <row r="23665" spans="1:5" x14ac:dyDescent="0.2">
      <c r="A23665">
        <v>74446</v>
      </c>
      <c r="B23665" t="s">
        <v>42</v>
      </c>
      <c r="C23665">
        <v>74446</v>
      </c>
      <c r="D23665" t="str">
        <f>"74446"</f>
        <v>74446</v>
      </c>
      <c r="E23665" t="s">
        <v>6</v>
      </c>
    </row>
    <row r="23666" spans="1:5" x14ac:dyDescent="0.2">
      <c r="A23666">
        <v>74447</v>
      </c>
      <c r="B23666" t="s">
        <v>42</v>
      </c>
      <c r="C23666">
        <v>74447</v>
      </c>
      <c r="D23666" t="str">
        <f>"74447"</f>
        <v>74447</v>
      </c>
      <c r="E23666">
        <v>60.17</v>
      </c>
    </row>
    <row r="23667" spans="1:5" x14ac:dyDescent="0.2">
      <c r="A23667">
        <v>74450</v>
      </c>
      <c r="B23667" t="s">
        <v>42</v>
      </c>
      <c r="C23667">
        <v>74450</v>
      </c>
      <c r="D23667" t="str">
        <f>"74450"</f>
        <v>74450</v>
      </c>
      <c r="E23667">
        <v>69.010000000000005</v>
      </c>
    </row>
    <row r="23668" spans="1:5" x14ac:dyDescent="0.2">
      <c r="A23668">
        <v>74451</v>
      </c>
      <c r="B23668" t="s">
        <v>42</v>
      </c>
      <c r="C23668">
        <v>74451</v>
      </c>
      <c r="D23668" t="str">
        <f>"74451"</f>
        <v>74451</v>
      </c>
      <c r="E23668">
        <v>66.45</v>
      </c>
    </row>
    <row r="23669" spans="1:5" x14ac:dyDescent="0.2">
      <c r="A23669">
        <v>74452</v>
      </c>
      <c r="B23669" t="s">
        <v>42</v>
      </c>
      <c r="C23669">
        <v>74452</v>
      </c>
      <c r="D23669" t="str">
        <f>"74452"</f>
        <v>74452</v>
      </c>
      <c r="E23669">
        <v>62.5</v>
      </c>
    </row>
    <row r="23670" spans="1:5" x14ac:dyDescent="0.2">
      <c r="A23670">
        <v>74454</v>
      </c>
      <c r="B23670" t="s">
        <v>42</v>
      </c>
      <c r="C23670">
        <v>74454</v>
      </c>
      <c r="D23670" t="str">
        <f>"74454"</f>
        <v>74454</v>
      </c>
      <c r="E23670">
        <v>66.94</v>
      </c>
    </row>
    <row r="23671" spans="1:5" x14ac:dyDescent="0.2">
      <c r="A23671">
        <v>74455</v>
      </c>
      <c r="B23671" t="s">
        <v>42</v>
      </c>
      <c r="C23671">
        <v>74455</v>
      </c>
      <c r="D23671" t="str">
        <f>"74455"</f>
        <v>74455</v>
      </c>
      <c r="E23671">
        <v>60.2</v>
      </c>
    </row>
    <row r="23672" spans="1:5" x14ac:dyDescent="0.2">
      <c r="A23672">
        <v>74456</v>
      </c>
      <c r="B23672" t="s">
        <v>42</v>
      </c>
      <c r="C23672">
        <v>74456</v>
      </c>
      <c r="D23672" t="str">
        <f>"74456"</f>
        <v>74456</v>
      </c>
      <c r="E23672" t="s">
        <v>6</v>
      </c>
    </row>
    <row r="23673" spans="1:5" x14ac:dyDescent="0.2">
      <c r="A23673">
        <v>74457</v>
      </c>
      <c r="B23673" t="s">
        <v>42</v>
      </c>
      <c r="C23673">
        <v>74457</v>
      </c>
      <c r="D23673" t="str">
        <f>"74457"</f>
        <v>74457</v>
      </c>
      <c r="E23673">
        <v>61.9</v>
      </c>
    </row>
    <row r="23674" spans="1:5" x14ac:dyDescent="0.2">
      <c r="A23674">
        <v>74458</v>
      </c>
      <c r="B23674" t="s">
        <v>42</v>
      </c>
      <c r="C23674">
        <v>74458</v>
      </c>
      <c r="D23674" t="str">
        <f>"74458"</f>
        <v>74458</v>
      </c>
      <c r="E23674" t="s">
        <v>6</v>
      </c>
    </row>
    <row r="23675" spans="1:5" x14ac:dyDescent="0.2">
      <c r="A23675">
        <v>74460</v>
      </c>
      <c r="B23675" t="s">
        <v>42</v>
      </c>
      <c r="C23675">
        <v>74460</v>
      </c>
      <c r="D23675" t="str">
        <f>"74460"</f>
        <v>74460</v>
      </c>
      <c r="E23675" t="s">
        <v>6</v>
      </c>
    </row>
    <row r="23676" spans="1:5" x14ac:dyDescent="0.2">
      <c r="A23676">
        <v>74462</v>
      </c>
      <c r="B23676" t="s">
        <v>42</v>
      </c>
      <c r="C23676">
        <v>74462</v>
      </c>
      <c r="D23676" t="str">
        <f>"74462"</f>
        <v>74462</v>
      </c>
      <c r="E23676">
        <v>59.11</v>
      </c>
    </row>
    <row r="23677" spans="1:5" x14ac:dyDescent="0.2">
      <c r="A23677">
        <v>74463</v>
      </c>
      <c r="B23677" t="s">
        <v>42</v>
      </c>
      <c r="C23677">
        <v>74463</v>
      </c>
      <c r="D23677" t="str">
        <f>"74463"</f>
        <v>74463</v>
      </c>
      <c r="E23677" t="s">
        <v>6</v>
      </c>
    </row>
    <row r="23678" spans="1:5" x14ac:dyDescent="0.2">
      <c r="A23678">
        <v>74464</v>
      </c>
      <c r="B23678" t="s">
        <v>42</v>
      </c>
      <c r="C23678">
        <v>74464</v>
      </c>
      <c r="D23678" t="str">
        <f>"74464"</f>
        <v>74464</v>
      </c>
      <c r="E23678">
        <v>60.11</v>
      </c>
    </row>
    <row r="23679" spans="1:5" x14ac:dyDescent="0.2">
      <c r="A23679">
        <v>74467</v>
      </c>
      <c r="B23679" t="s">
        <v>42</v>
      </c>
      <c r="C23679">
        <v>74467</v>
      </c>
      <c r="D23679" t="str">
        <f>"74467"</f>
        <v>74467</v>
      </c>
      <c r="E23679">
        <v>63.46</v>
      </c>
    </row>
    <row r="23680" spans="1:5" x14ac:dyDescent="0.2">
      <c r="A23680">
        <v>74468</v>
      </c>
      <c r="B23680" t="s">
        <v>42</v>
      </c>
      <c r="C23680">
        <v>74468</v>
      </c>
      <c r="D23680" t="str">
        <f>"74468"</f>
        <v>74468</v>
      </c>
      <c r="E23680" t="s">
        <v>6</v>
      </c>
    </row>
    <row r="23681" spans="1:5" x14ac:dyDescent="0.2">
      <c r="A23681">
        <v>74469</v>
      </c>
      <c r="B23681" t="s">
        <v>42</v>
      </c>
      <c r="C23681">
        <v>74469</v>
      </c>
      <c r="D23681" t="str">
        <f>"74469"</f>
        <v>74469</v>
      </c>
      <c r="E23681">
        <v>66.67</v>
      </c>
    </row>
    <row r="23682" spans="1:5" x14ac:dyDescent="0.2">
      <c r="A23682">
        <v>74470</v>
      </c>
      <c r="B23682" t="s">
        <v>42</v>
      </c>
      <c r="C23682">
        <v>74470</v>
      </c>
      <c r="D23682" t="str">
        <f>"74470"</f>
        <v>74470</v>
      </c>
      <c r="E23682">
        <v>57.89</v>
      </c>
    </row>
    <row r="23683" spans="1:5" x14ac:dyDescent="0.2">
      <c r="A23683">
        <v>74471</v>
      </c>
      <c r="B23683" t="s">
        <v>42</v>
      </c>
      <c r="C23683">
        <v>74471</v>
      </c>
      <c r="D23683" t="str">
        <f>"74471"</f>
        <v>74471</v>
      </c>
      <c r="E23683">
        <v>59.62</v>
      </c>
    </row>
    <row r="23684" spans="1:5" x14ac:dyDescent="0.2">
      <c r="A23684">
        <v>74472</v>
      </c>
      <c r="B23684" t="s">
        <v>42</v>
      </c>
      <c r="C23684">
        <v>74472</v>
      </c>
      <c r="D23684" t="str">
        <f>"74472"</f>
        <v>74472</v>
      </c>
      <c r="E23684">
        <v>63.64</v>
      </c>
    </row>
    <row r="23685" spans="1:5" x14ac:dyDescent="0.2">
      <c r="A23685">
        <v>74501</v>
      </c>
      <c r="B23685" t="s">
        <v>42</v>
      </c>
      <c r="C23685">
        <v>74501</v>
      </c>
      <c r="D23685" t="str">
        <f>"74501"</f>
        <v>74501</v>
      </c>
      <c r="E23685">
        <v>64.98</v>
      </c>
    </row>
    <row r="23686" spans="1:5" x14ac:dyDescent="0.2">
      <c r="A23686">
        <v>74521</v>
      </c>
      <c r="B23686" t="s">
        <v>42</v>
      </c>
      <c r="C23686">
        <v>74521</v>
      </c>
      <c r="D23686" t="str">
        <f>"74521"</f>
        <v>74521</v>
      </c>
      <c r="E23686" t="s">
        <v>6</v>
      </c>
    </row>
    <row r="23687" spans="1:5" x14ac:dyDescent="0.2">
      <c r="A23687">
        <v>74522</v>
      </c>
      <c r="B23687" t="s">
        <v>42</v>
      </c>
      <c r="C23687">
        <v>74522</v>
      </c>
      <c r="D23687" t="str">
        <f>"74522"</f>
        <v>74522</v>
      </c>
      <c r="E23687" t="s">
        <v>6</v>
      </c>
    </row>
    <row r="23688" spans="1:5" x14ac:dyDescent="0.2">
      <c r="A23688">
        <v>74523</v>
      </c>
      <c r="B23688" t="s">
        <v>42</v>
      </c>
      <c r="C23688">
        <v>74523</v>
      </c>
      <c r="D23688" t="str">
        <f>"74523"</f>
        <v>74523</v>
      </c>
      <c r="E23688">
        <v>60.62</v>
      </c>
    </row>
    <row r="23689" spans="1:5" x14ac:dyDescent="0.2">
      <c r="A23689">
        <v>74525</v>
      </c>
      <c r="B23689" t="s">
        <v>42</v>
      </c>
      <c r="C23689">
        <v>74525</v>
      </c>
      <c r="D23689" t="str">
        <f>"74525"</f>
        <v>74525</v>
      </c>
      <c r="E23689">
        <v>61.08</v>
      </c>
    </row>
    <row r="23690" spans="1:5" x14ac:dyDescent="0.2">
      <c r="A23690">
        <v>74528</v>
      </c>
      <c r="B23690" t="s">
        <v>42</v>
      </c>
      <c r="C23690">
        <v>74528</v>
      </c>
      <c r="D23690" t="str">
        <f>"74528"</f>
        <v>74528</v>
      </c>
      <c r="E23690" t="s">
        <v>6</v>
      </c>
    </row>
    <row r="23691" spans="1:5" x14ac:dyDescent="0.2">
      <c r="A23691">
        <v>74530</v>
      </c>
      <c r="B23691" t="s">
        <v>42</v>
      </c>
      <c r="C23691">
        <v>74530</v>
      </c>
      <c r="D23691" t="str">
        <f>"74530"</f>
        <v>74530</v>
      </c>
      <c r="E23691" t="s">
        <v>6</v>
      </c>
    </row>
    <row r="23692" spans="1:5" x14ac:dyDescent="0.2">
      <c r="A23692">
        <v>74531</v>
      </c>
      <c r="B23692" t="s">
        <v>42</v>
      </c>
      <c r="C23692">
        <v>74531</v>
      </c>
      <c r="D23692" t="str">
        <f>"74531"</f>
        <v>74531</v>
      </c>
      <c r="E23692">
        <v>63.64</v>
      </c>
    </row>
    <row r="23693" spans="1:5" x14ac:dyDescent="0.2">
      <c r="A23693">
        <v>74533</v>
      </c>
      <c r="B23693" t="s">
        <v>42</v>
      </c>
      <c r="C23693">
        <v>74533</v>
      </c>
      <c r="D23693" t="str">
        <f>"74533"</f>
        <v>74533</v>
      </c>
      <c r="E23693">
        <v>62.86</v>
      </c>
    </row>
    <row r="23694" spans="1:5" x14ac:dyDescent="0.2">
      <c r="A23694">
        <v>74534</v>
      </c>
      <c r="B23694" t="s">
        <v>42</v>
      </c>
      <c r="C23694">
        <v>74534</v>
      </c>
      <c r="D23694" t="str">
        <f>"74534"</f>
        <v>74534</v>
      </c>
      <c r="E23694">
        <v>60</v>
      </c>
    </row>
    <row r="23695" spans="1:5" x14ac:dyDescent="0.2">
      <c r="A23695">
        <v>74536</v>
      </c>
      <c r="B23695" t="s">
        <v>42</v>
      </c>
      <c r="C23695">
        <v>74536</v>
      </c>
      <c r="D23695" t="str">
        <f>"74536"</f>
        <v>74536</v>
      </c>
      <c r="E23695">
        <v>57.63</v>
      </c>
    </row>
    <row r="23696" spans="1:5" x14ac:dyDescent="0.2">
      <c r="A23696">
        <v>74538</v>
      </c>
      <c r="B23696" t="s">
        <v>42</v>
      </c>
      <c r="C23696">
        <v>74538</v>
      </c>
      <c r="D23696" t="str">
        <f>"74538"</f>
        <v>74538</v>
      </c>
      <c r="E23696">
        <v>62.99</v>
      </c>
    </row>
    <row r="23697" spans="1:5" x14ac:dyDescent="0.2">
      <c r="A23697">
        <v>74540</v>
      </c>
      <c r="B23697" t="s">
        <v>42</v>
      </c>
      <c r="C23697">
        <v>74540</v>
      </c>
      <c r="D23697" t="str">
        <f>"74540"</f>
        <v>74540</v>
      </c>
      <c r="E23697" t="s">
        <v>6</v>
      </c>
    </row>
    <row r="23698" spans="1:5" x14ac:dyDescent="0.2">
      <c r="A23698">
        <v>74543</v>
      </c>
      <c r="B23698" t="s">
        <v>42</v>
      </c>
      <c r="C23698">
        <v>74543</v>
      </c>
      <c r="D23698" t="str">
        <f>"74543"</f>
        <v>74543</v>
      </c>
      <c r="E23698">
        <v>58.33</v>
      </c>
    </row>
    <row r="23699" spans="1:5" x14ac:dyDescent="0.2">
      <c r="A23699">
        <v>74546</v>
      </c>
      <c r="B23699" t="s">
        <v>42</v>
      </c>
      <c r="C23699">
        <v>74546</v>
      </c>
      <c r="D23699" t="str">
        <f>"74546"</f>
        <v>74546</v>
      </c>
      <c r="E23699" t="s">
        <v>6</v>
      </c>
    </row>
    <row r="23700" spans="1:5" x14ac:dyDescent="0.2">
      <c r="A23700">
        <v>74547</v>
      </c>
      <c r="B23700" t="s">
        <v>42</v>
      </c>
      <c r="C23700">
        <v>74547</v>
      </c>
      <c r="D23700" t="str">
        <f>"74547"</f>
        <v>74547</v>
      </c>
      <c r="E23700">
        <v>60.32</v>
      </c>
    </row>
    <row r="23701" spans="1:5" x14ac:dyDescent="0.2">
      <c r="A23701">
        <v>74549</v>
      </c>
      <c r="B23701" t="s">
        <v>42</v>
      </c>
      <c r="C23701">
        <v>74549</v>
      </c>
      <c r="D23701" t="str">
        <f>"74549"</f>
        <v>74549</v>
      </c>
      <c r="E23701" t="s">
        <v>6</v>
      </c>
    </row>
    <row r="23702" spans="1:5" x14ac:dyDescent="0.2">
      <c r="A23702">
        <v>74552</v>
      </c>
      <c r="B23702" t="s">
        <v>42</v>
      </c>
      <c r="C23702">
        <v>74552</v>
      </c>
      <c r="D23702" t="str">
        <f>"74552"</f>
        <v>74552</v>
      </c>
      <c r="E23702">
        <v>53.13</v>
      </c>
    </row>
    <row r="23703" spans="1:5" x14ac:dyDescent="0.2">
      <c r="A23703">
        <v>74553</v>
      </c>
      <c r="B23703" t="s">
        <v>42</v>
      </c>
      <c r="C23703">
        <v>74553</v>
      </c>
      <c r="D23703" t="str">
        <f>"74553"</f>
        <v>74553</v>
      </c>
      <c r="E23703">
        <v>68.63</v>
      </c>
    </row>
    <row r="23704" spans="1:5" x14ac:dyDescent="0.2">
      <c r="A23704">
        <v>74554</v>
      </c>
      <c r="B23704" t="s">
        <v>42</v>
      </c>
      <c r="C23704">
        <v>74554</v>
      </c>
      <c r="D23704" t="str">
        <f>"74554"</f>
        <v>74554</v>
      </c>
      <c r="E23704" t="s">
        <v>6</v>
      </c>
    </row>
    <row r="23705" spans="1:5" x14ac:dyDescent="0.2">
      <c r="A23705">
        <v>74555</v>
      </c>
      <c r="B23705" t="s">
        <v>42</v>
      </c>
      <c r="C23705">
        <v>74555</v>
      </c>
      <c r="D23705" t="str">
        <f>"74555"</f>
        <v>74555</v>
      </c>
      <c r="E23705">
        <v>62.5</v>
      </c>
    </row>
    <row r="23706" spans="1:5" x14ac:dyDescent="0.2">
      <c r="A23706">
        <v>74556</v>
      </c>
      <c r="B23706" t="s">
        <v>42</v>
      </c>
      <c r="C23706">
        <v>74556</v>
      </c>
      <c r="D23706" t="str">
        <f>"74556"</f>
        <v>74556</v>
      </c>
      <c r="E23706" t="s">
        <v>6</v>
      </c>
    </row>
    <row r="23707" spans="1:5" x14ac:dyDescent="0.2">
      <c r="A23707">
        <v>74557</v>
      </c>
      <c r="B23707" t="s">
        <v>42</v>
      </c>
      <c r="C23707">
        <v>74557</v>
      </c>
      <c r="D23707" t="str">
        <f>"74557"</f>
        <v>74557</v>
      </c>
      <c r="E23707">
        <v>55.56</v>
      </c>
    </row>
    <row r="23708" spans="1:5" x14ac:dyDescent="0.2">
      <c r="A23708">
        <v>74558</v>
      </c>
      <c r="B23708" t="s">
        <v>42</v>
      </c>
      <c r="C23708">
        <v>74558</v>
      </c>
      <c r="D23708" t="str">
        <f>"74558"</f>
        <v>74558</v>
      </c>
      <c r="E23708">
        <v>54.55</v>
      </c>
    </row>
    <row r="23709" spans="1:5" x14ac:dyDescent="0.2">
      <c r="A23709">
        <v>74560</v>
      </c>
      <c r="B23709" t="s">
        <v>42</v>
      </c>
      <c r="C23709">
        <v>74560</v>
      </c>
      <c r="D23709" t="str">
        <f>"74560"</f>
        <v>74560</v>
      </c>
      <c r="E23709">
        <v>58.33</v>
      </c>
    </row>
    <row r="23710" spans="1:5" x14ac:dyDescent="0.2">
      <c r="A23710">
        <v>74561</v>
      </c>
      <c r="B23710" t="s">
        <v>42</v>
      </c>
      <c r="C23710">
        <v>74561</v>
      </c>
      <c r="D23710" t="str">
        <f>"74561"</f>
        <v>74561</v>
      </c>
      <c r="E23710">
        <v>63.01</v>
      </c>
    </row>
    <row r="23711" spans="1:5" x14ac:dyDescent="0.2">
      <c r="A23711">
        <v>74562</v>
      </c>
      <c r="B23711" t="s">
        <v>42</v>
      </c>
      <c r="C23711">
        <v>74562</v>
      </c>
      <c r="D23711" t="str">
        <f>"74562"</f>
        <v>74562</v>
      </c>
      <c r="E23711">
        <v>62.86</v>
      </c>
    </row>
    <row r="23712" spans="1:5" x14ac:dyDescent="0.2">
      <c r="A23712">
        <v>74563</v>
      </c>
      <c r="B23712" t="s">
        <v>42</v>
      </c>
      <c r="C23712">
        <v>74563</v>
      </c>
      <c r="D23712" t="str">
        <f>"74563"</f>
        <v>74563</v>
      </c>
      <c r="E23712">
        <v>57.97</v>
      </c>
    </row>
    <row r="23713" spans="1:5" x14ac:dyDescent="0.2">
      <c r="A23713">
        <v>74565</v>
      </c>
      <c r="B23713" t="s">
        <v>42</v>
      </c>
      <c r="C23713">
        <v>74565</v>
      </c>
      <c r="D23713" t="str">
        <f>"74565"</f>
        <v>74565</v>
      </c>
      <c r="E23713" t="s">
        <v>6</v>
      </c>
    </row>
    <row r="23714" spans="1:5" x14ac:dyDescent="0.2">
      <c r="A23714">
        <v>74567</v>
      </c>
      <c r="B23714" t="s">
        <v>42</v>
      </c>
      <c r="C23714">
        <v>74567</v>
      </c>
      <c r="D23714" t="str">
        <f>"74567"</f>
        <v>74567</v>
      </c>
      <c r="E23714" t="s">
        <v>6</v>
      </c>
    </row>
    <row r="23715" spans="1:5" x14ac:dyDescent="0.2">
      <c r="A23715">
        <v>74569</v>
      </c>
      <c r="B23715" t="s">
        <v>42</v>
      </c>
      <c r="C23715">
        <v>74569</v>
      </c>
      <c r="D23715" t="str">
        <f>"74569"</f>
        <v>74569</v>
      </c>
      <c r="E23715">
        <v>60.71</v>
      </c>
    </row>
    <row r="23716" spans="1:5" x14ac:dyDescent="0.2">
      <c r="A23716">
        <v>74570</v>
      </c>
      <c r="B23716" t="s">
        <v>42</v>
      </c>
      <c r="C23716">
        <v>74570</v>
      </c>
      <c r="D23716" t="str">
        <f>"74570"</f>
        <v>74570</v>
      </c>
      <c r="E23716">
        <v>65.959999999999994</v>
      </c>
    </row>
    <row r="23717" spans="1:5" x14ac:dyDescent="0.2">
      <c r="A23717">
        <v>74571</v>
      </c>
      <c r="B23717" t="s">
        <v>42</v>
      </c>
      <c r="C23717">
        <v>74571</v>
      </c>
      <c r="D23717" t="str">
        <f>"74571"</f>
        <v>74571</v>
      </c>
      <c r="E23717">
        <v>59.69</v>
      </c>
    </row>
    <row r="23718" spans="1:5" x14ac:dyDescent="0.2">
      <c r="A23718">
        <v>74572</v>
      </c>
      <c r="B23718" t="s">
        <v>42</v>
      </c>
      <c r="C23718">
        <v>74572</v>
      </c>
      <c r="D23718" t="str">
        <f>"74572"</f>
        <v>74572</v>
      </c>
      <c r="E23718">
        <v>57.14</v>
      </c>
    </row>
    <row r="23719" spans="1:5" x14ac:dyDescent="0.2">
      <c r="A23719">
        <v>74574</v>
      </c>
      <c r="B23719" t="s">
        <v>42</v>
      </c>
      <c r="C23719">
        <v>74574</v>
      </c>
      <c r="D23719" t="str">
        <f>"74574"</f>
        <v>74574</v>
      </c>
      <c r="E23719">
        <v>56.76</v>
      </c>
    </row>
    <row r="23720" spans="1:5" x14ac:dyDescent="0.2">
      <c r="A23720">
        <v>74576</v>
      </c>
      <c r="B23720" t="s">
        <v>42</v>
      </c>
      <c r="C23720">
        <v>74576</v>
      </c>
      <c r="D23720" t="str">
        <f>"74576"</f>
        <v>74576</v>
      </c>
      <c r="E23720" t="s">
        <v>6</v>
      </c>
    </row>
    <row r="23721" spans="1:5" x14ac:dyDescent="0.2">
      <c r="A23721">
        <v>74577</v>
      </c>
      <c r="B23721" t="s">
        <v>42</v>
      </c>
      <c r="C23721">
        <v>74577</v>
      </c>
      <c r="D23721" t="str">
        <f>"74577"</f>
        <v>74577</v>
      </c>
      <c r="E23721" t="s">
        <v>6</v>
      </c>
    </row>
    <row r="23722" spans="1:5" x14ac:dyDescent="0.2">
      <c r="A23722">
        <v>74578</v>
      </c>
      <c r="B23722" t="s">
        <v>42</v>
      </c>
      <c r="C23722">
        <v>74578</v>
      </c>
      <c r="D23722" t="str">
        <f>"74578"</f>
        <v>74578</v>
      </c>
      <c r="E23722">
        <v>60.95</v>
      </c>
    </row>
    <row r="23723" spans="1:5" x14ac:dyDescent="0.2">
      <c r="A23723">
        <v>74601</v>
      </c>
      <c r="B23723" t="s">
        <v>42</v>
      </c>
      <c r="C23723">
        <v>74601</v>
      </c>
      <c r="D23723" t="str">
        <f>"74601"</f>
        <v>74601</v>
      </c>
      <c r="E23723">
        <v>59.6</v>
      </c>
    </row>
    <row r="23724" spans="1:5" x14ac:dyDescent="0.2">
      <c r="A23724">
        <v>74604</v>
      </c>
      <c r="B23724" t="s">
        <v>42</v>
      </c>
      <c r="C23724">
        <v>74604</v>
      </c>
      <c r="D23724" t="str">
        <f>"74604"</f>
        <v>74604</v>
      </c>
      <c r="E23724">
        <v>75.14</v>
      </c>
    </row>
    <row r="23725" spans="1:5" x14ac:dyDescent="0.2">
      <c r="A23725">
        <v>74630</v>
      </c>
      <c r="B23725" t="s">
        <v>42</v>
      </c>
      <c r="C23725">
        <v>74630</v>
      </c>
      <c r="D23725" t="str">
        <f>"74630"</f>
        <v>74630</v>
      </c>
      <c r="E23725">
        <v>63.64</v>
      </c>
    </row>
    <row r="23726" spans="1:5" x14ac:dyDescent="0.2">
      <c r="A23726">
        <v>74631</v>
      </c>
      <c r="B23726" t="s">
        <v>42</v>
      </c>
      <c r="C23726">
        <v>74631</v>
      </c>
      <c r="D23726" t="str">
        <f>"74631"</f>
        <v>74631</v>
      </c>
      <c r="E23726">
        <v>64</v>
      </c>
    </row>
    <row r="23727" spans="1:5" x14ac:dyDescent="0.2">
      <c r="A23727">
        <v>74632</v>
      </c>
      <c r="B23727" t="s">
        <v>42</v>
      </c>
      <c r="C23727">
        <v>74632</v>
      </c>
      <c r="D23727" t="str">
        <f>"74632"</f>
        <v>74632</v>
      </c>
      <c r="E23727">
        <v>66.67</v>
      </c>
    </row>
    <row r="23728" spans="1:5" x14ac:dyDescent="0.2">
      <c r="A23728">
        <v>74633</v>
      </c>
      <c r="B23728" t="s">
        <v>42</v>
      </c>
      <c r="C23728">
        <v>74633</v>
      </c>
      <c r="D23728" t="str">
        <f>"74633"</f>
        <v>74633</v>
      </c>
      <c r="E23728">
        <v>58.82</v>
      </c>
    </row>
    <row r="23729" spans="1:5" x14ac:dyDescent="0.2">
      <c r="A23729">
        <v>74636</v>
      </c>
      <c r="B23729" t="s">
        <v>42</v>
      </c>
      <c r="C23729">
        <v>74636</v>
      </c>
      <c r="D23729" t="str">
        <f>"74636"</f>
        <v>74636</v>
      </c>
      <c r="E23729">
        <v>63.64</v>
      </c>
    </row>
    <row r="23730" spans="1:5" x14ac:dyDescent="0.2">
      <c r="A23730">
        <v>74637</v>
      </c>
      <c r="B23730" t="s">
        <v>42</v>
      </c>
      <c r="C23730">
        <v>74637</v>
      </c>
      <c r="D23730" t="str">
        <f>"74637"</f>
        <v>74637</v>
      </c>
      <c r="E23730">
        <v>63.33</v>
      </c>
    </row>
    <row r="23731" spans="1:5" x14ac:dyDescent="0.2">
      <c r="A23731">
        <v>74640</v>
      </c>
      <c r="B23731" t="s">
        <v>42</v>
      </c>
      <c r="C23731">
        <v>74640</v>
      </c>
      <c r="D23731" t="str">
        <f>"74640"</f>
        <v>74640</v>
      </c>
      <c r="E23731">
        <v>76.92</v>
      </c>
    </row>
    <row r="23732" spans="1:5" x14ac:dyDescent="0.2">
      <c r="A23732">
        <v>74641</v>
      </c>
      <c r="B23732" t="s">
        <v>42</v>
      </c>
      <c r="C23732">
        <v>74641</v>
      </c>
      <c r="D23732" t="str">
        <f>"74641"</f>
        <v>74641</v>
      </c>
      <c r="E23732">
        <v>72.41</v>
      </c>
    </row>
    <row r="23733" spans="1:5" x14ac:dyDescent="0.2">
      <c r="A23733">
        <v>74643</v>
      </c>
      <c r="B23733" t="s">
        <v>42</v>
      </c>
      <c r="C23733">
        <v>74643</v>
      </c>
      <c r="D23733" t="str">
        <f>"74643"</f>
        <v>74643</v>
      </c>
      <c r="E23733">
        <v>69.569999999999993</v>
      </c>
    </row>
    <row r="23734" spans="1:5" x14ac:dyDescent="0.2">
      <c r="A23734">
        <v>74644</v>
      </c>
      <c r="B23734" t="s">
        <v>42</v>
      </c>
      <c r="C23734">
        <v>74644</v>
      </c>
      <c r="D23734" t="str">
        <f>"74644"</f>
        <v>74644</v>
      </c>
      <c r="E23734">
        <v>58.82</v>
      </c>
    </row>
    <row r="23735" spans="1:5" x14ac:dyDescent="0.2">
      <c r="A23735">
        <v>74646</v>
      </c>
      <c r="B23735" t="s">
        <v>42</v>
      </c>
      <c r="C23735">
        <v>74646</v>
      </c>
      <c r="D23735" t="str">
        <f>"74646"</f>
        <v>74646</v>
      </c>
      <c r="E23735" t="s">
        <v>6</v>
      </c>
    </row>
    <row r="23736" spans="1:5" x14ac:dyDescent="0.2">
      <c r="A23736">
        <v>74647</v>
      </c>
      <c r="B23736" t="s">
        <v>42</v>
      </c>
      <c r="C23736">
        <v>74647</v>
      </c>
      <c r="D23736" t="str">
        <f>"74647"</f>
        <v>74647</v>
      </c>
      <c r="E23736">
        <v>67.569999999999993</v>
      </c>
    </row>
    <row r="23737" spans="1:5" x14ac:dyDescent="0.2">
      <c r="A23737">
        <v>74650</v>
      </c>
      <c r="B23737" t="s">
        <v>42</v>
      </c>
      <c r="C23737">
        <v>74650</v>
      </c>
      <c r="D23737" t="str">
        <f>"74650"</f>
        <v>74650</v>
      </c>
      <c r="E23737">
        <v>63.64</v>
      </c>
    </row>
    <row r="23738" spans="1:5" x14ac:dyDescent="0.2">
      <c r="A23738">
        <v>74651</v>
      </c>
      <c r="B23738" t="s">
        <v>42</v>
      </c>
      <c r="C23738">
        <v>74651</v>
      </c>
      <c r="D23738" t="str">
        <f>"74651"</f>
        <v>74651</v>
      </c>
      <c r="E23738">
        <v>57.69</v>
      </c>
    </row>
    <row r="23739" spans="1:5" x14ac:dyDescent="0.2">
      <c r="A23739">
        <v>74652</v>
      </c>
      <c r="B23739" t="s">
        <v>42</v>
      </c>
      <c r="C23739">
        <v>74652</v>
      </c>
      <c r="D23739" t="str">
        <f>"74652"</f>
        <v>74652</v>
      </c>
      <c r="E23739">
        <v>66.67</v>
      </c>
    </row>
    <row r="23740" spans="1:5" x14ac:dyDescent="0.2">
      <c r="A23740">
        <v>74653</v>
      </c>
      <c r="B23740" t="s">
        <v>42</v>
      </c>
      <c r="C23740">
        <v>74653</v>
      </c>
      <c r="D23740" t="str">
        <f>"74653"</f>
        <v>74653</v>
      </c>
      <c r="E23740">
        <v>67.13</v>
      </c>
    </row>
    <row r="23741" spans="1:5" x14ac:dyDescent="0.2">
      <c r="A23741">
        <v>74701</v>
      </c>
      <c r="B23741" t="s">
        <v>42</v>
      </c>
      <c r="C23741">
        <v>74701</v>
      </c>
      <c r="D23741" t="str">
        <f>"74701"</f>
        <v>74701</v>
      </c>
      <c r="E23741">
        <v>65.040000000000006</v>
      </c>
    </row>
    <row r="23742" spans="1:5" x14ac:dyDescent="0.2">
      <c r="A23742">
        <v>74720</v>
      </c>
      <c r="B23742" t="s">
        <v>42</v>
      </c>
      <c r="C23742">
        <v>74720</v>
      </c>
      <c r="D23742" t="str">
        <f>"74720"</f>
        <v>74720</v>
      </c>
      <c r="E23742" t="s">
        <v>6</v>
      </c>
    </row>
    <row r="23743" spans="1:5" x14ac:dyDescent="0.2">
      <c r="A23743">
        <v>74722</v>
      </c>
      <c r="B23743" t="s">
        <v>42</v>
      </c>
      <c r="C23743">
        <v>74722</v>
      </c>
      <c r="D23743" t="str">
        <f>"74722"</f>
        <v>74722</v>
      </c>
      <c r="E23743" t="s">
        <v>6</v>
      </c>
    </row>
    <row r="23744" spans="1:5" x14ac:dyDescent="0.2">
      <c r="A23744">
        <v>74723</v>
      </c>
      <c r="B23744" t="s">
        <v>42</v>
      </c>
      <c r="C23744">
        <v>74723</v>
      </c>
      <c r="D23744" t="str">
        <f>"74723"</f>
        <v>74723</v>
      </c>
      <c r="E23744">
        <v>57.69</v>
      </c>
    </row>
    <row r="23745" spans="1:5" x14ac:dyDescent="0.2">
      <c r="A23745">
        <v>74726</v>
      </c>
      <c r="B23745" t="s">
        <v>42</v>
      </c>
      <c r="C23745">
        <v>74726</v>
      </c>
      <c r="D23745" t="str">
        <f>"74726"</f>
        <v>74726</v>
      </c>
      <c r="E23745">
        <v>61.63</v>
      </c>
    </row>
    <row r="23746" spans="1:5" x14ac:dyDescent="0.2">
      <c r="A23746">
        <v>74727</v>
      </c>
      <c r="B23746" t="s">
        <v>42</v>
      </c>
      <c r="C23746">
        <v>74727</v>
      </c>
      <c r="D23746" t="str">
        <f>"74727"</f>
        <v>74727</v>
      </c>
      <c r="E23746">
        <v>56</v>
      </c>
    </row>
    <row r="23747" spans="1:5" x14ac:dyDescent="0.2">
      <c r="A23747">
        <v>74728</v>
      </c>
      <c r="B23747" t="s">
        <v>42</v>
      </c>
      <c r="C23747">
        <v>74728</v>
      </c>
      <c r="D23747" t="str">
        <f>"74728"</f>
        <v>74728</v>
      </c>
      <c r="E23747">
        <v>58.18</v>
      </c>
    </row>
    <row r="23748" spans="1:5" x14ac:dyDescent="0.2">
      <c r="A23748">
        <v>74729</v>
      </c>
      <c r="B23748" t="s">
        <v>42</v>
      </c>
      <c r="C23748">
        <v>74729</v>
      </c>
      <c r="D23748" t="str">
        <f>"74729"</f>
        <v>74729</v>
      </c>
      <c r="E23748">
        <v>62.16</v>
      </c>
    </row>
    <row r="23749" spans="1:5" x14ac:dyDescent="0.2">
      <c r="A23749">
        <v>74730</v>
      </c>
      <c r="B23749" t="s">
        <v>42</v>
      </c>
      <c r="C23749">
        <v>74730</v>
      </c>
      <c r="D23749" t="str">
        <f>"74730"</f>
        <v>74730</v>
      </c>
      <c r="E23749">
        <v>67.5</v>
      </c>
    </row>
    <row r="23750" spans="1:5" x14ac:dyDescent="0.2">
      <c r="A23750">
        <v>74731</v>
      </c>
      <c r="B23750" t="s">
        <v>42</v>
      </c>
      <c r="C23750">
        <v>74731</v>
      </c>
      <c r="D23750" t="str">
        <f>"74731"</f>
        <v>74731</v>
      </c>
      <c r="E23750">
        <v>58.33</v>
      </c>
    </row>
    <row r="23751" spans="1:5" x14ac:dyDescent="0.2">
      <c r="A23751">
        <v>74733</v>
      </c>
      <c r="B23751" t="s">
        <v>42</v>
      </c>
      <c r="C23751">
        <v>74733</v>
      </c>
      <c r="D23751" t="str">
        <f>"74733"</f>
        <v>74733</v>
      </c>
      <c r="E23751">
        <v>67.260000000000005</v>
      </c>
    </row>
    <row r="23752" spans="1:5" x14ac:dyDescent="0.2">
      <c r="A23752">
        <v>74734</v>
      </c>
      <c r="B23752" t="s">
        <v>42</v>
      </c>
      <c r="C23752">
        <v>74734</v>
      </c>
      <c r="D23752" t="str">
        <f>"74734"</f>
        <v>74734</v>
      </c>
      <c r="E23752">
        <v>60.61</v>
      </c>
    </row>
    <row r="23753" spans="1:5" x14ac:dyDescent="0.2">
      <c r="A23753">
        <v>74735</v>
      </c>
      <c r="B23753" t="s">
        <v>42</v>
      </c>
      <c r="C23753">
        <v>74735</v>
      </c>
      <c r="D23753" t="str">
        <f>"74735"</f>
        <v>74735</v>
      </c>
      <c r="E23753">
        <v>62.71</v>
      </c>
    </row>
    <row r="23754" spans="1:5" x14ac:dyDescent="0.2">
      <c r="A23754">
        <v>74736</v>
      </c>
      <c r="B23754" t="s">
        <v>42</v>
      </c>
      <c r="C23754">
        <v>74736</v>
      </c>
      <c r="D23754" t="str">
        <f>"74736"</f>
        <v>74736</v>
      </c>
      <c r="E23754">
        <v>60</v>
      </c>
    </row>
    <row r="23755" spans="1:5" x14ac:dyDescent="0.2">
      <c r="A23755">
        <v>74738</v>
      </c>
      <c r="B23755" t="s">
        <v>42</v>
      </c>
      <c r="C23755">
        <v>74738</v>
      </c>
      <c r="D23755" t="str">
        <f>"74738"</f>
        <v>74738</v>
      </c>
      <c r="E23755">
        <v>52.63</v>
      </c>
    </row>
    <row r="23756" spans="1:5" x14ac:dyDescent="0.2">
      <c r="A23756">
        <v>74740</v>
      </c>
      <c r="B23756" t="s">
        <v>42</v>
      </c>
      <c r="C23756">
        <v>74740</v>
      </c>
      <c r="D23756" t="str">
        <f>"74740"</f>
        <v>74740</v>
      </c>
      <c r="E23756">
        <v>57.14</v>
      </c>
    </row>
    <row r="23757" spans="1:5" x14ac:dyDescent="0.2">
      <c r="A23757">
        <v>74741</v>
      </c>
      <c r="B23757" t="s">
        <v>42</v>
      </c>
      <c r="C23757">
        <v>74741</v>
      </c>
      <c r="D23757" t="str">
        <f>"74741"</f>
        <v>74741</v>
      </c>
      <c r="E23757">
        <v>65</v>
      </c>
    </row>
    <row r="23758" spans="1:5" x14ac:dyDescent="0.2">
      <c r="A23758">
        <v>74743</v>
      </c>
      <c r="B23758" t="s">
        <v>42</v>
      </c>
      <c r="C23758">
        <v>74743</v>
      </c>
      <c r="D23758" t="str">
        <f>"74743"</f>
        <v>74743</v>
      </c>
      <c r="E23758">
        <v>58.1</v>
      </c>
    </row>
    <row r="23759" spans="1:5" x14ac:dyDescent="0.2">
      <c r="A23759">
        <v>74745</v>
      </c>
      <c r="B23759" t="s">
        <v>42</v>
      </c>
      <c r="C23759">
        <v>74745</v>
      </c>
      <c r="D23759" t="str">
        <f>"74745"</f>
        <v>74745</v>
      </c>
      <c r="E23759">
        <v>56.79</v>
      </c>
    </row>
    <row r="23760" spans="1:5" x14ac:dyDescent="0.2">
      <c r="A23760">
        <v>74748</v>
      </c>
      <c r="B23760" t="s">
        <v>42</v>
      </c>
      <c r="C23760">
        <v>74748</v>
      </c>
      <c r="D23760" t="str">
        <f>"74748"</f>
        <v>74748</v>
      </c>
      <c r="E23760">
        <v>64</v>
      </c>
    </row>
    <row r="23761" spans="1:5" x14ac:dyDescent="0.2">
      <c r="A23761">
        <v>74750</v>
      </c>
      <c r="B23761" t="s">
        <v>42</v>
      </c>
      <c r="C23761">
        <v>74750</v>
      </c>
      <c r="D23761" t="str">
        <f>"74750"</f>
        <v>74750</v>
      </c>
      <c r="E23761" t="s">
        <v>6</v>
      </c>
    </row>
    <row r="23762" spans="1:5" x14ac:dyDescent="0.2">
      <c r="A23762">
        <v>74754</v>
      </c>
      <c r="B23762" t="s">
        <v>42</v>
      </c>
      <c r="C23762">
        <v>74754</v>
      </c>
      <c r="D23762" t="str">
        <f>"74754"</f>
        <v>74754</v>
      </c>
      <c r="E23762">
        <v>54.55</v>
      </c>
    </row>
    <row r="23763" spans="1:5" x14ac:dyDescent="0.2">
      <c r="A23763">
        <v>74755</v>
      </c>
      <c r="B23763" t="s">
        <v>42</v>
      </c>
      <c r="C23763">
        <v>74755</v>
      </c>
      <c r="D23763" t="str">
        <f>"74755"</f>
        <v>74755</v>
      </c>
      <c r="E23763" t="s">
        <v>6</v>
      </c>
    </row>
    <row r="23764" spans="1:5" x14ac:dyDescent="0.2">
      <c r="A23764">
        <v>74756</v>
      </c>
      <c r="B23764" t="s">
        <v>42</v>
      </c>
      <c r="C23764">
        <v>74756</v>
      </c>
      <c r="D23764" t="str">
        <f>"74756"</f>
        <v>74756</v>
      </c>
      <c r="E23764">
        <v>65.38</v>
      </c>
    </row>
    <row r="23765" spans="1:5" x14ac:dyDescent="0.2">
      <c r="A23765">
        <v>74759</v>
      </c>
      <c r="B23765" t="s">
        <v>42</v>
      </c>
      <c r="C23765">
        <v>74759</v>
      </c>
      <c r="D23765" t="str">
        <f>"74759"</f>
        <v>74759</v>
      </c>
      <c r="E23765">
        <v>63.04</v>
      </c>
    </row>
    <row r="23766" spans="1:5" x14ac:dyDescent="0.2">
      <c r="A23766">
        <v>74760</v>
      </c>
      <c r="B23766" t="s">
        <v>42</v>
      </c>
      <c r="C23766">
        <v>74760</v>
      </c>
      <c r="D23766" t="str">
        <f>"74760"</f>
        <v>74760</v>
      </c>
      <c r="E23766" t="s">
        <v>6</v>
      </c>
    </row>
    <row r="23767" spans="1:5" x14ac:dyDescent="0.2">
      <c r="A23767">
        <v>74761</v>
      </c>
      <c r="B23767" t="s">
        <v>42</v>
      </c>
      <c r="C23767">
        <v>74761</v>
      </c>
      <c r="D23767" t="str">
        <f>"74761"</f>
        <v>74761</v>
      </c>
      <c r="E23767" t="s">
        <v>6</v>
      </c>
    </row>
    <row r="23768" spans="1:5" x14ac:dyDescent="0.2">
      <c r="A23768">
        <v>74764</v>
      </c>
      <c r="B23768" t="s">
        <v>42</v>
      </c>
      <c r="C23768">
        <v>74764</v>
      </c>
      <c r="D23768" t="str">
        <f>"74764"</f>
        <v>74764</v>
      </c>
      <c r="E23768">
        <v>63.2</v>
      </c>
    </row>
    <row r="23769" spans="1:5" x14ac:dyDescent="0.2">
      <c r="A23769">
        <v>74766</v>
      </c>
      <c r="B23769" t="s">
        <v>42</v>
      </c>
      <c r="C23769">
        <v>74766</v>
      </c>
      <c r="D23769" t="str">
        <f>"74766"</f>
        <v>74766</v>
      </c>
      <c r="E23769">
        <v>61.11</v>
      </c>
    </row>
    <row r="23770" spans="1:5" x14ac:dyDescent="0.2">
      <c r="A23770">
        <v>74801</v>
      </c>
      <c r="B23770" t="s">
        <v>42</v>
      </c>
      <c r="C23770">
        <v>74801</v>
      </c>
      <c r="D23770" t="str">
        <f>"74801"</f>
        <v>74801</v>
      </c>
      <c r="E23770">
        <v>61.65</v>
      </c>
    </row>
    <row r="23771" spans="1:5" x14ac:dyDescent="0.2">
      <c r="A23771">
        <v>74804</v>
      </c>
      <c r="B23771" t="s">
        <v>42</v>
      </c>
      <c r="C23771">
        <v>74804</v>
      </c>
      <c r="D23771" t="str">
        <f>"74804"</f>
        <v>74804</v>
      </c>
      <c r="E23771">
        <v>71.28</v>
      </c>
    </row>
    <row r="23772" spans="1:5" x14ac:dyDescent="0.2">
      <c r="A23772">
        <v>74820</v>
      </c>
      <c r="B23772" t="s">
        <v>42</v>
      </c>
      <c r="C23772">
        <v>74820</v>
      </c>
      <c r="D23772" t="str">
        <f>"74820"</f>
        <v>74820</v>
      </c>
      <c r="E23772">
        <v>66.400000000000006</v>
      </c>
    </row>
    <row r="23773" spans="1:5" x14ac:dyDescent="0.2">
      <c r="A23773">
        <v>74824</v>
      </c>
      <c r="B23773" t="s">
        <v>42</v>
      </c>
      <c r="C23773">
        <v>74824</v>
      </c>
      <c r="D23773" t="str">
        <f>"74824"</f>
        <v>74824</v>
      </c>
      <c r="E23773">
        <v>60.78</v>
      </c>
    </row>
    <row r="23774" spans="1:5" x14ac:dyDescent="0.2">
      <c r="A23774">
        <v>74825</v>
      </c>
      <c r="B23774" t="s">
        <v>42</v>
      </c>
      <c r="C23774">
        <v>74825</v>
      </c>
      <c r="D23774" t="str">
        <f>"74825"</f>
        <v>74825</v>
      </c>
      <c r="E23774">
        <v>62.03</v>
      </c>
    </row>
    <row r="23775" spans="1:5" x14ac:dyDescent="0.2">
      <c r="A23775">
        <v>74826</v>
      </c>
      <c r="B23775" t="s">
        <v>42</v>
      </c>
      <c r="C23775">
        <v>74826</v>
      </c>
      <c r="D23775" t="str">
        <f>"74826"</f>
        <v>74826</v>
      </c>
      <c r="E23775">
        <v>65.91</v>
      </c>
    </row>
    <row r="23776" spans="1:5" x14ac:dyDescent="0.2">
      <c r="A23776">
        <v>74827</v>
      </c>
      <c r="B23776" t="s">
        <v>42</v>
      </c>
      <c r="C23776">
        <v>74827</v>
      </c>
      <c r="D23776" t="str">
        <f>"74827"</f>
        <v>74827</v>
      </c>
      <c r="E23776">
        <v>66.67</v>
      </c>
    </row>
    <row r="23777" spans="1:5" x14ac:dyDescent="0.2">
      <c r="A23777">
        <v>74829</v>
      </c>
      <c r="B23777" t="s">
        <v>42</v>
      </c>
      <c r="C23777">
        <v>74829</v>
      </c>
      <c r="D23777" t="str">
        <f>"74829"</f>
        <v>74829</v>
      </c>
      <c r="E23777">
        <v>47.62</v>
      </c>
    </row>
    <row r="23778" spans="1:5" x14ac:dyDescent="0.2">
      <c r="A23778">
        <v>74830</v>
      </c>
      <c r="B23778" t="s">
        <v>42</v>
      </c>
      <c r="C23778">
        <v>74830</v>
      </c>
      <c r="D23778" t="str">
        <f>"74830"</f>
        <v>74830</v>
      </c>
      <c r="E23778" t="s">
        <v>6</v>
      </c>
    </row>
    <row r="23779" spans="1:5" x14ac:dyDescent="0.2">
      <c r="A23779">
        <v>74831</v>
      </c>
      <c r="B23779" t="s">
        <v>42</v>
      </c>
      <c r="C23779">
        <v>74831</v>
      </c>
      <c r="D23779" t="str">
        <f>"74831"</f>
        <v>74831</v>
      </c>
      <c r="E23779">
        <v>62.5</v>
      </c>
    </row>
    <row r="23780" spans="1:5" x14ac:dyDescent="0.2">
      <c r="A23780">
        <v>74832</v>
      </c>
      <c r="B23780" t="s">
        <v>42</v>
      </c>
      <c r="C23780">
        <v>74832</v>
      </c>
      <c r="D23780" t="str">
        <f>"74832"</f>
        <v>74832</v>
      </c>
      <c r="E23780">
        <v>68.42</v>
      </c>
    </row>
    <row r="23781" spans="1:5" x14ac:dyDescent="0.2">
      <c r="A23781">
        <v>74833</v>
      </c>
      <c r="B23781" t="s">
        <v>42</v>
      </c>
      <c r="C23781">
        <v>74833</v>
      </c>
      <c r="D23781" t="str">
        <f>"74833"</f>
        <v>74833</v>
      </c>
      <c r="E23781">
        <v>53.85</v>
      </c>
    </row>
    <row r="23782" spans="1:5" x14ac:dyDescent="0.2">
      <c r="A23782">
        <v>74834</v>
      </c>
      <c r="B23782" t="s">
        <v>42</v>
      </c>
      <c r="C23782">
        <v>74834</v>
      </c>
      <c r="D23782" t="str">
        <f>"74834"</f>
        <v>74834</v>
      </c>
      <c r="E23782">
        <v>67.569999999999993</v>
      </c>
    </row>
    <row r="23783" spans="1:5" x14ac:dyDescent="0.2">
      <c r="A23783">
        <v>74836</v>
      </c>
      <c r="B23783" t="s">
        <v>42</v>
      </c>
      <c r="C23783">
        <v>74836</v>
      </c>
      <c r="D23783" t="str">
        <f>"74836"</f>
        <v>74836</v>
      </c>
      <c r="E23783" t="s">
        <v>6</v>
      </c>
    </row>
    <row r="23784" spans="1:5" x14ac:dyDescent="0.2">
      <c r="A23784">
        <v>74837</v>
      </c>
      <c r="B23784" t="s">
        <v>42</v>
      </c>
      <c r="C23784">
        <v>74837</v>
      </c>
      <c r="D23784" t="str">
        <f>"74837"</f>
        <v>74837</v>
      </c>
      <c r="E23784" t="s">
        <v>6</v>
      </c>
    </row>
    <row r="23785" spans="1:5" x14ac:dyDescent="0.2">
      <c r="A23785">
        <v>74839</v>
      </c>
      <c r="B23785" t="s">
        <v>42</v>
      </c>
      <c r="C23785">
        <v>74839</v>
      </c>
      <c r="D23785" t="str">
        <f>"74839"</f>
        <v>74839</v>
      </c>
      <c r="E23785">
        <v>52</v>
      </c>
    </row>
    <row r="23786" spans="1:5" x14ac:dyDescent="0.2">
      <c r="A23786">
        <v>74840</v>
      </c>
      <c r="B23786" t="s">
        <v>42</v>
      </c>
      <c r="C23786">
        <v>74840</v>
      </c>
      <c r="D23786" t="str">
        <f>"74840"</f>
        <v>74840</v>
      </c>
      <c r="E23786">
        <v>60.49</v>
      </c>
    </row>
    <row r="23787" spans="1:5" x14ac:dyDescent="0.2">
      <c r="A23787">
        <v>74842</v>
      </c>
      <c r="B23787" t="s">
        <v>42</v>
      </c>
      <c r="C23787">
        <v>74842</v>
      </c>
      <c r="D23787" t="str">
        <f>"74842"</f>
        <v>74842</v>
      </c>
      <c r="E23787" t="s">
        <v>6</v>
      </c>
    </row>
    <row r="23788" spans="1:5" x14ac:dyDescent="0.2">
      <c r="A23788">
        <v>74843</v>
      </c>
      <c r="B23788" t="s">
        <v>42</v>
      </c>
      <c r="C23788">
        <v>74843</v>
      </c>
      <c r="D23788" t="str">
        <f>"74843"</f>
        <v>74843</v>
      </c>
      <c r="E23788">
        <v>72.73</v>
      </c>
    </row>
    <row r="23789" spans="1:5" x14ac:dyDescent="0.2">
      <c r="A23789">
        <v>74844</v>
      </c>
      <c r="B23789" t="s">
        <v>42</v>
      </c>
      <c r="C23789">
        <v>74844</v>
      </c>
      <c r="D23789" t="str">
        <f>"74844"</f>
        <v>74844</v>
      </c>
      <c r="E23789" t="s">
        <v>6</v>
      </c>
    </row>
    <row r="23790" spans="1:5" x14ac:dyDescent="0.2">
      <c r="A23790">
        <v>74845</v>
      </c>
      <c r="B23790" t="s">
        <v>42</v>
      </c>
      <c r="C23790">
        <v>74845</v>
      </c>
      <c r="D23790" t="str">
        <f>"74845"</f>
        <v>74845</v>
      </c>
      <c r="E23790">
        <v>58.82</v>
      </c>
    </row>
    <row r="23791" spans="1:5" x14ac:dyDescent="0.2">
      <c r="A23791">
        <v>74848</v>
      </c>
      <c r="B23791" t="s">
        <v>42</v>
      </c>
      <c r="C23791">
        <v>74848</v>
      </c>
      <c r="D23791" t="str">
        <f>"74848"</f>
        <v>74848</v>
      </c>
      <c r="E23791">
        <v>59.26</v>
      </c>
    </row>
    <row r="23792" spans="1:5" x14ac:dyDescent="0.2">
      <c r="A23792">
        <v>74849</v>
      </c>
      <c r="B23792" t="s">
        <v>42</v>
      </c>
      <c r="C23792">
        <v>74849</v>
      </c>
      <c r="D23792" t="str">
        <f>"74849"</f>
        <v>74849</v>
      </c>
      <c r="E23792">
        <v>60.34</v>
      </c>
    </row>
    <row r="23793" spans="1:5" x14ac:dyDescent="0.2">
      <c r="A23793">
        <v>74850</v>
      </c>
      <c r="B23793" t="s">
        <v>42</v>
      </c>
      <c r="C23793">
        <v>74850</v>
      </c>
      <c r="D23793" t="str">
        <f>"74850"</f>
        <v>74850</v>
      </c>
      <c r="E23793" t="s">
        <v>6</v>
      </c>
    </row>
    <row r="23794" spans="1:5" x14ac:dyDescent="0.2">
      <c r="A23794">
        <v>74851</v>
      </c>
      <c r="B23794" t="s">
        <v>42</v>
      </c>
      <c r="C23794">
        <v>74851</v>
      </c>
      <c r="D23794" t="str">
        <f>"74851"</f>
        <v>74851</v>
      </c>
      <c r="E23794">
        <v>69.89</v>
      </c>
    </row>
    <row r="23795" spans="1:5" x14ac:dyDescent="0.2">
      <c r="A23795">
        <v>74852</v>
      </c>
      <c r="B23795" t="s">
        <v>42</v>
      </c>
      <c r="C23795">
        <v>74852</v>
      </c>
      <c r="D23795" t="str">
        <f>"74852"</f>
        <v>74852</v>
      </c>
      <c r="E23795">
        <v>65</v>
      </c>
    </row>
    <row r="23796" spans="1:5" x14ac:dyDescent="0.2">
      <c r="A23796">
        <v>74854</v>
      </c>
      <c r="B23796" t="s">
        <v>42</v>
      </c>
      <c r="C23796">
        <v>74854</v>
      </c>
      <c r="D23796" t="str">
        <f>"74854"</f>
        <v>74854</v>
      </c>
      <c r="E23796">
        <v>65.150000000000006</v>
      </c>
    </row>
    <row r="23797" spans="1:5" x14ac:dyDescent="0.2">
      <c r="A23797">
        <v>74855</v>
      </c>
      <c r="B23797" t="s">
        <v>42</v>
      </c>
      <c r="C23797">
        <v>74855</v>
      </c>
      <c r="D23797" t="str">
        <f>"74855"</f>
        <v>74855</v>
      </c>
      <c r="E23797">
        <v>68.28</v>
      </c>
    </row>
    <row r="23798" spans="1:5" x14ac:dyDescent="0.2">
      <c r="A23798">
        <v>74856</v>
      </c>
      <c r="B23798" t="s">
        <v>42</v>
      </c>
      <c r="C23798">
        <v>74856</v>
      </c>
      <c r="D23798" t="str">
        <f>"74856"</f>
        <v>74856</v>
      </c>
      <c r="E23798">
        <v>70.59</v>
      </c>
    </row>
    <row r="23799" spans="1:5" x14ac:dyDescent="0.2">
      <c r="A23799">
        <v>74857</v>
      </c>
      <c r="B23799" t="s">
        <v>42</v>
      </c>
      <c r="C23799">
        <v>74857</v>
      </c>
      <c r="D23799" t="str">
        <f>"74857"</f>
        <v>74857</v>
      </c>
      <c r="E23799">
        <v>75.489999999999995</v>
      </c>
    </row>
    <row r="23800" spans="1:5" x14ac:dyDescent="0.2">
      <c r="A23800">
        <v>74859</v>
      </c>
      <c r="B23800" t="s">
        <v>42</v>
      </c>
      <c r="C23800">
        <v>74859</v>
      </c>
      <c r="D23800" t="str">
        <f>"74859"</f>
        <v>74859</v>
      </c>
      <c r="E23800">
        <v>57.33</v>
      </c>
    </row>
    <row r="23801" spans="1:5" x14ac:dyDescent="0.2">
      <c r="A23801">
        <v>74860</v>
      </c>
      <c r="B23801" t="s">
        <v>42</v>
      </c>
      <c r="C23801">
        <v>74860</v>
      </c>
      <c r="D23801" t="str">
        <f>"74860"</f>
        <v>74860</v>
      </c>
      <c r="E23801">
        <v>67.739999999999995</v>
      </c>
    </row>
    <row r="23802" spans="1:5" x14ac:dyDescent="0.2">
      <c r="A23802">
        <v>74864</v>
      </c>
      <c r="B23802" t="s">
        <v>42</v>
      </c>
      <c r="C23802">
        <v>74864</v>
      </c>
      <c r="D23802" t="str">
        <f>"74864"</f>
        <v>74864</v>
      </c>
      <c r="E23802">
        <v>66.83</v>
      </c>
    </row>
    <row r="23803" spans="1:5" x14ac:dyDescent="0.2">
      <c r="A23803">
        <v>74865</v>
      </c>
      <c r="B23803" t="s">
        <v>42</v>
      </c>
      <c r="C23803">
        <v>74865</v>
      </c>
      <c r="D23803" t="str">
        <f>"74865"</f>
        <v>74865</v>
      </c>
      <c r="E23803">
        <v>68.25</v>
      </c>
    </row>
    <row r="23804" spans="1:5" x14ac:dyDescent="0.2">
      <c r="A23804">
        <v>74867</v>
      </c>
      <c r="B23804" t="s">
        <v>42</v>
      </c>
      <c r="C23804">
        <v>74867</v>
      </c>
      <c r="D23804" t="str">
        <f>"74867"</f>
        <v>74867</v>
      </c>
      <c r="E23804">
        <v>61.29</v>
      </c>
    </row>
    <row r="23805" spans="1:5" x14ac:dyDescent="0.2">
      <c r="A23805">
        <v>74868</v>
      </c>
      <c r="B23805" t="s">
        <v>42</v>
      </c>
      <c r="C23805">
        <v>74868</v>
      </c>
      <c r="D23805" t="str">
        <f>"74868"</f>
        <v>74868</v>
      </c>
      <c r="E23805">
        <v>60.09</v>
      </c>
    </row>
    <row r="23806" spans="1:5" x14ac:dyDescent="0.2">
      <c r="A23806">
        <v>74869</v>
      </c>
      <c r="B23806" t="s">
        <v>42</v>
      </c>
      <c r="C23806">
        <v>74869</v>
      </c>
      <c r="D23806" t="str">
        <f>"74869"</f>
        <v>74869</v>
      </c>
      <c r="E23806">
        <v>70.37</v>
      </c>
    </row>
    <row r="23807" spans="1:5" x14ac:dyDescent="0.2">
      <c r="A23807">
        <v>74871</v>
      </c>
      <c r="B23807" t="s">
        <v>42</v>
      </c>
      <c r="C23807">
        <v>74871</v>
      </c>
      <c r="D23807" t="str">
        <f>"74871"</f>
        <v>74871</v>
      </c>
      <c r="E23807">
        <v>65.959999999999994</v>
      </c>
    </row>
    <row r="23808" spans="1:5" x14ac:dyDescent="0.2">
      <c r="A23808">
        <v>74872</v>
      </c>
      <c r="B23808" t="s">
        <v>42</v>
      </c>
      <c r="C23808">
        <v>74872</v>
      </c>
      <c r="D23808" t="str">
        <f>"74872"</f>
        <v>74872</v>
      </c>
      <c r="E23808">
        <v>64.290000000000006</v>
      </c>
    </row>
    <row r="23809" spans="1:5" x14ac:dyDescent="0.2">
      <c r="A23809">
        <v>74873</v>
      </c>
      <c r="B23809" t="s">
        <v>42</v>
      </c>
      <c r="C23809">
        <v>74873</v>
      </c>
      <c r="D23809" t="str">
        <f>"74873"</f>
        <v>74873</v>
      </c>
      <c r="E23809">
        <v>66.239999999999995</v>
      </c>
    </row>
    <row r="23810" spans="1:5" x14ac:dyDescent="0.2">
      <c r="A23810">
        <v>74875</v>
      </c>
      <c r="B23810" t="s">
        <v>42</v>
      </c>
      <c r="C23810">
        <v>74875</v>
      </c>
      <c r="D23810" t="str">
        <f>"74875"</f>
        <v>74875</v>
      </c>
      <c r="E23810">
        <v>65.91</v>
      </c>
    </row>
    <row r="23811" spans="1:5" x14ac:dyDescent="0.2">
      <c r="A23811">
        <v>74878</v>
      </c>
      <c r="B23811" t="s">
        <v>42</v>
      </c>
      <c r="C23811">
        <v>74878</v>
      </c>
      <c r="D23811" t="str">
        <f>"74878"</f>
        <v>74878</v>
      </c>
      <c r="E23811">
        <v>65</v>
      </c>
    </row>
    <row r="23812" spans="1:5" x14ac:dyDescent="0.2">
      <c r="A23812">
        <v>74880</v>
      </c>
      <c r="B23812" t="s">
        <v>42</v>
      </c>
      <c r="C23812">
        <v>74880</v>
      </c>
      <c r="D23812" t="str">
        <f>"74880"</f>
        <v>74880</v>
      </c>
      <c r="E23812">
        <v>65.150000000000006</v>
      </c>
    </row>
    <row r="23813" spans="1:5" x14ac:dyDescent="0.2">
      <c r="A23813">
        <v>74881</v>
      </c>
      <c r="B23813" t="s">
        <v>42</v>
      </c>
      <c r="C23813">
        <v>74881</v>
      </c>
      <c r="D23813" t="str">
        <f>"74881"</f>
        <v>74881</v>
      </c>
      <c r="E23813">
        <v>65.760000000000005</v>
      </c>
    </row>
    <row r="23814" spans="1:5" x14ac:dyDescent="0.2">
      <c r="A23814">
        <v>74883</v>
      </c>
      <c r="B23814" t="s">
        <v>42</v>
      </c>
      <c r="C23814">
        <v>74883</v>
      </c>
      <c r="D23814" t="str">
        <f>"74883"</f>
        <v>74883</v>
      </c>
      <c r="E23814">
        <v>64.44</v>
      </c>
    </row>
    <row r="23815" spans="1:5" x14ac:dyDescent="0.2">
      <c r="A23815">
        <v>74884</v>
      </c>
      <c r="B23815" t="s">
        <v>42</v>
      </c>
      <c r="C23815">
        <v>74884</v>
      </c>
      <c r="D23815" t="str">
        <f>"74884"</f>
        <v>74884</v>
      </c>
      <c r="E23815">
        <v>58.55</v>
      </c>
    </row>
    <row r="23816" spans="1:5" x14ac:dyDescent="0.2">
      <c r="A23816">
        <v>74901</v>
      </c>
      <c r="B23816" t="s">
        <v>42</v>
      </c>
      <c r="C23816">
        <v>74901</v>
      </c>
      <c r="D23816" t="str">
        <f>"74901"</f>
        <v>74901</v>
      </c>
      <c r="E23816">
        <v>55</v>
      </c>
    </row>
    <row r="23817" spans="1:5" x14ac:dyDescent="0.2">
      <c r="A23817">
        <v>74902</v>
      </c>
      <c r="B23817" t="s">
        <v>42</v>
      </c>
      <c r="C23817">
        <v>74902</v>
      </c>
      <c r="D23817" t="str">
        <f>"74902"</f>
        <v>74902</v>
      </c>
      <c r="E23817">
        <v>65.319999999999993</v>
      </c>
    </row>
    <row r="23818" spans="1:5" x14ac:dyDescent="0.2">
      <c r="A23818">
        <v>74930</v>
      </c>
      <c r="B23818" t="s">
        <v>42</v>
      </c>
      <c r="C23818">
        <v>74930</v>
      </c>
      <c r="D23818" t="str">
        <f>"74930"</f>
        <v>74930</v>
      </c>
      <c r="E23818">
        <v>57.75</v>
      </c>
    </row>
    <row r="23819" spans="1:5" x14ac:dyDescent="0.2">
      <c r="A23819">
        <v>74931</v>
      </c>
      <c r="B23819" t="s">
        <v>42</v>
      </c>
      <c r="C23819">
        <v>74931</v>
      </c>
      <c r="D23819" t="str">
        <f>"74931"</f>
        <v>74931</v>
      </c>
      <c r="E23819">
        <v>48.84</v>
      </c>
    </row>
    <row r="23820" spans="1:5" x14ac:dyDescent="0.2">
      <c r="A23820">
        <v>74932</v>
      </c>
      <c r="B23820" t="s">
        <v>42</v>
      </c>
      <c r="C23820">
        <v>74932</v>
      </c>
      <c r="D23820" t="str">
        <f>"74932"</f>
        <v>74932</v>
      </c>
      <c r="E23820">
        <v>59.52</v>
      </c>
    </row>
    <row r="23821" spans="1:5" x14ac:dyDescent="0.2">
      <c r="A23821">
        <v>74935</v>
      </c>
      <c r="B23821" t="s">
        <v>42</v>
      </c>
      <c r="C23821">
        <v>74935</v>
      </c>
      <c r="D23821" t="str">
        <f>"74935"</f>
        <v>74935</v>
      </c>
      <c r="E23821" t="s">
        <v>6</v>
      </c>
    </row>
    <row r="23822" spans="1:5" x14ac:dyDescent="0.2">
      <c r="A23822">
        <v>74936</v>
      </c>
      <c r="B23822" t="s">
        <v>42</v>
      </c>
      <c r="C23822">
        <v>74936</v>
      </c>
      <c r="D23822" t="str">
        <f>"74936"</f>
        <v>74936</v>
      </c>
      <c r="E23822">
        <v>58.97</v>
      </c>
    </row>
    <row r="23823" spans="1:5" x14ac:dyDescent="0.2">
      <c r="A23823">
        <v>74937</v>
      </c>
      <c r="B23823" t="s">
        <v>42</v>
      </c>
      <c r="C23823">
        <v>74937</v>
      </c>
      <c r="D23823" t="str">
        <f>"74937"</f>
        <v>74937</v>
      </c>
      <c r="E23823">
        <v>52.41</v>
      </c>
    </row>
    <row r="23824" spans="1:5" x14ac:dyDescent="0.2">
      <c r="A23824">
        <v>74939</v>
      </c>
      <c r="B23824" t="s">
        <v>42</v>
      </c>
      <c r="C23824">
        <v>74939</v>
      </c>
      <c r="D23824" t="str">
        <f>"74939"</f>
        <v>74939</v>
      </c>
      <c r="E23824">
        <v>55</v>
      </c>
    </row>
    <row r="23825" spans="1:5" x14ac:dyDescent="0.2">
      <c r="A23825">
        <v>74940</v>
      </c>
      <c r="B23825" t="s">
        <v>42</v>
      </c>
      <c r="C23825">
        <v>74940</v>
      </c>
      <c r="D23825" t="str">
        <f>"74940"</f>
        <v>74940</v>
      </c>
      <c r="E23825">
        <v>60.67</v>
      </c>
    </row>
    <row r="23826" spans="1:5" x14ac:dyDescent="0.2">
      <c r="A23826">
        <v>74941</v>
      </c>
      <c r="B23826" t="s">
        <v>42</v>
      </c>
      <c r="C23826">
        <v>74941</v>
      </c>
      <c r="D23826" t="str">
        <f>"74941"</f>
        <v>74941</v>
      </c>
      <c r="E23826">
        <v>57.83</v>
      </c>
    </row>
    <row r="23827" spans="1:5" x14ac:dyDescent="0.2">
      <c r="A23827">
        <v>74943</v>
      </c>
      <c r="B23827" t="s">
        <v>42</v>
      </c>
      <c r="C23827">
        <v>74943</v>
      </c>
      <c r="D23827" t="str">
        <f>"74943"</f>
        <v>74943</v>
      </c>
      <c r="E23827" t="s">
        <v>6</v>
      </c>
    </row>
    <row r="23828" spans="1:5" x14ac:dyDescent="0.2">
      <c r="A23828">
        <v>74944</v>
      </c>
      <c r="B23828" t="s">
        <v>42</v>
      </c>
      <c r="C23828">
        <v>74944</v>
      </c>
      <c r="D23828" t="str">
        <f>"74944"</f>
        <v>74944</v>
      </c>
      <c r="E23828">
        <v>55.88</v>
      </c>
    </row>
    <row r="23829" spans="1:5" x14ac:dyDescent="0.2">
      <c r="A23829">
        <v>74945</v>
      </c>
      <c r="B23829" t="s">
        <v>42</v>
      </c>
      <c r="C23829">
        <v>74945</v>
      </c>
      <c r="D23829" t="str">
        <f>"74945"</f>
        <v>74945</v>
      </c>
      <c r="E23829" t="s">
        <v>6</v>
      </c>
    </row>
    <row r="23830" spans="1:5" x14ac:dyDescent="0.2">
      <c r="A23830">
        <v>74946</v>
      </c>
      <c r="B23830" t="s">
        <v>42</v>
      </c>
      <c r="C23830">
        <v>74946</v>
      </c>
      <c r="D23830" t="str">
        <f>"74946"</f>
        <v>74946</v>
      </c>
      <c r="E23830" t="s">
        <v>6</v>
      </c>
    </row>
    <row r="23831" spans="1:5" x14ac:dyDescent="0.2">
      <c r="A23831">
        <v>74947</v>
      </c>
      <c r="B23831" t="s">
        <v>42</v>
      </c>
      <c r="C23831">
        <v>74947</v>
      </c>
      <c r="D23831" t="str">
        <f>"74947"</f>
        <v>74947</v>
      </c>
      <c r="E23831" t="s">
        <v>6</v>
      </c>
    </row>
    <row r="23832" spans="1:5" x14ac:dyDescent="0.2">
      <c r="A23832">
        <v>74948</v>
      </c>
      <c r="B23832" t="s">
        <v>42</v>
      </c>
      <c r="C23832">
        <v>74948</v>
      </c>
      <c r="D23832" t="str">
        <f>"74948"</f>
        <v>74948</v>
      </c>
      <c r="E23832">
        <v>60.4</v>
      </c>
    </row>
    <row r="23833" spans="1:5" x14ac:dyDescent="0.2">
      <c r="A23833">
        <v>74949</v>
      </c>
      <c r="B23833" t="s">
        <v>42</v>
      </c>
      <c r="C23833">
        <v>74949</v>
      </c>
      <c r="D23833" t="str">
        <f>"74949"</f>
        <v>74949</v>
      </c>
      <c r="E23833">
        <v>60</v>
      </c>
    </row>
    <row r="23834" spans="1:5" x14ac:dyDescent="0.2">
      <c r="A23834">
        <v>74953</v>
      </c>
      <c r="B23834" t="s">
        <v>42</v>
      </c>
      <c r="C23834">
        <v>74953</v>
      </c>
      <c r="D23834" t="str">
        <f>"74953"</f>
        <v>74953</v>
      </c>
      <c r="E23834">
        <v>62.28</v>
      </c>
    </row>
    <row r="23835" spans="1:5" x14ac:dyDescent="0.2">
      <c r="A23835">
        <v>74954</v>
      </c>
      <c r="B23835" t="s">
        <v>42</v>
      </c>
      <c r="C23835">
        <v>74954</v>
      </c>
      <c r="D23835" t="str">
        <f>"74954"</f>
        <v>74954</v>
      </c>
      <c r="E23835">
        <v>62.89</v>
      </c>
    </row>
    <row r="23836" spans="1:5" x14ac:dyDescent="0.2">
      <c r="A23836">
        <v>74955</v>
      </c>
      <c r="B23836" t="s">
        <v>42</v>
      </c>
      <c r="C23836">
        <v>74955</v>
      </c>
      <c r="D23836" t="str">
        <f>"74955"</f>
        <v>74955</v>
      </c>
      <c r="E23836">
        <v>59.86</v>
      </c>
    </row>
    <row r="23837" spans="1:5" x14ac:dyDescent="0.2">
      <c r="A23837">
        <v>74956</v>
      </c>
      <c r="B23837" t="s">
        <v>42</v>
      </c>
      <c r="C23837">
        <v>74956</v>
      </c>
      <c r="D23837" t="str">
        <f>"74956"</f>
        <v>74956</v>
      </c>
      <c r="E23837">
        <v>59.42</v>
      </c>
    </row>
    <row r="23838" spans="1:5" x14ac:dyDescent="0.2">
      <c r="A23838">
        <v>74957</v>
      </c>
      <c r="B23838" t="s">
        <v>42</v>
      </c>
      <c r="C23838">
        <v>74957</v>
      </c>
      <c r="D23838" t="str">
        <f>"74957"</f>
        <v>74957</v>
      </c>
      <c r="E23838">
        <v>51.22</v>
      </c>
    </row>
    <row r="23839" spans="1:5" x14ac:dyDescent="0.2">
      <c r="A23839">
        <v>74959</v>
      </c>
      <c r="B23839" t="s">
        <v>42</v>
      </c>
      <c r="C23839">
        <v>74959</v>
      </c>
      <c r="D23839" t="str">
        <f>"74959"</f>
        <v>74959</v>
      </c>
      <c r="E23839">
        <v>59.75</v>
      </c>
    </row>
    <row r="23840" spans="1:5" x14ac:dyDescent="0.2">
      <c r="A23840">
        <v>74960</v>
      </c>
      <c r="B23840" t="s">
        <v>42</v>
      </c>
      <c r="C23840">
        <v>74960</v>
      </c>
      <c r="D23840" t="str">
        <f>"74960"</f>
        <v>74960</v>
      </c>
      <c r="E23840">
        <v>52.98</v>
      </c>
    </row>
    <row r="23841" spans="1:5" x14ac:dyDescent="0.2">
      <c r="A23841">
        <v>74962</v>
      </c>
      <c r="B23841" t="s">
        <v>42</v>
      </c>
      <c r="C23841">
        <v>74962</v>
      </c>
      <c r="D23841" t="str">
        <f>"74962"</f>
        <v>74962</v>
      </c>
      <c r="E23841">
        <v>59.65</v>
      </c>
    </row>
    <row r="23842" spans="1:5" x14ac:dyDescent="0.2">
      <c r="A23842">
        <v>74963</v>
      </c>
      <c r="B23842" t="s">
        <v>42</v>
      </c>
      <c r="C23842">
        <v>74963</v>
      </c>
      <c r="D23842" t="str">
        <f>"74963"</f>
        <v>74963</v>
      </c>
      <c r="E23842">
        <v>55.56</v>
      </c>
    </row>
    <row r="23843" spans="1:5" x14ac:dyDescent="0.2">
      <c r="A23843">
        <v>74964</v>
      </c>
      <c r="B23843" t="s">
        <v>42</v>
      </c>
      <c r="C23843">
        <v>74964</v>
      </c>
      <c r="D23843" t="str">
        <f>"74964"</f>
        <v>74964</v>
      </c>
      <c r="E23843">
        <v>59.55</v>
      </c>
    </row>
    <row r="23844" spans="1:5" x14ac:dyDescent="0.2">
      <c r="A23844">
        <v>74965</v>
      </c>
      <c r="B23844" t="s">
        <v>42</v>
      </c>
      <c r="C23844">
        <v>74965</v>
      </c>
      <c r="D23844" t="str">
        <f>"74965"</f>
        <v>74965</v>
      </c>
      <c r="E23844">
        <v>56.67</v>
      </c>
    </row>
    <row r="23845" spans="1:5" x14ac:dyDescent="0.2">
      <c r="A23845">
        <v>74966</v>
      </c>
      <c r="B23845" t="s">
        <v>42</v>
      </c>
      <c r="C23845">
        <v>74966</v>
      </c>
      <c r="D23845" t="str">
        <f>"74966"</f>
        <v>74966</v>
      </c>
      <c r="E23845">
        <v>61.54</v>
      </c>
    </row>
    <row r="23846" spans="1:5" x14ac:dyDescent="0.2">
      <c r="A23846">
        <v>97001</v>
      </c>
      <c r="B23846" t="s">
        <v>43</v>
      </c>
      <c r="C23846">
        <v>97001</v>
      </c>
      <c r="D23846" t="str">
        <f>"97001"</f>
        <v>97001</v>
      </c>
      <c r="E23846" t="s">
        <v>6</v>
      </c>
    </row>
    <row r="23847" spans="1:5" x14ac:dyDescent="0.2">
      <c r="A23847">
        <v>97002</v>
      </c>
      <c r="B23847" t="s">
        <v>43</v>
      </c>
      <c r="C23847">
        <v>97002</v>
      </c>
      <c r="D23847" t="str">
        <f>"97002"</f>
        <v>97002</v>
      </c>
      <c r="E23847">
        <v>74.56</v>
      </c>
    </row>
    <row r="23848" spans="1:5" x14ac:dyDescent="0.2">
      <c r="A23848">
        <v>97003</v>
      </c>
      <c r="B23848" t="s">
        <v>43</v>
      </c>
      <c r="C23848">
        <v>97003</v>
      </c>
      <c r="D23848" t="str">
        <f>"97003"</f>
        <v>97003</v>
      </c>
      <c r="E23848" t="s">
        <v>6</v>
      </c>
    </row>
    <row r="23849" spans="1:5" x14ac:dyDescent="0.2">
      <c r="A23849">
        <v>97004</v>
      </c>
      <c r="B23849" t="s">
        <v>43</v>
      </c>
      <c r="C23849">
        <v>97004</v>
      </c>
      <c r="D23849" t="str">
        <f>"97004"</f>
        <v>97004</v>
      </c>
      <c r="E23849">
        <v>80.599999999999994</v>
      </c>
    </row>
    <row r="23850" spans="1:5" x14ac:dyDescent="0.2">
      <c r="A23850">
        <v>97005</v>
      </c>
      <c r="B23850" t="s">
        <v>43</v>
      </c>
      <c r="C23850">
        <v>97005</v>
      </c>
      <c r="D23850" t="str">
        <f>"97005"</f>
        <v>97005</v>
      </c>
      <c r="E23850">
        <v>73.680000000000007</v>
      </c>
    </row>
    <row r="23851" spans="1:5" x14ac:dyDescent="0.2">
      <c r="A23851">
        <v>97006</v>
      </c>
      <c r="B23851" t="s">
        <v>43</v>
      </c>
      <c r="C23851">
        <v>97006</v>
      </c>
      <c r="D23851" t="str">
        <f>"97006"</f>
        <v>97006</v>
      </c>
      <c r="E23851">
        <v>80.08</v>
      </c>
    </row>
    <row r="23852" spans="1:5" x14ac:dyDescent="0.2">
      <c r="A23852">
        <v>97007</v>
      </c>
      <c r="B23852" t="s">
        <v>43</v>
      </c>
      <c r="C23852">
        <v>97007</v>
      </c>
      <c r="D23852" t="str">
        <f>"97007"</f>
        <v>97007</v>
      </c>
      <c r="E23852">
        <v>80.89</v>
      </c>
    </row>
    <row r="23853" spans="1:5" x14ac:dyDescent="0.2">
      <c r="A23853">
        <v>97008</v>
      </c>
      <c r="B23853" t="s">
        <v>43</v>
      </c>
      <c r="C23853">
        <v>97008</v>
      </c>
      <c r="D23853" t="str">
        <f>"97008"</f>
        <v>97008</v>
      </c>
      <c r="E23853">
        <v>78.14</v>
      </c>
    </row>
    <row r="23854" spans="1:5" x14ac:dyDescent="0.2">
      <c r="A23854">
        <v>97009</v>
      </c>
      <c r="B23854" t="s">
        <v>43</v>
      </c>
      <c r="C23854">
        <v>97009</v>
      </c>
      <c r="D23854" t="str">
        <f>"97009"</f>
        <v>97009</v>
      </c>
      <c r="E23854">
        <v>77.5</v>
      </c>
    </row>
    <row r="23855" spans="1:5" x14ac:dyDescent="0.2">
      <c r="A23855">
        <v>97010</v>
      </c>
      <c r="B23855" t="s">
        <v>43</v>
      </c>
      <c r="C23855">
        <v>97010</v>
      </c>
      <c r="D23855" t="str">
        <f>"97010"</f>
        <v>97010</v>
      </c>
      <c r="E23855" t="s">
        <v>6</v>
      </c>
    </row>
    <row r="23856" spans="1:5" x14ac:dyDescent="0.2">
      <c r="A23856">
        <v>97011</v>
      </c>
      <c r="B23856" t="s">
        <v>43</v>
      </c>
      <c r="C23856">
        <v>97011</v>
      </c>
      <c r="D23856" t="str">
        <f>"97011"</f>
        <v>97011</v>
      </c>
      <c r="E23856">
        <v>77.27</v>
      </c>
    </row>
    <row r="23857" spans="1:5" x14ac:dyDescent="0.2">
      <c r="A23857">
        <v>97013</v>
      </c>
      <c r="B23857" t="s">
        <v>43</v>
      </c>
      <c r="C23857">
        <v>97013</v>
      </c>
      <c r="D23857" t="str">
        <f>"97013"</f>
        <v>97013</v>
      </c>
      <c r="E23857">
        <v>75.83</v>
      </c>
    </row>
    <row r="23858" spans="1:5" x14ac:dyDescent="0.2">
      <c r="A23858">
        <v>97014</v>
      </c>
      <c r="B23858" t="s">
        <v>43</v>
      </c>
      <c r="C23858">
        <v>97014</v>
      </c>
      <c r="D23858" t="str">
        <f>"97014"</f>
        <v>97014</v>
      </c>
      <c r="E23858">
        <v>72.58</v>
      </c>
    </row>
    <row r="23859" spans="1:5" x14ac:dyDescent="0.2">
      <c r="A23859">
        <v>97015</v>
      </c>
      <c r="B23859" t="s">
        <v>43</v>
      </c>
      <c r="C23859">
        <v>97015</v>
      </c>
      <c r="D23859" t="str">
        <f>"97015"</f>
        <v>97015</v>
      </c>
      <c r="E23859">
        <v>76.42</v>
      </c>
    </row>
    <row r="23860" spans="1:5" x14ac:dyDescent="0.2">
      <c r="A23860">
        <v>97016</v>
      </c>
      <c r="B23860" t="s">
        <v>43</v>
      </c>
      <c r="C23860">
        <v>97016</v>
      </c>
      <c r="D23860" t="str">
        <f>"97016"</f>
        <v>97016</v>
      </c>
      <c r="E23860">
        <v>71.38</v>
      </c>
    </row>
    <row r="23861" spans="1:5" x14ac:dyDescent="0.2">
      <c r="A23861">
        <v>97017</v>
      </c>
      <c r="B23861" t="s">
        <v>43</v>
      </c>
      <c r="C23861">
        <v>97017</v>
      </c>
      <c r="D23861" t="str">
        <f>"97017"</f>
        <v>97017</v>
      </c>
      <c r="E23861">
        <v>78.099999999999994</v>
      </c>
    </row>
    <row r="23862" spans="1:5" x14ac:dyDescent="0.2">
      <c r="A23862">
        <v>97018</v>
      </c>
      <c r="B23862" t="s">
        <v>43</v>
      </c>
      <c r="C23862">
        <v>97018</v>
      </c>
      <c r="D23862" t="str">
        <f>"97018"</f>
        <v>97018</v>
      </c>
      <c r="E23862">
        <v>81.819999999999993</v>
      </c>
    </row>
    <row r="23863" spans="1:5" x14ac:dyDescent="0.2">
      <c r="A23863">
        <v>97019</v>
      </c>
      <c r="B23863" t="s">
        <v>43</v>
      </c>
      <c r="C23863">
        <v>97019</v>
      </c>
      <c r="D23863" t="str">
        <f>"97019"</f>
        <v>97019</v>
      </c>
      <c r="E23863">
        <v>78.709999999999994</v>
      </c>
    </row>
    <row r="23864" spans="1:5" x14ac:dyDescent="0.2">
      <c r="A23864">
        <v>97020</v>
      </c>
      <c r="B23864" t="s">
        <v>43</v>
      </c>
      <c r="C23864">
        <v>97020</v>
      </c>
      <c r="D23864" t="str">
        <f>"97020"</f>
        <v>97020</v>
      </c>
      <c r="E23864">
        <v>76.47</v>
      </c>
    </row>
    <row r="23865" spans="1:5" x14ac:dyDescent="0.2">
      <c r="A23865">
        <v>97021</v>
      </c>
      <c r="B23865" t="s">
        <v>43</v>
      </c>
      <c r="C23865">
        <v>97021</v>
      </c>
      <c r="D23865" t="str">
        <f>"97021"</f>
        <v>97021</v>
      </c>
      <c r="E23865">
        <v>72.73</v>
      </c>
    </row>
    <row r="23866" spans="1:5" x14ac:dyDescent="0.2">
      <c r="A23866">
        <v>97022</v>
      </c>
      <c r="B23866" t="s">
        <v>43</v>
      </c>
      <c r="C23866">
        <v>97022</v>
      </c>
      <c r="D23866" t="str">
        <f>"97022"</f>
        <v>97022</v>
      </c>
      <c r="E23866">
        <v>75</v>
      </c>
    </row>
    <row r="23867" spans="1:5" x14ac:dyDescent="0.2">
      <c r="A23867">
        <v>97023</v>
      </c>
      <c r="B23867" t="s">
        <v>43</v>
      </c>
      <c r="C23867">
        <v>97023</v>
      </c>
      <c r="D23867" t="str">
        <f>"97023"</f>
        <v>97023</v>
      </c>
      <c r="E23867">
        <v>77.010000000000005</v>
      </c>
    </row>
    <row r="23868" spans="1:5" x14ac:dyDescent="0.2">
      <c r="A23868">
        <v>97024</v>
      </c>
      <c r="B23868" t="s">
        <v>43</v>
      </c>
      <c r="C23868">
        <v>97024</v>
      </c>
      <c r="D23868" t="str">
        <f>"97024"</f>
        <v>97024</v>
      </c>
      <c r="E23868">
        <v>73.62</v>
      </c>
    </row>
    <row r="23869" spans="1:5" x14ac:dyDescent="0.2">
      <c r="A23869">
        <v>97026</v>
      </c>
      <c r="B23869" t="s">
        <v>43</v>
      </c>
      <c r="C23869">
        <v>97026</v>
      </c>
      <c r="D23869" t="str">
        <f>"97026"</f>
        <v>97026</v>
      </c>
      <c r="E23869">
        <v>67.06</v>
      </c>
    </row>
    <row r="23870" spans="1:5" x14ac:dyDescent="0.2">
      <c r="A23870">
        <v>97027</v>
      </c>
      <c r="B23870" t="s">
        <v>43</v>
      </c>
      <c r="C23870">
        <v>97027</v>
      </c>
      <c r="D23870" t="str">
        <f>"97027"</f>
        <v>97027</v>
      </c>
      <c r="E23870">
        <v>78.260000000000005</v>
      </c>
    </row>
    <row r="23871" spans="1:5" x14ac:dyDescent="0.2">
      <c r="A23871">
        <v>97028</v>
      </c>
      <c r="B23871" t="s">
        <v>43</v>
      </c>
      <c r="C23871">
        <v>97028</v>
      </c>
      <c r="D23871" t="str">
        <f>"97028"</f>
        <v>97028</v>
      </c>
      <c r="E23871">
        <v>76.92</v>
      </c>
    </row>
    <row r="23872" spans="1:5" x14ac:dyDescent="0.2">
      <c r="A23872">
        <v>97029</v>
      </c>
      <c r="B23872" t="s">
        <v>43</v>
      </c>
      <c r="C23872">
        <v>97029</v>
      </c>
      <c r="D23872" t="str">
        <f>"97029"</f>
        <v>97029</v>
      </c>
      <c r="E23872">
        <v>66.67</v>
      </c>
    </row>
    <row r="23873" spans="1:5" x14ac:dyDescent="0.2">
      <c r="A23873">
        <v>97030</v>
      </c>
      <c r="B23873" t="s">
        <v>43</v>
      </c>
      <c r="C23873">
        <v>97030</v>
      </c>
      <c r="D23873" t="str">
        <f>"97030"</f>
        <v>97030</v>
      </c>
      <c r="E23873">
        <v>72.540000000000006</v>
      </c>
    </row>
    <row r="23874" spans="1:5" x14ac:dyDescent="0.2">
      <c r="A23874">
        <v>97031</v>
      </c>
      <c r="B23874" t="s">
        <v>43</v>
      </c>
      <c r="C23874">
        <v>97031</v>
      </c>
      <c r="D23874" t="str">
        <f>"97031"</f>
        <v>97031</v>
      </c>
      <c r="E23874">
        <v>73.53</v>
      </c>
    </row>
    <row r="23875" spans="1:5" x14ac:dyDescent="0.2">
      <c r="A23875">
        <v>97032</v>
      </c>
      <c r="B23875" t="s">
        <v>43</v>
      </c>
      <c r="C23875">
        <v>97032</v>
      </c>
      <c r="D23875" t="str">
        <f>"97032"</f>
        <v>97032</v>
      </c>
      <c r="E23875">
        <v>70.25</v>
      </c>
    </row>
    <row r="23876" spans="1:5" x14ac:dyDescent="0.2">
      <c r="A23876">
        <v>97033</v>
      </c>
      <c r="B23876" t="s">
        <v>43</v>
      </c>
      <c r="C23876">
        <v>97033</v>
      </c>
      <c r="D23876" t="str">
        <f>"97033"</f>
        <v>97033</v>
      </c>
      <c r="E23876" t="s">
        <v>6</v>
      </c>
    </row>
    <row r="23877" spans="1:5" x14ac:dyDescent="0.2">
      <c r="A23877">
        <v>97034</v>
      </c>
      <c r="B23877" t="s">
        <v>43</v>
      </c>
      <c r="C23877">
        <v>97034</v>
      </c>
      <c r="D23877" t="str">
        <f>"97034"</f>
        <v>97034</v>
      </c>
      <c r="E23877">
        <v>81.459999999999994</v>
      </c>
    </row>
    <row r="23878" spans="1:5" x14ac:dyDescent="0.2">
      <c r="A23878">
        <v>97035</v>
      </c>
      <c r="B23878" t="s">
        <v>43</v>
      </c>
      <c r="C23878">
        <v>97035</v>
      </c>
      <c r="D23878" t="str">
        <f>"97035"</f>
        <v>97035</v>
      </c>
      <c r="E23878">
        <v>82.15</v>
      </c>
    </row>
    <row r="23879" spans="1:5" x14ac:dyDescent="0.2">
      <c r="A23879">
        <v>97037</v>
      </c>
      <c r="B23879" t="s">
        <v>43</v>
      </c>
      <c r="C23879">
        <v>97037</v>
      </c>
      <c r="D23879" t="str">
        <f>"97037"</f>
        <v>97037</v>
      </c>
      <c r="E23879">
        <v>68.42</v>
      </c>
    </row>
    <row r="23880" spans="1:5" x14ac:dyDescent="0.2">
      <c r="A23880">
        <v>97038</v>
      </c>
      <c r="B23880" t="s">
        <v>43</v>
      </c>
      <c r="C23880">
        <v>97038</v>
      </c>
      <c r="D23880" t="str">
        <f>"97038"</f>
        <v>97038</v>
      </c>
      <c r="E23880">
        <v>75.17</v>
      </c>
    </row>
    <row r="23881" spans="1:5" x14ac:dyDescent="0.2">
      <c r="A23881">
        <v>97039</v>
      </c>
      <c r="B23881" t="s">
        <v>43</v>
      </c>
      <c r="C23881">
        <v>97039</v>
      </c>
      <c r="D23881" t="str">
        <f>"97039"</f>
        <v>97039</v>
      </c>
      <c r="E23881">
        <v>69.569999999999993</v>
      </c>
    </row>
    <row r="23882" spans="1:5" x14ac:dyDescent="0.2">
      <c r="A23882">
        <v>97040</v>
      </c>
      <c r="B23882" t="s">
        <v>43</v>
      </c>
      <c r="C23882">
        <v>97040</v>
      </c>
      <c r="D23882" t="str">
        <f>"97040"</f>
        <v>97040</v>
      </c>
      <c r="E23882">
        <v>71.64</v>
      </c>
    </row>
    <row r="23883" spans="1:5" x14ac:dyDescent="0.2">
      <c r="A23883">
        <v>97041</v>
      </c>
      <c r="B23883" t="s">
        <v>43</v>
      </c>
      <c r="C23883">
        <v>97041</v>
      </c>
      <c r="D23883" t="str">
        <f>"97041"</f>
        <v>97041</v>
      </c>
      <c r="E23883">
        <v>67.97</v>
      </c>
    </row>
    <row r="23884" spans="1:5" x14ac:dyDescent="0.2">
      <c r="A23884">
        <v>97042</v>
      </c>
      <c r="B23884" t="s">
        <v>43</v>
      </c>
      <c r="C23884">
        <v>97042</v>
      </c>
      <c r="D23884" t="str">
        <f>"97042"</f>
        <v>97042</v>
      </c>
      <c r="E23884">
        <v>75.69</v>
      </c>
    </row>
    <row r="23885" spans="1:5" x14ac:dyDescent="0.2">
      <c r="A23885">
        <v>97044</v>
      </c>
      <c r="B23885" t="s">
        <v>43</v>
      </c>
      <c r="C23885">
        <v>97044</v>
      </c>
      <c r="D23885" t="str">
        <f>"97044"</f>
        <v>97044</v>
      </c>
      <c r="E23885" t="s">
        <v>6</v>
      </c>
    </row>
    <row r="23886" spans="1:5" x14ac:dyDescent="0.2">
      <c r="A23886">
        <v>97045</v>
      </c>
      <c r="B23886" t="s">
        <v>43</v>
      </c>
      <c r="C23886">
        <v>97045</v>
      </c>
      <c r="D23886" t="str">
        <f>"97045"</f>
        <v>97045</v>
      </c>
      <c r="E23886">
        <v>79.59</v>
      </c>
    </row>
    <row r="23887" spans="1:5" x14ac:dyDescent="0.2">
      <c r="A23887">
        <v>97048</v>
      </c>
      <c r="B23887" t="s">
        <v>43</v>
      </c>
      <c r="C23887">
        <v>97048</v>
      </c>
      <c r="D23887" t="str">
        <f>"97048"</f>
        <v>97048</v>
      </c>
      <c r="E23887">
        <v>73.08</v>
      </c>
    </row>
    <row r="23888" spans="1:5" x14ac:dyDescent="0.2">
      <c r="A23888">
        <v>97049</v>
      </c>
      <c r="B23888" t="s">
        <v>43</v>
      </c>
      <c r="C23888">
        <v>97049</v>
      </c>
      <c r="D23888" t="str">
        <f>"97049"</f>
        <v>97049</v>
      </c>
      <c r="E23888">
        <v>79.17</v>
      </c>
    </row>
    <row r="23889" spans="1:5" x14ac:dyDescent="0.2">
      <c r="A23889">
        <v>97050</v>
      </c>
      <c r="B23889" t="s">
        <v>43</v>
      </c>
      <c r="C23889">
        <v>97050</v>
      </c>
      <c r="D23889" t="str">
        <f>"97050"</f>
        <v>97050</v>
      </c>
      <c r="E23889" t="s">
        <v>6</v>
      </c>
    </row>
    <row r="23890" spans="1:5" x14ac:dyDescent="0.2">
      <c r="A23890">
        <v>97051</v>
      </c>
      <c r="B23890" t="s">
        <v>43</v>
      </c>
      <c r="C23890">
        <v>97051</v>
      </c>
      <c r="D23890" t="str">
        <f>"97051"</f>
        <v>97051</v>
      </c>
      <c r="E23890">
        <v>76.05</v>
      </c>
    </row>
    <row r="23891" spans="1:5" x14ac:dyDescent="0.2">
      <c r="A23891">
        <v>97053</v>
      </c>
      <c r="B23891" t="s">
        <v>43</v>
      </c>
      <c r="C23891">
        <v>97053</v>
      </c>
      <c r="D23891" t="str">
        <f>"97053"</f>
        <v>97053</v>
      </c>
      <c r="E23891">
        <v>81.17</v>
      </c>
    </row>
    <row r="23892" spans="1:5" x14ac:dyDescent="0.2">
      <c r="A23892">
        <v>97054</v>
      </c>
      <c r="B23892" t="s">
        <v>43</v>
      </c>
      <c r="C23892">
        <v>97054</v>
      </c>
      <c r="D23892" t="str">
        <f>"97054"</f>
        <v>97054</v>
      </c>
      <c r="E23892">
        <v>76.27</v>
      </c>
    </row>
    <row r="23893" spans="1:5" x14ac:dyDescent="0.2">
      <c r="A23893">
        <v>97055</v>
      </c>
      <c r="B23893" t="s">
        <v>43</v>
      </c>
      <c r="C23893">
        <v>97055</v>
      </c>
      <c r="D23893" t="str">
        <f>"97055"</f>
        <v>97055</v>
      </c>
      <c r="E23893">
        <v>77.569999999999993</v>
      </c>
    </row>
    <row r="23894" spans="1:5" x14ac:dyDescent="0.2">
      <c r="A23894">
        <v>97056</v>
      </c>
      <c r="B23894" t="s">
        <v>43</v>
      </c>
      <c r="C23894">
        <v>97056</v>
      </c>
      <c r="D23894" t="str">
        <f>"97056"</f>
        <v>97056</v>
      </c>
      <c r="E23894">
        <v>79.900000000000006</v>
      </c>
    </row>
    <row r="23895" spans="1:5" x14ac:dyDescent="0.2">
      <c r="A23895">
        <v>97057</v>
      </c>
      <c r="B23895" t="s">
        <v>43</v>
      </c>
      <c r="C23895">
        <v>97057</v>
      </c>
      <c r="D23895" t="str">
        <f>"97057"</f>
        <v>97057</v>
      </c>
      <c r="E23895" t="s">
        <v>6</v>
      </c>
    </row>
    <row r="23896" spans="1:5" x14ac:dyDescent="0.2">
      <c r="A23896">
        <v>97058</v>
      </c>
      <c r="B23896" t="s">
        <v>43</v>
      </c>
      <c r="C23896">
        <v>97058</v>
      </c>
      <c r="D23896" t="str">
        <f>"97058"</f>
        <v>97058</v>
      </c>
      <c r="E23896">
        <v>70.3</v>
      </c>
    </row>
    <row r="23897" spans="1:5" x14ac:dyDescent="0.2">
      <c r="A23897">
        <v>97060</v>
      </c>
      <c r="B23897" t="s">
        <v>43</v>
      </c>
      <c r="C23897">
        <v>97060</v>
      </c>
      <c r="D23897" t="str">
        <f>"97060"</f>
        <v>97060</v>
      </c>
      <c r="E23897">
        <v>74.5</v>
      </c>
    </row>
    <row r="23898" spans="1:5" x14ac:dyDescent="0.2">
      <c r="A23898">
        <v>97062</v>
      </c>
      <c r="B23898" t="s">
        <v>43</v>
      </c>
      <c r="C23898">
        <v>97062</v>
      </c>
      <c r="D23898" t="str">
        <f>"97062"</f>
        <v>97062</v>
      </c>
      <c r="E23898">
        <v>79.010000000000005</v>
      </c>
    </row>
    <row r="23899" spans="1:5" x14ac:dyDescent="0.2">
      <c r="A23899">
        <v>97063</v>
      </c>
      <c r="B23899" t="s">
        <v>43</v>
      </c>
      <c r="C23899">
        <v>97063</v>
      </c>
      <c r="D23899" t="str">
        <f>"97063"</f>
        <v>97063</v>
      </c>
      <c r="E23899">
        <v>60.78</v>
      </c>
    </row>
    <row r="23900" spans="1:5" x14ac:dyDescent="0.2">
      <c r="A23900">
        <v>97064</v>
      </c>
      <c r="B23900" t="s">
        <v>43</v>
      </c>
      <c r="C23900">
        <v>97064</v>
      </c>
      <c r="D23900" t="str">
        <f>"97064"</f>
        <v>97064</v>
      </c>
      <c r="E23900">
        <v>73.91</v>
      </c>
    </row>
    <row r="23901" spans="1:5" x14ac:dyDescent="0.2">
      <c r="A23901">
        <v>97065</v>
      </c>
      <c r="B23901" t="s">
        <v>43</v>
      </c>
      <c r="C23901">
        <v>97065</v>
      </c>
      <c r="D23901" t="str">
        <f>"97065"</f>
        <v>97065</v>
      </c>
      <c r="E23901">
        <v>78.569999999999993</v>
      </c>
    </row>
    <row r="23902" spans="1:5" x14ac:dyDescent="0.2">
      <c r="A23902">
        <v>97067</v>
      </c>
      <c r="B23902" t="s">
        <v>43</v>
      </c>
      <c r="C23902">
        <v>97067</v>
      </c>
      <c r="D23902" t="str">
        <f>"97067"</f>
        <v>97067</v>
      </c>
      <c r="E23902">
        <v>76.67</v>
      </c>
    </row>
    <row r="23903" spans="1:5" x14ac:dyDescent="0.2">
      <c r="A23903">
        <v>97068</v>
      </c>
      <c r="B23903" t="s">
        <v>43</v>
      </c>
      <c r="C23903">
        <v>97068</v>
      </c>
      <c r="D23903" t="str">
        <f>"97068"</f>
        <v>97068</v>
      </c>
      <c r="E23903">
        <v>82.02</v>
      </c>
    </row>
    <row r="23904" spans="1:5" x14ac:dyDescent="0.2">
      <c r="A23904">
        <v>97070</v>
      </c>
      <c r="B23904" t="s">
        <v>43</v>
      </c>
      <c r="C23904">
        <v>97070</v>
      </c>
      <c r="D23904" t="str">
        <f>"97070"</f>
        <v>97070</v>
      </c>
      <c r="E23904">
        <v>80.23</v>
      </c>
    </row>
    <row r="23905" spans="1:5" x14ac:dyDescent="0.2">
      <c r="A23905">
        <v>97071</v>
      </c>
      <c r="B23905" t="s">
        <v>43</v>
      </c>
      <c r="C23905">
        <v>97071</v>
      </c>
      <c r="D23905" t="str">
        <f>"97071"</f>
        <v>97071</v>
      </c>
      <c r="E23905">
        <v>63.59</v>
      </c>
    </row>
    <row r="23906" spans="1:5" x14ac:dyDescent="0.2">
      <c r="A23906">
        <v>97078</v>
      </c>
      <c r="B23906" t="s">
        <v>43</v>
      </c>
      <c r="C23906">
        <v>97078</v>
      </c>
      <c r="D23906" t="str">
        <f>"97078"</f>
        <v>97078</v>
      </c>
      <c r="E23906" t="s">
        <v>6</v>
      </c>
    </row>
    <row r="23907" spans="1:5" x14ac:dyDescent="0.2">
      <c r="A23907">
        <v>97080</v>
      </c>
      <c r="B23907" t="s">
        <v>43</v>
      </c>
      <c r="C23907">
        <v>97080</v>
      </c>
      <c r="D23907" t="str">
        <f>"97080"</f>
        <v>97080</v>
      </c>
      <c r="E23907">
        <v>76.59</v>
      </c>
    </row>
    <row r="23908" spans="1:5" x14ac:dyDescent="0.2">
      <c r="A23908">
        <v>97086</v>
      </c>
      <c r="B23908" t="s">
        <v>43</v>
      </c>
      <c r="C23908">
        <v>97086</v>
      </c>
      <c r="D23908" t="str">
        <f>"97086"</f>
        <v>97086</v>
      </c>
      <c r="E23908">
        <v>77.72</v>
      </c>
    </row>
    <row r="23909" spans="1:5" x14ac:dyDescent="0.2">
      <c r="A23909">
        <v>97089</v>
      </c>
      <c r="B23909" t="s">
        <v>43</v>
      </c>
      <c r="C23909">
        <v>97089</v>
      </c>
      <c r="D23909" t="str">
        <f>"97089"</f>
        <v>97089</v>
      </c>
      <c r="E23909">
        <v>78.569999999999993</v>
      </c>
    </row>
    <row r="23910" spans="1:5" x14ac:dyDescent="0.2">
      <c r="A23910">
        <v>97101</v>
      </c>
      <c r="B23910" t="s">
        <v>43</v>
      </c>
      <c r="C23910">
        <v>97101</v>
      </c>
      <c r="D23910" t="str">
        <f>"97101"</f>
        <v>97101</v>
      </c>
      <c r="E23910">
        <v>75</v>
      </c>
    </row>
    <row r="23911" spans="1:5" x14ac:dyDescent="0.2">
      <c r="A23911">
        <v>97102</v>
      </c>
      <c r="B23911" t="s">
        <v>43</v>
      </c>
      <c r="C23911">
        <v>97102</v>
      </c>
      <c r="D23911" t="str">
        <f>"97102"</f>
        <v>97102</v>
      </c>
      <c r="E23911" t="s">
        <v>6</v>
      </c>
    </row>
    <row r="23912" spans="1:5" x14ac:dyDescent="0.2">
      <c r="A23912">
        <v>97103</v>
      </c>
      <c r="B23912" t="s">
        <v>43</v>
      </c>
      <c r="C23912">
        <v>97103</v>
      </c>
      <c r="D23912" t="str">
        <f>"97103"</f>
        <v>97103</v>
      </c>
      <c r="E23912">
        <v>73.7</v>
      </c>
    </row>
    <row r="23913" spans="1:5" x14ac:dyDescent="0.2">
      <c r="A23913">
        <v>97106</v>
      </c>
      <c r="B23913" t="s">
        <v>43</v>
      </c>
      <c r="C23913">
        <v>97106</v>
      </c>
      <c r="D23913" t="str">
        <f>"97106"</f>
        <v>97106</v>
      </c>
      <c r="E23913">
        <v>78.260000000000005</v>
      </c>
    </row>
    <row r="23914" spans="1:5" x14ac:dyDescent="0.2">
      <c r="A23914">
        <v>97107</v>
      </c>
      <c r="B23914" t="s">
        <v>43</v>
      </c>
      <c r="C23914">
        <v>97107</v>
      </c>
      <c r="D23914" t="str">
        <f>"97107"</f>
        <v>97107</v>
      </c>
      <c r="E23914">
        <v>71.430000000000007</v>
      </c>
    </row>
    <row r="23915" spans="1:5" x14ac:dyDescent="0.2">
      <c r="A23915">
        <v>97108</v>
      </c>
      <c r="B23915" t="s">
        <v>43</v>
      </c>
      <c r="C23915">
        <v>97108</v>
      </c>
      <c r="D23915" t="str">
        <f>"97108"</f>
        <v>97108</v>
      </c>
      <c r="E23915">
        <v>72.73</v>
      </c>
    </row>
    <row r="23916" spans="1:5" x14ac:dyDescent="0.2">
      <c r="A23916">
        <v>97109</v>
      </c>
      <c r="B23916" t="s">
        <v>43</v>
      </c>
      <c r="C23916">
        <v>97109</v>
      </c>
      <c r="D23916" t="str">
        <f>"97109"</f>
        <v>97109</v>
      </c>
      <c r="E23916">
        <v>82.61</v>
      </c>
    </row>
    <row r="23917" spans="1:5" x14ac:dyDescent="0.2">
      <c r="A23917">
        <v>97110</v>
      </c>
      <c r="B23917" t="s">
        <v>43</v>
      </c>
      <c r="C23917">
        <v>97110</v>
      </c>
      <c r="D23917" t="str">
        <f>"97110"</f>
        <v>97110</v>
      </c>
      <c r="E23917" t="s">
        <v>6</v>
      </c>
    </row>
    <row r="23918" spans="1:5" x14ac:dyDescent="0.2">
      <c r="A23918">
        <v>97111</v>
      </c>
      <c r="B23918" t="s">
        <v>43</v>
      </c>
      <c r="C23918">
        <v>97111</v>
      </c>
      <c r="D23918" t="str">
        <f>"97111"</f>
        <v>97111</v>
      </c>
      <c r="E23918">
        <v>78.260000000000005</v>
      </c>
    </row>
    <row r="23919" spans="1:5" x14ac:dyDescent="0.2">
      <c r="A23919">
        <v>97112</v>
      </c>
      <c r="B23919" t="s">
        <v>43</v>
      </c>
      <c r="C23919">
        <v>97112</v>
      </c>
      <c r="D23919" t="str">
        <f>"97112"</f>
        <v>97112</v>
      </c>
      <c r="E23919">
        <v>67.44</v>
      </c>
    </row>
    <row r="23920" spans="1:5" x14ac:dyDescent="0.2">
      <c r="A23920">
        <v>97113</v>
      </c>
      <c r="B23920" t="s">
        <v>43</v>
      </c>
      <c r="C23920">
        <v>97113</v>
      </c>
      <c r="D23920" t="str">
        <f>"97113"</f>
        <v>97113</v>
      </c>
      <c r="E23920">
        <v>69.709999999999994</v>
      </c>
    </row>
    <row r="23921" spans="1:5" x14ac:dyDescent="0.2">
      <c r="A23921">
        <v>97114</v>
      </c>
      <c r="B23921" t="s">
        <v>43</v>
      </c>
      <c r="C23921">
        <v>97114</v>
      </c>
      <c r="D23921" t="str">
        <f>"97114"</f>
        <v>97114</v>
      </c>
      <c r="E23921">
        <v>72.73</v>
      </c>
    </row>
    <row r="23922" spans="1:5" x14ac:dyDescent="0.2">
      <c r="A23922">
        <v>97115</v>
      </c>
      <c r="B23922" t="s">
        <v>43</v>
      </c>
      <c r="C23922">
        <v>97115</v>
      </c>
      <c r="D23922" t="str">
        <f>"97115"</f>
        <v>97115</v>
      </c>
      <c r="E23922">
        <v>79.900000000000006</v>
      </c>
    </row>
    <row r="23923" spans="1:5" x14ac:dyDescent="0.2">
      <c r="A23923">
        <v>97116</v>
      </c>
      <c r="B23923" t="s">
        <v>43</v>
      </c>
      <c r="C23923">
        <v>97116</v>
      </c>
      <c r="D23923" t="str">
        <f>"97116"</f>
        <v>97116</v>
      </c>
      <c r="E23923">
        <v>74.22</v>
      </c>
    </row>
    <row r="23924" spans="1:5" x14ac:dyDescent="0.2">
      <c r="A23924">
        <v>97117</v>
      </c>
      <c r="B23924" t="s">
        <v>43</v>
      </c>
      <c r="C23924">
        <v>97117</v>
      </c>
      <c r="D23924" t="str">
        <f>"97117"</f>
        <v>97117</v>
      </c>
      <c r="E23924">
        <v>77.78</v>
      </c>
    </row>
    <row r="23925" spans="1:5" x14ac:dyDescent="0.2">
      <c r="A23925">
        <v>97118</v>
      </c>
      <c r="B23925" t="s">
        <v>43</v>
      </c>
      <c r="C23925">
        <v>97118</v>
      </c>
      <c r="D23925" t="str">
        <f>"97118"</f>
        <v>97118</v>
      </c>
      <c r="E23925" t="s">
        <v>6</v>
      </c>
    </row>
    <row r="23926" spans="1:5" x14ac:dyDescent="0.2">
      <c r="A23926">
        <v>97119</v>
      </c>
      <c r="B23926" t="s">
        <v>43</v>
      </c>
      <c r="C23926">
        <v>97119</v>
      </c>
      <c r="D23926" t="str">
        <f>"97119"</f>
        <v>97119</v>
      </c>
      <c r="E23926">
        <v>76.849999999999994</v>
      </c>
    </row>
    <row r="23927" spans="1:5" x14ac:dyDescent="0.2">
      <c r="A23927">
        <v>97121</v>
      </c>
      <c r="B23927" t="s">
        <v>43</v>
      </c>
      <c r="C23927">
        <v>97121</v>
      </c>
      <c r="D23927" t="str">
        <f>"97121"</f>
        <v>97121</v>
      </c>
      <c r="E23927">
        <v>73.44</v>
      </c>
    </row>
    <row r="23928" spans="1:5" x14ac:dyDescent="0.2">
      <c r="A23928">
        <v>97122</v>
      </c>
      <c r="B23928" t="s">
        <v>43</v>
      </c>
      <c r="C23928">
        <v>97122</v>
      </c>
      <c r="D23928" t="str">
        <f>"97122"</f>
        <v>97122</v>
      </c>
      <c r="E23928">
        <v>70</v>
      </c>
    </row>
    <row r="23929" spans="1:5" x14ac:dyDescent="0.2">
      <c r="A23929">
        <v>97123</v>
      </c>
      <c r="B23929" t="s">
        <v>43</v>
      </c>
      <c r="C23929">
        <v>97123</v>
      </c>
      <c r="D23929" t="str">
        <f>"97123"</f>
        <v>97123</v>
      </c>
      <c r="E23929">
        <v>75.63</v>
      </c>
    </row>
    <row r="23930" spans="1:5" x14ac:dyDescent="0.2">
      <c r="A23930">
        <v>97124</v>
      </c>
      <c r="B23930" t="s">
        <v>43</v>
      </c>
      <c r="C23930">
        <v>97124</v>
      </c>
      <c r="D23930" t="str">
        <f>"97124"</f>
        <v>97124</v>
      </c>
      <c r="E23930">
        <v>81.569999999999993</v>
      </c>
    </row>
    <row r="23931" spans="1:5" x14ac:dyDescent="0.2">
      <c r="A23931">
        <v>97125</v>
      </c>
      <c r="B23931" t="s">
        <v>43</v>
      </c>
      <c r="C23931">
        <v>97125</v>
      </c>
      <c r="D23931" t="str">
        <f>"97125"</f>
        <v>97125</v>
      </c>
      <c r="E23931" t="s">
        <v>6</v>
      </c>
    </row>
    <row r="23932" spans="1:5" x14ac:dyDescent="0.2">
      <c r="A23932">
        <v>97127</v>
      </c>
      <c r="B23932" t="s">
        <v>43</v>
      </c>
      <c r="C23932">
        <v>97127</v>
      </c>
      <c r="D23932" t="str">
        <f>"97127"</f>
        <v>97127</v>
      </c>
      <c r="E23932">
        <v>72.400000000000006</v>
      </c>
    </row>
    <row r="23933" spans="1:5" x14ac:dyDescent="0.2">
      <c r="A23933">
        <v>97128</v>
      </c>
      <c r="B23933" t="s">
        <v>43</v>
      </c>
      <c r="C23933">
        <v>97128</v>
      </c>
      <c r="D23933" t="str">
        <f>"97128"</f>
        <v>97128</v>
      </c>
      <c r="E23933">
        <v>70.95</v>
      </c>
    </row>
    <row r="23934" spans="1:5" x14ac:dyDescent="0.2">
      <c r="A23934">
        <v>97130</v>
      </c>
      <c r="B23934" t="s">
        <v>43</v>
      </c>
      <c r="C23934">
        <v>97130</v>
      </c>
      <c r="D23934" t="str">
        <f>"97130"</f>
        <v>97130</v>
      </c>
      <c r="E23934" t="s">
        <v>6</v>
      </c>
    </row>
    <row r="23935" spans="1:5" x14ac:dyDescent="0.2">
      <c r="A23935">
        <v>97131</v>
      </c>
      <c r="B23935" t="s">
        <v>43</v>
      </c>
      <c r="C23935">
        <v>97131</v>
      </c>
      <c r="D23935" t="str">
        <f>"97131"</f>
        <v>97131</v>
      </c>
      <c r="E23935">
        <v>69.03</v>
      </c>
    </row>
    <row r="23936" spans="1:5" x14ac:dyDescent="0.2">
      <c r="A23936">
        <v>97132</v>
      </c>
      <c r="B23936" t="s">
        <v>43</v>
      </c>
      <c r="C23936">
        <v>97132</v>
      </c>
      <c r="D23936" t="str">
        <f>"97132"</f>
        <v>97132</v>
      </c>
      <c r="E23936">
        <v>75.510000000000005</v>
      </c>
    </row>
    <row r="23937" spans="1:5" x14ac:dyDescent="0.2">
      <c r="A23937">
        <v>97133</v>
      </c>
      <c r="B23937" t="s">
        <v>43</v>
      </c>
      <c r="C23937">
        <v>97133</v>
      </c>
      <c r="D23937" t="str">
        <f>"97133"</f>
        <v>97133</v>
      </c>
      <c r="E23937">
        <v>80.08</v>
      </c>
    </row>
    <row r="23938" spans="1:5" x14ac:dyDescent="0.2">
      <c r="A23938">
        <v>97134</v>
      </c>
      <c r="B23938" t="s">
        <v>43</v>
      </c>
      <c r="C23938">
        <v>97134</v>
      </c>
      <c r="D23938" t="str">
        <f>"97134"</f>
        <v>97134</v>
      </c>
      <c r="E23938" t="s">
        <v>6</v>
      </c>
    </row>
    <row r="23939" spans="1:5" x14ac:dyDescent="0.2">
      <c r="A23939">
        <v>97135</v>
      </c>
      <c r="B23939" t="s">
        <v>43</v>
      </c>
      <c r="C23939">
        <v>97135</v>
      </c>
      <c r="D23939" t="str">
        <f>"97135"</f>
        <v>97135</v>
      </c>
      <c r="E23939" t="s">
        <v>6</v>
      </c>
    </row>
    <row r="23940" spans="1:5" x14ac:dyDescent="0.2">
      <c r="A23940">
        <v>97136</v>
      </c>
      <c r="B23940" t="s">
        <v>43</v>
      </c>
      <c r="C23940">
        <v>97136</v>
      </c>
      <c r="D23940" t="str">
        <f>"97136"</f>
        <v>97136</v>
      </c>
      <c r="E23940">
        <v>67.42</v>
      </c>
    </row>
    <row r="23941" spans="1:5" x14ac:dyDescent="0.2">
      <c r="A23941">
        <v>97137</v>
      </c>
      <c r="B23941" t="s">
        <v>43</v>
      </c>
      <c r="C23941">
        <v>97137</v>
      </c>
      <c r="D23941" t="str">
        <f>"97137"</f>
        <v>97137</v>
      </c>
      <c r="E23941">
        <v>73.97</v>
      </c>
    </row>
    <row r="23942" spans="1:5" x14ac:dyDescent="0.2">
      <c r="A23942">
        <v>97138</v>
      </c>
      <c r="B23942" t="s">
        <v>43</v>
      </c>
      <c r="C23942">
        <v>97138</v>
      </c>
      <c r="D23942" t="str">
        <f>"97138"</f>
        <v>97138</v>
      </c>
      <c r="E23942">
        <v>70.260000000000005</v>
      </c>
    </row>
    <row r="23943" spans="1:5" x14ac:dyDescent="0.2">
      <c r="A23943">
        <v>97140</v>
      </c>
      <c r="B23943" t="s">
        <v>43</v>
      </c>
      <c r="C23943">
        <v>97140</v>
      </c>
      <c r="D23943" t="str">
        <f>"97140"</f>
        <v>97140</v>
      </c>
      <c r="E23943">
        <v>79.930000000000007</v>
      </c>
    </row>
    <row r="23944" spans="1:5" x14ac:dyDescent="0.2">
      <c r="A23944">
        <v>97141</v>
      </c>
      <c r="B23944" t="s">
        <v>43</v>
      </c>
      <c r="C23944">
        <v>97141</v>
      </c>
      <c r="D23944" t="str">
        <f>"97141"</f>
        <v>97141</v>
      </c>
      <c r="E23944">
        <v>70.02</v>
      </c>
    </row>
    <row r="23945" spans="1:5" x14ac:dyDescent="0.2">
      <c r="A23945">
        <v>97144</v>
      </c>
      <c r="B23945" t="s">
        <v>43</v>
      </c>
      <c r="C23945">
        <v>97144</v>
      </c>
      <c r="D23945" t="str">
        <f>"97144"</f>
        <v>97144</v>
      </c>
      <c r="E23945" t="s">
        <v>6</v>
      </c>
    </row>
    <row r="23946" spans="1:5" x14ac:dyDescent="0.2">
      <c r="A23946">
        <v>97146</v>
      </c>
      <c r="B23946" t="s">
        <v>43</v>
      </c>
      <c r="C23946">
        <v>97146</v>
      </c>
      <c r="D23946" t="str">
        <f>"97146"</f>
        <v>97146</v>
      </c>
      <c r="E23946">
        <v>74.319999999999993</v>
      </c>
    </row>
    <row r="23947" spans="1:5" x14ac:dyDescent="0.2">
      <c r="A23947">
        <v>97147</v>
      </c>
      <c r="B23947" t="s">
        <v>43</v>
      </c>
      <c r="C23947">
        <v>97147</v>
      </c>
      <c r="D23947" t="str">
        <f>"97147"</f>
        <v>97147</v>
      </c>
      <c r="E23947" t="s">
        <v>6</v>
      </c>
    </row>
    <row r="23948" spans="1:5" x14ac:dyDescent="0.2">
      <c r="A23948">
        <v>97148</v>
      </c>
      <c r="B23948" t="s">
        <v>43</v>
      </c>
      <c r="C23948">
        <v>97148</v>
      </c>
      <c r="D23948" t="str">
        <f>"97148"</f>
        <v>97148</v>
      </c>
      <c r="E23948">
        <v>77.3</v>
      </c>
    </row>
    <row r="23949" spans="1:5" x14ac:dyDescent="0.2">
      <c r="A23949">
        <v>97149</v>
      </c>
      <c r="B23949" t="s">
        <v>43</v>
      </c>
      <c r="C23949">
        <v>97149</v>
      </c>
      <c r="D23949" t="str">
        <f>"97149"</f>
        <v>97149</v>
      </c>
      <c r="E23949">
        <v>75</v>
      </c>
    </row>
    <row r="23950" spans="1:5" x14ac:dyDescent="0.2">
      <c r="A23950">
        <v>97201</v>
      </c>
      <c r="B23950" t="s">
        <v>43</v>
      </c>
      <c r="C23950">
        <v>97201</v>
      </c>
      <c r="D23950" t="str">
        <f>"97201"</f>
        <v>97201</v>
      </c>
      <c r="E23950">
        <v>78.739999999999995</v>
      </c>
    </row>
    <row r="23951" spans="1:5" x14ac:dyDescent="0.2">
      <c r="A23951">
        <v>97202</v>
      </c>
      <c r="B23951" t="s">
        <v>43</v>
      </c>
      <c r="C23951">
        <v>97202</v>
      </c>
      <c r="D23951" t="str">
        <f>"97202"</f>
        <v>97202</v>
      </c>
      <c r="E23951">
        <v>82.12</v>
      </c>
    </row>
    <row r="23952" spans="1:5" x14ac:dyDescent="0.2">
      <c r="A23952">
        <v>97203</v>
      </c>
      <c r="B23952" t="s">
        <v>43</v>
      </c>
      <c r="C23952">
        <v>97203</v>
      </c>
      <c r="D23952" t="str">
        <f>"97203"</f>
        <v>97203</v>
      </c>
      <c r="E23952">
        <v>76.28</v>
      </c>
    </row>
    <row r="23953" spans="1:5" x14ac:dyDescent="0.2">
      <c r="A23953">
        <v>97204</v>
      </c>
      <c r="B23953" t="s">
        <v>43</v>
      </c>
      <c r="C23953">
        <v>97204</v>
      </c>
      <c r="D23953" t="str">
        <f>"97204"</f>
        <v>97204</v>
      </c>
      <c r="E23953">
        <v>75.930000000000007</v>
      </c>
    </row>
    <row r="23954" spans="1:5" x14ac:dyDescent="0.2">
      <c r="A23954">
        <v>97205</v>
      </c>
      <c r="B23954" t="s">
        <v>43</v>
      </c>
      <c r="C23954">
        <v>97205</v>
      </c>
      <c r="D23954" t="str">
        <f>"97205"</f>
        <v>97205</v>
      </c>
      <c r="E23954">
        <v>83.38</v>
      </c>
    </row>
    <row r="23955" spans="1:5" x14ac:dyDescent="0.2">
      <c r="A23955">
        <v>97206</v>
      </c>
      <c r="B23955" t="s">
        <v>43</v>
      </c>
      <c r="C23955">
        <v>97206</v>
      </c>
      <c r="D23955" t="str">
        <f>"97206"</f>
        <v>97206</v>
      </c>
      <c r="E23955">
        <v>79</v>
      </c>
    </row>
    <row r="23956" spans="1:5" x14ac:dyDescent="0.2">
      <c r="A23956">
        <v>97208</v>
      </c>
      <c r="B23956" t="s">
        <v>43</v>
      </c>
      <c r="C23956">
        <v>97208</v>
      </c>
      <c r="D23956" t="str">
        <f>"97208"</f>
        <v>97208</v>
      </c>
      <c r="E23956" t="s">
        <v>6</v>
      </c>
    </row>
    <row r="23957" spans="1:5" x14ac:dyDescent="0.2">
      <c r="A23957">
        <v>97209</v>
      </c>
      <c r="B23957" t="s">
        <v>43</v>
      </c>
      <c r="C23957">
        <v>97209</v>
      </c>
      <c r="D23957" t="str">
        <f>"97209"</f>
        <v>97209</v>
      </c>
      <c r="E23957">
        <v>84.97</v>
      </c>
    </row>
    <row r="23958" spans="1:5" x14ac:dyDescent="0.2">
      <c r="A23958">
        <v>97210</v>
      </c>
      <c r="B23958" t="s">
        <v>43</v>
      </c>
      <c r="C23958">
        <v>97210</v>
      </c>
      <c r="D23958" t="str">
        <f>"97210"</f>
        <v>97210</v>
      </c>
      <c r="E23958">
        <v>87.32</v>
      </c>
    </row>
    <row r="23959" spans="1:5" x14ac:dyDescent="0.2">
      <c r="A23959">
        <v>97211</v>
      </c>
      <c r="B23959" t="s">
        <v>43</v>
      </c>
      <c r="C23959">
        <v>97211</v>
      </c>
      <c r="D23959" t="str">
        <f>"97211"</f>
        <v>97211</v>
      </c>
      <c r="E23959">
        <v>80.94</v>
      </c>
    </row>
    <row r="23960" spans="1:5" x14ac:dyDescent="0.2">
      <c r="A23960">
        <v>97212</v>
      </c>
      <c r="B23960" t="s">
        <v>43</v>
      </c>
      <c r="C23960">
        <v>97212</v>
      </c>
      <c r="D23960" t="str">
        <f>"97212"</f>
        <v>97212</v>
      </c>
      <c r="E23960">
        <v>83.3</v>
      </c>
    </row>
    <row r="23961" spans="1:5" x14ac:dyDescent="0.2">
      <c r="A23961">
        <v>97213</v>
      </c>
      <c r="B23961" t="s">
        <v>43</v>
      </c>
      <c r="C23961">
        <v>97213</v>
      </c>
      <c r="D23961" t="str">
        <f>"97213"</f>
        <v>97213</v>
      </c>
      <c r="E23961">
        <v>82.97</v>
      </c>
    </row>
    <row r="23962" spans="1:5" x14ac:dyDescent="0.2">
      <c r="A23962">
        <v>97214</v>
      </c>
      <c r="B23962" t="s">
        <v>43</v>
      </c>
      <c r="C23962">
        <v>97214</v>
      </c>
      <c r="D23962" t="str">
        <f>"97214"</f>
        <v>97214</v>
      </c>
      <c r="E23962">
        <v>84.32</v>
      </c>
    </row>
    <row r="23963" spans="1:5" x14ac:dyDescent="0.2">
      <c r="A23963">
        <v>97215</v>
      </c>
      <c r="B23963" t="s">
        <v>43</v>
      </c>
      <c r="C23963">
        <v>97215</v>
      </c>
      <c r="D23963" t="str">
        <f>"97215"</f>
        <v>97215</v>
      </c>
      <c r="E23963">
        <v>82.79</v>
      </c>
    </row>
    <row r="23964" spans="1:5" x14ac:dyDescent="0.2">
      <c r="A23964">
        <v>97216</v>
      </c>
      <c r="B23964" t="s">
        <v>43</v>
      </c>
      <c r="C23964">
        <v>97216</v>
      </c>
      <c r="D23964" t="str">
        <f>"97216"</f>
        <v>97216</v>
      </c>
      <c r="E23964">
        <v>74.13</v>
      </c>
    </row>
    <row r="23965" spans="1:5" x14ac:dyDescent="0.2">
      <c r="A23965">
        <v>97217</v>
      </c>
      <c r="B23965" t="s">
        <v>43</v>
      </c>
      <c r="C23965">
        <v>97217</v>
      </c>
      <c r="D23965" t="str">
        <f>"97217"</f>
        <v>97217</v>
      </c>
      <c r="E23965">
        <v>81.42</v>
      </c>
    </row>
    <row r="23966" spans="1:5" x14ac:dyDescent="0.2">
      <c r="A23966">
        <v>97218</v>
      </c>
      <c r="B23966" t="s">
        <v>43</v>
      </c>
      <c r="C23966">
        <v>97218</v>
      </c>
      <c r="D23966" t="str">
        <f>"97218"</f>
        <v>97218</v>
      </c>
      <c r="E23966">
        <v>73.16</v>
      </c>
    </row>
    <row r="23967" spans="1:5" x14ac:dyDescent="0.2">
      <c r="A23967">
        <v>97219</v>
      </c>
      <c r="B23967" t="s">
        <v>43</v>
      </c>
      <c r="C23967">
        <v>97219</v>
      </c>
      <c r="D23967" t="str">
        <f>"97219"</f>
        <v>97219</v>
      </c>
      <c r="E23967">
        <v>81.510000000000005</v>
      </c>
    </row>
    <row r="23968" spans="1:5" x14ac:dyDescent="0.2">
      <c r="A23968">
        <v>97220</v>
      </c>
      <c r="B23968" t="s">
        <v>43</v>
      </c>
      <c r="C23968">
        <v>97220</v>
      </c>
      <c r="D23968" t="str">
        <f>"97220"</f>
        <v>97220</v>
      </c>
      <c r="E23968">
        <v>72.72</v>
      </c>
    </row>
    <row r="23969" spans="1:5" x14ac:dyDescent="0.2">
      <c r="A23969">
        <v>97221</v>
      </c>
      <c r="B23969" t="s">
        <v>43</v>
      </c>
      <c r="C23969">
        <v>97221</v>
      </c>
      <c r="D23969" t="str">
        <f>"97221"</f>
        <v>97221</v>
      </c>
      <c r="E23969">
        <v>82.27</v>
      </c>
    </row>
    <row r="23970" spans="1:5" x14ac:dyDescent="0.2">
      <c r="A23970">
        <v>97222</v>
      </c>
      <c r="B23970" t="s">
        <v>43</v>
      </c>
      <c r="C23970">
        <v>97222</v>
      </c>
      <c r="D23970" t="str">
        <f>"97222"</f>
        <v>97222</v>
      </c>
      <c r="E23970">
        <v>77.95</v>
      </c>
    </row>
    <row r="23971" spans="1:5" x14ac:dyDescent="0.2">
      <c r="A23971">
        <v>97223</v>
      </c>
      <c r="B23971" t="s">
        <v>43</v>
      </c>
      <c r="C23971">
        <v>97223</v>
      </c>
      <c r="D23971" t="str">
        <f>"97223"</f>
        <v>97223</v>
      </c>
      <c r="E23971">
        <v>79.66</v>
      </c>
    </row>
    <row r="23972" spans="1:5" x14ac:dyDescent="0.2">
      <c r="A23972">
        <v>97224</v>
      </c>
      <c r="B23972" t="s">
        <v>43</v>
      </c>
      <c r="C23972">
        <v>97224</v>
      </c>
      <c r="D23972" t="str">
        <f>"97224"</f>
        <v>97224</v>
      </c>
      <c r="E23972">
        <v>79.47</v>
      </c>
    </row>
    <row r="23973" spans="1:5" x14ac:dyDescent="0.2">
      <c r="A23973">
        <v>97225</v>
      </c>
      <c r="B23973" t="s">
        <v>43</v>
      </c>
      <c r="C23973">
        <v>97225</v>
      </c>
      <c r="D23973" t="str">
        <f>"97225"</f>
        <v>97225</v>
      </c>
      <c r="E23973">
        <v>83.81</v>
      </c>
    </row>
    <row r="23974" spans="1:5" x14ac:dyDescent="0.2">
      <c r="A23974">
        <v>97227</v>
      </c>
      <c r="B23974" t="s">
        <v>43</v>
      </c>
      <c r="C23974">
        <v>97227</v>
      </c>
      <c r="D23974" t="str">
        <f>"97227"</f>
        <v>97227</v>
      </c>
      <c r="E23974">
        <v>83.15</v>
      </c>
    </row>
    <row r="23975" spans="1:5" x14ac:dyDescent="0.2">
      <c r="A23975">
        <v>97229</v>
      </c>
      <c r="B23975" t="s">
        <v>43</v>
      </c>
      <c r="C23975">
        <v>97229</v>
      </c>
      <c r="D23975" t="str">
        <f>"97229"</f>
        <v>97229</v>
      </c>
      <c r="E23975">
        <v>83.37</v>
      </c>
    </row>
    <row r="23976" spans="1:5" x14ac:dyDescent="0.2">
      <c r="A23976">
        <v>97230</v>
      </c>
      <c r="B23976" t="s">
        <v>43</v>
      </c>
      <c r="C23976">
        <v>97230</v>
      </c>
      <c r="D23976" t="str">
        <f>"97230"</f>
        <v>97230</v>
      </c>
      <c r="E23976">
        <v>70.790000000000006</v>
      </c>
    </row>
    <row r="23977" spans="1:5" x14ac:dyDescent="0.2">
      <c r="A23977">
        <v>97231</v>
      </c>
      <c r="B23977" t="s">
        <v>43</v>
      </c>
      <c r="C23977">
        <v>97231</v>
      </c>
      <c r="D23977" t="str">
        <f>"97231"</f>
        <v>97231</v>
      </c>
      <c r="E23977">
        <v>78.22</v>
      </c>
    </row>
    <row r="23978" spans="1:5" x14ac:dyDescent="0.2">
      <c r="A23978">
        <v>97232</v>
      </c>
      <c r="B23978" t="s">
        <v>43</v>
      </c>
      <c r="C23978">
        <v>97232</v>
      </c>
      <c r="D23978" t="str">
        <f>"97232"</f>
        <v>97232</v>
      </c>
      <c r="E23978">
        <v>85.23</v>
      </c>
    </row>
    <row r="23979" spans="1:5" x14ac:dyDescent="0.2">
      <c r="A23979">
        <v>97233</v>
      </c>
      <c r="B23979" t="s">
        <v>43</v>
      </c>
      <c r="C23979">
        <v>97233</v>
      </c>
      <c r="D23979" t="str">
        <f>"97233"</f>
        <v>97233</v>
      </c>
      <c r="E23979">
        <v>61.92</v>
      </c>
    </row>
    <row r="23980" spans="1:5" x14ac:dyDescent="0.2">
      <c r="A23980">
        <v>97236</v>
      </c>
      <c r="B23980" t="s">
        <v>43</v>
      </c>
      <c r="C23980">
        <v>97236</v>
      </c>
      <c r="D23980" t="str">
        <f>"97236"</f>
        <v>97236</v>
      </c>
      <c r="E23980">
        <v>65.739999999999995</v>
      </c>
    </row>
    <row r="23981" spans="1:5" x14ac:dyDescent="0.2">
      <c r="A23981">
        <v>97239</v>
      </c>
      <c r="B23981" t="s">
        <v>43</v>
      </c>
      <c r="C23981">
        <v>97239</v>
      </c>
      <c r="D23981" t="str">
        <f>"97239"</f>
        <v>97239</v>
      </c>
      <c r="E23981">
        <v>83.82</v>
      </c>
    </row>
    <row r="23982" spans="1:5" x14ac:dyDescent="0.2">
      <c r="A23982">
        <v>97258</v>
      </c>
      <c r="B23982" t="s">
        <v>43</v>
      </c>
      <c r="C23982">
        <v>97258</v>
      </c>
      <c r="D23982" t="str">
        <f>"97258"</f>
        <v>97258</v>
      </c>
      <c r="E23982" t="s">
        <v>6</v>
      </c>
    </row>
    <row r="23983" spans="1:5" x14ac:dyDescent="0.2">
      <c r="A23983">
        <v>97266</v>
      </c>
      <c r="B23983" t="s">
        <v>43</v>
      </c>
      <c r="C23983">
        <v>97266</v>
      </c>
      <c r="D23983" t="str">
        <f>"97266"</f>
        <v>97266</v>
      </c>
      <c r="E23983">
        <v>68.599999999999994</v>
      </c>
    </row>
    <row r="23984" spans="1:5" x14ac:dyDescent="0.2">
      <c r="A23984">
        <v>97267</v>
      </c>
      <c r="B23984" t="s">
        <v>43</v>
      </c>
      <c r="C23984">
        <v>97267</v>
      </c>
      <c r="D23984" t="str">
        <f>"97267"</f>
        <v>97267</v>
      </c>
      <c r="E23984">
        <v>78.62</v>
      </c>
    </row>
    <row r="23985" spans="1:5" x14ac:dyDescent="0.2">
      <c r="A23985">
        <v>97282</v>
      </c>
      <c r="B23985" t="s">
        <v>43</v>
      </c>
      <c r="C23985">
        <v>97282</v>
      </c>
      <c r="D23985" t="str">
        <f>"97282"</f>
        <v>97282</v>
      </c>
      <c r="E23985" t="s">
        <v>6</v>
      </c>
    </row>
    <row r="23986" spans="1:5" x14ac:dyDescent="0.2">
      <c r="A23986">
        <v>97301</v>
      </c>
      <c r="B23986" t="s">
        <v>43</v>
      </c>
      <c r="C23986">
        <v>97301</v>
      </c>
      <c r="D23986" t="str">
        <f>"97301"</f>
        <v>97301</v>
      </c>
      <c r="E23986">
        <v>64.95</v>
      </c>
    </row>
    <row r="23987" spans="1:5" x14ac:dyDescent="0.2">
      <c r="A23987">
        <v>97302</v>
      </c>
      <c r="B23987" t="s">
        <v>43</v>
      </c>
      <c r="C23987">
        <v>97302</v>
      </c>
      <c r="D23987" t="str">
        <f>"97302"</f>
        <v>97302</v>
      </c>
      <c r="E23987">
        <v>76.77</v>
      </c>
    </row>
    <row r="23988" spans="1:5" x14ac:dyDescent="0.2">
      <c r="A23988">
        <v>97303</v>
      </c>
      <c r="B23988" t="s">
        <v>43</v>
      </c>
      <c r="C23988">
        <v>97303</v>
      </c>
      <c r="D23988" t="str">
        <f>"97303"</f>
        <v>97303</v>
      </c>
      <c r="E23988">
        <v>73.41</v>
      </c>
    </row>
    <row r="23989" spans="1:5" x14ac:dyDescent="0.2">
      <c r="A23989">
        <v>97304</v>
      </c>
      <c r="B23989" t="s">
        <v>43</v>
      </c>
      <c r="C23989">
        <v>97304</v>
      </c>
      <c r="D23989" t="str">
        <f>"97304"</f>
        <v>97304</v>
      </c>
      <c r="E23989">
        <v>77.010000000000005</v>
      </c>
    </row>
    <row r="23990" spans="1:5" x14ac:dyDescent="0.2">
      <c r="A23990">
        <v>97305</v>
      </c>
      <c r="B23990" t="s">
        <v>43</v>
      </c>
      <c r="C23990">
        <v>97305</v>
      </c>
      <c r="D23990" t="str">
        <f>"97305"</f>
        <v>97305</v>
      </c>
      <c r="E23990">
        <v>64</v>
      </c>
    </row>
    <row r="23991" spans="1:5" x14ac:dyDescent="0.2">
      <c r="A23991">
        <v>97306</v>
      </c>
      <c r="B23991" t="s">
        <v>43</v>
      </c>
      <c r="C23991">
        <v>97306</v>
      </c>
      <c r="D23991" t="str">
        <f>"97306"</f>
        <v>97306</v>
      </c>
      <c r="E23991">
        <v>77.430000000000007</v>
      </c>
    </row>
    <row r="23992" spans="1:5" x14ac:dyDescent="0.2">
      <c r="A23992">
        <v>97310</v>
      </c>
      <c r="B23992" t="s">
        <v>43</v>
      </c>
      <c r="C23992">
        <v>97310</v>
      </c>
      <c r="D23992" t="str">
        <f>"97310"</f>
        <v>97310</v>
      </c>
      <c r="E23992" t="s">
        <v>6</v>
      </c>
    </row>
    <row r="23993" spans="1:5" x14ac:dyDescent="0.2">
      <c r="A23993">
        <v>97312</v>
      </c>
      <c r="B23993" t="s">
        <v>43</v>
      </c>
      <c r="C23993">
        <v>97312</v>
      </c>
      <c r="D23993" t="str">
        <f>"97312"</f>
        <v>97312</v>
      </c>
      <c r="E23993" t="s">
        <v>6</v>
      </c>
    </row>
    <row r="23994" spans="1:5" x14ac:dyDescent="0.2">
      <c r="A23994">
        <v>97317</v>
      </c>
      <c r="B23994" t="s">
        <v>43</v>
      </c>
      <c r="C23994">
        <v>97317</v>
      </c>
      <c r="D23994" t="str">
        <f>"97317"</f>
        <v>97317</v>
      </c>
      <c r="E23994">
        <v>70.040000000000006</v>
      </c>
    </row>
    <row r="23995" spans="1:5" x14ac:dyDescent="0.2">
      <c r="A23995">
        <v>97321</v>
      </c>
      <c r="B23995" t="s">
        <v>43</v>
      </c>
      <c r="C23995">
        <v>97321</v>
      </c>
      <c r="D23995" t="str">
        <f>"97321"</f>
        <v>97321</v>
      </c>
      <c r="E23995">
        <v>76.36</v>
      </c>
    </row>
    <row r="23996" spans="1:5" x14ac:dyDescent="0.2">
      <c r="A23996">
        <v>97322</v>
      </c>
      <c r="B23996" t="s">
        <v>43</v>
      </c>
      <c r="C23996">
        <v>97322</v>
      </c>
      <c r="D23996" t="str">
        <f>"97322"</f>
        <v>97322</v>
      </c>
      <c r="E23996">
        <v>71.55</v>
      </c>
    </row>
    <row r="23997" spans="1:5" x14ac:dyDescent="0.2">
      <c r="A23997">
        <v>97324</v>
      </c>
      <c r="B23997" t="s">
        <v>43</v>
      </c>
      <c r="C23997">
        <v>97324</v>
      </c>
      <c r="D23997" t="str">
        <f>"97324"</f>
        <v>97324</v>
      </c>
      <c r="E23997">
        <v>75</v>
      </c>
    </row>
    <row r="23998" spans="1:5" x14ac:dyDescent="0.2">
      <c r="A23998">
        <v>97325</v>
      </c>
      <c r="B23998" t="s">
        <v>43</v>
      </c>
      <c r="C23998">
        <v>97325</v>
      </c>
      <c r="D23998" t="str">
        <f>"97325"</f>
        <v>97325</v>
      </c>
      <c r="E23998">
        <v>73.040000000000006</v>
      </c>
    </row>
    <row r="23999" spans="1:5" x14ac:dyDescent="0.2">
      <c r="A23999">
        <v>97326</v>
      </c>
      <c r="B23999" t="s">
        <v>43</v>
      </c>
      <c r="C23999">
        <v>97326</v>
      </c>
      <c r="D23999" t="str">
        <f>"97326"</f>
        <v>97326</v>
      </c>
      <c r="E23999">
        <v>69.7</v>
      </c>
    </row>
    <row r="24000" spans="1:5" x14ac:dyDescent="0.2">
      <c r="A24000">
        <v>97327</v>
      </c>
      <c r="B24000" t="s">
        <v>43</v>
      </c>
      <c r="C24000">
        <v>97327</v>
      </c>
      <c r="D24000" t="str">
        <f>"97327"</f>
        <v>97327</v>
      </c>
      <c r="E24000">
        <v>76.69</v>
      </c>
    </row>
    <row r="24001" spans="1:5" x14ac:dyDescent="0.2">
      <c r="A24001">
        <v>97329</v>
      </c>
      <c r="B24001" t="s">
        <v>43</v>
      </c>
      <c r="C24001">
        <v>97329</v>
      </c>
      <c r="D24001" t="str">
        <f>"97329"</f>
        <v>97329</v>
      </c>
      <c r="E24001" t="s">
        <v>6</v>
      </c>
    </row>
    <row r="24002" spans="1:5" x14ac:dyDescent="0.2">
      <c r="A24002">
        <v>97330</v>
      </c>
      <c r="B24002" t="s">
        <v>43</v>
      </c>
      <c r="C24002">
        <v>97330</v>
      </c>
      <c r="D24002" t="str">
        <f>"97330"</f>
        <v>97330</v>
      </c>
      <c r="E24002">
        <v>73.86</v>
      </c>
    </row>
    <row r="24003" spans="1:5" x14ac:dyDescent="0.2">
      <c r="A24003">
        <v>97331</v>
      </c>
      <c r="B24003" t="s">
        <v>43</v>
      </c>
      <c r="C24003">
        <v>97331</v>
      </c>
      <c r="D24003" t="str">
        <f>"97331"</f>
        <v>97331</v>
      </c>
      <c r="E24003" t="s">
        <v>6</v>
      </c>
    </row>
    <row r="24004" spans="1:5" x14ac:dyDescent="0.2">
      <c r="A24004">
        <v>97333</v>
      </c>
      <c r="B24004" t="s">
        <v>43</v>
      </c>
      <c r="C24004">
        <v>97333</v>
      </c>
      <c r="D24004" t="str">
        <f>"97333"</f>
        <v>97333</v>
      </c>
      <c r="E24004">
        <v>72.56</v>
      </c>
    </row>
    <row r="24005" spans="1:5" x14ac:dyDescent="0.2">
      <c r="A24005">
        <v>97335</v>
      </c>
      <c r="B24005" t="s">
        <v>43</v>
      </c>
      <c r="C24005">
        <v>97335</v>
      </c>
      <c r="D24005" t="str">
        <f>"97335"</f>
        <v>97335</v>
      </c>
      <c r="E24005" t="s">
        <v>6</v>
      </c>
    </row>
    <row r="24006" spans="1:5" x14ac:dyDescent="0.2">
      <c r="A24006">
        <v>97336</v>
      </c>
      <c r="B24006" t="s">
        <v>43</v>
      </c>
      <c r="C24006">
        <v>97336</v>
      </c>
      <c r="D24006" t="str">
        <f>"97336"</f>
        <v>97336</v>
      </c>
      <c r="E24006" t="s">
        <v>6</v>
      </c>
    </row>
    <row r="24007" spans="1:5" x14ac:dyDescent="0.2">
      <c r="A24007">
        <v>97338</v>
      </c>
      <c r="B24007" t="s">
        <v>43</v>
      </c>
      <c r="C24007">
        <v>97338</v>
      </c>
      <c r="D24007" t="str">
        <f>"97338"</f>
        <v>97338</v>
      </c>
      <c r="E24007">
        <v>74</v>
      </c>
    </row>
    <row r="24008" spans="1:5" x14ac:dyDescent="0.2">
      <c r="A24008">
        <v>97341</v>
      </c>
      <c r="B24008" t="s">
        <v>43</v>
      </c>
      <c r="C24008">
        <v>97341</v>
      </c>
      <c r="D24008" t="str">
        <f>"97341"</f>
        <v>97341</v>
      </c>
      <c r="E24008">
        <v>74.17</v>
      </c>
    </row>
    <row r="24009" spans="1:5" x14ac:dyDescent="0.2">
      <c r="A24009">
        <v>97342</v>
      </c>
      <c r="B24009" t="s">
        <v>43</v>
      </c>
      <c r="C24009">
        <v>97342</v>
      </c>
      <c r="D24009" t="str">
        <f>"97342"</f>
        <v>97342</v>
      </c>
      <c r="E24009" t="s">
        <v>6</v>
      </c>
    </row>
    <row r="24010" spans="1:5" x14ac:dyDescent="0.2">
      <c r="A24010">
        <v>97343</v>
      </c>
      <c r="B24010" t="s">
        <v>43</v>
      </c>
      <c r="C24010">
        <v>97343</v>
      </c>
      <c r="D24010" t="str">
        <f>"97343"</f>
        <v>97343</v>
      </c>
      <c r="E24010">
        <v>70</v>
      </c>
    </row>
    <row r="24011" spans="1:5" x14ac:dyDescent="0.2">
      <c r="A24011">
        <v>97344</v>
      </c>
      <c r="B24011" t="s">
        <v>43</v>
      </c>
      <c r="C24011">
        <v>97344</v>
      </c>
      <c r="D24011" t="str">
        <f>"97344"</f>
        <v>97344</v>
      </c>
      <c r="E24011">
        <v>64.44</v>
      </c>
    </row>
    <row r="24012" spans="1:5" x14ac:dyDescent="0.2">
      <c r="A24012">
        <v>97345</v>
      </c>
      <c r="B24012" t="s">
        <v>43</v>
      </c>
      <c r="C24012">
        <v>97345</v>
      </c>
      <c r="D24012" t="str">
        <f>"97345"</f>
        <v>97345</v>
      </c>
      <c r="E24012">
        <v>62.5</v>
      </c>
    </row>
    <row r="24013" spans="1:5" x14ac:dyDescent="0.2">
      <c r="A24013">
        <v>97346</v>
      </c>
      <c r="B24013" t="s">
        <v>43</v>
      </c>
      <c r="C24013">
        <v>97346</v>
      </c>
      <c r="D24013" t="str">
        <f>"97346"</f>
        <v>97346</v>
      </c>
      <c r="E24013">
        <v>75.760000000000005</v>
      </c>
    </row>
    <row r="24014" spans="1:5" x14ac:dyDescent="0.2">
      <c r="A24014">
        <v>97347</v>
      </c>
      <c r="B24014" t="s">
        <v>43</v>
      </c>
      <c r="C24014">
        <v>97347</v>
      </c>
      <c r="D24014" t="str">
        <f>"97347"</f>
        <v>97347</v>
      </c>
      <c r="E24014">
        <v>65.12</v>
      </c>
    </row>
    <row r="24015" spans="1:5" x14ac:dyDescent="0.2">
      <c r="A24015">
        <v>97348</v>
      </c>
      <c r="B24015" t="s">
        <v>43</v>
      </c>
      <c r="C24015">
        <v>97348</v>
      </c>
      <c r="D24015" t="str">
        <f>"97348"</f>
        <v>97348</v>
      </c>
      <c r="E24015">
        <v>74.319999999999993</v>
      </c>
    </row>
    <row r="24016" spans="1:5" x14ac:dyDescent="0.2">
      <c r="A24016">
        <v>97350</v>
      </c>
      <c r="B24016" t="s">
        <v>43</v>
      </c>
      <c r="C24016">
        <v>97350</v>
      </c>
      <c r="D24016" t="str">
        <f>"97350"</f>
        <v>97350</v>
      </c>
      <c r="E24016" t="s">
        <v>6</v>
      </c>
    </row>
    <row r="24017" spans="1:5" x14ac:dyDescent="0.2">
      <c r="A24017">
        <v>97351</v>
      </c>
      <c r="B24017" t="s">
        <v>43</v>
      </c>
      <c r="C24017">
        <v>97351</v>
      </c>
      <c r="D24017" t="str">
        <f>"97351"</f>
        <v>97351</v>
      </c>
      <c r="E24017">
        <v>68.349999999999994</v>
      </c>
    </row>
    <row r="24018" spans="1:5" x14ac:dyDescent="0.2">
      <c r="A24018">
        <v>97352</v>
      </c>
      <c r="B24018" t="s">
        <v>43</v>
      </c>
      <c r="C24018">
        <v>97352</v>
      </c>
      <c r="D24018" t="str">
        <f>"97352"</f>
        <v>97352</v>
      </c>
      <c r="E24018">
        <v>72.7</v>
      </c>
    </row>
    <row r="24019" spans="1:5" x14ac:dyDescent="0.2">
      <c r="A24019">
        <v>97355</v>
      </c>
      <c r="B24019" t="s">
        <v>43</v>
      </c>
      <c r="C24019">
        <v>97355</v>
      </c>
      <c r="D24019" t="str">
        <f>"97355"</f>
        <v>97355</v>
      </c>
      <c r="E24019">
        <v>71.209999999999994</v>
      </c>
    </row>
    <row r="24020" spans="1:5" x14ac:dyDescent="0.2">
      <c r="A24020">
        <v>97357</v>
      </c>
      <c r="B24020" t="s">
        <v>43</v>
      </c>
      <c r="C24020">
        <v>97357</v>
      </c>
      <c r="D24020" t="str">
        <f>"97357"</f>
        <v>97357</v>
      </c>
      <c r="E24020">
        <v>58.33</v>
      </c>
    </row>
    <row r="24021" spans="1:5" x14ac:dyDescent="0.2">
      <c r="A24021">
        <v>97358</v>
      </c>
      <c r="B24021" t="s">
        <v>43</v>
      </c>
      <c r="C24021">
        <v>97358</v>
      </c>
      <c r="D24021" t="str">
        <f>"97358"</f>
        <v>97358</v>
      </c>
      <c r="E24021">
        <v>74.59</v>
      </c>
    </row>
    <row r="24022" spans="1:5" x14ac:dyDescent="0.2">
      <c r="A24022">
        <v>97360</v>
      </c>
      <c r="B24022" t="s">
        <v>43</v>
      </c>
      <c r="C24022">
        <v>97360</v>
      </c>
      <c r="D24022" t="str">
        <f>"97360"</f>
        <v>97360</v>
      </c>
      <c r="E24022">
        <v>68.75</v>
      </c>
    </row>
    <row r="24023" spans="1:5" x14ac:dyDescent="0.2">
      <c r="A24023">
        <v>97361</v>
      </c>
      <c r="B24023" t="s">
        <v>43</v>
      </c>
      <c r="C24023">
        <v>97361</v>
      </c>
      <c r="D24023" t="str">
        <f>"97361"</f>
        <v>97361</v>
      </c>
      <c r="E24023">
        <v>69.34</v>
      </c>
    </row>
    <row r="24024" spans="1:5" x14ac:dyDescent="0.2">
      <c r="A24024">
        <v>97362</v>
      </c>
      <c r="B24024" t="s">
        <v>43</v>
      </c>
      <c r="C24024">
        <v>97362</v>
      </c>
      <c r="D24024" t="str">
        <f>"97362"</f>
        <v>97362</v>
      </c>
      <c r="E24024">
        <v>70.41</v>
      </c>
    </row>
    <row r="24025" spans="1:5" x14ac:dyDescent="0.2">
      <c r="A24025">
        <v>97364</v>
      </c>
      <c r="B24025" t="s">
        <v>43</v>
      </c>
      <c r="C24025">
        <v>97364</v>
      </c>
      <c r="D24025" t="str">
        <f>"97364"</f>
        <v>97364</v>
      </c>
      <c r="E24025">
        <v>71.930000000000007</v>
      </c>
    </row>
    <row r="24026" spans="1:5" x14ac:dyDescent="0.2">
      <c r="A24026">
        <v>97365</v>
      </c>
      <c r="B24026" t="s">
        <v>43</v>
      </c>
      <c r="C24026">
        <v>97365</v>
      </c>
      <c r="D24026" t="str">
        <f>"97365"</f>
        <v>97365</v>
      </c>
      <c r="E24026">
        <v>71.349999999999994</v>
      </c>
    </row>
    <row r="24027" spans="1:5" x14ac:dyDescent="0.2">
      <c r="A24027">
        <v>97366</v>
      </c>
      <c r="B24027" t="s">
        <v>43</v>
      </c>
      <c r="C24027">
        <v>97366</v>
      </c>
      <c r="D24027" t="str">
        <f>"97366"</f>
        <v>97366</v>
      </c>
      <c r="E24027">
        <v>73.489999999999995</v>
      </c>
    </row>
    <row r="24028" spans="1:5" x14ac:dyDescent="0.2">
      <c r="A24028">
        <v>97367</v>
      </c>
      <c r="B24028" t="s">
        <v>43</v>
      </c>
      <c r="C24028">
        <v>97367</v>
      </c>
      <c r="D24028" t="str">
        <f>"97367"</f>
        <v>97367</v>
      </c>
      <c r="E24028">
        <v>71.19</v>
      </c>
    </row>
    <row r="24029" spans="1:5" x14ac:dyDescent="0.2">
      <c r="A24029">
        <v>97368</v>
      </c>
      <c r="B24029" t="s">
        <v>43</v>
      </c>
      <c r="C24029">
        <v>97368</v>
      </c>
      <c r="D24029" t="str">
        <f>"97368"</f>
        <v>97368</v>
      </c>
      <c r="E24029">
        <v>67.44</v>
      </c>
    </row>
    <row r="24030" spans="1:5" x14ac:dyDescent="0.2">
      <c r="A24030">
        <v>97369</v>
      </c>
      <c r="B24030" t="s">
        <v>43</v>
      </c>
      <c r="C24030">
        <v>97369</v>
      </c>
      <c r="D24030" t="str">
        <f>"97369"</f>
        <v>97369</v>
      </c>
      <c r="E24030">
        <v>81.819999999999993</v>
      </c>
    </row>
    <row r="24031" spans="1:5" x14ac:dyDescent="0.2">
      <c r="A24031">
        <v>97370</v>
      </c>
      <c r="B24031" t="s">
        <v>43</v>
      </c>
      <c r="C24031">
        <v>97370</v>
      </c>
      <c r="D24031" t="str">
        <f>"97370"</f>
        <v>97370</v>
      </c>
      <c r="E24031">
        <v>74.94</v>
      </c>
    </row>
    <row r="24032" spans="1:5" x14ac:dyDescent="0.2">
      <c r="A24032">
        <v>97371</v>
      </c>
      <c r="B24032" t="s">
        <v>43</v>
      </c>
      <c r="C24032">
        <v>97371</v>
      </c>
      <c r="D24032" t="str">
        <f>"97371"</f>
        <v>97371</v>
      </c>
      <c r="E24032">
        <v>75.680000000000007</v>
      </c>
    </row>
    <row r="24033" spans="1:5" x14ac:dyDescent="0.2">
      <c r="A24033">
        <v>97373</v>
      </c>
      <c r="B24033" t="s">
        <v>43</v>
      </c>
      <c r="C24033">
        <v>97373</v>
      </c>
      <c r="D24033" t="str">
        <f>"97373"</f>
        <v>97373</v>
      </c>
      <c r="E24033" t="s">
        <v>6</v>
      </c>
    </row>
    <row r="24034" spans="1:5" x14ac:dyDescent="0.2">
      <c r="A24034">
        <v>97374</v>
      </c>
      <c r="B24034" t="s">
        <v>43</v>
      </c>
      <c r="C24034">
        <v>97374</v>
      </c>
      <c r="D24034" t="str">
        <f>"97374"</f>
        <v>97374</v>
      </c>
      <c r="E24034">
        <v>74.040000000000006</v>
      </c>
    </row>
    <row r="24035" spans="1:5" x14ac:dyDescent="0.2">
      <c r="A24035">
        <v>97375</v>
      </c>
      <c r="B24035" t="s">
        <v>43</v>
      </c>
      <c r="C24035">
        <v>97375</v>
      </c>
      <c r="D24035" t="str">
        <f>"97375"</f>
        <v>97375</v>
      </c>
      <c r="E24035">
        <v>80</v>
      </c>
    </row>
    <row r="24036" spans="1:5" x14ac:dyDescent="0.2">
      <c r="A24036">
        <v>97376</v>
      </c>
      <c r="B24036" t="s">
        <v>43</v>
      </c>
      <c r="C24036">
        <v>97376</v>
      </c>
      <c r="D24036" t="str">
        <f>"97376"</f>
        <v>97376</v>
      </c>
      <c r="E24036">
        <v>71.430000000000007</v>
      </c>
    </row>
    <row r="24037" spans="1:5" x14ac:dyDescent="0.2">
      <c r="A24037">
        <v>97377</v>
      </c>
      <c r="B24037" t="s">
        <v>43</v>
      </c>
      <c r="C24037">
        <v>97377</v>
      </c>
      <c r="D24037" t="str">
        <f>"97377"</f>
        <v>97377</v>
      </c>
      <c r="E24037">
        <v>80.489999999999995</v>
      </c>
    </row>
    <row r="24038" spans="1:5" x14ac:dyDescent="0.2">
      <c r="A24038">
        <v>97378</v>
      </c>
      <c r="B24038" t="s">
        <v>43</v>
      </c>
      <c r="C24038">
        <v>97378</v>
      </c>
      <c r="D24038" t="str">
        <f>"97378"</f>
        <v>97378</v>
      </c>
      <c r="E24038">
        <v>69.930000000000007</v>
      </c>
    </row>
    <row r="24039" spans="1:5" x14ac:dyDescent="0.2">
      <c r="A24039">
        <v>97380</v>
      </c>
      <c r="B24039" t="s">
        <v>43</v>
      </c>
      <c r="C24039">
        <v>97380</v>
      </c>
      <c r="D24039" t="str">
        <f>"97380"</f>
        <v>97380</v>
      </c>
      <c r="E24039">
        <v>67.739999999999995</v>
      </c>
    </row>
    <row r="24040" spans="1:5" x14ac:dyDescent="0.2">
      <c r="A24040">
        <v>97381</v>
      </c>
      <c r="B24040" t="s">
        <v>43</v>
      </c>
      <c r="C24040">
        <v>97381</v>
      </c>
      <c r="D24040" t="str">
        <f>"97381"</f>
        <v>97381</v>
      </c>
      <c r="E24040">
        <v>75.98</v>
      </c>
    </row>
    <row r="24041" spans="1:5" x14ac:dyDescent="0.2">
      <c r="A24041">
        <v>97383</v>
      </c>
      <c r="B24041" t="s">
        <v>43</v>
      </c>
      <c r="C24041">
        <v>97383</v>
      </c>
      <c r="D24041" t="str">
        <f>"97383"</f>
        <v>97383</v>
      </c>
      <c r="E24041">
        <v>71.55</v>
      </c>
    </row>
    <row r="24042" spans="1:5" x14ac:dyDescent="0.2">
      <c r="A24042">
        <v>97385</v>
      </c>
      <c r="B24042" t="s">
        <v>43</v>
      </c>
      <c r="C24042">
        <v>97385</v>
      </c>
      <c r="D24042" t="str">
        <f>"97385"</f>
        <v>97385</v>
      </c>
      <c r="E24042">
        <v>79.64</v>
      </c>
    </row>
    <row r="24043" spans="1:5" x14ac:dyDescent="0.2">
      <c r="A24043">
        <v>97386</v>
      </c>
      <c r="B24043" t="s">
        <v>43</v>
      </c>
      <c r="C24043">
        <v>97386</v>
      </c>
      <c r="D24043" t="str">
        <f>"97386"</f>
        <v>97386</v>
      </c>
      <c r="E24043">
        <v>66</v>
      </c>
    </row>
    <row r="24044" spans="1:5" x14ac:dyDescent="0.2">
      <c r="A24044">
        <v>97388</v>
      </c>
      <c r="B24044" t="s">
        <v>43</v>
      </c>
      <c r="C24044">
        <v>97388</v>
      </c>
      <c r="D24044" t="str">
        <f>"97388"</f>
        <v>97388</v>
      </c>
      <c r="E24044" t="s">
        <v>6</v>
      </c>
    </row>
    <row r="24045" spans="1:5" x14ac:dyDescent="0.2">
      <c r="A24045">
        <v>97389</v>
      </c>
      <c r="B24045" t="s">
        <v>43</v>
      </c>
      <c r="C24045">
        <v>97389</v>
      </c>
      <c r="D24045" t="str">
        <f>"97389"</f>
        <v>97389</v>
      </c>
      <c r="E24045">
        <v>73.81</v>
      </c>
    </row>
    <row r="24046" spans="1:5" x14ac:dyDescent="0.2">
      <c r="A24046">
        <v>97390</v>
      </c>
      <c r="B24046" t="s">
        <v>43</v>
      </c>
      <c r="C24046">
        <v>97390</v>
      </c>
      <c r="D24046" t="str">
        <f>"97390"</f>
        <v>97390</v>
      </c>
      <c r="E24046">
        <v>63.64</v>
      </c>
    </row>
    <row r="24047" spans="1:5" x14ac:dyDescent="0.2">
      <c r="A24047">
        <v>97391</v>
      </c>
      <c r="B24047" t="s">
        <v>43</v>
      </c>
      <c r="C24047">
        <v>97391</v>
      </c>
      <c r="D24047" t="str">
        <f>"97391"</f>
        <v>97391</v>
      </c>
      <c r="E24047">
        <v>71</v>
      </c>
    </row>
    <row r="24048" spans="1:5" x14ac:dyDescent="0.2">
      <c r="A24048">
        <v>97392</v>
      </c>
      <c r="B24048" t="s">
        <v>43</v>
      </c>
      <c r="C24048">
        <v>97392</v>
      </c>
      <c r="D24048" t="str">
        <f>"97392"</f>
        <v>97392</v>
      </c>
      <c r="E24048">
        <v>77.209999999999994</v>
      </c>
    </row>
    <row r="24049" spans="1:5" x14ac:dyDescent="0.2">
      <c r="A24049">
        <v>97394</v>
      </c>
      <c r="B24049" t="s">
        <v>43</v>
      </c>
      <c r="C24049">
        <v>97394</v>
      </c>
      <c r="D24049" t="str">
        <f>"97394"</f>
        <v>97394</v>
      </c>
      <c r="E24049">
        <v>70.37</v>
      </c>
    </row>
    <row r="24050" spans="1:5" x14ac:dyDescent="0.2">
      <c r="A24050">
        <v>97396</v>
      </c>
      <c r="B24050" t="s">
        <v>43</v>
      </c>
      <c r="C24050">
        <v>97396</v>
      </c>
      <c r="D24050" t="str">
        <f>"97396"</f>
        <v>97396</v>
      </c>
      <c r="E24050">
        <v>67.55</v>
      </c>
    </row>
    <row r="24051" spans="1:5" x14ac:dyDescent="0.2">
      <c r="A24051">
        <v>97401</v>
      </c>
      <c r="B24051" t="s">
        <v>43</v>
      </c>
      <c r="C24051">
        <v>97401</v>
      </c>
      <c r="D24051" t="str">
        <f>"97401"</f>
        <v>97401</v>
      </c>
      <c r="E24051">
        <v>72.98</v>
      </c>
    </row>
    <row r="24052" spans="1:5" x14ac:dyDescent="0.2">
      <c r="A24052">
        <v>97402</v>
      </c>
      <c r="B24052" t="s">
        <v>43</v>
      </c>
      <c r="C24052">
        <v>97402</v>
      </c>
      <c r="D24052" t="str">
        <f>"97402"</f>
        <v>97402</v>
      </c>
      <c r="E24052">
        <v>71.28</v>
      </c>
    </row>
    <row r="24053" spans="1:5" x14ac:dyDescent="0.2">
      <c r="A24053">
        <v>97403</v>
      </c>
      <c r="B24053" t="s">
        <v>43</v>
      </c>
      <c r="C24053">
        <v>97403</v>
      </c>
      <c r="D24053" t="str">
        <f>"97403"</f>
        <v>97403</v>
      </c>
      <c r="E24053">
        <v>68.69</v>
      </c>
    </row>
    <row r="24054" spans="1:5" x14ac:dyDescent="0.2">
      <c r="A24054">
        <v>97404</v>
      </c>
      <c r="B24054" t="s">
        <v>43</v>
      </c>
      <c r="C24054">
        <v>97404</v>
      </c>
      <c r="D24054" t="str">
        <f>"97404"</f>
        <v>97404</v>
      </c>
      <c r="E24054">
        <v>75.63</v>
      </c>
    </row>
    <row r="24055" spans="1:5" x14ac:dyDescent="0.2">
      <c r="A24055">
        <v>97405</v>
      </c>
      <c r="B24055" t="s">
        <v>43</v>
      </c>
      <c r="C24055">
        <v>97405</v>
      </c>
      <c r="D24055" t="str">
        <f>"97405"</f>
        <v>97405</v>
      </c>
      <c r="E24055">
        <v>77.17</v>
      </c>
    </row>
    <row r="24056" spans="1:5" x14ac:dyDescent="0.2">
      <c r="A24056">
        <v>97406</v>
      </c>
      <c r="B24056" t="s">
        <v>43</v>
      </c>
      <c r="C24056">
        <v>97406</v>
      </c>
      <c r="D24056" t="str">
        <f>"97406"</f>
        <v>97406</v>
      </c>
      <c r="E24056" t="s">
        <v>6</v>
      </c>
    </row>
    <row r="24057" spans="1:5" x14ac:dyDescent="0.2">
      <c r="A24057">
        <v>97408</v>
      </c>
      <c r="B24057" t="s">
        <v>43</v>
      </c>
      <c r="C24057">
        <v>97408</v>
      </c>
      <c r="D24057" t="str">
        <f>"97408"</f>
        <v>97408</v>
      </c>
      <c r="E24057">
        <v>78.14</v>
      </c>
    </row>
    <row r="24058" spans="1:5" x14ac:dyDescent="0.2">
      <c r="A24058">
        <v>97410</v>
      </c>
      <c r="B24058" t="s">
        <v>43</v>
      </c>
      <c r="C24058">
        <v>97410</v>
      </c>
      <c r="D24058" t="str">
        <f>"97410"</f>
        <v>97410</v>
      </c>
      <c r="E24058">
        <v>64.52</v>
      </c>
    </row>
    <row r="24059" spans="1:5" x14ac:dyDescent="0.2">
      <c r="A24059">
        <v>97411</v>
      </c>
      <c r="B24059" t="s">
        <v>43</v>
      </c>
      <c r="C24059">
        <v>97411</v>
      </c>
      <c r="D24059" t="str">
        <f>"97411"</f>
        <v>97411</v>
      </c>
      <c r="E24059">
        <v>69.25</v>
      </c>
    </row>
    <row r="24060" spans="1:5" x14ac:dyDescent="0.2">
      <c r="A24060">
        <v>97412</v>
      </c>
      <c r="B24060" t="s">
        <v>43</v>
      </c>
      <c r="C24060">
        <v>97412</v>
      </c>
      <c r="D24060" t="str">
        <f>"97412"</f>
        <v>97412</v>
      </c>
      <c r="E24060">
        <v>61.9</v>
      </c>
    </row>
    <row r="24061" spans="1:5" x14ac:dyDescent="0.2">
      <c r="A24061">
        <v>97413</v>
      </c>
      <c r="B24061" t="s">
        <v>43</v>
      </c>
      <c r="C24061">
        <v>97413</v>
      </c>
      <c r="D24061" t="str">
        <f>"97413"</f>
        <v>97413</v>
      </c>
      <c r="E24061">
        <v>67.39</v>
      </c>
    </row>
    <row r="24062" spans="1:5" x14ac:dyDescent="0.2">
      <c r="A24062">
        <v>97414</v>
      </c>
      <c r="B24062" t="s">
        <v>43</v>
      </c>
      <c r="C24062">
        <v>97414</v>
      </c>
      <c r="D24062" t="str">
        <f>"97414"</f>
        <v>97414</v>
      </c>
      <c r="E24062">
        <v>54.55</v>
      </c>
    </row>
    <row r="24063" spans="1:5" x14ac:dyDescent="0.2">
      <c r="A24063">
        <v>97415</v>
      </c>
      <c r="B24063" t="s">
        <v>43</v>
      </c>
      <c r="C24063">
        <v>97415</v>
      </c>
      <c r="D24063" t="str">
        <f>"97415"</f>
        <v>97415</v>
      </c>
      <c r="E24063">
        <v>67.89</v>
      </c>
    </row>
    <row r="24064" spans="1:5" x14ac:dyDescent="0.2">
      <c r="A24064">
        <v>97416</v>
      </c>
      <c r="B24064" t="s">
        <v>43</v>
      </c>
      <c r="C24064">
        <v>97416</v>
      </c>
      <c r="D24064" t="str">
        <f>"97416"</f>
        <v>97416</v>
      </c>
      <c r="E24064">
        <v>62.5</v>
      </c>
    </row>
    <row r="24065" spans="1:5" x14ac:dyDescent="0.2">
      <c r="A24065">
        <v>97417</v>
      </c>
      <c r="B24065" t="s">
        <v>43</v>
      </c>
      <c r="C24065">
        <v>97417</v>
      </c>
      <c r="D24065" t="str">
        <f>"97417"</f>
        <v>97417</v>
      </c>
      <c r="E24065">
        <v>68.13</v>
      </c>
    </row>
    <row r="24066" spans="1:5" x14ac:dyDescent="0.2">
      <c r="A24066">
        <v>97419</v>
      </c>
      <c r="B24066" t="s">
        <v>43</v>
      </c>
      <c r="C24066">
        <v>97419</v>
      </c>
      <c r="D24066" t="str">
        <f>"97419"</f>
        <v>97419</v>
      </c>
      <c r="E24066">
        <v>71.19</v>
      </c>
    </row>
    <row r="24067" spans="1:5" x14ac:dyDescent="0.2">
      <c r="A24067">
        <v>97420</v>
      </c>
      <c r="B24067" t="s">
        <v>43</v>
      </c>
      <c r="C24067">
        <v>97420</v>
      </c>
      <c r="D24067" t="str">
        <f>"97420"</f>
        <v>97420</v>
      </c>
      <c r="E24067">
        <v>68.5</v>
      </c>
    </row>
    <row r="24068" spans="1:5" x14ac:dyDescent="0.2">
      <c r="A24068">
        <v>97423</v>
      </c>
      <c r="B24068" t="s">
        <v>43</v>
      </c>
      <c r="C24068">
        <v>97423</v>
      </c>
      <c r="D24068" t="str">
        <f>"97423"</f>
        <v>97423</v>
      </c>
      <c r="E24068">
        <v>69.42</v>
      </c>
    </row>
    <row r="24069" spans="1:5" x14ac:dyDescent="0.2">
      <c r="A24069">
        <v>97424</v>
      </c>
      <c r="B24069" t="s">
        <v>43</v>
      </c>
      <c r="C24069">
        <v>97424</v>
      </c>
      <c r="D24069" t="str">
        <f>"97424"</f>
        <v>97424</v>
      </c>
      <c r="E24069">
        <v>70.25</v>
      </c>
    </row>
    <row r="24070" spans="1:5" x14ac:dyDescent="0.2">
      <c r="A24070">
        <v>97426</v>
      </c>
      <c r="B24070" t="s">
        <v>43</v>
      </c>
      <c r="C24070">
        <v>97426</v>
      </c>
      <c r="D24070" t="str">
        <f>"97426"</f>
        <v>97426</v>
      </c>
      <c r="E24070">
        <v>73.81</v>
      </c>
    </row>
    <row r="24071" spans="1:5" x14ac:dyDescent="0.2">
      <c r="A24071">
        <v>97429</v>
      </c>
      <c r="B24071" t="s">
        <v>43</v>
      </c>
      <c r="C24071">
        <v>97429</v>
      </c>
      <c r="D24071" t="str">
        <f>"97429"</f>
        <v>97429</v>
      </c>
      <c r="E24071">
        <v>67.739999999999995</v>
      </c>
    </row>
    <row r="24072" spans="1:5" x14ac:dyDescent="0.2">
      <c r="A24072">
        <v>97430</v>
      </c>
      <c r="B24072" t="s">
        <v>43</v>
      </c>
      <c r="C24072">
        <v>97430</v>
      </c>
      <c r="D24072" t="str">
        <f>"97430"</f>
        <v>97430</v>
      </c>
      <c r="E24072">
        <v>69.23</v>
      </c>
    </row>
    <row r="24073" spans="1:5" x14ac:dyDescent="0.2">
      <c r="A24073">
        <v>97431</v>
      </c>
      <c r="B24073" t="s">
        <v>43</v>
      </c>
      <c r="C24073">
        <v>97431</v>
      </c>
      <c r="D24073" t="str">
        <f>"97431"</f>
        <v>97431</v>
      </c>
      <c r="E24073">
        <v>71.88</v>
      </c>
    </row>
    <row r="24074" spans="1:5" x14ac:dyDescent="0.2">
      <c r="A24074">
        <v>97432</v>
      </c>
      <c r="B24074" t="s">
        <v>43</v>
      </c>
      <c r="C24074">
        <v>97432</v>
      </c>
      <c r="D24074" t="str">
        <f>"97432"</f>
        <v>97432</v>
      </c>
      <c r="E24074" t="s">
        <v>6</v>
      </c>
    </row>
    <row r="24075" spans="1:5" x14ac:dyDescent="0.2">
      <c r="A24075">
        <v>97434</v>
      </c>
      <c r="B24075" t="s">
        <v>43</v>
      </c>
      <c r="C24075">
        <v>97434</v>
      </c>
      <c r="D24075" t="str">
        <f>"97434"</f>
        <v>97434</v>
      </c>
      <c r="E24075">
        <v>65.63</v>
      </c>
    </row>
    <row r="24076" spans="1:5" x14ac:dyDescent="0.2">
      <c r="A24076">
        <v>97435</v>
      </c>
      <c r="B24076" t="s">
        <v>43</v>
      </c>
      <c r="C24076">
        <v>97435</v>
      </c>
      <c r="D24076" t="str">
        <f>"97435"</f>
        <v>97435</v>
      </c>
      <c r="E24076">
        <v>66.67</v>
      </c>
    </row>
    <row r="24077" spans="1:5" x14ac:dyDescent="0.2">
      <c r="A24077">
        <v>97436</v>
      </c>
      <c r="B24077" t="s">
        <v>43</v>
      </c>
      <c r="C24077">
        <v>97436</v>
      </c>
      <c r="D24077" t="str">
        <f>"97436"</f>
        <v>97436</v>
      </c>
      <c r="E24077">
        <v>63.16</v>
      </c>
    </row>
    <row r="24078" spans="1:5" x14ac:dyDescent="0.2">
      <c r="A24078">
        <v>97437</v>
      </c>
      <c r="B24078" t="s">
        <v>43</v>
      </c>
      <c r="C24078">
        <v>97437</v>
      </c>
      <c r="D24078" t="str">
        <f>"97437"</f>
        <v>97437</v>
      </c>
      <c r="E24078">
        <v>75.86</v>
      </c>
    </row>
    <row r="24079" spans="1:5" x14ac:dyDescent="0.2">
      <c r="A24079">
        <v>97438</v>
      </c>
      <c r="B24079" t="s">
        <v>43</v>
      </c>
      <c r="C24079">
        <v>97438</v>
      </c>
      <c r="D24079" t="str">
        <f>"97438"</f>
        <v>97438</v>
      </c>
      <c r="E24079">
        <v>75.44</v>
      </c>
    </row>
    <row r="24080" spans="1:5" x14ac:dyDescent="0.2">
      <c r="A24080">
        <v>97439</v>
      </c>
      <c r="B24080" t="s">
        <v>43</v>
      </c>
      <c r="C24080">
        <v>97439</v>
      </c>
      <c r="D24080" t="str">
        <f>"97439"</f>
        <v>97439</v>
      </c>
      <c r="E24080">
        <v>69.099999999999994</v>
      </c>
    </row>
    <row r="24081" spans="1:5" x14ac:dyDescent="0.2">
      <c r="A24081">
        <v>97441</v>
      </c>
      <c r="B24081" t="s">
        <v>43</v>
      </c>
      <c r="C24081">
        <v>97441</v>
      </c>
      <c r="D24081" t="str">
        <f>"97441"</f>
        <v>97441</v>
      </c>
      <c r="E24081">
        <v>63.64</v>
      </c>
    </row>
    <row r="24082" spans="1:5" x14ac:dyDescent="0.2">
      <c r="A24082">
        <v>97442</v>
      </c>
      <c r="B24082" t="s">
        <v>43</v>
      </c>
      <c r="C24082">
        <v>97442</v>
      </c>
      <c r="D24082" t="str">
        <f>"97442"</f>
        <v>97442</v>
      </c>
      <c r="E24082">
        <v>65.28</v>
      </c>
    </row>
    <row r="24083" spans="1:5" x14ac:dyDescent="0.2">
      <c r="A24083">
        <v>97443</v>
      </c>
      <c r="B24083" t="s">
        <v>43</v>
      </c>
      <c r="C24083">
        <v>97443</v>
      </c>
      <c r="D24083" t="str">
        <f>"97443"</f>
        <v>97443</v>
      </c>
      <c r="E24083">
        <v>70.59</v>
      </c>
    </row>
    <row r="24084" spans="1:5" x14ac:dyDescent="0.2">
      <c r="A24084">
        <v>97444</v>
      </c>
      <c r="B24084" t="s">
        <v>43</v>
      </c>
      <c r="C24084">
        <v>97444</v>
      </c>
      <c r="D24084" t="str">
        <f>"97444"</f>
        <v>97444</v>
      </c>
      <c r="E24084">
        <v>69.77</v>
      </c>
    </row>
    <row r="24085" spans="1:5" x14ac:dyDescent="0.2">
      <c r="A24085">
        <v>97446</v>
      </c>
      <c r="B24085" t="s">
        <v>43</v>
      </c>
      <c r="C24085">
        <v>97446</v>
      </c>
      <c r="D24085" t="str">
        <f>"97446"</f>
        <v>97446</v>
      </c>
      <c r="E24085">
        <v>73.989999999999995</v>
      </c>
    </row>
    <row r="24086" spans="1:5" x14ac:dyDescent="0.2">
      <c r="A24086">
        <v>97447</v>
      </c>
      <c r="B24086" t="s">
        <v>43</v>
      </c>
      <c r="C24086">
        <v>97447</v>
      </c>
      <c r="D24086" t="str">
        <f>"97447"</f>
        <v>97447</v>
      </c>
      <c r="E24086">
        <v>72</v>
      </c>
    </row>
    <row r="24087" spans="1:5" x14ac:dyDescent="0.2">
      <c r="A24087">
        <v>97448</v>
      </c>
      <c r="B24087" t="s">
        <v>43</v>
      </c>
      <c r="C24087">
        <v>97448</v>
      </c>
      <c r="D24087" t="str">
        <f>"97448"</f>
        <v>97448</v>
      </c>
      <c r="E24087">
        <v>73.66</v>
      </c>
    </row>
    <row r="24088" spans="1:5" x14ac:dyDescent="0.2">
      <c r="A24088">
        <v>97449</v>
      </c>
      <c r="B24088" t="s">
        <v>43</v>
      </c>
      <c r="C24088">
        <v>97449</v>
      </c>
      <c r="D24088" t="str">
        <f>"97449"</f>
        <v>97449</v>
      </c>
      <c r="E24088">
        <v>65.819999999999993</v>
      </c>
    </row>
    <row r="24089" spans="1:5" x14ac:dyDescent="0.2">
      <c r="A24089">
        <v>97450</v>
      </c>
      <c r="B24089" t="s">
        <v>43</v>
      </c>
      <c r="C24089">
        <v>97450</v>
      </c>
      <c r="D24089" t="str">
        <f>"97450"</f>
        <v>97450</v>
      </c>
      <c r="E24089">
        <v>61.29</v>
      </c>
    </row>
    <row r="24090" spans="1:5" x14ac:dyDescent="0.2">
      <c r="A24090">
        <v>97451</v>
      </c>
      <c r="B24090" t="s">
        <v>43</v>
      </c>
      <c r="C24090">
        <v>97451</v>
      </c>
      <c r="D24090" t="str">
        <f>"97451"</f>
        <v>97451</v>
      </c>
      <c r="E24090">
        <v>66.67</v>
      </c>
    </row>
    <row r="24091" spans="1:5" x14ac:dyDescent="0.2">
      <c r="A24091">
        <v>97452</v>
      </c>
      <c r="B24091" t="s">
        <v>43</v>
      </c>
      <c r="C24091">
        <v>97452</v>
      </c>
      <c r="D24091" t="str">
        <f>"97452"</f>
        <v>97452</v>
      </c>
      <c r="E24091">
        <v>72.599999999999994</v>
      </c>
    </row>
    <row r="24092" spans="1:5" x14ac:dyDescent="0.2">
      <c r="A24092">
        <v>97453</v>
      </c>
      <c r="B24092" t="s">
        <v>43</v>
      </c>
      <c r="C24092">
        <v>97453</v>
      </c>
      <c r="D24092" t="str">
        <f>"97453"</f>
        <v>97453</v>
      </c>
      <c r="E24092">
        <v>65</v>
      </c>
    </row>
    <row r="24093" spans="1:5" x14ac:dyDescent="0.2">
      <c r="A24093">
        <v>97454</v>
      </c>
      <c r="B24093" t="s">
        <v>43</v>
      </c>
      <c r="C24093">
        <v>97454</v>
      </c>
      <c r="D24093" t="str">
        <f>"97454"</f>
        <v>97454</v>
      </c>
      <c r="E24093">
        <v>74.03</v>
      </c>
    </row>
    <row r="24094" spans="1:5" x14ac:dyDescent="0.2">
      <c r="A24094">
        <v>97455</v>
      </c>
      <c r="B24094" t="s">
        <v>43</v>
      </c>
      <c r="C24094">
        <v>97455</v>
      </c>
      <c r="D24094" t="str">
        <f>"97455"</f>
        <v>97455</v>
      </c>
      <c r="E24094">
        <v>79.510000000000005</v>
      </c>
    </row>
    <row r="24095" spans="1:5" x14ac:dyDescent="0.2">
      <c r="A24095">
        <v>97456</v>
      </c>
      <c r="B24095" t="s">
        <v>43</v>
      </c>
      <c r="C24095">
        <v>97456</v>
      </c>
      <c r="D24095" t="str">
        <f>"97456"</f>
        <v>97456</v>
      </c>
      <c r="E24095">
        <v>73.72</v>
      </c>
    </row>
    <row r="24096" spans="1:5" x14ac:dyDescent="0.2">
      <c r="A24096">
        <v>97457</v>
      </c>
      <c r="B24096" t="s">
        <v>43</v>
      </c>
      <c r="C24096">
        <v>97457</v>
      </c>
      <c r="D24096" t="str">
        <f>"97457"</f>
        <v>97457</v>
      </c>
      <c r="E24096">
        <v>67.349999999999994</v>
      </c>
    </row>
    <row r="24097" spans="1:5" x14ac:dyDescent="0.2">
      <c r="A24097">
        <v>97458</v>
      </c>
      <c r="B24097" t="s">
        <v>43</v>
      </c>
      <c r="C24097">
        <v>97458</v>
      </c>
      <c r="D24097" t="str">
        <f>"97458"</f>
        <v>97458</v>
      </c>
      <c r="E24097">
        <v>65.930000000000007</v>
      </c>
    </row>
    <row r="24098" spans="1:5" x14ac:dyDescent="0.2">
      <c r="A24098">
        <v>97459</v>
      </c>
      <c r="B24098" t="s">
        <v>43</v>
      </c>
      <c r="C24098">
        <v>97459</v>
      </c>
      <c r="D24098" t="str">
        <f>"97459"</f>
        <v>97459</v>
      </c>
      <c r="E24098">
        <v>70.92</v>
      </c>
    </row>
    <row r="24099" spans="1:5" x14ac:dyDescent="0.2">
      <c r="A24099">
        <v>97461</v>
      </c>
      <c r="B24099" t="s">
        <v>43</v>
      </c>
      <c r="C24099">
        <v>97461</v>
      </c>
      <c r="D24099" t="str">
        <f>"97461"</f>
        <v>97461</v>
      </c>
      <c r="E24099">
        <v>76.67</v>
      </c>
    </row>
    <row r="24100" spans="1:5" x14ac:dyDescent="0.2">
      <c r="A24100">
        <v>97462</v>
      </c>
      <c r="B24100" t="s">
        <v>43</v>
      </c>
      <c r="C24100">
        <v>97462</v>
      </c>
      <c r="D24100" t="str">
        <f>"97462"</f>
        <v>97462</v>
      </c>
      <c r="E24100">
        <v>68.52</v>
      </c>
    </row>
    <row r="24101" spans="1:5" x14ac:dyDescent="0.2">
      <c r="A24101">
        <v>97463</v>
      </c>
      <c r="B24101" t="s">
        <v>43</v>
      </c>
      <c r="C24101">
        <v>97463</v>
      </c>
      <c r="D24101" t="str">
        <f>"97463"</f>
        <v>97463</v>
      </c>
      <c r="E24101">
        <v>63.51</v>
      </c>
    </row>
    <row r="24102" spans="1:5" x14ac:dyDescent="0.2">
      <c r="A24102">
        <v>97465</v>
      </c>
      <c r="B24102" t="s">
        <v>43</v>
      </c>
      <c r="C24102">
        <v>97465</v>
      </c>
      <c r="D24102" t="str">
        <f>"97465"</f>
        <v>97465</v>
      </c>
      <c r="E24102">
        <v>62.5</v>
      </c>
    </row>
    <row r="24103" spans="1:5" x14ac:dyDescent="0.2">
      <c r="A24103">
        <v>97466</v>
      </c>
      <c r="B24103" t="s">
        <v>43</v>
      </c>
      <c r="C24103">
        <v>97466</v>
      </c>
      <c r="D24103" t="str">
        <f>"97466"</f>
        <v>97466</v>
      </c>
      <c r="E24103">
        <v>66.67</v>
      </c>
    </row>
    <row r="24104" spans="1:5" x14ac:dyDescent="0.2">
      <c r="A24104">
        <v>97467</v>
      </c>
      <c r="B24104" t="s">
        <v>43</v>
      </c>
      <c r="C24104">
        <v>97467</v>
      </c>
      <c r="D24104" t="str">
        <f>"97467"</f>
        <v>97467</v>
      </c>
      <c r="E24104">
        <v>64.650000000000006</v>
      </c>
    </row>
    <row r="24105" spans="1:5" x14ac:dyDescent="0.2">
      <c r="A24105">
        <v>97469</v>
      </c>
      <c r="B24105" t="s">
        <v>43</v>
      </c>
      <c r="C24105">
        <v>97469</v>
      </c>
      <c r="D24105" t="str">
        <f>"97469"</f>
        <v>97469</v>
      </c>
      <c r="E24105">
        <v>68.63</v>
      </c>
    </row>
    <row r="24106" spans="1:5" x14ac:dyDescent="0.2">
      <c r="A24106">
        <v>97470</v>
      </c>
      <c r="B24106" t="s">
        <v>43</v>
      </c>
      <c r="C24106">
        <v>97470</v>
      </c>
      <c r="D24106" t="str">
        <f>"97470"</f>
        <v>97470</v>
      </c>
      <c r="E24106">
        <v>69.12</v>
      </c>
    </row>
    <row r="24107" spans="1:5" x14ac:dyDescent="0.2">
      <c r="A24107">
        <v>97471</v>
      </c>
      <c r="B24107" t="s">
        <v>43</v>
      </c>
      <c r="C24107">
        <v>97471</v>
      </c>
      <c r="D24107" t="str">
        <f>"97471"</f>
        <v>97471</v>
      </c>
      <c r="E24107">
        <v>72.56</v>
      </c>
    </row>
    <row r="24108" spans="1:5" x14ac:dyDescent="0.2">
      <c r="A24108">
        <v>97473</v>
      </c>
      <c r="B24108" t="s">
        <v>43</v>
      </c>
      <c r="C24108">
        <v>97473</v>
      </c>
      <c r="D24108" t="str">
        <f>"97473"</f>
        <v>97473</v>
      </c>
      <c r="E24108">
        <v>75</v>
      </c>
    </row>
    <row r="24109" spans="1:5" x14ac:dyDescent="0.2">
      <c r="A24109">
        <v>97476</v>
      </c>
      <c r="B24109" t="s">
        <v>43</v>
      </c>
      <c r="C24109">
        <v>97476</v>
      </c>
      <c r="D24109" t="str">
        <f>"97476"</f>
        <v>97476</v>
      </c>
      <c r="E24109">
        <v>61.54</v>
      </c>
    </row>
    <row r="24110" spans="1:5" x14ac:dyDescent="0.2">
      <c r="A24110">
        <v>97477</v>
      </c>
      <c r="B24110" t="s">
        <v>43</v>
      </c>
      <c r="C24110">
        <v>97477</v>
      </c>
      <c r="D24110" t="str">
        <f>"97477"</f>
        <v>97477</v>
      </c>
      <c r="E24110">
        <v>69.66</v>
      </c>
    </row>
    <row r="24111" spans="1:5" x14ac:dyDescent="0.2">
      <c r="A24111">
        <v>97478</v>
      </c>
      <c r="B24111" t="s">
        <v>43</v>
      </c>
      <c r="C24111">
        <v>97478</v>
      </c>
      <c r="D24111" t="str">
        <f>"97478"</f>
        <v>97478</v>
      </c>
      <c r="E24111">
        <v>73.63</v>
      </c>
    </row>
    <row r="24112" spans="1:5" x14ac:dyDescent="0.2">
      <c r="A24112">
        <v>97479</v>
      </c>
      <c r="B24112" t="s">
        <v>43</v>
      </c>
      <c r="C24112">
        <v>97479</v>
      </c>
      <c r="D24112" t="str">
        <f>"97479"</f>
        <v>97479</v>
      </c>
      <c r="E24112">
        <v>65.78</v>
      </c>
    </row>
    <row r="24113" spans="1:5" x14ac:dyDescent="0.2">
      <c r="A24113">
        <v>97480</v>
      </c>
      <c r="B24113" t="s">
        <v>43</v>
      </c>
      <c r="C24113">
        <v>97480</v>
      </c>
      <c r="D24113" t="str">
        <f>"97480"</f>
        <v>97480</v>
      </c>
      <c r="E24113">
        <v>75</v>
      </c>
    </row>
    <row r="24114" spans="1:5" x14ac:dyDescent="0.2">
      <c r="A24114">
        <v>97481</v>
      </c>
      <c r="B24114" t="s">
        <v>43</v>
      </c>
      <c r="C24114">
        <v>97481</v>
      </c>
      <c r="D24114" t="str">
        <f>"97481"</f>
        <v>97481</v>
      </c>
      <c r="E24114">
        <v>65.63</v>
      </c>
    </row>
    <row r="24115" spans="1:5" x14ac:dyDescent="0.2">
      <c r="A24115">
        <v>97484</v>
      </c>
      <c r="B24115" t="s">
        <v>43</v>
      </c>
      <c r="C24115">
        <v>97484</v>
      </c>
      <c r="D24115" t="str">
        <f>"97484"</f>
        <v>97484</v>
      </c>
      <c r="E24115">
        <v>60</v>
      </c>
    </row>
    <row r="24116" spans="1:5" x14ac:dyDescent="0.2">
      <c r="A24116">
        <v>97486</v>
      </c>
      <c r="B24116" t="s">
        <v>43</v>
      </c>
      <c r="C24116">
        <v>97486</v>
      </c>
      <c r="D24116" t="str">
        <f>"97486"</f>
        <v>97486</v>
      </c>
      <c r="E24116">
        <v>68.569999999999993</v>
      </c>
    </row>
    <row r="24117" spans="1:5" x14ac:dyDescent="0.2">
      <c r="A24117">
        <v>97487</v>
      </c>
      <c r="B24117" t="s">
        <v>43</v>
      </c>
      <c r="C24117">
        <v>97487</v>
      </c>
      <c r="D24117" t="str">
        <f>"97487"</f>
        <v>97487</v>
      </c>
      <c r="E24117">
        <v>72.430000000000007</v>
      </c>
    </row>
    <row r="24118" spans="1:5" x14ac:dyDescent="0.2">
      <c r="A24118">
        <v>97488</v>
      </c>
      <c r="B24118" t="s">
        <v>43</v>
      </c>
      <c r="C24118">
        <v>97488</v>
      </c>
      <c r="D24118" t="str">
        <f>"97488"</f>
        <v>97488</v>
      </c>
      <c r="E24118">
        <v>75</v>
      </c>
    </row>
    <row r="24119" spans="1:5" x14ac:dyDescent="0.2">
      <c r="A24119">
        <v>97489</v>
      </c>
      <c r="B24119" t="s">
        <v>43</v>
      </c>
      <c r="C24119">
        <v>97489</v>
      </c>
      <c r="D24119" t="str">
        <f>"97489"</f>
        <v>97489</v>
      </c>
      <c r="E24119">
        <v>78.459999999999994</v>
      </c>
    </row>
    <row r="24120" spans="1:5" x14ac:dyDescent="0.2">
      <c r="A24120">
        <v>97490</v>
      </c>
      <c r="B24120" t="s">
        <v>43</v>
      </c>
      <c r="C24120">
        <v>97490</v>
      </c>
      <c r="D24120" t="str">
        <f>"97490"</f>
        <v>97490</v>
      </c>
      <c r="E24120">
        <v>61.54</v>
      </c>
    </row>
    <row r="24121" spans="1:5" x14ac:dyDescent="0.2">
      <c r="A24121">
        <v>97492</v>
      </c>
      <c r="B24121" t="s">
        <v>43</v>
      </c>
      <c r="C24121">
        <v>97492</v>
      </c>
      <c r="D24121" t="str">
        <f>"97492"</f>
        <v>97492</v>
      </c>
      <c r="E24121">
        <v>72.22</v>
      </c>
    </row>
    <row r="24122" spans="1:5" x14ac:dyDescent="0.2">
      <c r="A24122">
        <v>97493</v>
      </c>
      <c r="B24122" t="s">
        <v>43</v>
      </c>
      <c r="C24122">
        <v>97493</v>
      </c>
      <c r="D24122" t="str">
        <f>"97493"</f>
        <v>97493</v>
      </c>
      <c r="E24122">
        <v>73.91</v>
      </c>
    </row>
    <row r="24123" spans="1:5" x14ac:dyDescent="0.2">
      <c r="A24123">
        <v>97494</v>
      </c>
      <c r="B24123" t="s">
        <v>43</v>
      </c>
      <c r="C24123">
        <v>97494</v>
      </c>
      <c r="D24123" t="str">
        <f>"97494"</f>
        <v>97494</v>
      </c>
      <c r="E24123" t="s">
        <v>6</v>
      </c>
    </row>
    <row r="24124" spans="1:5" x14ac:dyDescent="0.2">
      <c r="A24124">
        <v>97495</v>
      </c>
      <c r="B24124" t="s">
        <v>43</v>
      </c>
      <c r="C24124">
        <v>97495</v>
      </c>
      <c r="D24124" t="str">
        <f>"97495"</f>
        <v>97495</v>
      </c>
      <c r="E24124">
        <v>78.569999999999993</v>
      </c>
    </row>
    <row r="24125" spans="1:5" x14ac:dyDescent="0.2">
      <c r="A24125">
        <v>97496</v>
      </c>
      <c r="B24125" t="s">
        <v>43</v>
      </c>
      <c r="C24125">
        <v>97496</v>
      </c>
      <c r="D24125" t="str">
        <f>"97496"</f>
        <v>97496</v>
      </c>
      <c r="E24125">
        <v>66.02</v>
      </c>
    </row>
    <row r="24126" spans="1:5" x14ac:dyDescent="0.2">
      <c r="A24126">
        <v>97497</v>
      </c>
      <c r="B24126" t="s">
        <v>43</v>
      </c>
      <c r="C24126">
        <v>97497</v>
      </c>
      <c r="D24126" t="str">
        <f>"97497"</f>
        <v>97497</v>
      </c>
      <c r="E24126">
        <v>56.25</v>
      </c>
    </row>
    <row r="24127" spans="1:5" x14ac:dyDescent="0.2">
      <c r="A24127">
        <v>97498</v>
      </c>
      <c r="B24127" t="s">
        <v>43</v>
      </c>
      <c r="C24127">
        <v>97498</v>
      </c>
      <c r="D24127" t="str">
        <f>"97498"</f>
        <v>97498</v>
      </c>
      <c r="E24127">
        <v>70.930000000000007</v>
      </c>
    </row>
    <row r="24128" spans="1:5" x14ac:dyDescent="0.2">
      <c r="A24128">
        <v>97499</v>
      </c>
      <c r="B24128" t="s">
        <v>43</v>
      </c>
      <c r="C24128">
        <v>97499</v>
      </c>
      <c r="D24128" t="str">
        <f>"97499"</f>
        <v>97499</v>
      </c>
      <c r="E24128">
        <v>59.15</v>
      </c>
    </row>
    <row r="24129" spans="1:5" x14ac:dyDescent="0.2">
      <c r="A24129">
        <v>97501</v>
      </c>
      <c r="B24129" t="s">
        <v>43</v>
      </c>
      <c r="C24129">
        <v>97501</v>
      </c>
      <c r="D24129" t="str">
        <f>"97501"</f>
        <v>97501</v>
      </c>
      <c r="E24129">
        <v>65.59</v>
      </c>
    </row>
    <row r="24130" spans="1:5" x14ac:dyDescent="0.2">
      <c r="A24130">
        <v>97502</v>
      </c>
      <c r="B24130" t="s">
        <v>43</v>
      </c>
      <c r="C24130">
        <v>97502</v>
      </c>
      <c r="D24130" t="str">
        <f>"97502"</f>
        <v>97502</v>
      </c>
      <c r="E24130">
        <v>71.86</v>
      </c>
    </row>
    <row r="24131" spans="1:5" x14ac:dyDescent="0.2">
      <c r="A24131">
        <v>97503</v>
      </c>
      <c r="B24131" t="s">
        <v>43</v>
      </c>
      <c r="C24131">
        <v>97503</v>
      </c>
      <c r="D24131" t="str">
        <f>"97503"</f>
        <v>97503</v>
      </c>
      <c r="E24131">
        <v>65.760000000000005</v>
      </c>
    </row>
    <row r="24132" spans="1:5" x14ac:dyDescent="0.2">
      <c r="A24132">
        <v>97504</v>
      </c>
      <c r="B24132" t="s">
        <v>43</v>
      </c>
      <c r="C24132">
        <v>97504</v>
      </c>
      <c r="D24132" t="str">
        <f>"97504"</f>
        <v>97504</v>
      </c>
      <c r="E24132">
        <v>73.17</v>
      </c>
    </row>
    <row r="24133" spans="1:5" x14ac:dyDescent="0.2">
      <c r="A24133">
        <v>97520</v>
      </c>
      <c r="B24133" t="s">
        <v>43</v>
      </c>
      <c r="C24133">
        <v>97520</v>
      </c>
      <c r="D24133" t="str">
        <f>"97520"</f>
        <v>97520</v>
      </c>
      <c r="E24133">
        <v>71.91</v>
      </c>
    </row>
    <row r="24134" spans="1:5" x14ac:dyDescent="0.2">
      <c r="A24134">
        <v>97522</v>
      </c>
      <c r="B24134" t="s">
        <v>43</v>
      </c>
      <c r="C24134">
        <v>97522</v>
      </c>
      <c r="D24134" t="str">
        <f>"97522"</f>
        <v>97522</v>
      </c>
      <c r="E24134">
        <v>60.71</v>
      </c>
    </row>
    <row r="24135" spans="1:5" x14ac:dyDescent="0.2">
      <c r="A24135">
        <v>97523</v>
      </c>
      <c r="B24135" t="s">
        <v>43</v>
      </c>
      <c r="C24135">
        <v>97523</v>
      </c>
      <c r="D24135" t="str">
        <f>"97523"</f>
        <v>97523</v>
      </c>
      <c r="E24135">
        <v>55.51</v>
      </c>
    </row>
    <row r="24136" spans="1:5" x14ac:dyDescent="0.2">
      <c r="A24136">
        <v>97524</v>
      </c>
      <c r="B24136" t="s">
        <v>43</v>
      </c>
      <c r="C24136">
        <v>97524</v>
      </c>
      <c r="D24136" t="str">
        <f>"97524"</f>
        <v>97524</v>
      </c>
      <c r="E24136">
        <v>72.7</v>
      </c>
    </row>
    <row r="24137" spans="1:5" x14ac:dyDescent="0.2">
      <c r="A24137">
        <v>97525</v>
      </c>
      <c r="B24137" t="s">
        <v>43</v>
      </c>
      <c r="C24137">
        <v>97525</v>
      </c>
      <c r="D24137" t="str">
        <f>"97525"</f>
        <v>97525</v>
      </c>
      <c r="E24137">
        <v>71.37</v>
      </c>
    </row>
    <row r="24138" spans="1:5" x14ac:dyDescent="0.2">
      <c r="A24138">
        <v>97526</v>
      </c>
      <c r="B24138" t="s">
        <v>43</v>
      </c>
      <c r="C24138">
        <v>97526</v>
      </c>
      <c r="D24138" t="str">
        <f>"97526"</f>
        <v>97526</v>
      </c>
      <c r="E24138">
        <v>68.28</v>
      </c>
    </row>
    <row r="24139" spans="1:5" x14ac:dyDescent="0.2">
      <c r="A24139">
        <v>97527</v>
      </c>
      <c r="B24139" t="s">
        <v>43</v>
      </c>
      <c r="C24139">
        <v>97527</v>
      </c>
      <c r="D24139" t="str">
        <f>"97527"</f>
        <v>97527</v>
      </c>
      <c r="E24139">
        <v>68.81</v>
      </c>
    </row>
    <row r="24140" spans="1:5" x14ac:dyDescent="0.2">
      <c r="A24140">
        <v>97530</v>
      </c>
      <c r="B24140" t="s">
        <v>43</v>
      </c>
      <c r="C24140">
        <v>97530</v>
      </c>
      <c r="D24140" t="str">
        <f>"97530"</f>
        <v>97530</v>
      </c>
      <c r="E24140">
        <v>73.48</v>
      </c>
    </row>
    <row r="24141" spans="1:5" x14ac:dyDescent="0.2">
      <c r="A24141">
        <v>97531</v>
      </c>
      <c r="B24141" t="s">
        <v>43</v>
      </c>
      <c r="C24141">
        <v>97531</v>
      </c>
      <c r="D24141" t="str">
        <f>"97531"</f>
        <v>97531</v>
      </c>
      <c r="E24141">
        <v>50</v>
      </c>
    </row>
    <row r="24142" spans="1:5" x14ac:dyDescent="0.2">
      <c r="A24142">
        <v>97532</v>
      </c>
      <c r="B24142" t="s">
        <v>43</v>
      </c>
      <c r="C24142">
        <v>97532</v>
      </c>
      <c r="D24142" t="str">
        <f>"97532"</f>
        <v>97532</v>
      </c>
      <c r="E24142">
        <v>71.61</v>
      </c>
    </row>
    <row r="24143" spans="1:5" x14ac:dyDescent="0.2">
      <c r="A24143">
        <v>97534</v>
      </c>
      <c r="B24143" t="s">
        <v>43</v>
      </c>
      <c r="C24143">
        <v>97534</v>
      </c>
      <c r="D24143" t="str">
        <f>"97534"</f>
        <v>97534</v>
      </c>
      <c r="E24143">
        <v>61.9</v>
      </c>
    </row>
    <row r="24144" spans="1:5" x14ac:dyDescent="0.2">
      <c r="A24144">
        <v>97535</v>
      </c>
      <c r="B24144" t="s">
        <v>43</v>
      </c>
      <c r="C24144">
        <v>97535</v>
      </c>
      <c r="D24144" t="str">
        <f>"97535"</f>
        <v>97535</v>
      </c>
      <c r="E24144">
        <v>66.8</v>
      </c>
    </row>
    <row r="24145" spans="1:5" x14ac:dyDescent="0.2">
      <c r="A24145">
        <v>97536</v>
      </c>
      <c r="B24145" t="s">
        <v>43</v>
      </c>
      <c r="C24145">
        <v>97536</v>
      </c>
      <c r="D24145" t="str">
        <f>"97536"</f>
        <v>97536</v>
      </c>
      <c r="E24145">
        <v>68.290000000000006</v>
      </c>
    </row>
    <row r="24146" spans="1:5" x14ac:dyDescent="0.2">
      <c r="A24146">
        <v>97537</v>
      </c>
      <c r="B24146" t="s">
        <v>43</v>
      </c>
      <c r="C24146">
        <v>97537</v>
      </c>
      <c r="D24146" t="str">
        <f>"97537"</f>
        <v>97537</v>
      </c>
      <c r="E24146">
        <v>69.88</v>
      </c>
    </row>
    <row r="24147" spans="1:5" x14ac:dyDescent="0.2">
      <c r="A24147">
        <v>97538</v>
      </c>
      <c r="B24147" t="s">
        <v>43</v>
      </c>
      <c r="C24147">
        <v>97538</v>
      </c>
      <c r="D24147" t="str">
        <f>"97538"</f>
        <v>97538</v>
      </c>
      <c r="E24147">
        <v>56</v>
      </c>
    </row>
    <row r="24148" spans="1:5" x14ac:dyDescent="0.2">
      <c r="A24148">
        <v>97539</v>
      </c>
      <c r="B24148" t="s">
        <v>43</v>
      </c>
      <c r="C24148">
        <v>97539</v>
      </c>
      <c r="D24148" t="str">
        <f>"97539"</f>
        <v>97539</v>
      </c>
      <c r="E24148">
        <v>68.319999999999993</v>
      </c>
    </row>
    <row r="24149" spans="1:5" x14ac:dyDescent="0.2">
      <c r="A24149">
        <v>97540</v>
      </c>
      <c r="B24149" t="s">
        <v>43</v>
      </c>
      <c r="C24149">
        <v>97540</v>
      </c>
      <c r="D24149" t="str">
        <f>"97540"</f>
        <v>97540</v>
      </c>
      <c r="E24149">
        <v>68.069999999999993</v>
      </c>
    </row>
    <row r="24150" spans="1:5" x14ac:dyDescent="0.2">
      <c r="A24150">
        <v>97541</v>
      </c>
      <c r="B24150" t="s">
        <v>43</v>
      </c>
      <c r="C24150">
        <v>97541</v>
      </c>
      <c r="D24150" t="str">
        <f>"97541"</f>
        <v>97541</v>
      </c>
      <c r="E24150">
        <v>65.38</v>
      </c>
    </row>
    <row r="24151" spans="1:5" x14ac:dyDescent="0.2">
      <c r="A24151">
        <v>97543</v>
      </c>
      <c r="B24151" t="s">
        <v>43</v>
      </c>
      <c r="C24151">
        <v>97543</v>
      </c>
      <c r="D24151" t="str">
        <f>"97543"</f>
        <v>97543</v>
      </c>
      <c r="E24151">
        <v>68.569999999999993</v>
      </c>
    </row>
    <row r="24152" spans="1:5" x14ac:dyDescent="0.2">
      <c r="A24152">
        <v>97544</v>
      </c>
      <c r="B24152" t="s">
        <v>43</v>
      </c>
      <c r="C24152">
        <v>97544</v>
      </c>
      <c r="D24152" t="str">
        <f>"97544"</f>
        <v>97544</v>
      </c>
      <c r="E24152">
        <v>61.73</v>
      </c>
    </row>
    <row r="24153" spans="1:5" x14ac:dyDescent="0.2">
      <c r="A24153">
        <v>97601</v>
      </c>
      <c r="B24153" t="s">
        <v>43</v>
      </c>
      <c r="C24153">
        <v>97601</v>
      </c>
      <c r="D24153" t="str">
        <f>"97601"</f>
        <v>97601</v>
      </c>
      <c r="E24153">
        <v>65.989999999999995</v>
      </c>
    </row>
    <row r="24154" spans="1:5" x14ac:dyDescent="0.2">
      <c r="A24154">
        <v>97603</v>
      </c>
      <c r="B24154" t="s">
        <v>43</v>
      </c>
      <c r="C24154">
        <v>97603</v>
      </c>
      <c r="D24154" t="str">
        <f>"97603"</f>
        <v>97603</v>
      </c>
      <c r="E24154">
        <v>68.650000000000006</v>
      </c>
    </row>
    <row r="24155" spans="1:5" x14ac:dyDescent="0.2">
      <c r="A24155">
        <v>97604</v>
      </c>
      <c r="B24155" t="s">
        <v>43</v>
      </c>
      <c r="C24155">
        <v>97604</v>
      </c>
      <c r="D24155" t="str">
        <f>"97604"</f>
        <v>97604</v>
      </c>
      <c r="E24155" t="s">
        <v>6</v>
      </c>
    </row>
    <row r="24156" spans="1:5" x14ac:dyDescent="0.2">
      <c r="A24156">
        <v>97620</v>
      </c>
      <c r="B24156" t="s">
        <v>43</v>
      </c>
      <c r="C24156">
        <v>97620</v>
      </c>
      <c r="D24156" t="str">
        <f>"97620"</f>
        <v>97620</v>
      </c>
      <c r="E24156" t="s">
        <v>6</v>
      </c>
    </row>
    <row r="24157" spans="1:5" x14ac:dyDescent="0.2">
      <c r="A24157">
        <v>97621</v>
      </c>
      <c r="B24157" t="s">
        <v>43</v>
      </c>
      <c r="C24157">
        <v>97621</v>
      </c>
      <c r="D24157" t="str">
        <f>"97621"</f>
        <v>97621</v>
      </c>
      <c r="E24157" t="s">
        <v>6</v>
      </c>
    </row>
    <row r="24158" spans="1:5" x14ac:dyDescent="0.2">
      <c r="A24158">
        <v>97622</v>
      </c>
      <c r="B24158" t="s">
        <v>43</v>
      </c>
      <c r="C24158">
        <v>97622</v>
      </c>
      <c r="D24158" t="str">
        <f>"97622"</f>
        <v>97622</v>
      </c>
      <c r="E24158" t="s">
        <v>6</v>
      </c>
    </row>
    <row r="24159" spans="1:5" x14ac:dyDescent="0.2">
      <c r="A24159">
        <v>97623</v>
      </c>
      <c r="B24159" t="s">
        <v>43</v>
      </c>
      <c r="C24159">
        <v>97623</v>
      </c>
      <c r="D24159" t="str">
        <f>"97623"</f>
        <v>97623</v>
      </c>
      <c r="E24159">
        <v>59.34</v>
      </c>
    </row>
    <row r="24160" spans="1:5" x14ac:dyDescent="0.2">
      <c r="A24160">
        <v>97624</v>
      </c>
      <c r="B24160" t="s">
        <v>43</v>
      </c>
      <c r="C24160">
        <v>97624</v>
      </c>
      <c r="D24160" t="str">
        <f>"97624"</f>
        <v>97624</v>
      </c>
      <c r="E24160">
        <v>65.91</v>
      </c>
    </row>
    <row r="24161" spans="1:5" x14ac:dyDescent="0.2">
      <c r="A24161">
        <v>97625</v>
      </c>
      <c r="B24161" t="s">
        <v>43</v>
      </c>
      <c r="C24161">
        <v>97625</v>
      </c>
      <c r="D24161" t="str">
        <f>"97625"</f>
        <v>97625</v>
      </c>
      <c r="E24161" t="s">
        <v>6</v>
      </c>
    </row>
    <row r="24162" spans="1:5" x14ac:dyDescent="0.2">
      <c r="A24162">
        <v>97626</v>
      </c>
      <c r="B24162" t="s">
        <v>43</v>
      </c>
      <c r="C24162">
        <v>97626</v>
      </c>
      <c r="D24162" t="str">
        <f>"97626"</f>
        <v>97626</v>
      </c>
      <c r="E24162" t="s">
        <v>6</v>
      </c>
    </row>
    <row r="24163" spans="1:5" x14ac:dyDescent="0.2">
      <c r="A24163">
        <v>97627</v>
      </c>
      <c r="B24163" t="s">
        <v>43</v>
      </c>
      <c r="C24163">
        <v>97627</v>
      </c>
      <c r="D24163" t="str">
        <f>"97627"</f>
        <v>97627</v>
      </c>
      <c r="E24163">
        <v>70.489999999999995</v>
      </c>
    </row>
    <row r="24164" spans="1:5" x14ac:dyDescent="0.2">
      <c r="A24164">
        <v>97630</v>
      </c>
      <c r="B24164" t="s">
        <v>43</v>
      </c>
      <c r="C24164">
        <v>97630</v>
      </c>
      <c r="D24164" t="str">
        <f>"97630"</f>
        <v>97630</v>
      </c>
      <c r="E24164">
        <v>68.319999999999993</v>
      </c>
    </row>
    <row r="24165" spans="1:5" x14ac:dyDescent="0.2">
      <c r="A24165">
        <v>97632</v>
      </c>
      <c r="B24165" t="s">
        <v>43</v>
      </c>
      <c r="C24165">
        <v>97632</v>
      </c>
      <c r="D24165" t="str">
        <f>"97632"</f>
        <v>97632</v>
      </c>
      <c r="E24165">
        <v>61.11</v>
      </c>
    </row>
    <row r="24166" spans="1:5" x14ac:dyDescent="0.2">
      <c r="A24166">
        <v>97633</v>
      </c>
      <c r="B24166" t="s">
        <v>43</v>
      </c>
      <c r="C24166">
        <v>97633</v>
      </c>
      <c r="D24166" t="str">
        <f>"97633"</f>
        <v>97633</v>
      </c>
      <c r="E24166">
        <v>62.69</v>
      </c>
    </row>
    <row r="24167" spans="1:5" x14ac:dyDescent="0.2">
      <c r="A24167">
        <v>97634</v>
      </c>
      <c r="B24167" t="s">
        <v>43</v>
      </c>
      <c r="C24167">
        <v>97634</v>
      </c>
      <c r="D24167" t="str">
        <f>"97634"</f>
        <v>97634</v>
      </c>
      <c r="E24167" t="s">
        <v>6</v>
      </c>
    </row>
    <row r="24168" spans="1:5" x14ac:dyDescent="0.2">
      <c r="A24168">
        <v>97635</v>
      </c>
      <c r="B24168" t="s">
        <v>43</v>
      </c>
      <c r="C24168">
        <v>97635</v>
      </c>
      <c r="D24168" t="str">
        <f>"97635"</f>
        <v>97635</v>
      </c>
      <c r="E24168" t="s">
        <v>6</v>
      </c>
    </row>
    <row r="24169" spans="1:5" x14ac:dyDescent="0.2">
      <c r="A24169">
        <v>97636</v>
      </c>
      <c r="B24169" t="s">
        <v>43</v>
      </c>
      <c r="C24169">
        <v>97636</v>
      </c>
      <c r="D24169" t="str">
        <f>"97636"</f>
        <v>97636</v>
      </c>
      <c r="E24169">
        <v>66.67</v>
      </c>
    </row>
    <row r="24170" spans="1:5" x14ac:dyDescent="0.2">
      <c r="A24170">
        <v>97637</v>
      </c>
      <c r="B24170" t="s">
        <v>43</v>
      </c>
      <c r="C24170">
        <v>97637</v>
      </c>
      <c r="D24170" t="str">
        <f>"97637"</f>
        <v>97637</v>
      </c>
      <c r="E24170" t="s">
        <v>6</v>
      </c>
    </row>
    <row r="24171" spans="1:5" x14ac:dyDescent="0.2">
      <c r="A24171">
        <v>97638</v>
      </c>
      <c r="B24171" t="s">
        <v>43</v>
      </c>
      <c r="C24171">
        <v>97638</v>
      </c>
      <c r="D24171" t="str">
        <f>"97638"</f>
        <v>97638</v>
      </c>
      <c r="E24171">
        <v>57.89</v>
      </c>
    </row>
    <row r="24172" spans="1:5" x14ac:dyDescent="0.2">
      <c r="A24172">
        <v>97639</v>
      </c>
      <c r="B24172" t="s">
        <v>43</v>
      </c>
      <c r="C24172">
        <v>97639</v>
      </c>
      <c r="D24172" t="str">
        <f>"97639"</f>
        <v>97639</v>
      </c>
      <c r="E24172">
        <v>53.33</v>
      </c>
    </row>
    <row r="24173" spans="1:5" x14ac:dyDescent="0.2">
      <c r="A24173">
        <v>97640</v>
      </c>
      <c r="B24173" t="s">
        <v>43</v>
      </c>
      <c r="C24173">
        <v>97640</v>
      </c>
      <c r="D24173" t="str">
        <f>"97640"</f>
        <v>97640</v>
      </c>
      <c r="E24173" t="s">
        <v>6</v>
      </c>
    </row>
    <row r="24174" spans="1:5" x14ac:dyDescent="0.2">
      <c r="A24174">
        <v>97641</v>
      </c>
      <c r="B24174" t="s">
        <v>43</v>
      </c>
      <c r="C24174">
        <v>97641</v>
      </c>
      <c r="D24174" t="str">
        <f>"97641"</f>
        <v>97641</v>
      </c>
      <c r="E24174" t="s">
        <v>6</v>
      </c>
    </row>
    <row r="24175" spans="1:5" x14ac:dyDescent="0.2">
      <c r="A24175">
        <v>97701</v>
      </c>
      <c r="B24175" t="s">
        <v>43</v>
      </c>
      <c r="C24175">
        <v>97701</v>
      </c>
      <c r="D24175" t="str">
        <f>"97701"</f>
        <v>97701</v>
      </c>
      <c r="E24175">
        <v>75.81</v>
      </c>
    </row>
    <row r="24176" spans="1:5" x14ac:dyDescent="0.2">
      <c r="A24176">
        <v>97702</v>
      </c>
      <c r="B24176" t="s">
        <v>43</v>
      </c>
      <c r="C24176">
        <v>97702</v>
      </c>
      <c r="D24176" t="str">
        <f>"97702"</f>
        <v>97702</v>
      </c>
      <c r="E24176">
        <v>76.959999999999994</v>
      </c>
    </row>
    <row r="24177" spans="1:5" x14ac:dyDescent="0.2">
      <c r="A24177">
        <v>97703</v>
      </c>
      <c r="B24177" t="s">
        <v>43</v>
      </c>
      <c r="C24177">
        <v>97703</v>
      </c>
      <c r="D24177" t="str">
        <f>"97703"</f>
        <v>97703</v>
      </c>
      <c r="E24177" t="s">
        <v>6</v>
      </c>
    </row>
    <row r="24178" spans="1:5" x14ac:dyDescent="0.2">
      <c r="A24178">
        <v>97707</v>
      </c>
      <c r="B24178" t="s">
        <v>43</v>
      </c>
      <c r="C24178">
        <v>97707</v>
      </c>
      <c r="D24178" t="str">
        <f>"97707"</f>
        <v>97707</v>
      </c>
      <c r="E24178">
        <v>76.010000000000005</v>
      </c>
    </row>
    <row r="24179" spans="1:5" x14ac:dyDescent="0.2">
      <c r="A24179">
        <v>97710</v>
      </c>
      <c r="B24179" t="s">
        <v>43</v>
      </c>
      <c r="C24179">
        <v>97710</v>
      </c>
      <c r="D24179" t="str">
        <f>"97710"</f>
        <v>97710</v>
      </c>
      <c r="E24179" t="s">
        <v>6</v>
      </c>
    </row>
    <row r="24180" spans="1:5" x14ac:dyDescent="0.2">
      <c r="A24180">
        <v>97711</v>
      </c>
      <c r="B24180" t="s">
        <v>43</v>
      </c>
      <c r="C24180">
        <v>97711</v>
      </c>
      <c r="D24180" t="str">
        <f>"97711"</f>
        <v>97711</v>
      </c>
      <c r="E24180" t="s">
        <v>6</v>
      </c>
    </row>
    <row r="24181" spans="1:5" x14ac:dyDescent="0.2">
      <c r="A24181">
        <v>97712</v>
      </c>
      <c r="B24181" t="s">
        <v>43</v>
      </c>
      <c r="C24181">
        <v>97712</v>
      </c>
      <c r="D24181" t="str">
        <f>"97712"</f>
        <v>97712</v>
      </c>
      <c r="E24181" t="s">
        <v>6</v>
      </c>
    </row>
    <row r="24182" spans="1:5" x14ac:dyDescent="0.2">
      <c r="A24182">
        <v>97720</v>
      </c>
      <c r="B24182" t="s">
        <v>43</v>
      </c>
      <c r="C24182">
        <v>97720</v>
      </c>
      <c r="D24182" t="str">
        <f>"97720"</f>
        <v>97720</v>
      </c>
      <c r="E24182">
        <v>61.05</v>
      </c>
    </row>
    <row r="24183" spans="1:5" x14ac:dyDescent="0.2">
      <c r="A24183">
        <v>97721</v>
      </c>
      <c r="B24183" t="s">
        <v>43</v>
      </c>
      <c r="C24183">
        <v>97721</v>
      </c>
      <c r="D24183" t="str">
        <f>"97721"</f>
        <v>97721</v>
      </c>
      <c r="E24183" t="s">
        <v>6</v>
      </c>
    </row>
    <row r="24184" spans="1:5" x14ac:dyDescent="0.2">
      <c r="A24184">
        <v>97722</v>
      </c>
      <c r="B24184" t="s">
        <v>43</v>
      </c>
      <c r="C24184">
        <v>97722</v>
      </c>
      <c r="D24184" t="str">
        <f>"97722"</f>
        <v>97722</v>
      </c>
      <c r="E24184" t="s">
        <v>6</v>
      </c>
    </row>
    <row r="24185" spans="1:5" x14ac:dyDescent="0.2">
      <c r="A24185">
        <v>97730</v>
      </c>
      <c r="B24185" t="s">
        <v>43</v>
      </c>
      <c r="C24185">
        <v>97730</v>
      </c>
      <c r="D24185" t="str">
        <f>"97730"</f>
        <v>97730</v>
      </c>
      <c r="E24185">
        <v>83.33</v>
      </c>
    </row>
    <row r="24186" spans="1:5" x14ac:dyDescent="0.2">
      <c r="A24186">
        <v>97731</v>
      </c>
      <c r="B24186" t="s">
        <v>43</v>
      </c>
      <c r="C24186">
        <v>97731</v>
      </c>
      <c r="D24186" t="str">
        <f>"97731"</f>
        <v>97731</v>
      </c>
      <c r="E24186">
        <v>61.54</v>
      </c>
    </row>
    <row r="24187" spans="1:5" x14ac:dyDescent="0.2">
      <c r="A24187">
        <v>97732</v>
      </c>
      <c r="B24187" t="s">
        <v>43</v>
      </c>
      <c r="C24187">
        <v>97732</v>
      </c>
      <c r="D24187" t="str">
        <f>"97732"</f>
        <v>97732</v>
      </c>
      <c r="E24187" t="s">
        <v>6</v>
      </c>
    </row>
    <row r="24188" spans="1:5" x14ac:dyDescent="0.2">
      <c r="A24188">
        <v>97733</v>
      </c>
      <c r="B24188" t="s">
        <v>43</v>
      </c>
      <c r="C24188">
        <v>97733</v>
      </c>
      <c r="D24188" t="str">
        <f>"97733"</f>
        <v>97733</v>
      </c>
      <c r="E24188">
        <v>69.7</v>
      </c>
    </row>
    <row r="24189" spans="1:5" x14ac:dyDescent="0.2">
      <c r="A24189">
        <v>97734</v>
      </c>
      <c r="B24189" t="s">
        <v>43</v>
      </c>
      <c r="C24189">
        <v>97734</v>
      </c>
      <c r="D24189" t="str">
        <f>"97734"</f>
        <v>97734</v>
      </c>
      <c r="E24189">
        <v>70.540000000000006</v>
      </c>
    </row>
    <row r="24190" spans="1:5" x14ac:dyDescent="0.2">
      <c r="A24190">
        <v>97735</v>
      </c>
      <c r="B24190" t="s">
        <v>43</v>
      </c>
      <c r="C24190">
        <v>97735</v>
      </c>
      <c r="D24190" t="str">
        <f>"97735"</f>
        <v>97735</v>
      </c>
      <c r="E24190" t="s">
        <v>6</v>
      </c>
    </row>
    <row r="24191" spans="1:5" x14ac:dyDescent="0.2">
      <c r="A24191">
        <v>97736</v>
      </c>
      <c r="B24191" t="s">
        <v>43</v>
      </c>
      <c r="C24191">
        <v>97736</v>
      </c>
      <c r="D24191" t="str">
        <f>"97736"</f>
        <v>97736</v>
      </c>
      <c r="E24191" t="s">
        <v>6</v>
      </c>
    </row>
    <row r="24192" spans="1:5" x14ac:dyDescent="0.2">
      <c r="A24192">
        <v>97737</v>
      </c>
      <c r="B24192" t="s">
        <v>43</v>
      </c>
      <c r="C24192">
        <v>97737</v>
      </c>
      <c r="D24192" t="str">
        <f>"97737"</f>
        <v>97737</v>
      </c>
      <c r="E24192">
        <v>68.180000000000007</v>
      </c>
    </row>
    <row r="24193" spans="1:5" x14ac:dyDescent="0.2">
      <c r="A24193">
        <v>97738</v>
      </c>
      <c r="B24193" t="s">
        <v>43</v>
      </c>
      <c r="C24193">
        <v>97738</v>
      </c>
      <c r="D24193" t="str">
        <f>"97738"</f>
        <v>97738</v>
      </c>
      <c r="E24193">
        <v>67.069999999999993</v>
      </c>
    </row>
    <row r="24194" spans="1:5" x14ac:dyDescent="0.2">
      <c r="A24194">
        <v>97739</v>
      </c>
      <c r="B24194" t="s">
        <v>43</v>
      </c>
      <c r="C24194">
        <v>97739</v>
      </c>
      <c r="D24194" t="str">
        <f>"97739"</f>
        <v>97739</v>
      </c>
      <c r="E24194">
        <v>68.349999999999994</v>
      </c>
    </row>
    <row r="24195" spans="1:5" x14ac:dyDescent="0.2">
      <c r="A24195">
        <v>97741</v>
      </c>
      <c r="B24195" t="s">
        <v>43</v>
      </c>
      <c r="C24195">
        <v>97741</v>
      </c>
      <c r="D24195" t="str">
        <f>"97741"</f>
        <v>97741</v>
      </c>
      <c r="E24195">
        <v>62.11</v>
      </c>
    </row>
    <row r="24196" spans="1:5" x14ac:dyDescent="0.2">
      <c r="A24196">
        <v>97750</v>
      </c>
      <c r="B24196" t="s">
        <v>43</v>
      </c>
      <c r="C24196">
        <v>97750</v>
      </c>
      <c r="D24196" t="str">
        <f>"97750"</f>
        <v>97750</v>
      </c>
      <c r="E24196">
        <v>50</v>
      </c>
    </row>
    <row r="24197" spans="1:5" x14ac:dyDescent="0.2">
      <c r="A24197">
        <v>97751</v>
      </c>
      <c r="B24197" t="s">
        <v>43</v>
      </c>
      <c r="C24197">
        <v>97751</v>
      </c>
      <c r="D24197" t="str">
        <f>"97751"</f>
        <v>97751</v>
      </c>
      <c r="E24197" t="s">
        <v>6</v>
      </c>
    </row>
    <row r="24198" spans="1:5" x14ac:dyDescent="0.2">
      <c r="A24198">
        <v>97752</v>
      </c>
      <c r="B24198" t="s">
        <v>43</v>
      </c>
      <c r="C24198">
        <v>97752</v>
      </c>
      <c r="D24198" t="str">
        <f>"97752"</f>
        <v>97752</v>
      </c>
      <c r="E24198" t="s">
        <v>6</v>
      </c>
    </row>
    <row r="24199" spans="1:5" x14ac:dyDescent="0.2">
      <c r="A24199">
        <v>97753</v>
      </c>
      <c r="B24199" t="s">
        <v>43</v>
      </c>
      <c r="C24199">
        <v>97753</v>
      </c>
      <c r="D24199" t="str">
        <f>"97753"</f>
        <v>97753</v>
      </c>
      <c r="E24199">
        <v>80.33</v>
      </c>
    </row>
    <row r="24200" spans="1:5" x14ac:dyDescent="0.2">
      <c r="A24200">
        <v>97754</v>
      </c>
      <c r="B24200" t="s">
        <v>43</v>
      </c>
      <c r="C24200">
        <v>97754</v>
      </c>
      <c r="D24200" t="str">
        <f>"97754"</f>
        <v>97754</v>
      </c>
      <c r="E24200">
        <v>70.31</v>
      </c>
    </row>
    <row r="24201" spans="1:5" x14ac:dyDescent="0.2">
      <c r="A24201">
        <v>97756</v>
      </c>
      <c r="B24201" t="s">
        <v>43</v>
      </c>
      <c r="C24201">
        <v>97756</v>
      </c>
      <c r="D24201" t="str">
        <f>"97756"</f>
        <v>97756</v>
      </c>
      <c r="E24201">
        <v>72.92</v>
      </c>
    </row>
    <row r="24202" spans="1:5" x14ac:dyDescent="0.2">
      <c r="A24202">
        <v>97758</v>
      </c>
      <c r="B24202" t="s">
        <v>43</v>
      </c>
      <c r="C24202">
        <v>97758</v>
      </c>
      <c r="D24202" t="str">
        <f>"97758"</f>
        <v>97758</v>
      </c>
      <c r="E24202" t="s">
        <v>6</v>
      </c>
    </row>
    <row r="24203" spans="1:5" x14ac:dyDescent="0.2">
      <c r="A24203">
        <v>97759</v>
      </c>
      <c r="B24203" t="s">
        <v>43</v>
      </c>
      <c r="C24203">
        <v>97759</v>
      </c>
      <c r="D24203" t="str">
        <f>"97759"</f>
        <v>97759</v>
      </c>
      <c r="E24203">
        <v>73.55</v>
      </c>
    </row>
    <row r="24204" spans="1:5" x14ac:dyDescent="0.2">
      <c r="A24204">
        <v>97760</v>
      </c>
      <c r="B24204" t="s">
        <v>43</v>
      </c>
      <c r="C24204">
        <v>97760</v>
      </c>
      <c r="D24204" t="str">
        <f>"97760"</f>
        <v>97760</v>
      </c>
      <c r="E24204">
        <v>74.66</v>
      </c>
    </row>
    <row r="24205" spans="1:5" x14ac:dyDescent="0.2">
      <c r="A24205">
        <v>97761</v>
      </c>
      <c r="B24205" t="s">
        <v>43</v>
      </c>
      <c r="C24205">
        <v>97761</v>
      </c>
      <c r="D24205" t="str">
        <f>"97761"</f>
        <v>97761</v>
      </c>
      <c r="E24205" t="s">
        <v>6</v>
      </c>
    </row>
    <row r="24206" spans="1:5" x14ac:dyDescent="0.2">
      <c r="A24206">
        <v>97801</v>
      </c>
      <c r="B24206" t="s">
        <v>43</v>
      </c>
      <c r="C24206">
        <v>97801</v>
      </c>
      <c r="D24206" t="str">
        <f>"97801"</f>
        <v>97801</v>
      </c>
      <c r="E24206">
        <v>72.56</v>
      </c>
    </row>
    <row r="24207" spans="1:5" x14ac:dyDescent="0.2">
      <c r="A24207">
        <v>97810</v>
      </c>
      <c r="B24207" t="s">
        <v>43</v>
      </c>
      <c r="C24207">
        <v>97810</v>
      </c>
      <c r="D24207" t="str">
        <f>"97810"</f>
        <v>97810</v>
      </c>
      <c r="E24207">
        <v>72.73</v>
      </c>
    </row>
    <row r="24208" spans="1:5" x14ac:dyDescent="0.2">
      <c r="A24208">
        <v>97812</v>
      </c>
      <c r="B24208" t="s">
        <v>43</v>
      </c>
      <c r="C24208">
        <v>97812</v>
      </c>
      <c r="D24208" t="str">
        <f>"97812"</f>
        <v>97812</v>
      </c>
      <c r="E24208">
        <v>74.290000000000006</v>
      </c>
    </row>
    <row r="24209" spans="1:5" x14ac:dyDescent="0.2">
      <c r="A24209">
        <v>97813</v>
      </c>
      <c r="B24209" t="s">
        <v>43</v>
      </c>
      <c r="C24209">
        <v>97813</v>
      </c>
      <c r="D24209" t="str">
        <f>"97813"</f>
        <v>97813</v>
      </c>
      <c r="E24209">
        <v>73.44</v>
      </c>
    </row>
    <row r="24210" spans="1:5" x14ac:dyDescent="0.2">
      <c r="A24210">
        <v>97814</v>
      </c>
      <c r="B24210" t="s">
        <v>43</v>
      </c>
      <c r="C24210">
        <v>97814</v>
      </c>
      <c r="D24210" t="str">
        <f>"97814"</f>
        <v>97814</v>
      </c>
      <c r="E24210">
        <v>69.040000000000006</v>
      </c>
    </row>
    <row r="24211" spans="1:5" x14ac:dyDescent="0.2">
      <c r="A24211">
        <v>97817</v>
      </c>
      <c r="B24211" t="s">
        <v>43</v>
      </c>
      <c r="C24211">
        <v>97817</v>
      </c>
      <c r="D24211" t="str">
        <f>"97817"</f>
        <v>97817</v>
      </c>
      <c r="E24211" t="s">
        <v>6</v>
      </c>
    </row>
    <row r="24212" spans="1:5" x14ac:dyDescent="0.2">
      <c r="A24212">
        <v>97818</v>
      </c>
      <c r="B24212" t="s">
        <v>43</v>
      </c>
      <c r="C24212">
        <v>97818</v>
      </c>
      <c r="D24212" t="str">
        <f>"97818"</f>
        <v>97818</v>
      </c>
      <c r="E24212">
        <v>70.17</v>
      </c>
    </row>
    <row r="24213" spans="1:5" x14ac:dyDescent="0.2">
      <c r="A24213">
        <v>97819</v>
      </c>
      <c r="B24213" t="s">
        <v>43</v>
      </c>
      <c r="C24213">
        <v>97819</v>
      </c>
      <c r="D24213" t="str">
        <f>"97819"</f>
        <v>97819</v>
      </c>
      <c r="E24213" t="s">
        <v>6</v>
      </c>
    </row>
    <row r="24214" spans="1:5" x14ac:dyDescent="0.2">
      <c r="A24214">
        <v>97820</v>
      </c>
      <c r="B24214" t="s">
        <v>43</v>
      </c>
      <c r="C24214">
        <v>97820</v>
      </c>
      <c r="D24214" t="str">
        <f>"97820"</f>
        <v>97820</v>
      </c>
      <c r="E24214">
        <v>70.83</v>
      </c>
    </row>
    <row r="24215" spans="1:5" x14ac:dyDescent="0.2">
      <c r="A24215">
        <v>97823</v>
      </c>
      <c r="B24215" t="s">
        <v>43</v>
      </c>
      <c r="C24215">
        <v>97823</v>
      </c>
      <c r="D24215" t="str">
        <f>"97823"</f>
        <v>97823</v>
      </c>
      <c r="E24215">
        <v>68.180000000000007</v>
      </c>
    </row>
    <row r="24216" spans="1:5" x14ac:dyDescent="0.2">
      <c r="A24216">
        <v>97824</v>
      </c>
      <c r="B24216" t="s">
        <v>43</v>
      </c>
      <c r="C24216">
        <v>97824</v>
      </c>
      <c r="D24216" t="str">
        <f>"97824"</f>
        <v>97824</v>
      </c>
      <c r="E24216">
        <v>73.239999999999995</v>
      </c>
    </row>
    <row r="24217" spans="1:5" x14ac:dyDescent="0.2">
      <c r="A24217">
        <v>97825</v>
      </c>
      <c r="B24217" t="s">
        <v>43</v>
      </c>
      <c r="C24217">
        <v>97825</v>
      </c>
      <c r="D24217" t="str">
        <f>"97825"</f>
        <v>97825</v>
      </c>
      <c r="E24217">
        <v>50</v>
      </c>
    </row>
    <row r="24218" spans="1:5" x14ac:dyDescent="0.2">
      <c r="A24218">
        <v>97826</v>
      </c>
      <c r="B24218" t="s">
        <v>43</v>
      </c>
      <c r="C24218">
        <v>97826</v>
      </c>
      <c r="D24218" t="str">
        <f>"97826"</f>
        <v>97826</v>
      </c>
      <c r="E24218">
        <v>73.33</v>
      </c>
    </row>
    <row r="24219" spans="1:5" x14ac:dyDescent="0.2">
      <c r="A24219">
        <v>97827</v>
      </c>
      <c r="B24219" t="s">
        <v>43</v>
      </c>
      <c r="C24219">
        <v>97827</v>
      </c>
      <c r="D24219" t="str">
        <f>"97827"</f>
        <v>97827</v>
      </c>
      <c r="E24219">
        <v>66.040000000000006</v>
      </c>
    </row>
    <row r="24220" spans="1:5" x14ac:dyDescent="0.2">
      <c r="A24220">
        <v>97828</v>
      </c>
      <c r="B24220" t="s">
        <v>43</v>
      </c>
      <c r="C24220">
        <v>97828</v>
      </c>
      <c r="D24220" t="str">
        <f>"97828"</f>
        <v>97828</v>
      </c>
      <c r="E24220">
        <v>70.14</v>
      </c>
    </row>
    <row r="24221" spans="1:5" x14ac:dyDescent="0.2">
      <c r="A24221">
        <v>97830</v>
      </c>
      <c r="B24221" t="s">
        <v>43</v>
      </c>
      <c r="C24221">
        <v>97830</v>
      </c>
      <c r="D24221" t="str">
        <f>"97830"</f>
        <v>97830</v>
      </c>
      <c r="E24221">
        <v>65.38</v>
      </c>
    </row>
    <row r="24222" spans="1:5" x14ac:dyDescent="0.2">
      <c r="A24222">
        <v>97833</v>
      </c>
      <c r="B24222" t="s">
        <v>43</v>
      </c>
      <c r="C24222">
        <v>97833</v>
      </c>
      <c r="D24222" t="str">
        <f>"97833"</f>
        <v>97833</v>
      </c>
      <c r="E24222">
        <v>63.16</v>
      </c>
    </row>
    <row r="24223" spans="1:5" x14ac:dyDescent="0.2">
      <c r="A24223">
        <v>97834</v>
      </c>
      <c r="B24223" t="s">
        <v>43</v>
      </c>
      <c r="C24223">
        <v>97834</v>
      </c>
      <c r="D24223" t="str">
        <f>"97834"</f>
        <v>97834</v>
      </c>
      <c r="E24223">
        <v>65.12</v>
      </c>
    </row>
    <row r="24224" spans="1:5" x14ac:dyDescent="0.2">
      <c r="A24224">
        <v>97835</v>
      </c>
      <c r="B24224" t="s">
        <v>43</v>
      </c>
      <c r="C24224">
        <v>97835</v>
      </c>
      <c r="D24224" t="str">
        <f>"97835"</f>
        <v>97835</v>
      </c>
      <c r="E24224">
        <v>78.569999999999993</v>
      </c>
    </row>
    <row r="24225" spans="1:5" x14ac:dyDescent="0.2">
      <c r="A24225">
        <v>97836</v>
      </c>
      <c r="B24225" t="s">
        <v>43</v>
      </c>
      <c r="C24225">
        <v>97836</v>
      </c>
      <c r="D24225" t="str">
        <f>"97836"</f>
        <v>97836</v>
      </c>
      <c r="E24225">
        <v>72.94</v>
      </c>
    </row>
    <row r="24226" spans="1:5" x14ac:dyDescent="0.2">
      <c r="A24226">
        <v>97837</v>
      </c>
      <c r="B24226" t="s">
        <v>43</v>
      </c>
      <c r="C24226">
        <v>97837</v>
      </c>
      <c r="D24226" t="str">
        <f>"97837"</f>
        <v>97837</v>
      </c>
      <c r="E24226" t="s">
        <v>6</v>
      </c>
    </row>
    <row r="24227" spans="1:5" x14ac:dyDescent="0.2">
      <c r="A24227">
        <v>97838</v>
      </c>
      <c r="B24227" t="s">
        <v>43</v>
      </c>
      <c r="C24227">
        <v>97838</v>
      </c>
      <c r="D24227" t="str">
        <f>"97838"</f>
        <v>97838</v>
      </c>
      <c r="E24227">
        <v>69.06</v>
      </c>
    </row>
    <row r="24228" spans="1:5" x14ac:dyDescent="0.2">
      <c r="A24228">
        <v>97839</v>
      </c>
      <c r="B24228" t="s">
        <v>43</v>
      </c>
      <c r="C24228">
        <v>97839</v>
      </c>
      <c r="D24228" t="str">
        <f>"97839"</f>
        <v>97839</v>
      </c>
      <c r="E24228">
        <v>70.59</v>
      </c>
    </row>
    <row r="24229" spans="1:5" x14ac:dyDescent="0.2">
      <c r="A24229">
        <v>97840</v>
      </c>
      <c r="B24229" t="s">
        <v>43</v>
      </c>
      <c r="C24229">
        <v>97840</v>
      </c>
      <c r="D24229" t="str">
        <f>"97840"</f>
        <v>97840</v>
      </c>
      <c r="E24229" t="s">
        <v>6</v>
      </c>
    </row>
    <row r="24230" spans="1:5" x14ac:dyDescent="0.2">
      <c r="A24230">
        <v>97841</v>
      </c>
      <c r="B24230" t="s">
        <v>43</v>
      </c>
      <c r="C24230">
        <v>97841</v>
      </c>
      <c r="D24230" t="str">
        <f>"97841"</f>
        <v>97841</v>
      </c>
      <c r="E24230">
        <v>72</v>
      </c>
    </row>
    <row r="24231" spans="1:5" x14ac:dyDescent="0.2">
      <c r="A24231">
        <v>97842</v>
      </c>
      <c r="B24231" t="s">
        <v>43</v>
      </c>
      <c r="C24231">
        <v>97842</v>
      </c>
      <c r="D24231" t="str">
        <f>"97842"</f>
        <v>97842</v>
      </c>
      <c r="E24231" t="s">
        <v>6</v>
      </c>
    </row>
    <row r="24232" spans="1:5" x14ac:dyDescent="0.2">
      <c r="A24232">
        <v>97843</v>
      </c>
      <c r="B24232" t="s">
        <v>43</v>
      </c>
      <c r="C24232">
        <v>97843</v>
      </c>
      <c r="D24232" t="str">
        <f>"97843"</f>
        <v>97843</v>
      </c>
      <c r="E24232">
        <v>64.52</v>
      </c>
    </row>
    <row r="24233" spans="1:5" x14ac:dyDescent="0.2">
      <c r="A24233">
        <v>97844</v>
      </c>
      <c r="B24233" t="s">
        <v>43</v>
      </c>
      <c r="C24233">
        <v>97844</v>
      </c>
      <c r="D24233" t="str">
        <f>"97844"</f>
        <v>97844</v>
      </c>
      <c r="E24233">
        <v>68.63</v>
      </c>
    </row>
    <row r="24234" spans="1:5" x14ac:dyDescent="0.2">
      <c r="A24234">
        <v>97845</v>
      </c>
      <c r="B24234" t="s">
        <v>43</v>
      </c>
      <c r="C24234">
        <v>97845</v>
      </c>
      <c r="D24234" t="str">
        <f>"97845"</f>
        <v>97845</v>
      </c>
      <c r="E24234">
        <v>71.430000000000007</v>
      </c>
    </row>
    <row r="24235" spans="1:5" x14ac:dyDescent="0.2">
      <c r="A24235">
        <v>97846</v>
      </c>
      <c r="B24235" t="s">
        <v>43</v>
      </c>
      <c r="C24235">
        <v>97846</v>
      </c>
      <c r="D24235" t="str">
        <f>"97846"</f>
        <v>97846</v>
      </c>
      <c r="E24235">
        <v>68.27</v>
      </c>
    </row>
    <row r="24236" spans="1:5" x14ac:dyDescent="0.2">
      <c r="A24236">
        <v>97848</v>
      </c>
      <c r="B24236" t="s">
        <v>43</v>
      </c>
      <c r="C24236">
        <v>97848</v>
      </c>
      <c r="D24236" t="str">
        <f>"97848"</f>
        <v>97848</v>
      </c>
      <c r="E24236" t="s">
        <v>6</v>
      </c>
    </row>
    <row r="24237" spans="1:5" x14ac:dyDescent="0.2">
      <c r="A24237">
        <v>97850</v>
      </c>
      <c r="B24237" t="s">
        <v>43</v>
      </c>
      <c r="C24237">
        <v>97850</v>
      </c>
      <c r="D24237" t="str">
        <f>"97850"</f>
        <v>97850</v>
      </c>
      <c r="E24237">
        <v>70.09</v>
      </c>
    </row>
    <row r="24238" spans="1:5" x14ac:dyDescent="0.2">
      <c r="A24238">
        <v>97856</v>
      </c>
      <c r="B24238" t="s">
        <v>43</v>
      </c>
      <c r="C24238">
        <v>97856</v>
      </c>
      <c r="D24238" t="str">
        <f>"97856"</f>
        <v>97856</v>
      </c>
      <c r="E24238">
        <v>53.85</v>
      </c>
    </row>
    <row r="24239" spans="1:5" x14ac:dyDescent="0.2">
      <c r="A24239">
        <v>97857</v>
      </c>
      <c r="B24239" t="s">
        <v>43</v>
      </c>
      <c r="C24239">
        <v>97857</v>
      </c>
      <c r="D24239" t="str">
        <f>"97857"</f>
        <v>97857</v>
      </c>
      <c r="E24239">
        <v>72.73</v>
      </c>
    </row>
    <row r="24240" spans="1:5" x14ac:dyDescent="0.2">
      <c r="A24240">
        <v>97859</v>
      </c>
      <c r="B24240" t="s">
        <v>43</v>
      </c>
      <c r="C24240">
        <v>97859</v>
      </c>
      <c r="D24240" t="str">
        <f>"97859"</f>
        <v>97859</v>
      </c>
      <c r="E24240" t="s">
        <v>6</v>
      </c>
    </row>
    <row r="24241" spans="1:5" x14ac:dyDescent="0.2">
      <c r="A24241">
        <v>97862</v>
      </c>
      <c r="B24241" t="s">
        <v>43</v>
      </c>
      <c r="C24241">
        <v>97862</v>
      </c>
      <c r="D24241" t="str">
        <f>"97862"</f>
        <v>97862</v>
      </c>
      <c r="E24241">
        <v>63</v>
      </c>
    </row>
    <row r="24242" spans="1:5" x14ac:dyDescent="0.2">
      <c r="A24242">
        <v>97864</v>
      </c>
      <c r="B24242" t="s">
        <v>43</v>
      </c>
      <c r="C24242">
        <v>97864</v>
      </c>
      <c r="D24242" t="str">
        <f>"97864"</f>
        <v>97864</v>
      </c>
      <c r="E24242">
        <v>60</v>
      </c>
    </row>
    <row r="24243" spans="1:5" x14ac:dyDescent="0.2">
      <c r="A24243">
        <v>97865</v>
      </c>
      <c r="B24243" t="s">
        <v>43</v>
      </c>
      <c r="C24243">
        <v>97865</v>
      </c>
      <c r="D24243" t="str">
        <f>"97865"</f>
        <v>97865</v>
      </c>
      <c r="E24243">
        <v>67.44</v>
      </c>
    </row>
    <row r="24244" spans="1:5" x14ac:dyDescent="0.2">
      <c r="A24244">
        <v>97867</v>
      </c>
      <c r="B24244" t="s">
        <v>43</v>
      </c>
      <c r="C24244">
        <v>97867</v>
      </c>
      <c r="D24244" t="str">
        <f>"97867"</f>
        <v>97867</v>
      </c>
      <c r="E24244">
        <v>60</v>
      </c>
    </row>
    <row r="24245" spans="1:5" x14ac:dyDescent="0.2">
      <c r="A24245">
        <v>97868</v>
      </c>
      <c r="B24245" t="s">
        <v>43</v>
      </c>
      <c r="C24245">
        <v>97868</v>
      </c>
      <c r="D24245" t="str">
        <f>"97868"</f>
        <v>97868</v>
      </c>
      <c r="E24245">
        <v>74.42</v>
      </c>
    </row>
    <row r="24246" spans="1:5" x14ac:dyDescent="0.2">
      <c r="A24246">
        <v>97869</v>
      </c>
      <c r="B24246" t="s">
        <v>43</v>
      </c>
      <c r="C24246">
        <v>97869</v>
      </c>
      <c r="D24246" t="str">
        <f>"97869"</f>
        <v>97869</v>
      </c>
      <c r="E24246">
        <v>72.73</v>
      </c>
    </row>
    <row r="24247" spans="1:5" x14ac:dyDescent="0.2">
      <c r="A24247">
        <v>97870</v>
      </c>
      <c r="B24247" t="s">
        <v>43</v>
      </c>
      <c r="C24247">
        <v>97870</v>
      </c>
      <c r="D24247" t="str">
        <f>"97870"</f>
        <v>97870</v>
      </c>
      <c r="E24247">
        <v>56.52</v>
      </c>
    </row>
    <row r="24248" spans="1:5" x14ac:dyDescent="0.2">
      <c r="A24248">
        <v>97873</v>
      </c>
      <c r="B24248" t="s">
        <v>43</v>
      </c>
      <c r="C24248">
        <v>97873</v>
      </c>
      <c r="D24248" t="str">
        <f>"97873"</f>
        <v>97873</v>
      </c>
      <c r="E24248" t="s">
        <v>6</v>
      </c>
    </row>
    <row r="24249" spans="1:5" x14ac:dyDescent="0.2">
      <c r="A24249">
        <v>97874</v>
      </c>
      <c r="B24249" t="s">
        <v>43</v>
      </c>
      <c r="C24249">
        <v>97874</v>
      </c>
      <c r="D24249" t="str">
        <f>"97874"</f>
        <v>97874</v>
      </c>
      <c r="E24249">
        <v>57.14</v>
      </c>
    </row>
    <row r="24250" spans="1:5" x14ac:dyDescent="0.2">
      <c r="A24250">
        <v>97875</v>
      </c>
      <c r="B24250" t="s">
        <v>43</v>
      </c>
      <c r="C24250">
        <v>97875</v>
      </c>
      <c r="D24250" t="str">
        <f>"97875"</f>
        <v>97875</v>
      </c>
      <c r="E24250">
        <v>72.58</v>
      </c>
    </row>
    <row r="24251" spans="1:5" x14ac:dyDescent="0.2">
      <c r="A24251">
        <v>97876</v>
      </c>
      <c r="B24251" t="s">
        <v>43</v>
      </c>
      <c r="C24251">
        <v>97876</v>
      </c>
      <c r="D24251" t="str">
        <f>"97876"</f>
        <v>97876</v>
      </c>
      <c r="E24251">
        <v>74.36</v>
      </c>
    </row>
    <row r="24252" spans="1:5" x14ac:dyDescent="0.2">
      <c r="A24252">
        <v>97877</v>
      </c>
      <c r="B24252" t="s">
        <v>43</v>
      </c>
      <c r="C24252">
        <v>97877</v>
      </c>
      <c r="D24252" t="str">
        <f>"97877"</f>
        <v>97877</v>
      </c>
      <c r="E24252">
        <v>60</v>
      </c>
    </row>
    <row r="24253" spans="1:5" x14ac:dyDescent="0.2">
      <c r="A24253">
        <v>97880</v>
      </c>
      <c r="B24253" t="s">
        <v>43</v>
      </c>
      <c r="C24253">
        <v>97880</v>
      </c>
      <c r="D24253" t="str">
        <f>"97880"</f>
        <v>97880</v>
      </c>
      <c r="E24253" t="s">
        <v>6</v>
      </c>
    </row>
    <row r="24254" spans="1:5" x14ac:dyDescent="0.2">
      <c r="A24254">
        <v>97882</v>
      </c>
      <c r="B24254" t="s">
        <v>43</v>
      </c>
      <c r="C24254">
        <v>97882</v>
      </c>
      <c r="D24254" t="str">
        <f>"97882"</f>
        <v>97882</v>
      </c>
      <c r="E24254">
        <v>63.97</v>
      </c>
    </row>
    <row r="24255" spans="1:5" x14ac:dyDescent="0.2">
      <c r="A24255">
        <v>97883</v>
      </c>
      <c r="B24255" t="s">
        <v>43</v>
      </c>
      <c r="C24255">
        <v>97883</v>
      </c>
      <c r="D24255" t="str">
        <f>"97883"</f>
        <v>97883</v>
      </c>
      <c r="E24255">
        <v>68.22</v>
      </c>
    </row>
    <row r="24256" spans="1:5" x14ac:dyDescent="0.2">
      <c r="A24256">
        <v>97884</v>
      </c>
      <c r="B24256" t="s">
        <v>43</v>
      </c>
      <c r="C24256">
        <v>97884</v>
      </c>
      <c r="D24256" t="str">
        <f>"97884"</f>
        <v>97884</v>
      </c>
      <c r="E24256" t="s">
        <v>6</v>
      </c>
    </row>
    <row r="24257" spans="1:5" x14ac:dyDescent="0.2">
      <c r="A24257">
        <v>97885</v>
      </c>
      <c r="B24257" t="s">
        <v>43</v>
      </c>
      <c r="C24257">
        <v>97885</v>
      </c>
      <c r="D24257" t="str">
        <f>"97885"</f>
        <v>97885</v>
      </c>
      <c r="E24257">
        <v>67.8</v>
      </c>
    </row>
    <row r="24258" spans="1:5" x14ac:dyDescent="0.2">
      <c r="A24258">
        <v>97886</v>
      </c>
      <c r="B24258" t="s">
        <v>43</v>
      </c>
      <c r="C24258">
        <v>97886</v>
      </c>
      <c r="D24258" t="str">
        <f>"97886"</f>
        <v>97886</v>
      </c>
      <c r="E24258">
        <v>66</v>
      </c>
    </row>
    <row r="24259" spans="1:5" x14ac:dyDescent="0.2">
      <c r="A24259">
        <v>97901</v>
      </c>
      <c r="B24259" t="s">
        <v>43</v>
      </c>
      <c r="C24259">
        <v>97901</v>
      </c>
      <c r="D24259" t="str">
        <f>"97901"</f>
        <v>97901</v>
      </c>
      <c r="E24259">
        <v>62.96</v>
      </c>
    </row>
    <row r="24260" spans="1:5" x14ac:dyDescent="0.2">
      <c r="A24260">
        <v>97903</v>
      </c>
      <c r="B24260" t="s">
        <v>43</v>
      </c>
      <c r="C24260">
        <v>97903</v>
      </c>
      <c r="D24260" t="str">
        <f>"97903"</f>
        <v>97903</v>
      </c>
      <c r="E24260" t="s">
        <v>6</v>
      </c>
    </row>
    <row r="24261" spans="1:5" x14ac:dyDescent="0.2">
      <c r="A24261">
        <v>97904</v>
      </c>
      <c r="B24261" t="s">
        <v>43</v>
      </c>
      <c r="C24261">
        <v>97904</v>
      </c>
      <c r="D24261" t="str">
        <f>"97904"</f>
        <v>97904</v>
      </c>
      <c r="E24261" t="s">
        <v>6</v>
      </c>
    </row>
    <row r="24262" spans="1:5" x14ac:dyDescent="0.2">
      <c r="A24262">
        <v>97905</v>
      </c>
      <c r="B24262" t="s">
        <v>43</v>
      </c>
      <c r="C24262">
        <v>97905</v>
      </c>
      <c r="D24262" t="str">
        <f>"97905"</f>
        <v>97905</v>
      </c>
      <c r="E24262" t="s">
        <v>6</v>
      </c>
    </row>
    <row r="24263" spans="1:5" x14ac:dyDescent="0.2">
      <c r="A24263">
        <v>97906</v>
      </c>
      <c r="B24263" t="s">
        <v>43</v>
      </c>
      <c r="C24263">
        <v>97906</v>
      </c>
      <c r="D24263" t="str">
        <f>"97906"</f>
        <v>97906</v>
      </c>
      <c r="E24263" t="s">
        <v>6</v>
      </c>
    </row>
    <row r="24264" spans="1:5" x14ac:dyDescent="0.2">
      <c r="A24264">
        <v>97907</v>
      </c>
      <c r="B24264" t="s">
        <v>43</v>
      </c>
      <c r="C24264">
        <v>97907</v>
      </c>
      <c r="D24264" t="str">
        <f>"97907"</f>
        <v>97907</v>
      </c>
      <c r="E24264">
        <v>52.63</v>
      </c>
    </row>
    <row r="24265" spans="1:5" x14ac:dyDescent="0.2">
      <c r="A24265">
        <v>97908</v>
      </c>
      <c r="B24265" t="s">
        <v>43</v>
      </c>
      <c r="C24265">
        <v>97908</v>
      </c>
      <c r="D24265" t="str">
        <f>"97908"</f>
        <v>97908</v>
      </c>
      <c r="E24265" t="s">
        <v>6</v>
      </c>
    </row>
    <row r="24266" spans="1:5" x14ac:dyDescent="0.2">
      <c r="A24266">
        <v>97909</v>
      </c>
      <c r="B24266" t="s">
        <v>43</v>
      </c>
      <c r="C24266">
        <v>97909</v>
      </c>
      <c r="D24266" t="str">
        <f>"97909"</f>
        <v>97909</v>
      </c>
      <c r="E24266" t="s">
        <v>6</v>
      </c>
    </row>
    <row r="24267" spans="1:5" x14ac:dyDescent="0.2">
      <c r="A24267">
        <v>97910</v>
      </c>
      <c r="B24267" t="s">
        <v>43</v>
      </c>
      <c r="C24267">
        <v>97910</v>
      </c>
      <c r="D24267" t="str">
        <f>"97910"</f>
        <v>97910</v>
      </c>
      <c r="E24267">
        <v>60.87</v>
      </c>
    </row>
    <row r="24268" spans="1:5" x14ac:dyDescent="0.2">
      <c r="A24268">
        <v>97911</v>
      </c>
      <c r="B24268" t="s">
        <v>43</v>
      </c>
      <c r="C24268">
        <v>97911</v>
      </c>
      <c r="D24268" t="str">
        <f>"97911"</f>
        <v>97911</v>
      </c>
      <c r="E24268" t="s">
        <v>6</v>
      </c>
    </row>
    <row r="24269" spans="1:5" x14ac:dyDescent="0.2">
      <c r="A24269">
        <v>97913</v>
      </c>
      <c r="B24269" t="s">
        <v>43</v>
      </c>
      <c r="C24269">
        <v>97913</v>
      </c>
      <c r="D24269" t="str">
        <f>"97913"</f>
        <v>97913</v>
      </c>
      <c r="E24269">
        <v>57.56</v>
      </c>
    </row>
    <row r="24270" spans="1:5" x14ac:dyDescent="0.2">
      <c r="A24270">
        <v>97914</v>
      </c>
      <c r="B24270" t="s">
        <v>43</v>
      </c>
      <c r="C24270">
        <v>97914</v>
      </c>
      <c r="D24270" t="str">
        <f>"97914"</f>
        <v>97914</v>
      </c>
      <c r="E24270">
        <v>59.61</v>
      </c>
    </row>
    <row r="24271" spans="1:5" x14ac:dyDescent="0.2">
      <c r="A24271">
        <v>97917</v>
      </c>
      <c r="B24271" t="s">
        <v>43</v>
      </c>
      <c r="C24271">
        <v>97917</v>
      </c>
      <c r="D24271" t="str">
        <f>"97917"</f>
        <v>97917</v>
      </c>
      <c r="E24271" t="s">
        <v>6</v>
      </c>
    </row>
    <row r="24272" spans="1:5" x14ac:dyDescent="0.2">
      <c r="A24272">
        <v>97918</v>
      </c>
      <c r="B24272" t="s">
        <v>43</v>
      </c>
      <c r="C24272">
        <v>97918</v>
      </c>
      <c r="D24272" t="str">
        <f>"97918"</f>
        <v>97918</v>
      </c>
      <c r="E24272">
        <v>63.37</v>
      </c>
    </row>
    <row r="24273" spans="1:5" x14ac:dyDescent="0.2">
      <c r="A24273">
        <v>97920</v>
      </c>
      <c r="B24273" t="s">
        <v>43</v>
      </c>
      <c r="C24273">
        <v>97920</v>
      </c>
      <c r="D24273" t="str">
        <f>"97920"</f>
        <v>97920</v>
      </c>
      <c r="E24273" t="s">
        <v>6</v>
      </c>
    </row>
    <row r="24274" spans="1:5" x14ac:dyDescent="0.2">
      <c r="A24274">
        <v>15001</v>
      </c>
      <c r="B24274" t="s">
        <v>44</v>
      </c>
      <c r="C24274">
        <v>15001</v>
      </c>
      <c r="D24274" t="str">
        <f>"15001"</f>
        <v>15001</v>
      </c>
      <c r="E24274">
        <v>73.62</v>
      </c>
    </row>
    <row r="24275" spans="1:5" x14ac:dyDescent="0.2">
      <c r="A24275">
        <v>15003</v>
      </c>
      <c r="B24275" t="s">
        <v>44</v>
      </c>
      <c r="C24275">
        <v>15003</v>
      </c>
      <c r="D24275" t="str">
        <f>"15003"</f>
        <v>15003</v>
      </c>
      <c r="E24275">
        <v>70.05</v>
      </c>
    </row>
    <row r="24276" spans="1:5" x14ac:dyDescent="0.2">
      <c r="A24276">
        <v>15005</v>
      </c>
      <c r="B24276" t="s">
        <v>44</v>
      </c>
      <c r="C24276">
        <v>15005</v>
      </c>
      <c r="D24276" t="str">
        <f>"15005"</f>
        <v>15005</v>
      </c>
      <c r="E24276">
        <v>77.98</v>
      </c>
    </row>
    <row r="24277" spans="1:5" x14ac:dyDescent="0.2">
      <c r="A24277">
        <v>15006</v>
      </c>
      <c r="B24277" t="s">
        <v>44</v>
      </c>
      <c r="C24277">
        <v>15006</v>
      </c>
      <c r="D24277" t="str">
        <f>"15006"</f>
        <v>15006</v>
      </c>
      <c r="E24277" t="s">
        <v>6</v>
      </c>
    </row>
    <row r="24278" spans="1:5" x14ac:dyDescent="0.2">
      <c r="A24278">
        <v>15007</v>
      </c>
      <c r="B24278" t="s">
        <v>44</v>
      </c>
      <c r="C24278">
        <v>15007</v>
      </c>
      <c r="D24278" t="str">
        <f>"15007"</f>
        <v>15007</v>
      </c>
      <c r="E24278">
        <v>77.27</v>
      </c>
    </row>
    <row r="24279" spans="1:5" x14ac:dyDescent="0.2">
      <c r="A24279">
        <v>15009</v>
      </c>
      <c r="B24279" t="s">
        <v>44</v>
      </c>
      <c r="C24279">
        <v>15009</v>
      </c>
      <c r="D24279" t="str">
        <f>"15009"</f>
        <v>15009</v>
      </c>
      <c r="E24279">
        <v>76.03</v>
      </c>
    </row>
    <row r="24280" spans="1:5" x14ac:dyDescent="0.2">
      <c r="A24280">
        <v>15010</v>
      </c>
      <c r="B24280" t="s">
        <v>44</v>
      </c>
      <c r="C24280">
        <v>15010</v>
      </c>
      <c r="D24280" t="str">
        <f>"15010"</f>
        <v>15010</v>
      </c>
      <c r="E24280">
        <v>72.66</v>
      </c>
    </row>
    <row r="24281" spans="1:5" x14ac:dyDescent="0.2">
      <c r="A24281">
        <v>15012</v>
      </c>
      <c r="B24281" t="s">
        <v>44</v>
      </c>
      <c r="C24281">
        <v>15012</v>
      </c>
      <c r="D24281" t="str">
        <f>"15012"</f>
        <v>15012</v>
      </c>
      <c r="E24281">
        <v>75.09</v>
      </c>
    </row>
    <row r="24282" spans="1:5" x14ac:dyDescent="0.2">
      <c r="A24282">
        <v>15014</v>
      </c>
      <c r="B24282" t="s">
        <v>44</v>
      </c>
      <c r="C24282">
        <v>15014</v>
      </c>
      <c r="D24282" t="str">
        <f>"15014"</f>
        <v>15014</v>
      </c>
      <c r="E24282">
        <v>74.19</v>
      </c>
    </row>
    <row r="24283" spans="1:5" x14ac:dyDescent="0.2">
      <c r="A24283">
        <v>15015</v>
      </c>
      <c r="B24283" t="s">
        <v>44</v>
      </c>
      <c r="C24283">
        <v>15015</v>
      </c>
      <c r="D24283" t="str">
        <f>"15015"</f>
        <v>15015</v>
      </c>
      <c r="E24283">
        <v>81.819999999999993</v>
      </c>
    </row>
    <row r="24284" spans="1:5" x14ac:dyDescent="0.2">
      <c r="A24284">
        <v>15017</v>
      </c>
      <c r="B24284" t="s">
        <v>44</v>
      </c>
      <c r="C24284">
        <v>15017</v>
      </c>
      <c r="D24284" t="str">
        <f>"15017"</f>
        <v>15017</v>
      </c>
      <c r="E24284">
        <v>80.02</v>
      </c>
    </row>
    <row r="24285" spans="1:5" x14ac:dyDescent="0.2">
      <c r="A24285">
        <v>15018</v>
      </c>
      <c r="B24285" t="s">
        <v>44</v>
      </c>
      <c r="C24285">
        <v>15018</v>
      </c>
      <c r="D24285" t="str">
        <f>"15018"</f>
        <v>15018</v>
      </c>
      <c r="E24285">
        <v>67.44</v>
      </c>
    </row>
    <row r="24286" spans="1:5" x14ac:dyDescent="0.2">
      <c r="A24286">
        <v>15019</v>
      </c>
      <c r="B24286" t="s">
        <v>44</v>
      </c>
      <c r="C24286">
        <v>15019</v>
      </c>
      <c r="D24286" t="str">
        <f>"15019"</f>
        <v>15019</v>
      </c>
      <c r="E24286">
        <v>75.319999999999993</v>
      </c>
    </row>
    <row r="24287" spans="1:5" x14ac:dyDescent="0.2">
      <c r="A24287">
        <v>15020</v>
      </c>
      <c r="B24287" t="s">
        <v>44</v>
      </c>
      <c r="C24287">
        <v>15020</v>
      </c>
      <c r="D24287" t="str">
        <f>"15020"</f>
        <v>15020</v>
      </c>
      <c r="E24287" t="s">
        <v>6</v>
      </c>
    </row>
    <row r="24288" spans="1:5" x14ac:dyDescent="0.2">
      <c r="A24288">
        <v>15021</v>
      </c>
      <c r="B24288" t="s">
        <v>44</v>
      </c>
      <c r="C24288">
        <v>15021</v>
      </c>
      <c r="D24288" t="str">
        <f>"15021"</f>
        <v>15021</v>
      </c>
      <c r="E24288">
        <v>76.69</v>
      </c>
    </row>
    <row r="24289" spans="1:5" x14ac:dyDescent="0.2">
      <c r="A24289">
        <v>15022</v>
      </c>
      <c r="B24289" t="s">
        <v>44</v>
      </c>
      <c r="C24289">
        <v>15022</v>
      </c>
      <c r="D24289" t="str">
        <f>"15022"</f>
        <v>15022</v>
      </c>
      <c r="E24289">
        <v>70</v>
      </c>
    </row>
    <row r="24290" spans="1:5" x14ac:dyDescent="0.2">
      <c r="A24290">
        <v>15024</v>
      </c>
      <c r="B24290" t="s">
        <v>44</v>
      </c>
      <c r="C24290">
        <v>15024</v>
      </c>
      <c r="D24290" t="str">
        <f>"15024"</f>
        <v>15024</v>
      </c>
      <c r="E24290">
        <v>77.88</v>
      </c>
    </row>
    <row r="24291" spans="1:5" x14ac:dyDescent="0.2">
      <c r="A24291">
        <v>15025</v>
      </c>
      <c r="B24291" t="s">
        <v>44</v>
      </c>
      <c r="C24291">
        <v>15025</v>
      </c>
      <c r="D24291" t="str">
        <f>"15025"</f>
        <v>15025</v>
      </c>
      <c r="E24291">
        <v>73.290000000000006</v>
      </c>
    </row>
    <row r="24292" spans="1:5" x14ac:dyDescent="0.2">
      <c r="A24292">
        <v>15026</v>
      </c>
      <c r="B24292" t="s">
        <v>44</v>
      </c>
      <c r="C24292">
        <v>15026</v>
      </c>
      <c r="D24292" t="str">
        <f>"15026"</f>
        <v>15026</v>
      </c>
      <c r="E24292">
        <v>82.44</v>
      </c>
    </row>
    <row r="24293" spans="1:5" x14ac:dyDescent="0.2">
      <c r="A24293">
        <v>15027</v>
      </c>
      <c r="B24293" t="s">
        <v>44</v>
      </c>
      <c r="C24293">
        <v>15027</v>
      </c>
      <c r="D24293" t="str">
        <f>"15027"</f>
        <v>15027</v>
      </c>
      <c r="E24293">
        <v>74.58</v>
      </c>
    </row>
    <row r="24294" spans="1:5" x14ac:dyDescent="0.2">
      <c r="A24294">
        <v>15028</v>
      </c>
      <c r="B24294" t="s">
        <v>44</v>
      </c>
      <c r="C24294">
        <v>15028</v>
      </c>
      <c r="D24294" t="str">
        <f>"15028"</f>
        <v>15028</v>
      </c>
      <c r="E24294" t="s">
        <v>6</v>
      </c>
    </row>
    <row r="24295" spans="1:5" x14ac:dyDescent="0.2">
      <c r="A24295">
        <v>15030</v>
      </c>
      <c r="B24295" t="s">
        <v>44</v>
      </c>
      <c r="C24295">
        <v>15030</v>
      </c>
      <c r="D24295" t="str">
        <f>"15030"</f>
        <v>15030</v>
      </c>
      <c r="E24295">
        <v>69.39</v>
      </c>
    </row>
    <row r="24296" spans="1:5" x14ac:dyDescent="0.2">
      <c r="A24296">
        <v>15031</v>
      </c>
      <c r="B24296" t="s">
        <v>44</v>
      </c>
      <c r="C24296">
        <v>15031</v>
      </c>
      <c r="D24296" t="str">
        <f>"15031"</f>
        <v>15031</v>
      </c>
      <c r="E24296">
        <v>81.48</v>
      </c>
    </row>
    <row r="24297" spans="1:5" x14ac:dyDescent="0.2">
      <c r="A24297">
        <v>15033</v>
      </c>
      <c r="B24297" t="s">
        <v>44</v>
      </c>
      <c r="C24297">
        <v>15033</v>
      </c>
      <c r="D24297" t="str">
        <f>"15033"</f>
        <v>15033</v>
      </c>
      <c r="E24297">
        <v>64.59</v>
      </c>
    </row>
    <row r="24298" spans="1:5" x14ac:dyDescent="0.2">
      <c r="A24298">
        <v>15034</v>
      </c>
      <c r="B24298" t="s">
        <v>44</v>
      </c>
      <c r="C24298">
        <v>15034</v>
      </c>
      <c r="D24298" t="str">
        <f>"15034"</f>
        <v>15034</v>
      </c>
      <c r="E24298">
        <v>73.260000000000005</v>
      </c>
    </row>
    <row r="24299" spans="1:5" x14ac:dyDescent="0.2">
      <c r="A24299">
        <v>15035</v>
      </c>
      <c r="B24299" t="s">
        <v>44</v>
      </c>
      <c r="C24299">
        <v>15035</v>
      </c>
      <c r="D24299" t="str">
        <f>"15035"</f>
        <v>15035</v>
      </c>
      <c r="E24299">
        <v>70.64</v>
      </c>
    </row>
    <row r="24300" spans="1:5" x14ac:dyDescent="0.2">
      <c r="A24300">
        <v>15037</v>
      </c>
      <c r="B24300" t="s">
        <v>44</v>
      </c>
      <c r="C24300">
        <v>15037</v>
      </c>
      <c r="D24300" t="str">
        <f>"15037"</f>
        <v>15037</v>
      </c>
      <c r="E24300">
        <v>77.11</v>
      </c>
    </row>
    <row r="24301" spans="1:5" x14ac:dyDescent="0.2">
      <c r="A24301">
        <v>15038</v>
      </c>
      <c r="B24301" t="s">
        <v>44</v>
      </c>
      <c r="C24301">
        <v>15038</v>
      </c>
      <c r="D24301" t="str">
        <f>"15038"</f>
        <v>15038</v>
      </c>
      <c r="E24301" t="s">
        <v>6</v>
      </c>
    </row>
    <row r="24302" spans="1:5" x14ac:dyDescent="0.2">
      <c r="A24302">
        <v>15042</v>
      </c>
      <c r="B24302" t="s">
        <v>44</v>
      </c>
      <c r="C24302">
        <v>15042</v>
      </c>
      <c r="D24302" t="str">
        <f>"15042"</f>
        <v>15042</v>
      </c>
      <c r="E24302">
        <v>78.010000000000005</v>
      </c>
    </row>
    <row r="24303" spans="1:5" x14ac:dyDescent="0.2">
      <c r="A24303">
        <v>15043</v>
      </c>
      <c r="B24303" t="s">
        <v>44</v>
      </c>
      <c r="C24303">
        <v>15043</v>
      </c>
      <c r="D24303" t="str">
        <f>"15043"</f>
        <v>15043</v>
      </c>
      <c r="E24303">
        <v>79.61</v>
      </c>
    </row>
    <row r="24304" spans="1:5" x14ac:dyDescent="0.2">
      <c r="A24304">
        <v>15044</v>
      </c>
      <c r="B24304" t="s">
        <v>44</v>
      </c>
      <c r="C24304">
        <v>15044</v>
      </c>
      <c r="D24304" t="str">
        <f>"15044"</f>
        <v>15044</v>
      </c>
      <c r="E24304">
        <v>79.349999999999994</v>
      </c>
    </row>
    <row r="24305" spans="1:5" x14ac:dyDescent="0.2">
      <c r="A24305">
        <v>15045</v>
      </c>
      <c r="B24305" t="s">
        <v>44</v>
      </c>
      <c r="C24305">
        <v>15045</v>
      </c>
      <c r="D24305" t="str">
        <f>"15045"</f>
        <v>15045</v>
      </c>
      <c r="E24305">
        <v>65.69</v>
      </c>
    </row>
    <row r="24306" spans="1:5" x14ac:dyDescent="0.2">
      <c r="A24306">
        <v>15046</v>
      </c>
      <c r="B24306" t="s">
        <v>44</v>
      </c>
      <c r="C24306">
        <v>15046</v>
      </c>
      <c r="D24306" t="str">
        <f>"15046"</f>
        <v>15046</v>
      </c>
      <c r="E24306">
        <v>76.69</v>
      </c>
    </row>
    <row r="24307" spans="1:5" x14ac:dyDescent="0.2">
      <c r="A24307">
        <v>15047</v>
      </c>
      <c r="B24307" t="s">
        <v>44</v>
      </c>
      <c r="C24307">
        <v>15047</v>
      </c>
      <c r="D24307" t="str">
        <f>"15047"</f>
        <v>15047</v>
      </c>
      <c r="E24307" t="s">
        <v>6</v>
      </c>
    </row>
    <row r="24308" spans="1:5" x14ac:dyDescent="0.2">
      <c r="A24308">
        <v>15049</v>
      </c>
      <c r="B24308" t="s">
        <v>44</v>
      </c>
      <c r="C24308">
        <v>15049</v>
      </c>
      <c r="D24308" t="str">
        <f>"15049"</f>
        <v>15049</v>
      </c>
      <c r="E24308">
        <v>73.58</v>
      </c>
    </row>
    <row r="24309" spans="1:5" x14ac:dyDescent="0.2">
      <c r="A24309">
        <v>15050</v>
      </c>
      <c r="B24309" t="s">
        <v>44</v>
      </c>
      <c r="C24309">
        <v>15050</v>
      </c>
      <c r="D24309" t="str">
        <f>"15050"</f>
        <v>15050</v>
      </c>
      <c r="E24309">
        <v>75.78</v>
      </c>
    </row>
    <row r="24310" spans="1:5" x14ac:dyDescent="0.2">
      <c r="A24310">
        <v>15051</v>
      </c>
      <c r="B24310" t="s">
        <v>44</v>
      </c>
      <c r="C24310">
        <v>15051</v>
      </c>
      <c r="D24310" t="str">
        <f>"15051"</f>
        <v>15051</v>
      </c>
      <c r="E24310">
        <v>70.83</v>
      </c>
    </row>
    <row r="24311" spans="1:5" x14ac:dyDescent="0.2">
      <c r="A24311">
        <v>15052</v>
      </c>
      <c r="B24311" t="s">
        <v>44</v>
      </c>
      <c r="C24311">
        <v>15052</v>
      </c>
      <c r="D24311" t="str">
        <f>"15052"</f>
        <v>15052</v>
      </c>
      <c r="E24311">
        <v>75.45</v>
      </c>
    </row>
    <row r="24312" spans="1:5" x14ac:dyDescent="0.2">
      <c r="A24312">
        <v>15053</v>
      </c>
      <c r="B24312" t="s">
        <v>44</v>
      </c>
      <c r="C24312">
        <v>15053</v>
      </c>
      <c r="D24312" t="str">
        <f>"15053"</f>
        <v>15053</v>
      </c>
      <c r="E24312">
        <v>75</v>
      </c>
    </row>
    <row r="24313" spans="1:5" x14ac:dyDescent="0.2">
      <c r="A24313">
        <v>15054</v>
      </c>
      <c r="B24313" t="s">
        <v>44</v>
      </c>
      <c r="C24313">
        <v>15054</v>
      </c>
      <c r="D24313" t="str">
        <f>"15054"</f>
        <v>15054</v>
      </c>
      <c r="E24313" t="s">
        <v>6</v>
      </c>
    </row>
    <row r="24314" spans="1:5" x14ac:dyDescent="0.2">
      <c r="A24314">
        <v>15055</v>
      </c>
      <c r="B24314" t="s">
        <v>44</v>
      </c>
      <c r="C24314">
        <v>15055</v>
      </c>
      <c r="D24314" t="str">
        <f>"15055"</f>
        <v>15055</v>
      </c>
      <c r="E24314">
        <v>81.400000000000006</v>
      </c>
    </row>
    <row r="24315" spans="1:5" x14ac:dyDescent="0.2">
      <c r="A24315">
        <v>15056</v>
      </c>
      <c r="B24315" t="s">
        <v>44</v>
      </c>
      <c r="C24315">
        <v>15056</v>
      </c>
      <c r="D24315" t="str">
        <f>"15056"</f>
        <v>15056</v>
      </c>
      <c r="E24315">
        <v>72.22</v>
      </c>
    </row>
    <row r="24316" spans="1:5" x14ac:dyDescent="0.2">
      <c r="A24316">
        <v>15057</v>
      </c>
      <c r="B24316" t="s">
        <v>44</v>
      </c>
      <c r="C24316">
        <v>15057</v>
      </c>
      <c r="D24316" t="str">
        <f>"15057"</f>
        <v>15057</v>
      </c>
      <c r="E24316">
        <v>80.400000000000006</v>
      </c>
    </row>
    <row r="24317" spans="1:5" x14ac:dyDescent="0.2">
      <c r="A24317">
        <v>15059</v>
      </c>
      <c r="B24317" t="s">
        <v>44</v>
      </c>
      <c r="C24317">
        <v>15059</v>
      </c>
      <c r="D24317" t="str">
        <f>"15059"</f>
        <v>15059</v>
      </c>
      <c r="E24317">
        <v>69.59</v>
      </c>
    </row>
    <row r="24318" spans="1:5" x14ac:dyDescent="0.2">
      <c r="A24318">
        <v>15060</v>
      </c>
      <c r="B24318" t="s">
        <v>44</v>
      </c>
      <c r="C24318">
        <v>15060</v>
      </c>
      <c r="D24318" t="str">
        <f>"15060"</f>
        <v>15060</v>
      </c>
      <c r="E24318" t="s">
        <v>6</v>
      </c>
    </row>
    <row r="24319" spans="1:5" x14ac:dyDescent="0.2">
      <c r="A24319">
        <v>15061</v>
      </c>
      <c r="B24319" t="s">
        <v>44</v>
      </c>
      <c r="C24319">
        <v>15061</v>
      </c>
      <c r="D24319" t="str">
        <f>"15061"</f>
        <v>15061</v>
      </c>
      <c r="E24319">
        <v>73.739999999999995</v>
      </c>
    </row>
    <row r="24320" spans="1:5" x14ac:dyDescent="0.2">
      <c r="A24320">
        <v>15062</v>
      </c>
      <c r="B24320" t="s">
        <v>44</v>
      </c>
      <c r="C24320">
        <v>15062</v>
      </c>
      <c r="D24320" t="str">
        <f>"15062"</f>
        <v>15062</v>
      </c>
      <c r="E24320">
        <v>66.87</v>
      </c>
    </row>
    <row r="24321" spans="1:5" x14ac:dyDescent="0.2">
      <c r="A24321">
        <v>15063</v>
      </c>
      <c r="B24321" t="s">
        <v>44</v>
      </c>
      <c r="C24321">
        <v>15063</v>
      </c>
      <c r="D24321" t="str">
        <f>"15063"</f>
        <v>15063</v>
      </c>
      <c r="E24321">
        <v>76.2</v>
      </c>
    </row>
    <row r="24322" spans="1:5" x14ac:dyDescent="0.2">
      <c r="A24322">
        <v>15064</v>
      </c>
      <c r="B24322" t="s">
        <v>44</v>
      </c>
      <c r="C24322">
        <v>15064</v>
      </c>
      <c r="D24322" t="str">
        <f>"15064"</f>
        <v>15064</v>
      </c>
      <c r="E24322">
        <v>72.22</v>
      </c>
    </row>
    <row r="24323" spans="1:5" x14ac:dyDescent="0.2">
      <c r="A24323">
        <v>15065</v>
      </c>
      <c r="B24323" t="s">
        <v>44</v>
      </c>
      <c r="C24323">
        <v>15065</v>
      </c>
      <c r="D24323" t="str">
        <f>"15065"</f>
        <v>15065</v>
      </c>
      <c r="E24323">
        <v>74.739999999999995</v>
      </c>
    </row>
    <row r="24324" spans="1:5" x14ac:dyDescent="0.2">
      <c r="A24324">
        <v>15066</v>
      </c>
      <c r="B24324" t="s">
        <v>44</v>
      </c>
      <c r="C24324">
        <v>15066</v>
      </c>
      <c r="D24324" t="str">
        <f>"15066"</f>
        <v>15066</v>
      </c>
      <c r="E24324">
        <v>69.849999999999994</v>
      </c>
    </row>
    <row r="24325" spans="1:5" x14ac:dyDescent="0.2">
      <c r="A24325">
        <v>15067</v>
      </c>
      <c r="B24325" t="s">
        <v>44</v>
      </c>
      <c r="C24325">
        <v>15067</v>
      </c>
      <c r="D24325" t="str">
        <f>"15067"</f>
        <v>15067</v>
      </c>
      <c r="E24325">
        <v>70.91</v>
      </c>
    </row>
    <row r="24326" spans="1:5" x14ac:dyDescent="0.2">
      <c r="A24326">
        <v>15068</v>
      </c>
      <c r="B24326" t="s">
        <v>44</v>
      </c>
      <c r="C24326">
        <v>15068</v>
      </c>
      <c r="D24326" t="str">
        <f>"15068"</f>
        <v>15068</v>
      </c>
      <c r="E24326">
        <v>72.03</v>
      </c>
    </row>
    <row r="24327" spans="1:5" x14ac:dyDescent="0.2">
      <c r="A24327">
        <v>15071</v>
      </c>
      <c r="B24327" t="s">
        <v>44</v>
      </c>
      <c r="C24327">
        <v>15071</v>
      </c>
      <c r="D24327" t="str">
        <f>"15071"</f>
        <v>15071</v>
      </c>
      <c r="E24327">
        <v>79.83</v>
      </c>
    </row>
    <row r="24328" spans="1:5" x14ac:dyDescent="0.2">
      <c r="A24328">
        <v>15072</v>
      </c>
      <c r="B24328" t="s">
        <v>44</v>
      </c>
      <c r="C24328">
        <v>15072</v>
      </c>
      <c r="D24328" t="str">
        <f>"15072"</f>
        <v>15072</v>
      </c>
      <c r="E24328" t="s">
        <v>6</v>
      </c>
    </row>
    <row r="24329" spans="1:5" x14ac:dyDescent="0.2">
      <c r="A24329">
        <v>15074</v>
      </c>
      <c r="B24329" t="s">
        <v>44</v>
      </c>
      <c r="C24329">
        <v>15074</v>
      </c>
      <c r="D24329" t="str">
        <f>"15074"</f>
        <v>15074</v>
      </c>
      <c r="E24329">
        <v>70.540000000000006</v>
      </c>
    </row>
    <row r="24330" spans="1:5" x14ac:dyDescent="0.2">
      <c r="A24330">
        <v>15076</v>
      </c>
      <c r="B24330" t="s">
        <v>44</v>
      </c>
      <c r="C24330">
        <v>15076</v>
      </c>
      <c r="D24330" t="str">
        <f>"15076"</f>
        <v>15076</v>
      </c>
      <c r="E24330">
        <v>70.59</v>
      </c>
    </row>
    <row r="24331" spans="1:5" x14ac:dyDescent="0.2">
      <c r="A24331">
        <v>15077</v>
      </c>
      <c r="B24331" t="s">
        <v>44</v>
      </c>
      <c r="C24331">
        <v>15077</v>
      </c>
      <c r="D24331" t="str">
        <f>"15077"</f>
        <v>15077</v>
      </c>
      <c r="E24331" t="s">
        <v>6</v>
      </c>
    </row>
    <row r="24332" spans="1:5" x14ac:dyDescent="0.2">
      <c r="A24332">
        <v>15078</v>
      </c>
      <c r="B24332" t="s">
        <v>44</v>
      </c>
      <c r="C24332">
        <v>15078</v>
      </c>
      <c r="D24332" t="str">
        <f>"15078"</f>
        <v>15078</v>
      </c>
      <c r="E24332">
        <v>70.37</v>
      </c>
    </row>
    <row r="24333" spans="1:5" x14ac:dyDescent="0.2">
      <c r="A24333">
        <v>15081</v>
      </c>
      <c r="B24333" t="s">
        <v>44</v>
      </c>
      <c r="C24333">
        <v>15081</v>
      </c>
      <c r="D24333" t="str">
        <f>"15081"</f>
        <v>15081</v>
      </c>
      <c r="E24333" t="s">
        <v>6</v>
      </c>
    </row>
    <row r="24334" spans="1:5" x14ac:dyDescent="0.2">
      <c r="A24334">
        <v>15082</v>
      </c>
      <c r="B24334" t="s">
        <v>44</v>
      </c>
      <c r="C24334">
        <v>15082</v>
      </c>
      <c r="D24334" t="str">
        <f>"15082"</f>
        <v>15082</v>
      </c>
      <c r="E24334" t="s">
        <v>6</v>
      </c>
    </row>
    <row r="24335" spans="1:5" x14ac:dyDescent="0.2">
      <c r="A24335">
        <v>15083</v>
      </c>
      <c r="B24335" t="s">
        <v>44</v>
      </c>
      <c r="C24335">
        <v>15083</v>
      </c>
      <c r="D24335" t="str">
        <f>"15083"</f>
        <v>15083</v>
      </c>
      <c r="E24335">
        <v>73.08</v>
      </c>
    </row>
    <row r="24336" spans="1:5" x14ac:dyDescent="0.2">
      <c r="A24336">
        <v>15084</v>
      </c>
      <c r="B24336" t="s">
        <v>44</v>
      </c>
      <c r="C24336">
        <v>15084</v>
      </c>
      <c r="D24336" t="str">
        <f>"15084"</f>
        <v>15084</v>
      </c>
      <c r="E24336">
        <v>72.31</v>
      </c>
    </row>
    <row r="24337" spans="1:5" x14ac:dyDescent="0.2">
      <c r="A24337">
        <v>15085</v>
      </c>
      <c r="B24337" t="s">
        <v>44</v>
      </c>
      <c r="C24337">
        <v>15085</v>
      </c>
      <c r="D24337" t="str">
        <f>"15085"</f>
        <v>15085</v>
      </c>
      <c r="E24337">
        <v>75.37</v>
      </c>
    </row>
    <row r="24338" spans="1:5" x14ac:dyDescent="0.2">
      <c r="A24338">
        <v>15086</v>
      </c>
      <c r="B24338" t="s">
        <v>44</v>
      </c>
      <c r="C24338">
        <v>15086</v>
      </c>
      <c r="D24338" t="str">
        <f>"15086"</f>
        <v>15086</v>
      </c>
      <c r="E24338">
        <v>77.78</v>
      </c>
    </row>
    <row r="24339" spans="1:5" x14ac:dyDescent="0.2">
      <c r="A24339">
        <v>15087</v>
      </c>
      <c r="B24339" t="s">
        <v>44</v>
      </c>
      <c r="C24339">
        <v>15087</v>
      </c>
      <c r="D24339" t="str">
        <f>"15087"</f>
        <v>15087</v>
      </c>
      <c r="E24339" t="s">
        <v>6</v>
      </c>
    </row>
    <row r="24340" spans="1:5" x14ac:dyDescent="0.2">
      <c r="A24340">
        <v>15088</v>
      </c>
      <c r="B24340" t="s">
        <v>44</v>
      </c>
      <c r="C24340">
        <v>15088</v>
      </c>
      <c r="D24340" t="str">
        <f>"15088"</f>
        <v>15088</v>
      </c>
      <c r="E24340" t="s">
        <v>6</v>
      </c>
    </row>
    <row r="24341" spans="1:5" x14ac:dyDescent="0.2">
      <c r="A24341">
        <v>15089</v>
      </c>
      <c r="B24341" t="s">
        <v>44</v>
      </c>
      <c r="C24341">
        <v>15089</v>
      </c>
      <c r="D24341" t="str">
        <f>"15089"</f>
        <v>15089</v>
      </c>
      <c r="E24341">
        <v>74.59</v>
      </c>
    </row>
    <row r="24342" spans="1:5" x14ac:dyDescent="0.2">
      <c r="A24342">
        <v>15090</v>
      </c>
      <c r="B24342" t="s">
        <v>44</v>
      </c>
      <c r="C24342">
        <v>15090</v>
      </c>
      <c r="D24342" t="str">
        <f>"15090"</f>
        <v>15090</v>
      </c>
      <c r="E24342">
        <v>81.77</v>
      </c>
    </row>
    <row r="24343" spans="1:5" x14ac:dyDescent="0.2">
      <c r="A24343">
        <v>15095</v>
      </c>
      <c r="B24343" t="s">
        <v>44</v>
      </c>
      <c r="C24343">
        <v>15095</v>
      </c>
      <c r="D24343" t="str">
        <f>"15095"</f>
        <v>15095</v>
      </c>
      <c r="E24343" t="s">
        <v>6</v>
      </c>
    </row>
    <row r="24344" spans="1:5" x14ac:dyDescent="0.2">
      <c r="A24344">
        <v>15101</v>
      </c>
      <c r="B24344" t="s">
        <v>44</v>
      </c>
      <c r="C24344">
        <v>15101</v>
      </c>
      <c r="D24344" t="str">
        <f>"15101"</f>
        <v>15101</v>
      </c>
      <c r="E24344">
        <v>79.33</v>
      </c>
    </row>
    <row r="24345" spans="1:5" x14ac:dyDescent="0.2">
      <c r="A24345">
        <v>15102</v>
      </c>
      <c r="B24345" t="s">
        <v>44</v>
      </c>
      <c r="C24345">
        <v>15102</v>
      </c>
      <c r="D24345" t="str">
        <f>"15102"</f>
        <v>15102</v>
      </c>
      <c r="E24345">
        <v>79.36</v>
      </c>
    </row>
    <row r="24346" spans="1:5" x14ac:dyDescent="0.2">
      <c r="A24346">
        <v>15104</v>
      </c>
      <c r="B24346" t="s">
        <v>44</v>
      </c>
      <c r="C24346">
        <v>15104</v>
      </c>
      <c r="D24346" t="str">
        <f>"15104"</f>
        <v>15104</v>
      </c>
      <c r="E24346">
        <v>53.3</v>
      </c>
    </row>
    <row r="24347" spans="1:5" x14ac:dyDescent="0.2">
      <c r="A24347">
        <v>15106</v>
      </c>
      <c r="B24347" t="s">
        <v>44</v>
      </c>
      <c r="C24347">
        <v>15106</v>
      </c>
      <c r="D24347" t="str">
        <f>"15106"</f>
        <v>15106</v>
      </c>
      <c r="E24347">
        <v>77.7</v>
      </c>
    </row>
    <row r="24348" spans="1:5" x14ac:dyDescent="0.2">
      <c r="A24348">
        <v>15108</v>
      </c>
      <c r="B24348" t="s">
        <v>44</v>
      </c>
      <c r="C24348">
        <v>15108</v>
      </c>
      <c r="D24348" t="str">
        <f>"15108"</f>
        <v>15108</v>
      </c>
      <c r="E24348">
        <v>79.89</v>
      </c>
    </row>
    <row r="24349" spans="1:5" x14ac:dyDescent="0.2">
      <c r="A24349">
        <v>15110</v>
      </c>
      <c r="B24349" t="s">
        <v>44</v>
      </c>
      <c r="C24349">
        <v>15110</v>
      </c>
      <c r="D24349" t="str">
        <f>"15110"</f>
        <v>15110</v>
      </c>
      <c r="E24349">
        <v>51.15</v>
      </c>
    </row>
    <row r="24350" spans="1:5" x14ac:dyDescent="0.2">
      <c r="A24350">
        <v>15112</v>
      </c>
      <c r="B24350" t="s">
        <v>44</v>
      </c>
      <c r="C24350">
        <v>15112</v>
      </c>
      <c r="D24350" t="str">
        <f>"15112"</f>
        <v>15112</v>
      </c>
      <c r="E24350">
        <v>62.5</v>
      </c>
    </row>
    <row r="24351" spans="1:5" x14ac:dyDescent="0.2">
      <c r="A24351">
        <v>15116</v>
      </c>
      <c r="B24351" t="s">
        <v>44</v>
      </c>
      <c r="C24351">
        <v>15116</v>
      </c>
      <c r="D24351" t="str">
        <f>"15116"</f>
        <v>15116</v>
      </c>
      <c r="E24351">
        <v>80.41</v>
      </c>
    </row>
    <row r="24352" spans="1:5" x14ac:dyDescent="0.2">
      <c r="A24352">
        <v>15120</v>
      </c>
      <c r="B24352" t="s">
        <v>44</v>
      </c>
      <c r="C24352">
        <v>15120</v>
      </c>
      <c r="D24352" t="str">
        <f>"15120"</f>
        <v>15120</v>
      </c>
      <c r="E24352">
        <v>70.92</v>
      </c>
    </row>
    <row r="24353" spans="1:5" x14ac:dyDescent="0.2">
      <c r="A24353">
        <v>15122</v>
      </c>
      <c r="B24353" t="s">
        <v>44</v>
      </c>
      <c r="C24353">
        <v>15122</v>
      </c>
      <c r="D24353" t="str">
        <f>"15122"</f>
        <v>15122</v>
      </c>
      <c r="E24353">
        <v>73.540000000000006</v>
      </c>
    </row>
    <row r="24354" spans="1:5" x14ac:dyDescent="0.2">
      <c r="A24354">
        <v>15126</v>
      </c>
      <c r="B24354" t="s">
        <v>44</v>
      </c>
      <c r="C24354">
        <v>15126</v>
      </c>
      <c r="D24354" t="str">
        <f>"15126"</f>
        <v>15126</v>
      </c>
      <c r="E24354">
        <v>78.97</v>
      </c>
    </row>
    <row r="24355" spans="1:5" x14ac:dyDescent="0.2">
      <c r="A24355">
        <v>15129</v>
      </c>
      <c r="B24355" t="s">
        <v>44</v>
      </c>
      <c r="C24355">
        <v>15129</v>
      </c>
      <c r="D24355" t="str">
        <f>"15129"</f>
        <v>15129</v>
      </c>
      <c r="E24355">
        <v>79.55</v>
      </c>
    </row>
    <row r="24356" spans="1:5" x14ac:dyDescent="0.2">
      <c r="A24356">
        <v>15131</v>
      </c>
      <c r="B24356" t="s">
        <v>44</v>
      </c>
      <c r="C24356">
        <v>15131</v>
      </c>
      <c r="D24356" t="str">
        <f>"15131"</f>
        <v>15131</v>
      </c>
      <c r="E24356">
        <v>77.349999999999994</v>
      </c>
    </row>
    <row r="24357" spans="1:5" x14ac:dyDescent="0.2">
      <c r="A24357">
        <v>15132</v>
      </c>
      <c r="B24357" t="s">
        <v>44</v>
      </c>
      <c r="C24357">
        <v>15132</v>
      </c>
      <c r="D24357" t="str">
        <f>"15132"</f>
        <v>15132</v>
      </c>
      <c r="E24357">
        <v>59.48</v>
      </c>
    </row>
    <row r="24358" spans="1:5" x14ac:dyDescent="0.2">
      <c r="A24358">
        <v>15133</v>
      </c>
      <c r="B24358" t="s">
        <v>44</v>
      </c>
      <c r="C24358">
        <v>15133</v>
      </c>
      <c r="D24358" t="str">
        <f>"15133"</f>
        <v>15133</v>
      </c>
      <c r="E24358">
        <v>74.92</v>
      </c>
    </row>
    <row r="24359" spans="1:5" x14ac:dyDescent="0.2">
      <c r="A24359">
        <v>15135</v>
      </c>
      <c r="B24359" t="s">
        <v>44</v>
      </c>
      <c r="C24359">
        <v>15135</v>
      </c>
      <c r="D24359" t="str">
        <f>"15135"</f>
        <v>15135</v>
      </c>
      <c r="E24359">
        <v>77.22</v>
      </c>
    </row>
    <row r="24360" spans="1:5" x14ac:dyDescent="0.2">
      <c r="A24360">
        <v>15136</v>
      </c>
      <c r="B24360" t="s">
        <v>44</v>
      </c>
      <c r="C24360">
        <v>15136</v>
      </c>
      <c r="D24360" t="str">
        <f>"15136"</f>
        <v>15136</v>
      </c>
      <c r="E24360">
        <v>70.569999999999993</v>
      </c>
    </row>
    <row r="24361" spans="1:5" x14ac:dyDescent="0.2">
      <c r="A24361">
        <v>15137</v>
      </c>
      <c r="B24361" t="s">
        <v>44</v>
      </c>
      <c r="C24361">
        <v>15137</v>
      </c>
      <c r="D24361" t="str">
        <f>"15137"</f>
        <v>15137</v>
      </c>
      <c r="E24361">
        <v>72.28</v>
      </c>
    </row>
    <row r="24362" spans="1:5" x14ac:dyDescent="0.2">
      <c r="A24362">
        <v>15139</v>
      </c>
      <c r="B24362" t="s">
        <v>44</v>
      </c>
      <c r="C24362">
        <v>15139</v>
      </c>
      <c r="D24362" t="str">
        <f>"15139"</f>
        <v>15139</v>
      </c>
      <c r="E24362">
        <v>81.56</v>
      </c>
    </row>
    <row r="24363" spans="1:5" x14ac:dyDescent="0.2">
      <c r="A24363">
        <v>15140</v>
      </c>
      <c r="B24363" t="s">
        <v>44</v>
      </c>
      <c r="C24363">
        <v>15140</v>
      </c>
      <c r="D24363" t="str">
        <f>"15140"</f>
        <v>15140</v>
      </c>
      <c r="E24363">
        <v>61.38</v>
      </c>
    </row>
    <row r="24364" spans="1:5" x14ac:dyDescent="0.2">
      <c r="A24364">
        <v>15142</v>
      </c>
      <c r="B24364" t="s">
        <v>44</v>
      </c>
      <c r="C24364">
        <v>15142</v>
      </c>
      <c r="D24364" t="str">
        <f>"15142"</f>
        <v>15142</v>
      </c>
      <c r="E24364">
        <v>88.29</v>
      </c>
    </row>
    <row r="24365" spans="1:5" x14ac:dyDescent="0.2">
      <c r="A24365">
        <v>15143</v>
      </c>
      <c r="B24365" t="s">
        <v>44</v>
      </c>
      <c r="C24365">
        <v>15143</v>
      </c>
      <c r="D24365" t="str">
        <f>"15143"</f>
        <v>15143</v>
      </c>
      <c r="E24365">
        <v>80.86</v>
      </c>
    </row>
    <row r="24366" spans="1:5" x14ac:dyDescent="0.2">
      <c r="A24366">
        <v>15144</v>
      </c>
      <c r="B24366" t="s">
        <v>44</v>
      </c>
      <c r="C24366">
        <v>15144</v>
      </c>
      <c r="D24366" t="str">
        <f>"15144"</f>
        <v>15144</v>
      </c>
      <c r="E24366">
        <v>76.64</v>
      </c>
    </row>
    <row r="24367" spans="1:5" x14ac:dyDescent="0.2">
      <c r="A24367">
        <v>15145</v>
      </c>
      <c r="B24367" t="s">
        <v>44</v>
      </c>
      <c r="C24367">
        <v>15145</v>
      </c>
      <c r="D24367" t="str">
        <f>"15145"</f>
        <v>15145</v>
      </c>
      <c r="E24367">
        <v>63.85</v>
      </c>
    </row>
    <row r="24368" spans="1:5" x14ac:dyDescent="0.2">
      <c r="A24368">
        <v>15146</v>
      </c>
      <c r="B24368" t="s">
        <v>44</v>
      </c>
      <c r="C24368">
        <v>15146</v>
      </c>
      <c r="D24368" t="str">
        <f>"15146"</f>
        <v>15146</v>
      </c>
      <c r="E24368">
        <v>76.62</v>
      </c>
    </row>
    <row r="24369" spans="1:5" x14ac:dyDescent="0.2">
      <c r="A24369">
        <v>15147</v>
      </c>
      <c r="B24369" t="s">
        <v>44</v>
      </c>
      <c r="C24369">
        <v>15147</v>
      </c>
      <c r="D24369" t="str">
        <f>"15147"</f>
        <v>15147</v>
      </c>
      <c r="E24369">
        <v>74.34</v>
      </c>
    </row>
    <row r="24370" spans="1:5" x14ac:dyDescent="0.2">
      <c r="A24370">
        <v>15148</v>
      </c>
      <c r="B24370" t="s">
        <v>44</v>
      </c>
      <c r="C24370">
        <v>15148</v>
      </c>
      <c r="D24370" t="str">
        <f>"15148"</f>
        <v>15148</v>
      </c>
      <c r="E24370">
        <v>60.36</v>
      </c>
    </row>
    <row r="24371" spans="1:5" x14ac:dyDescent="0.2">
      <c r="A24371">
        <v>15201</v>
      </c>
      <c r="B24371" t="s">
        <v>44</v>
      </c>
      <c r="C24371">
        <v>15201</v>
      </c>
      <c r="D24371" t="str">
        <f>"15201"</f>
        <v>15201</v>
      </c>
      <c r="E24371">
        <v>82.83</v>
      </c>
    </row>
    <row r="24372" spans="1:5" x14ac:dyDescent="0.2">
      <c r="A24372">
        <v>15202</v>
      </c>
      <c r="B24372" t="s">
        <v>44</v>
      </c>
      <c r="C24372">
        <v>15202</v>
      </c>
      <c r="D24372" t="str">
        <f>"15202"</f>
        <v>15202</v>
      </c>
      <c r="E24372">
        <v>77.38</v>
      </c>
    </row>
    <row r="24373" spans="1:5" x14ac:dyDescent="0.2">
      <c r="A24373">
        <v>15203</v>
      </c>
      <c r="B24373" t="s">
        <v>44</v>
      </c>
      <c r="C24373">
        <v>15203</v>
      </c>
      <c r="D24373" t="str">
        <f>"15203"</f>
        <v>15203</v>
      </c>
      <c r="E24373">
        <v>83.68</v>
      </c>
    </row>
    <row r="24374" spans="1:5" x14ac:dyDescent="0.2">
      <c r="A24374">
        <v>15204</v>
      </c>
      <c r="B24374" t="s">
        <v>44</v>
      </c>
      <c r="C24374">
        <v>15204</v>
      </c>
      <c r="D24374" t="str">
        <f>"15204"</f>
        <v>15204</v>
      </c>
      <c r="E24374">
        <v>64.69</v>
      </c>
    </row>
    <row r="24375" spans="1:5" x14ac:dyDescent="0.2">
      <c r="A24375">
        <v>15205</v>
      </c>
      <c r="B24375" t="s">
        <v>44</v>
      </c>
      <c r="C24375">
        <v>15205</v>
      </c>
      <c r="D24375" t="str">
        <f>"15205"</f>
        <v>15205</v>
      </c>
      <c r="E24375">
        <v>76.58</v>
      </c>
    </row>
    <row r="24376" spans="1:5" x14ac:dyDescent="0.2">
      <c r="A24376">
        <v>15206</v>
      </c>
      <c r="B24376" t="s">
        <v>44</v>
      </c>
      <c r="C24376">
        <v>15206</v>
      </c>
      <c r="D24376" t="str">
        <f>"15206"</f>
        <v>15206</v>
      </c>
      <c r="E24376">
        <v>75.569999999999993</v>
      </c>
    </row>
    <row r="24377" spans="1:5" x14ac:dyDescent="0.2">
      <c r="A24377">
        <v>15207</v>
      </c>
      <c r="B24377" t="s">
        <v>44</v>
      </c>
      <c r="C24377">
        <v>15207</v>
      </c>
      <c r="D24377" t="str">
        <f>"15207"</f>
        <v>15207</v>
      </c>
      <c r="E24377">
        <v>69.77</v>
      </c>
    </row>
    <row r="24378" spans="1:5" x14ac:dyDescent="0.2">
      <c r="A24378">
        <v>15208</v>
      </c>
      <c r="B24378" t="s">
        <v>44</v>
      </c>
      <c r="C24378">
        <v>15208</v>
      </c>
      <c r="D24378" t="str">
        <f>"15208"</f>
        <v>15208</v>
      </c>
      <c r="E24378">
        <v>66.22</v>
      </c>
    </row>
    <row r="24379" spans="1:5" x14ac:dyDescent="0.2">
      <c r="A24379">
        <v>15209</v>
      </c>
      <c r="B24379" t="s">
        <v>44</v>
      </c>
      <c r="C24379">
        <v>15209</v>
      </c>
      <c r="D24379" t="str">
        <f>"15209"</f>
        <v>15209</v>
      </c>
      <c r="E24379">
        <v>79.91</v>
      </c>
    </row>
    <row r="24380" spans="1:5" x14ac:dyDescent="0.2">
      <c r="A24380">
        <v>15210</v>
      </c>
      <c r="B24380" t="s">
        <v>44</v>
      </c>
      <c r="C24380">
        <v>15210</v>
      </c>
      <c r="D24380" t="str">
        <f>"15210"</f>
        <v>15210</v>
      </c>
      <c r="E24380">
        <v>63.32</v>
      </c>
    </row>
    <row r="24381" spans="1:5" x14ac:dyDescent="0.2">
      <c r="A24381">
        <v>15211</v>
      </c>
      <c r="B24381" t="s">
        <v>44</v>
      </c>
      <c r="C24381">
        <v>15211</v>
      </c>
      <c r="D24381" t="str">
        <f>"15211"</f>
        <v>15211</v>
      </c>
      <c r="E24381">
        <v>82.18</v>
      </c>
    </row>
    <row r="24382" spans="1:5" x14ac:dyDescent="0.2">
      <c r="A24382">
        <v>15212</v>
      </c>
      <c r="B24382" t="s">
        <v>44</v>
      </c>
      <c r="C24382">
        <v>15212</v>
      </c>
      <c r="D24382" t="str">
        <f>"15212"</f>
        <v>15212</v>
      </c>
      <c r="E24382">
        <v>72.73</v>
      </c>
    </row>
    <row r="24383" spans="1:5" x14ac:dyDescent="0.2">
      <c r="A24383">
        <v>15213</v>
      </c>
      <c r="B24383" t="s">
        <v>44</v>
      </c>
      <c r="C24383">
        <v>15213</v>
      </c>
      <c r="D24383" t="str">
        <f>"15213"</f>
        <v>15213</v>
      </c>
      <c r="E24383">
        <v>70.02</v>
      </c>
    </row>
    <row r="24384" spans="1:5" x14ac:dyDescent="0.2">
      <c r="A24384">
        <v>15214</v>
      </c>
      <c r="B24384" t="s">
        <v>44</v>
      </c>
      <c r="C24384">
        <v>15214</v>
      </c>
      <c r="D24384" t="str">
        <f>"15214"</f>
        <v>15214</v>
      </c>
      <c r="E24384">
        <v>68.16</v>
      </c>
    </row>
    <row r="24385" spans="1:5" x14ac:dyDescent="0.2">
      <c r="A24385">
        <v>15215</v>
      </c>
      <c r="B24385" t="s">
        <v>44</v>
      </c>
      <c r="C24385">
        <v>15215</v>
      </c>
      <c r="D24385" t="str">
        <f>"15215"</f>
        <v>15215</v>
      </c>
      <c r="E24385">
        <v>78.7</v>
      </c>
    </row>
    <row r="24386" spans="1:5" x14ac:dyDescent="0.2">
      <c r="A24386">
        <v>15216</v>
      </c>
      <c r="B24386" t="s">
        <v>44</v>
      </c>
      <c r="C24386">
        <v>15216</v>
      </c>
      <c r="D24386" t="str">
        <f>"15216"</f>
        <v>15216</v>
      </c>
      <c r="E24386">
        <v>78.69</v>
      </c>
    </row>
    <row r="24387" spans="1:5" x14ac:dyDescent="0.2">
      <c r="A24387">
        <v>15217</v>
      </c>
      <c r="B24387" t="s">
        <v>44</v>
      </c>
      <c r="C24387">
        <v>15217</v>
      </c>
      <c r="D24387" t="str">
        <f>"15217"</f>
        <v>15217</v>
      </c>
      <c r="E24387">
        <v>80.31</v>
      </c>
    </row>
    <row r="24388" spans="1:5" x14ac:dyDescent="0.2">
      <c r="A24388">
        <v>15218</v>
      </c>
      <c r="B24388" t="s">
        <v>44</v>
      </c>
      <c r="C24388">
        <v>15218</v>
      </c>
      <c r="D24388" t="str">
        <f>"15218"</f>
        <v>15218</v>
      </c>
      <c r="E24388">
        <v>77.3</v>
      </c>
    </row>
    <row r="24389" spans="1:5" x14ac:dyDescent="0.2">
      <c r="A24389">
        <v>15219</v>
      </c>
      <c r="B24389" t="s">
        <v>44</v>
      </c>
      <c r="C24389">
        <v>15219</v>
      </c>
      <c r="D24389" t="str">
        <f>"15219"</f>
        <v>15219</v>
      </c>
      <c r="E24389">
        <v>60.04</v>
      </c>
    </row>
    <row r="24390" spans="1:5" x14ac:dyDescent="0.2">
      <c r="A24390">
        <v>15220</v>
      </c>
      <c r="B24390" t="s">
        <v>44</v>
      </c>
      <c r="C24390">
        <v>15220</v>
      </c>
      <c r="D24390" t="str">
        <f>"15220"</f>
        <v>15220</v>
      </c>
      <c r="E24390">
        <v>80.599999999999994</v>
      </c>
    </row>
    <row r="24391" spans="1:5" x14ac:dyDescent="0.2">
      <c r="A24391">
        <v>15221</v>
      </c>
      <c r="B24391" t="s">
        <v>44</v>
      </c>
      <c r="C24391">
        <v>15221</v>
      </c>
      <c r="D24391" t="str">
        <f>"15221"</f>
        <v>15221</v>
      </c>
      <c r="E24391">
        <v>71.23</v>
      </c>
    </row>
    <row r="24392" spans="1:5" x14ac:dyDescent="0.2">
      <c r="A24392">
        <v>15222</v>
      </c>
      <c r="B24392" t="s">
        <v>44</v>
      </c>
      <c r="C24392">
        <v>15222</v>
      </c>
      <c r="D24392" t="str">
        <f>"15222"</f>
        <v>15222</v>
      </c>
      <c r="E24392">
        <v>88</v>
      </c>
    </row>
    <row r="24393" spans="1:5" x14ac:dyDescent="0.2">
      <c r="A24393">
        <v>15223</v>
      </c>
      <c r="B24393" t="s">
        <v>44</v>
      </c>
      <c r="C24393">
        <v>15223</v>
      </c>
      <c r="D24393" t="str">
        <f>"15223"</f>
        <v>15223</v>
      </c>
      <c r="E24393">
        <v>75.98</v>
      </c>
    </row>
    <row r="24394" spans="1:5" x14ac:dyDescent="0.2">
      <c r="A24394">
        <v>15224</v>
      </c>
      <c r="B24394" t="s">
        <v>44</v>
      </c>
      <c r="C24394">
        <v>15224</v>
      </c>
      <c r="D24394" t="str">
        <f>"15224"</f>
        <v>15224</v>
      </c>
      <c r="E24394">
        <v>77.290000000000006</v>
      </c>
    </row>
    <row r="24395" spans="1:5" x14ac:dyDescent="0.2">
      <c r="A24395">
        <v>15225</v>
      </c>
      <c r="B24395" t="s">
        <v>44</v>
      </c>
      <c r="C24395">
        <v>15225</v>
      </c>
      <c r="D24395" t="str">
        <f>"15225"</f>
        <v>15225</v>
      </c>
      <c r="E24395">
        <v>80.33</v>
      </c>
    </row>
    <row r="24396" spans="1:5" x14ac:dyDescent="0.2">
      <c r="A24396">
        <v>15226</v>
      </c>
      <c r="B24396" t="s">
        <v>44</v>
      </c>
      <c r="C24396">
        <v>15226</v>
      </c>
      <c r="D24396" t="str">
        <f>"15226"</f>
        <v>15226</v>
      </c>
      <c r="E24396">
        <v>77.69</v>
      </c>
    </row>
    <row r="24397" spans="1:5" x14ac:dyDescent="0.2">
      <c r="A24397">
        <v>15227</v>
      </c>
      <c r="B24397" t="s">
        <v>44</v>
      </c>
      <c r="C24397">
        <v>15227</v>
      </c>
      <c r="D24397" t="str">
        <f>"15227"</f>
        <v>15227</v>
      </c>
      <c r="E24397">
        <v>76.11</v>
      </c>
    </row>
    <row r="24398" spans="1:5" x14ac:dyDescent="0.2">
      <c r="A24398">
        <v>15228</v>
      </c>
      <c r="B24398" t="s">
        <v>44</v>
      </c>
      <c r="C24398">
        <v>15228</v>
      </c>
      <c r="D24398" t="str">
        <f>"15228"</f>
        <v>15228</v>
      </c>
      <c r="E24398">
        <v>80.650000000000006</v>
      </c>
    </row>
    <row r="24399" spans="1:5" x14ac:dyDescent="0.2">
      <c r="A24399">
        <v>15229</v>
      </c>
      <c r="B24399" t="s">
        <v>44</v>
      </c>
      <c r="C24399">
        <v>15229</v>
      </c>
      <c r="D24399" t="str">
        <f>"15229"</f>
        <v>15229</v>
      </c>
      <c r="E24399">
        <v>80.05</v>
      </c>
    </row>
    <row r="24400" spans="1:5" x14ac:dyDescent="0.2">
      <c r="A24400">
        <v>15232</v>
      </c>
      <c r="B24400" t="s">
        <v>44</v>
      </c>
      <c r="C24400">
        <v>15232</v>
      </c>
      <c r="D24400" t="str">
        <f>"15232"</f>
        <v>15232</v>
      </c>
      <c r="E24400">
        <v>85.25</v>
      </c>
    </row>
    <row r="24401" spans="1:5" x14ac:dyDescent="0.2">
      <c r="A24401">
        <v>15233</v>
      </c>
      <c r="B24401" t="s">
        <v>44</v>
      </c>
      <c r="C24401">
        <v>15233</v>
      </c>
      <c r="D24401" t="str">
        <f>"15233"</f>
        <v>15233</v>
      </c>
      <c r="E24401">
        <v>78</v>
      </c>
    </row>
    <row r="24402" spans="1:5" x14ac:dyDescent="0.2">
      <c r="A24402">
        <v>15234</v>
      </c>
      <c r="B24402" t="s">
        <v>44</v>
      </c>
      <c r="C24402">
        <v>15234</v>
      </c>
      <c r="D24402" t="str">
        <f>"15234"</f>
        <v>15234</v>
      </c>
      <c r="E24402">
        <v>78.27</v>
      </c>
    </row>
    <row r="24403" spans="1:5" x14ac:dyDescent="0.2">
      <c r="A24403">
        <v>15235</v>
      </c>
      <c r="B24403" t="s">
        <v>44</v>
      </c>
      <c r="C24403">
        <v>15235</v>
      </c>
      <c r="D24403" t="str">
        <f>"15235"</f>
        <v>15235</v>
      </c>
      <c r="E24403">
        <v>73.52</v>
      </c>
    </row>
    <row r="24404" spans="1:5" x14ac:dyDescent="0.2">
      <c r="A24404">
        <v>15236</v>
      </c>
      <c r="B24404" t="s">
        <v>44</v>
      </c>
      <c r="C24404">
        <v>15236</v>
      </c>
      <c r="D24404" t="str">
        <f>"15236"</f>
        <v>15236</v>
      </c>
      <c r="E24404">
        <v>77.77</v>
      </c>
    </row>
    <row r="24405" spans="1:5" x14ac:dyDescent="0.2">
      <c r="A24405">
        <v>15237</v>
      </c>
      <c r="B24405" t="s">
        <v>44</v>
      </c>
      <c r="C24405">
        <v>15237</v>
      </c>
      <c r="D24405" t="str">
        <f>"15237"</f>
        <v>15237</v>
      </c>
      <c r="E24405">
        <v>81.489999999999995</v>
      </c>
    </row>
    <row r="24406" spans="1:5" x14ac:dyDescent="0.2">
      <c r="A24406">
        <v>15238</v>
      </c>
      <c r="B24406" t="s">
        <v>44</v>
      </c>
      <c r="C24406">
        <v>15238</v>
      </c>
      <c r="D24406" t="str">
        <f>"15238"</f>
        <v>15238</v>
      </c>
      <c r="E24406">
        <v>81.12</v>
      </c>
    </row>
    <row r="24407" spans="1:5" x14ac:dyDescent="0.2">
      <c r="A24407">
        <v>15239</v>
      </c>
      <c r="B24407" t="s">
        <v>44</v>
      </c>
      <c r="C24407">
        <v>15239</v>
      </c>
      <c r="D24407" t="str">
        <f>"15239"</f>
        <v>15239</v>
      </c>
      <c r="E24407">
        <v>78.42</v>
      </c>
    </row>
    <row r="24408" spans="1:5" x14ac:dyDescent="0.2">
      <c r="A24408">
        <v>15241</v>
      </c>
      <c r="B24408" t="s">
        <v>44</v>
      </c>
      <c r="C24408">
        <v>15241</v>
      </c>
      <c r="D24408" t="str">
        <f>"15241"</f>
        <v>15241</v>
      </c>
      <c r="E24408">
        <v>79.3</v>
      </c>
    </row>
    <row r="24409" spans="1:5" x14ac:dyDescent="0.2">
      <c r="A24409">
        <v>15243</v>
      </c>
      <c r="B24409" t="s">
        <v>44</v>
      </c>
      <c r="C24409">
        <v>15243</v>
      </c>
      <c r="D24409" t="str">
        <f>"15243"</f>
        <v>15243</v>
      </c>
      <c r="E24409">
        <v>81.38</v>
      </c>
    </row>
    <row r="24410" spans="1:5" x14ac:dyDescent="0.2">
      <c r="A24410">
        <v>15260</v>
      </c>
      <c r="B24410" t="s">
        <v>44</v>
      </c>
      <c r="C24410">
        <v>15260</v>
      </c>
      <c r="D24410" t="str">
        <f>"15260"</f>
        <v>15260</v>
      </c>
      <c r="E24410" t="s">
        <v>6</v>
      </c>
    </row>
    <row r="24411" spans="1:5" x14ac:dyDescent="0.2">
      <c r="A24411">
        <v>15262</v>
      </c>
      <c r="B24411" t="s">
        <v>44</v>
      </c>
      <c r="C24411">
        <v>15262</v>
      </c>
      <c r="D24411" t="str">
        <f>"15262"</f>
        <v>15262</v>
      </c>
      <c r="E24411" t="s">
        <v>6</v>
      </c>
    </row>
    <row r="24412" spans="1:5" x14ac:dyDescent="0.2">
      <c r="A24412">
        <v>15275</v>
      </c>
      <c r="B24412" t="s">
        <v>44</v>
      </c>
      <c r="C24412">
        <v>15275</v>
      </c>
      <c r="D24412" t="str">
        <f>"15275"</f>
        <v>15275</v>
      </c>
      <c r="E24412" t="s">
        <v>6</v>
      </c>
    </row>
    <row r="24413" spans="1:5" x14ac:dyDescent="0.2">
      <c r="A24413">
        <v>15276</v>
      </c>
      <c r="B24413" t="s">
        <v>44</v>
      </c>
      <c r="C24413">
        <v>15276</v>
      </c>
      <c r="D24413" t="str">
        <f>"15276"</f>
        <v>15276</v>
      </c>
      <c r="E24413" t="s">
        <v>6</v>
      </c>
    </row>
    <row r="24414" spans="1:5" x14ac:dyDescent="0.2">
      <c r="A24414">
        <v>15277</v>
      </c>
      <c r="B24414" t="s">
        <v>44</v>
      </c>
      <c r="C24414">
        <v>15277</v>
      </c>
      <c r="D24414" t="str">
        <f>"15277"</f>
        <v>15277</v>
      </c>
      <c r="E24414" t="s">
        <v>6</v>
      </c>
    </row>
    <row r="24415" spans="1:5" x14ac:dyDescent="0.2">
      <c r="A24415">
        <v>15282</v>
      </c>
      <c r="B24415" t="s">
        <v>44</v>
      </c>
      <c r="C24415">
        <v>15282</v>
      </c>
      <c r="D24415" t="str">
        <f>"15282"</f>
        <v>15282</v>
      </c>
      <c r="E24415" t="s">
        <v>6</v>
      </c>
    </row>
    <row r="24416" spans="1:5" x14ac:dyDescent="0.2">
      <c r="A24416">
        <v>15301</v>
      </c>
      <c r="B24416" t="s">
        <v>44</v>
      </c>
      <c r="C24416">
        <v>15301</v>
      </c>
      <c r="D24416" t="str">
        <f>"15301"</f>
        <v>15301</v>
      </c>
      <c r="E24416">
        <v>74.3</v>
      </c>
    </row>
    <row r="24417" spans="1:5" x14ac:dyDescent="0.2">
      <c r="A24417">
        <v>15310</v>
      </c>
      <c r="B24417" t="s">
        <v>44</v>
      </c>
      <c r="C24417">
        <v>15310</v>
      </c>
      <c r="D24417" t="str">
        <f>"15310"</f>
        <v>15310</v>
      </c>
      <c r="E24417">
        <v>72.73</v>
      </c>
    </row>
    <row r="24418" spans="1:5" x14ac:dyDescent="0.2">
      <c r="A24418">
        <v>15311</v>
      </c>
      <c r="B24418" t="s">
        <v>44</v>
      </c>
      <c r="C24418">
        <v>15311</v>
      </c>
      <c r="D24418" t="str">
        <f>"15311"</f>
        <v>15311</v>
      </c>
      <c r="E24418">
        <v>79.69</v>
      </c>
    </row>
    <row r="24419" spans="1:5" x14ac:dyDescent="0.2">
      <c r="A24419">
        <v>15312</v>
      </c>
      <c r="B24419" t="s">
        <v>44</v>
      </c>
      <c r="C24419">
        <v>15312</v>
      </c>
      <c r="D24419" t="str">
        <f>"15312"</f>
        <v>15312</v>
      </c>
      <c r="E24419">
        <v>77.650000000000006</v>
      </c>
    </row>
    <row r="24420" spans="1:5" x14ac:dyDescent="0.2">
      <c r="A24420">
        <v>15313</v>
      </c>
      <c r="B24420" t="s">
        <v>44</v>
      </c>
      <c r="C24420">
        <v>15313</v>
      </c>
      <c r="D24420" t="str">
        <f>"15313"</f>
        <v>15313</v>
      </c>
      <c r="E24420" t="s">
        <v>6</v>
      </c>
    </row>
    <row r="24421" spans="1:5" x14ac:dyDescent="0.2">
      <c r="A24421">
        <v>15314</v>
      </c>
      <c r="B24421" t="s">
        <v>44</v>
      </c>
      <c r="C24421">
        <v>15314</v>
      </c>
      <c r="D24421" t="str">
        <f>"15314"</f>
        <v>15314</v>
      </c>
      <c r="E24421">
        <v>72.94</v>
      </c>
    </row>
    <row r="24422" spans="1:5" x14ac:dyDescent="0.2">
      <c r="A24422">
        <v>15315</v>
      </c>
      <c r="B24422" t="s">
        <v>44</v>
      </c>
      <c r="C24422">
        <v>15315</v>
      </c>
      <c r="D24422" t="str">
        <f>"15315"</f>
        <v>15315</v>
      </c>
      <c r="E24422" t="s">
        <v>6</v>
      </c>
    </row>
    <row r="24423" spans="1:5" x14ac:dyDescent="0.2">
      <c r="A24423">
        <v>15316</v>
      </c>
      <c r="B24423" t="s">
        <v>44</v>
      </c>
      <c r="C24423">
        <v>15316</v>
      </c>
      <c r="D24423" t="str">
        <f>"15316"</f>
        <v>15316</v>
      </c>
      <c r="E24423">
        <v>72.73</v>
      </c>
    </row>
    <row r="24424" spans="1:5" x14ac:dyDescent="0.2">
      <c r="A24424">
        <v>15317</v>
      </c>
      <c r="B24424" t="s">
        <v>44</v>
      </c>
      <c r="C24424">
        <v>15317</v>
      </c>
      <c r="D24424" t="str">
        <f>"15317"</f>
        <v>15317</v>
      </c>
      <c r="E24424">
        <v>80.010000000000005</v>
      </c>
    </row>
    <row r="24425" spans="1:5" x14ac:dyDescent="0.2">
      <c r="A24425">
        <v>15320</v>
      </c>
      <c r="B24425" t="s">
        <v>44</v>
      </c>
      <c r="C24425">
        <v>15320</v>
      </c>
      <c r="D24425" t="str">
        <f>"15320"</f>
        <v>15320</v>
      </c>
      <c r="E24425">
        <v>72.69</v>
      </c>
    </row>
    <row r="24426" spans="1:5" x14ac:dyDescent="0.2">
      <c r="A24426">
        <v>15321</v>
      </c>
      <c r="B24426" t="s">
        <v>44</v>
      </c>
      <c r="C24426">
        <v>15321</v>
      </c>
      <c r="D24426" t="str">
        <f>"15321"</f>
        <v>15321</v>
      </c>
      <c r="E24426">
        <v>79.12</v>
      </c>
    </row>
    <row r="24427" spans="1:5" x14ac:dyDescent="0.2">
      <c r="A24427">
        <v>15322</v>
      </c>
      <c r="B24427" t="s">
        <v>44</v>
      </c>
      <c r="C24427">
        <v>15322</v>
      </c>
      <c r="D24427" t="str">
        <f>"15322"</f>
        <v>15322</v>
      </c>
      <c r="E24427">
        <v>72.22</v>
      </c>
    </row>
    <row r="24428" spans="1:5" x14ac:dyDescent="0.2">
      <c r="A24428">
        <v>15323</v>
      </c>
      <c r="B24428" t="s">
        <v>44</v>
      </c>
      <c r="C24428">
        <v>15323</v>
      </c>
      <c r="D24428" t="str">
        <f>"15323"</f>
        <v>15323</v>
      </c>
      <c r="E24428">
        <v>77.069999999999993</v>
      </c>
    </row>
    <row r="24429" spans="1:5" x14ac:dyDescent="0.2">
      <c r="A24429">
        <v>15324</v>
      </c>
      <c r="B24429" t="s">
        <v>44</v>
      </c>
      <c r="C24429">
        <v>15324</v>
      </c>
      <c r="D24429" t="str">
        <f>"15324"</f>
        <v>15324</v>
      </c>
      <c r="E24429" t="s">
        <v>6</v>
      </c>
    </row>
    <row r="24430" spans="1:5" x14ac:dyDescent="0.2">
      <c r="A24430">
        <v>15325</v>
      </c>
      <c r="B24430" t="s">
        <v>44</v>
      </c>
      <c r="C24430">
        <v>15325</v>
      </c>
      <c r="D24430" t="str">
        <f>"15325"</f>
        <v>15325</v>
      </c>
      <c r="E24430" t="s">
        <v>6</v>
      </c>
    </row>
    <row r="24431" spans="1:5" x14ac:dyDescent="0.2">
      <c r="A24431">
        <v>15327</v>
      </c>
      <c r="B24431" t="s">
        <v>44</v>
      </c>
      <c r="C24431">
        <v>15327</v>
      </c>
      <c r="D24431" t="str">
        <f>"15327"</f>
        <v>15327</v>
      </c>
      <c r="E24431">
        <v>72.73</v>
      </c>
    </row>
    <row r="24432" spans="1:5" x14ac:dyDescent="0.2">
      <c r="A24432">
        <v>15329</v>
      </c>
      <c r="B24432" t="s">
        <v>44</v>
      </c>
      <c r="C24432">
        <v>15329</v>
      </c>
      <c r="D24432" t="str">
        <f>"15329"</f>
        <v>15329</v>
      </c>
      <c r="E24432">
        <v>79.45</v>
      </c>
    </row>
    <row r="24433" spans="1:5" x14ac:dyDescent="0.2">
      <c r="A24433">
        <v>15330</v>
      </c>
      <c r="B24433" t="s">
        <v>44</v>
      </c>
      <c r="C24433">
        <v>15330</v>
      </c>
      <c r="D24433" t="str">
        <f>"15330"</f>
        <v>15330</v>
      </c>
      <c r="E24433">
        <v>79.930000000000007</v>
      </c>
    </row>
    <row r="24434" spans="1:5" x14ac:dyDescent="0.2">
      <c r="A24434">
        <v>15331</v>
      </c>
      <c r="B24434" t="s">
        <v>44</v>
      </c>
      <c r="C24434">
        <v>15331</v>
      </c>
      <c r="D24434" t="str">
        <f>"15331"</f>
        <v>15331</v>
      </c>
      <c r="E24434" t="s">
        <v>6</v>
      </c>
    </row>
    <row r="24435" spans="1:5" x14ac:dyDescent="0.2">
      <c r="A24435">
        <v>15332</v>
      </c>
      <c r="B24435" t="s">
        <v>44</v>
      </c>
      <c r="C24435">
        <v>15332</v>
      </c>
      <c r="D24435" t="str">
        <f>"15332"</f>
        <v>15332</v>
      </c>
      <c r="E24435">
        <v>78.27</v>
      </c>
    </row>
    <row r="24436" spans="1:5" x14ac:dyDescent="0.2">
      <c r="A24436">
        <v>15333</v>
      </c>
      <c r="B24436" t="s">
        <v>44</v>
      </c>
      <c r="C24436">
        <v>15333</v>
      </c>
      <c r="D24436" t="str">
        <f>"15333"</f>
        <v>15333</v>
      </c>
      <c r="E24436">
        <v>72.22</v>
      </c>
    </row>
    <row r="24437" spans="1:5" x14ac:dyDescent="0.2">
      <c r="A24437">
        <v>15334</v>
      </c>
      <c r="B24437" t="s">
        <v>44</v>
      </c>
      <c r="C24437">
        <v>15334</v>
      </c>
      <c r="D24437" t="str">
        <f>"15334"</f>
        <v>15334</v>
      </c>
      <c r="E24437" t="s">
        <v>6</v>
      </c>
    </row>
    <row r="24438" spans="1:5" x14ac:dyDescent="0.2">
      <c r="A24438">
        <v>15337</v>
      </c>
      <c r="B24438" t="s">
        <v>44</v>
      </c>
      <c r="C24438">
        <v>15337</v>
      </c>
      <c r="D24438" t="str">
        <f>"15337"</f>
        <v>15337</v>
      </c>
      <c r="E24438">
        <v>75</v>
      </c>
    </row>
    <row r="24439" spans="1:5" x14ac:dyDescent="0.2">
      <c r="A24439">
        <v>15338</v>
      </c>
      <c r="B24439" t="s">
        <v>44</v>
      </c>
      <c r="C24439">
        <v>15338</v>
      </c>
      <c r="D24439" t="str">
        <f>"15338"</f>
        <v>15338</v>
      </c>
      <c r="E24439">
        <v>70.83</v>
      </c>
    </row>
    <row r="24440" spans="1:5" x14ac:dyDescent="0.2">
      <c r="A24440">
        <v>15340</v>
      </c>
      <c r="B24440" t="s">
        <v>44</v>
      </c>
      <c r="C24440">
        <v>15340</v>
      </c>
      <c r="D24440" t="str">
        <f>"15340"</f>
        <v>15340</v>
      </c>
      <c r="E24440">
        <v>80.56</v>
      </c>
    </row>
    <row r="24441" spans="1:5" x14ac:dyDescent="0.2">
      <c r="A24441">
        <v>15341</v>
      </c>
      <c r="B24441" t="s">
        <v>44</v>
      </c>
      <c r="C24441">
        <v>15341</v>
      </c>
      <c r="D24441" t="str">
        <f>"15341"</f>
        <v>15341</v>
      </c>
      <c r="E24441">
        <v>76.47</v>
      </c>
    </row>
    <row r="24442" spans="1:5" x14ac:dyDescent="0.2">
      <c r="A24442">
        <v>15342</v>
      </c>
      <c r="B24442" t="s">
        <v>44</v>
      </c>
      <c r="C24442">
        <v>15342</v>
      </c>
      <c r="D24442" t="str">
        <f>"15342"</f>
        <v>15342</v>
      </c>
      <c r="E24442">
        <v>77.13</v>
      </c>
    </row>
    <row r="24443" spans="1:5" x14ac:dyDescent="0.2">
      <c r="A24443">
        <v>15344</v>
      </c>
      <c r="B24443" t="s">
        <v>44</v>
      </c>
      <c r="C24443">
        <v>15344</v>
      </c>
      <c r="D24443" t="str">
        <f>"15344"</f>
        <v>15344</v>
      </c>
      <c r="E24443">
        <v>76</v>
      </c>
    </row>
    <row r="24444" spans="1:5" x14ac:dyDescent="0.2">
      <c r="A24444">
        <v>15345</v>
      </c>
      <c r="B24444" t="s">
        <v>44</v>
      </c>
      <c r="C24444">
        <v>15345</v>
      </c>
      <c r="D24444" t="str">
        <f>"15345"</f>
        <v>15345</v>
      </c>
      <c r="E24444">
        <v>75</v>
      </c>
    </row>
    <row r="24445" spans="1:5" x14ac:dyDescent="0.2">
      <c r="A24445">
        <v>15346</v>
      </c>
      <c r="B24445" t="s">
        <v>44</v>
      </c>
      <c r="C24445">
        <v>15346</v>
      </c>
      <c r="D24445" t="str">
        <f>"15346"</f>
        <v>15346</v>
      </c>
      <c r="E24445" t="s">
        <v>6</v>
      </c>
    </row>
    <row r="24446" spans="1:5" x14ac:dyDescent="0.2">
      <c r="A24446">
        <v>15347</v>
      </c>
      <c r="B24446" t="s">
        <v>44</v>
      </c>
      <c r="C24446">
        <v>15347</v>
      </c>
      <c r="D24446" t="str">
        <f>"15347"</f>
        <v>15347</v>
      </c>
      <c r="E24446" t="s">
        <v>6</v>
      </c>
    </row>
    <row r="24447" spans="1:5" x14ac:dyDescent="0.2">
      <c r="A24447">
        <v>15348</v>
      </c>
      <c r="B24447" t="s">
        <v>44</v>
      </c>
      <c r="C24447">
        <v>15348</v>
      </c>
      <c r="D24447" t="str">
        <f>"15348"</f>
        <v>15348</v>
      </c>
      <c r="E24447" t="s">
        <v>6</v>
      </c>
    </row>
    <row r="24448" spans="1:5" x14ac:dyDescent="0.2">
      <c r="A24448">
        <v>15349</v>
      </c>
      <c r="B24448" t="s">
        <v>44</v>
      </c>
      <c r="C24448">
        <v>15349</v>
      </c>
      <c r="D24448" t="str">
        <f>"15349"</f>
        <v>15349</v>
      </c>
      <c r="E24448">
        <v>79.489999999999995</v>
      </c>
    </row>
    <row r="24449" spans="1:5" x14ac:dyDescent="0.2">
      <c r="A24449">
        <v>15350</v>
      </c>
      <c r="B24449" t="s">
        <v>44</v>
      </c>
      <c r="C24449">
        <v>15350</v>
      </c>
      <c r="D24449" t="str">
        <f>"15350"</f>
        <v>15350</v>
      </c>
      <c r="E24449" t="s">
        <v>6</v>
      </c>
    </row>
    <row r="24450" spans="1:5" x14ac:dyDescent="0.2">
      <c r="A24450">
        <v>15351</v>
      </c>
      <c r="B24450" t="s">
        <v>44</v>
      </c>
      <c r="C24450">
        <v>15351</v>
      </c>
      <c r="D24450" t="str">
        <f>"15351"</f>
        <v>15351</v>
      </c>
      <c r="E24450" t="s">
        <v>6</v>
      </c>
    </row>
    <row r="24451" spans="1:5" x14ac:dyDescent="0.2">
      <c r="A24451">
        <v>15352</v>
      </c>
      <c r="B24451" t="s">
        <v>44</v>
      </c>
      <c r="C24451">
        <v>15352</v>
      </c>
      <c r="D24451" t="str">
        <f>"15352"</f>
        <v>15352</v>
      </c>
      <c r="E24451">
        <v>74.290000000000006</v>
      </c>
    </row>
    <row r="24452" spans="1:5" x14ac:dyDescent="0.2">
      <c r="A24452">
        <v>15357</v>
      </c>
      <c r="B24452" t="s">
        <v>44</v>
      </c>
      <c r="C24452">
        <v>15357</v>
      </c>
      <c r="D24452" t="str">
        <f>"15357"</f>
        <v>15357</v>
      </c>
      <c r="E24452">
        <v>76.92</v>
      </c>
    </row>
    <row r="24453" spans="1:5" x14ac:dyDescent="0.2">
      <c r="A24453">
        <v>15358</v>
      </c>
      <c r="B24453" t="s">
        <v>44</v>
      </c>
      <c r="C24453">
        <v>15358</v>
      </c>
      <c r="D24453" t="str">
        <f>"15358"</f>
        <v>15358</v>
      </c>
      <c r="E24453" t="s">
        <v>6</v>
      </c>
    </row>
    <row r="24454" spans="1:5" x14ac:dyDescent="0.2">
      <c r="A24454">
        <v>15359</v>
      </c>
      <c r="B24454" t="s">
        <v>44</v>
      </c>
      <c r="C24454">
        <v>15359</v>
      </c>
      <c r="D24454" t="str">
        <f>"15359"</f>
        <v>15359</v>
      </c>
      <c r="E24454">
        <v>81.819999999999993</v>
      </c>
    </row>
    <row r="24455" spans="1:5" x14ac:dyDescent="0.2">
      <c r="A24455">
        <v>15360</v>
      </c>
      <c r="B24455" t="s">
        <v>44</v>
      </c>
      <c r="C24455">
        <v>15360</v>
      </c>
      <c r="D24455" t="str">
        <f>"15360"</f>
        <v>15360</v>
      </c>
      <c r="E24455">
        <v>80</v>
      </c>
    </row>
    <row r="24456" spans="1:5" x14ac:dyDescent="0.2">
      <c r="A24456">
        <v>15361</v>
      </c>
      <c r="B24456" t="s">
        <v>44</v>
      </c>
      <c r="C24456">
        <v>15361</v>
      </c>
      <c r="D24456" t="str">
        <f>"15361"</f>
        <v>15361</v>
      </c>
      <c r="E24456" t="s">
        <v>6</v>
      </c>
    </row>
    <row r="24457" spans="1:5" x14ac:dyDescent="0.2">
      <c r="A24457">
        <v>15362</v>
      </c>
      <c r="B24457" t="s">
        <v>44</v>
      </c>
      <c r="C24457">
        <v>15362</v>
      </c>
      <c r="D24457" t="str">
        <f>"15362"</f>
        <v>15362</v>
      </c>
      <c r="E24457">
        <v>70.59</v>
      </c>
    </row>
    <row r="24458" spans="1:5" x14ac:dyDescent="0.2">
      <c r="A24458">
        <v>15363</v>
      </c>
      <c r="B24458" t="s">
        <v>44</v>
      </c>
      <c r="C24458">
        <v>15363</v>
      </c>
      <c r="D24458" t="str">
        <f>"15363"</f>
        <v>15363</v>
      </c>
      <c r="E24458">
        <v>74.42</v>
      </c>
    </row>
    <row r="24459" spans="1:5" x14ac:dyDescent="0.2">
      <c r="A24459">
        <v>15364</v>
      </c>
      <c r="B24459" t="s">
        <v>44</v>
      </c>
      <c r="C24459">
        <v>15364</v>
      </c>
      <c r="D24459" t="str">
        <f>"15364"</f>
        <v>15364</v>
      </c>
      <c r="E24459">
        <v>76.67</v>
      </c>
    </row>
    <row r="24460" spans="1:5" x14ac:dyDescent="0.2">
      <c r="A24460">
        <v>15366</v>
      </c>
      <c r="B24460" t="s">
        <v>44</v>
      </c>
      <c r="C24460">
        <v>15366</v>
      </c>
      <c r="D24460" t="str">
        <f>"15366"</f>
        <v>15366</v>
      </c>
      <c r="E24460" t="s">
        <v>6</v>
      </c>
    </row>
    <row r="24461" spans="1:5" x14ac:dyDescent="0.2">
      <c r="A24461">
        <v>15367</v>
      </c>
      <c r="B24461" t="s">
        <v>44</v>
      </c>
      <c r="C24461">
        <v>15367</v>
      </c>
      <c r="D24461" t="str">
        <f>"15367"</f>
        <v>15367</v>
      </c>
      <c r="E24461">
        <v>78.290000000000006</v>
      </c>
    </row>
    <row r="24462" spans="1:5" x14ac:dyDescent="0.2">
      <c r="A24462">
        <v>15368</v>
      </c>
      <c r="B24462" t="s">
        <v>44</v>
      </c>
      <c r="C24462">
        <v>15368</v>
      </c>
      <c r="D24462" t="str">
        <f>"15368"</f>
        <v>15368</v>
      </c>
      <c r="E24462" t="s">
        <v>6</v>
      </c>
    </row>
    <row r="24463" spans="1:5" x14ac:dyDescent="0.2">
      <c r="A24463">
        <v>15370</v>
      </c>
      <c r="B24463" t="s">
        <v>44</v>
      </c>
      <c r="C24463">
        <v>15370</v>
      </c>
      <c r="D24463" t="str">
        <f>"15370"</f>
        <v>15370</v>
      </c>
      <c r="E24463">
        <v>74.86</v>
      </c>
    </row>
    <row r="24464" spans="1:5" x14ac:dyDescent="0.2">
      <c r="A24464">
        <v>15376</v>
      </c>
      <c r="B24464" t="s">
        <v>44</v>
      </c>
      <c r="C24464">
        <v>15376</v>
      </c>
      <c r="D24464" t="str">
        <f>"15376"</f>
        <v>15376</v>
      </c>
      <c r="E24464">
        <v>75.95</v>
      </c>
    </row>
    <row r="24465" spans="1:5" x14ac:dyDescent="0.2">
      <c r="A24465">
        <v>15377</v>
      </c>
      <c r="B24465" t="s">
        <v>44</v>
      </c>
      <c r="C24465">
        <v>15377</v>
      </c>
      <c r="D24465" t="str">
        <f>"15377"</f>
        <v>15377</v>
      </c>
      <c r="E24465">
        <v>75.86</v>
      </c>
    </row>
    <row r="24466" spans="1:5" x14ac:dyDescent="0.2">
      <c r="A24466">
        <v>15378</v>
      </c>
      <c r="B24466" t="s">
        <v>44</v>
      </c>
      <c r="C24466">
        <v>15378</v>
      </c>
      <c r="D24466" t="str">
        <f>"15378"</f>
        <v>15378</v>
      </c>
      <c r="E24466" t="s">
        <v>6</v>
      </c>
    </row>
    <row r="24467" spans="1:5" x14ac:dyDescent="0.2">
      <c r="A24467">
        <v>15379</v>
      </c>
      <c r="B24467" t="s">
        <v>44</v>
      </c>
      <c r="C24467">
        <v>15379</v>
      </c>
      <c r="D24467" t="str">
        <f>"15379"</f>
        <v>15379</v>
      </c>
      <c r="E24467" t="s">
        <v>6</v>
      </c>
    </row>
    <row r="24468" spans="1:5" x14ac:dyDescent="0.2">
      <c r="A24468">
        <v>15380</v>
      </c>
      <c r="B24468" t="s">
        <v>44</v>
      </c>
      <c r="C24468">
        <v>15380</v>
      </c>
      <c r="D24468" t="str">
        <f>"15380"</f>
        <v>15380</v>
      </c>
      <c r="E24468">
        <v>75</v>
      </c>
    </row>
    <row r="24469" spans="1:5" x14ac:dyDescent="0.2">
      <c r="A24469">
        <v>15401</v>
      </c>
      <c r="B24469" t="s">
        <v>44</v>
      </c>
      <c r="C24469">
        <v>15401</v>
      </c>
      <c r="D24469" t="str">
        <f>"15401"</f>
        <v>15401</v>
      </c>
      <c r="E24469">
        <v>67.88</v>
      </c>
    </row>
    <row r="24470" spans="1:5" x14ac:dyDescent="0.2">
      <c r="A24470">
        <v>15410</v>
      </c>
      <c r="B24470" t="s">
        <v>44</v>
      </c>
      <c r="C24470">
        <v>15410</v>
      </c>
      <c r="D24470" t="str">
        <f>"15410"</f>
        <v>15410</v>
      </c>
      <c r="E24470">
        <v>71.88</v>
      </c>
    </row>
    <row r="24471" spans="1:5" x14ac:dyDescent="0.2">
      <c r="A24471">
        <v>15411</v>
      </c>
      <c r="B24471" t="s">
        <v>44</v>
      </c>
      <c r="C24471">
        <v>15411</v>
      </c>
      <c r="D24471" t="str">
        <f>"15411"</f>
        <v>15411</v>
      </c>
      <c r="E24471">
        <v>79.31</v>
      </c>
    </row>
    <row r="24472" spans="1:5" x14ac:dyDescent="0.2">
      <c r="A24472">
        <v>15412</v>
      </c>
      <c r="B24472" t="s">
        <v>44</v>
      </c>
      <c r="C24472">
        <v>15412</v>
      </c>
      <c r="D24472" t="str">
        <f>"15412"</f>
        <v>15412</v>
      </c>
      <c r="E24472" t="s">
        <v>6</v>
      </c>
    </row>
    <row r="24473" spans="1:5" x14ac:dyDescent="0.2">
      <c r="A24473">
        <v>15413</v>
      </c>
      <c r="B24473" t="s">
        <v>44</v>
      </c>
      <c r="C24473">
        <v>15413</v>
      </c>
      <c r="D24473" t="str">
        <f>"15413"</f>
        <v>15413</v>
      </c>
      <c r="E24473">
        <v>68.180000000000007</v>
      </c>
    </row>
    <row r="24474" spans="1:5" x14ac:dyDescent="0.2">
      <c r="A24474">
        <v>15417</v>
      </c>
      <c r="B24474" t="s">
        <v>44</v>
      </c>
      <c r="C24474">
        <v>15417</v>
      </c>
      <c r="D24474" t="str">
        <f>"15417"</f>
        <v>15417</v>
      </c>
      <c r="E24474">
        <v>69.94</v>
      </c>
    </row>
    <row r="24475" spans="1:5" x14ac:dyDescent="0.2">
      <c r="A24475">
        <v>15419</v>
      </c>
      <c r="B24475" t="s">
        <v>44</v>
      </c>
      <c r="C24475">
        <v>15419</v>
      </c>
      <c r="D24475" t="str">
        <f>"15419"</f>
        <v>15419</v>
      </c>
      <c r="E24475">
        <v>67.37</v>
      </c>
    </row>
    <row r="24476" spans="1:5" x14ac:dyDescent="0.2">
      <c r="A24476">
        <v>15420</v>
      </c>
      <c r="B24476" t="s">
        <v>44</v>
      </c>
      <c r="C24476">
        <v>15420</v>
      </c>
      <c r="D24476" t="str">
        <f>"15420"</f>
        <v>15420</v>
      </c>
      <c r="E24476" t="s">
        <v>6</v>
      </c>
    </row>
    <row r="24477" spans="1:5" x14ac:dyDescent="0.2">
      <c r="A24477">
        <v>15421</v>
      </c>
      <c r="B24477" t="s">
        <v>44</v>
      </c>
      <c r="C24477">
        <v>15421</v>
      </c>
      <c r="D24477" t="str">
        <f>"15421"</f>
        <v>15421</v>
      </c>
      <c r="E24477" t="s">
        <v>6</v>
      </c>
    </row>
    <row r="24478" spans="1:5" x14ac:dyDescent="0.2">
      <c r="A24478">
        <v>15422</v>
      </c>
      <c r="B24478" t="s">
        <v>44</v>
      </c>
      <c r="C24478">
        <v>15422</v>
      </c>
      <c r="D24478" t="str">
        <f>"15422"</f>
        <v>15422</v>
      </c>
      <c r="E24478" t="s">
        <v>6</v>
      </c>
    </row>
    <row r="24479" spans="1:5" x14ac:dyDescent="0.2">
      <c r="A24479">
        <v>15423</v>
      </c>
      <c r="B24479" t="s">
        <v>44</v>
      </c>
      <c r="C24479">
        <v>15423</v>
      </c>
      <c r="D24479" t="str">
        <f>"15423"</f>
        <v>15423</v>
      </c>
      <c r="E24479">
        <v>76.739999999999995</v>
      </c>
    </row>
    <row r="24480" spans="1:5" x14ac:dyDescent="0.2">
      <c r="A24480">
        <v>15424</v>
      </c>
      <c r="B24480" t="s">
        <v>44</v>
      </c>
      <c r="C24480">
        <v>15424</v>
      </c>
      <c r="D24480" t="str">
        <f>"15424"</f>
        <v>15424</v>
      </c>
      <c r="E24480">
        <v>69.16</v>
      </c>
    </row>
    <row r="24481" spans="1:5" x14ac:dyDescent="0.2">
      <c r="A24481">
        <v>15425</v>
      </c>
      <c r="B24481" t="s">
        <v>44</v>
      </c>
      <c r="C24481">
        <v>15425</v>
      </c>
      <c r="D24481" t="str">
        <f>"15425"</f>
        <v>15425</v>
      </c>
      <c r="E24481">
        <v>69.95</v>
      </c>
    </row>
    <row r="24482" spans="1:5" x14ac:dyDescent="0.2">
      <c r="A24482">
        <v>15427</v>
      </c>
      <c r="B24482" t="s">
        <v>44</v>
      </c>
      <c r="C24482">
        <v>15427</v>
      </c>
      <c r="D24482" t="str">
        <f>"15427"</f>
        <v>15427</v>
      </c>
      <c r="E24482">
        <v>73.47</v>
      </c>
    </row>
    <row r="24483" spans="1:5" x14ac:dyDescent="0.2">
      <c r="A24483">
        <v>15428</v>
      </c>
      <c r="B24483" t="s">
        <v>44</v>
      </c>
      <c r="C24483">
        <v>15428</v>
      </c>
      <c r="D24483" t="str">
        <f>"15428"</f>
        <v>15428</v>
      </c>
      <c r="E24483">
        <v>75.61</v>
      </c>
    </row>
    <row r="24484" spans="1:5" x14ac:dyDescent="0.2">
      <c r="A24484">
        <v>15429</v>
      </c>
      <c r="B24484" t="s">
        <v>44</v>
      </c>
      <c r="C24484">
        <v>15429</v>
      </c>
      <c r="D24484" t="str">
        <f>"15429"</f>
        <v>15429</v>
      </c>
      <c r="E24484">
        <v>70</v>
      </c>
    </row>
    <row r="24485" spans="1:5" x14ac:dyDescent="0.2">
      <c r="A24485">
        <v>15430</v>
      </c>
      <c r="B24485" t="s">
        <v>44</v>
      </c>
      <c r="C24485">
        <v>15430</v>
      </c>
      <c r="D24485" t="str">
        <f>"15430"</f>
        <v>15430</v>
      </c>
      <c r="E24485" t="s">
        <v>6</v>
      </c>
    </row>
    <row r="24486" spans="1:5" x14ac:dyDescent="0.2">
      <c r="A24486">
        <v>15431</v>
      </c>
      <c r="B24486" t="s">
        <v>44</v>
      </c>
      <c r="C24486">
        <v>15431</v>
      </c>
      <c r="D24486" t="str">
        <f>"15431"</f>
        <v>15431</v>
      </c>
      <c r="E24486">
        <v>70.790000000000006</v>
      </c>
    </row>
    <row r="24487" spans="1:5" x14ac:dyDescent="0.2">
      <c r="A24487">
        <v>15432</v>
      </c>
      <c r="B24487" t="s">
        <v>44</v>
      </c>
      <c r="C24487">
        <v>15432</v>
      </c>
      <c r="D24487" t="str">
        <f>"15432"</f>
        <v>15432</v>
      </c>
      <c r="E24487" t="s">
        <v>6</v>
      </c>
    </row>
    <row r="24488" spans="1:5" x14ac:dyDescent="0.2">
      <c r="A24488">
        <v>15433</v>
      </c>
      <c r="B24488" t="s">
        <v>44</v>
      </c>
      <c r="C24488">
        <v>15433</v>
      </c>
      <c r="D24488" t="str">
        <f>"15433"</f>
        <v>15433</v>
      </c>
      <c r="E24488">
        <v>69.7</v>
      </c>
    </row>
    <row r="24489" spans="1:5" x14ac:dyDescent="0.2">
      <c r="A24489">
        <v>15434</v>
      </c>
      <c r="B24489" t="s">
        <v>44</v>
      </c>
      <c r="C24489">
        <v>15434</v>
      </c>
      <c r="D24489" t="str">
        <f>"15434"</f>
        <v>15434</v>
      </c>
      <c r="E24489" t="s">
        <v>6</v>
      </c>
    </row>
    <row r="24490" spans="1:5" x14ac:dyDescent="0.2">
      <c r="A24490">
        <v>15435</v>
      </c>
      <c r="B24490" t="s">
        <v>44</v>
      </c>
      <c r="C24490">
        <v>15435</v>
      </c>
      <c r="D24490" t="str">
        <f>"15435"</f>
        <v>15435</v>
      </c>
      <c r="E24490" t="s">
        <v>6</v>
      </c>
    </row>
    <row r="24491" spans="1:5" x14ac:dyDescent="0.2">
      <c r="A24491">
        <v>15436</v>
      </c>
      <c r="B24491" t="s">
        <v>44</v>
      </c>
      <c r="C24491">
        <v>15436</v>
      </c>
      <c r="D24491" t="str">
        <f>"15436"</f>
        <v>15436</v>
      </c>
      <c r="E24491">
        <v>69.599999999999994</v>
      </c>
    </row>
    <row r="24492" spans="1:5" x14ac:dyDescent="0.2">
      <c r="A24492">
        <v>15437</v>
      </c>
      <c r="B24492" t="s">
        <v>44</v>
      </c>
      <c r="C24492">
        <v>15437</v>
      </c>
      <c r="D24492" t="str">
        <f>"15437"</f>
        <v>15437</v>
      </c>
      <c r="E24492">
        <v>69.290000000000006</v>
      </c>
    </row>
    <row r="24493" spans="1:5" x14ac:dyDescent="0.2">
      <c r="A24493">
        <v>15438</v>
      </c>
      <c r="B24493" t="s">
        <v>44</v>
      </c>
      <c r="C24493">
        <v>15438</v>
      </c>
      <c r="D24493" t="str">
        <f>"15438"</f>
        <v>15438</v>
      </c>
      <c r="E24493">
        <v>74.510000000000005</v>
      </c>
    </row>
    <row r="24494" spans="1:5" x14ac:dyDescent="0.2">
      <c r="A24494">
        <v>15440</v>
      </c>
      <c r="B24494" t="s">
        <v>44</v>
      </c>
      <c r="C24494">
        <v>15440</v>
      </c>
      <c r="D24494" t="str">
        <f>"15440"</f>
        <v>15440</v>
      </c>
      <c r="E24494">
        <v>66.67</v>
      </c>
    </row>
    <row r="24495" spans="1:5" x14ac:dyDescent="0.2">
      <c r="A24495">
        <v>15442</v>
      </c>
      <c r="B24495" t="s">
        <v>44</v>
      </c>
      <c r="C24495">
        <v>15442</v>
      </c>
      <c r="D24495" t="str">
        <f>"15442"</f>
        <v>15442</v>
      </c>
      <c r="E24495">
        <v>71.7</v>
      </c>
    </row>
    <row r="24496" spans="1:5" x14ac:dyDescent="0.2">
      <c r="A24496">
        <v>15444</v>
      </c>
      <c r="B24496" t="s">
        <v>44</v>
      </c>
      <c r="C24496">
        <v>15444</v>
      </c>
      <c r="D24496" t="str">
        <f>"15444"</f>
        <v>15444</v>
      </c>
      <c r="E24496">
        <v>69.569999999999993</v>
      </c>
    </row>
    <row r="24497" spans="1:5" x14ac:dyDescent="0.2">
      <c r="A24497">
        <v>15445</v>
      </c>
      <c r="B24497" t="s">
        <v>44</v>
      </c>
      <c r="C24497">
        <v>15445</v>
      </c>
      <c r="D24497" t="str">
        <f>"15445"</f>
        <v>15445</v>
      </c>
      <c r="E24497">
        <v>74.31</v>
      </c>
    </row>
    <row r="24498" spans="1:5" x14ac:dyDescent="0.2">
      <c r="A24498">
        <v>15446</v>
      </c>
      <c r="B24498" t="s">
        <v>44</v>
      </c>
      <c r="C24498">
        <v>15446</v>
      </c>
      <c r="D24498" t="str">
        <f>"15446"</f>
        <v>15446</v>
      </c>
      <c r="E24498">
        <v>76</v>
      </c>
    </row>
    <row r="24499" spans="1:5" x14ac:dyDescent="0.2">
      <c r="A24499">
        <v>15447</v>
      </c>
      <c r="B24499" t="s">
        <v>44</v>
      </c>
      <c r="C24499">
        <v>15447</v>
      </c>
      <c r="D24499" t="str">
        <f>"15447"</f>
        <v>15447</v>
      </c>
      <c r="E24499" t="s">
        <v>6</v>
      </c>
    </row>
    <row r="24500" spans="1:5" x14ac:dyDescent="0.2">
      <c r="A24500">
        <v>15449</v>
      </c>
      <c r="B24500" t="s">
        <v>44</v>
      </c>
      <c r="C24500">
        <v>15449</v>
      </c>
      <c r="D24500" t="str">
        <f>"15449"</f>
        <v>15449</v>
      </c>
      <c r="E24500" t="s">
        <v>6</v>
      </c>
    </row>
    <row r="24501" spans="1:5" x14ac:dyDescent="0.2">
      <c r="A24501">
        <v>15450</v>
      </c>
      <c r="B24501" t="s">
        <v>44</v>
      </c>
      <c r="C24501">
        <v>15450</v>
      </c>
      <c r="D24501" t="str">
        <f>"15450"</f>
        <v>15450</v>
      </c>
      <c r="E24501">
        <v>75</v>
      </c>
    </row>
    <row r="24502" spans="1:5" x14ac:dyDescent="0.2">
      <c r="A24502">
        <v>15451</v>
      </c>
      <c r="B24502" t="s">
        <v>44</v>
      </c>
      <c r="C24502">
        <v>15451</v>
      </c>
      <c r="D24502" t="str">
        <f>"15451"</f>
        <v>15451</v>
      </c>
      <c r="E24502">
        <v>72.73</v>
      </c>
    </row>
    <row r="24503" spans="1:5" x14ac:dyDescent="0.2">
      <c r="A24503">
        <v>15455</v>
      </c>
      <c r="B24503" t="s">
        <v>44</v>
      </c>
      <c r="C24503">
        <v>15455</v>
      </c>
      <c r="D24503" t="str">
        <f>"15455"</f>
        <v>15455</v>
      </c>
      <c r="E24503" t="s">
        <v>6</v>
      </c>
    </row>
    <row r="24504" spans="1:5" x14ac:dyDescent="0.2">
      <c r="A24504">
        <v>15456</v>
      </c>
      <c r="B24504" t="s">
        <v>44</v>
      </c>
      <c r="C24504">
        <v>15456</v>
      </c>
      <c r="D24504" t="str">
        <f>"15456"</f>
        <v>15456</v>
      </c>
      <c r="E24504">
        <v>70.73</v>
      </c>
    </row>
    <row r="24505" spans="1:5" x14ac:dyDescent="0.2">
      <c r="A24505">
        <v>15458</v>
      </c>
      <c r="B24505" t="s">
        <v>44</v>
      </c>
      <c r="C24505">
        <v>15458</v>
      </c>
      <c r="D24505" t="str">
        <f>"15458"</f>
        <v>15458</v>
      </c>
      <c r="E24505">
        <v>70.59</v>
      </c>
    </row>
    <row r="24506" spans="1:5" x14ac:dyDescent="0.2">
      <c r="A24506">
        <v>15459</v>
      </c>
      <c r="B24506" t="s">
        <v>44</v>
      </c>
      <c r="C24506">
        <v>15459</v>
      </c>
      <c r="D24506" t="str">
        <f>"15459"</f>
        <v>15459</v>
      </c>
      <c r="E24506">
        <v>70.150000000000006</v>
      </c>
    </row>
    <row r="24507" spans="1:5" x14ac:dyDescent="0.2">
      <c r="A24507">
        <v>15460</v>
      </c>
      <c r="B24507" t="s">
        <v>44</v>
      </c>
      <c r="C24507">
        <v>15460</v>
      </c>
      <c r="D24507" t="str">
        <f>"15460"</f>
        <v>15460</v>
      </c>
      <c r="E24507" t="s">
        <v>6</v>
      </c>
    </row>
    <row r="24508" spans="1:5" x14ac:dyDescent="0.2">
      <c r="A24508">
        <v>15461</v>
      </c>
      <c r="B24508" t="s">
        <v>44</v>
      </c>
      <c r="C24508">
        <v>15461</v>
      </c>
      <c r="D24508" t="str">
        <f>"15461"</f>
        <v>15461</v>
      </c>
      <c r="E24508">
        <v>69.569999999999993</v>
      </c>
    </row>
    <row r="24509" spans="1:5" x14ac:dyDescent="0.2">
      <c r="A24509">
        <v>15462</v>
      </c>
      <c r="B24509" t="s">
        <v>44</v>
      </c>
      <c r="C24509">
        <v>15462</v>
      </c>
      <c r="D24509" t="str">
        <f>"15462"</f>
        <v>15462</v>
      </c>
      <c r="E24509">
        <v>61.11</v>
      </c>
    </row>
    <row r="24510" spans="1:5" x14ac:dyDescent="0.2">
      <c r="A24510">
        <v>15464</v>
      </c>
      <c r="B24510" t="s">
        <v>44</v>
      </c>
      <c r="C24510">
        <v>15464</v>
      </c>
      <c r="D24510" t="str">
        <f>"15464"</f>
        <v>15464</v>
      </c>
      <c r="E24510">
        <v>70.77</v>
      </c>
    </row>
    <row r="24511" spans="1:5" x14ac:dyDescent="0.2">
      <c r="A24511">
        <v>15465</v>
      </c>
      <c r="B24511" t="s">
        <v>44</v>
      </c>
      <c r="C24511">
        <v>15465</v>
      </c>
      <c r="D24511" t="str">
        <f>"15465"</f>
        <v>15465</v>
      </c>
      <c r="E24511" t="s">
        <v>6</v>
      </c>
    </row>
    <row r="24512" spans="1:5" x14ac:dyDescent="0.2">
      <c r="A24512">
        <v>15466</v>
      </c>
      <c r="B24512" t="s">
        <v>44</v>
      </c>
      <c r="C24512">
        <v>15466</v>
      </c>
      <c r="D24512" t="str">
        <f>"15466"</f>
        <v>15466</v>
      </c>
      <c r="E24512" t="s">
        <v>6</v>
      </c>
    </row>
    <row r="24513" spans="1:5" x14ac:dyDescent="0.2">
      <c r="A24513">
        <v>15467</v>
      </c>
      <c r="B24513" t="s">
        <v>44</v>
      </c>
      <c r="C24513">
        <v>15467</v>
      </c>
      <c r="D24513" t="str">
        <f>"15467"</f>
        <v>15467</v>
      </c>
      <c r="E24513" t="s">
        <v>6</v>
      </c>
    </row>
    <row r="24514" spans="1:5" x14ac:dyDescent="0.2">
      <c r="A24514">
        <v>15468</v>
      </c>
      <c r="B24514" t="s">
        <v>44</v>
      </c>
      <c r="C24514">
        <v>15468</v>
      </c>
      <c r="D24514" t="str">
        <f>"15468"</f>
        <v>15468</v>
      </c>
      <c r="E24514">
        <v>67.92</v>
      </c>
    </row>
    <row r="24515" spans="1:5" x14ac:dyDescent="0.2">
      <c r="A24515">
        <v>15469</v>
      </c>
      <c r="B24515" t="s">
        <v>44</v>
      </c>
      <c r="C24515">
        <v>15469</v>
      </c>
      <c r="D24515" t="str">
        <f>"15469"</f>
        <v>15469</v>
      </c>
      <c r="E24515">
        <v>65.260000000000005</v>
      </c>
    </row>
    <row r="24516" spans="1:5" x14ac:dyDescent="0.2">
      <c r="A24516">
        <v>15470</v>
      </c>
      <c r="B24516" t="s">
        <v>44</v>
      </c>
      <c r="C24516">
        <v>15470</v>
      </c>
      <c r="D24516" t="str">
        <f>"15470"</f>
        <v>15470</v>
      </c>
      <c r="E24516">
        <v>77.78</v>
      </c>
    </row>
    <row r="24517" spans="1:5" x14ac:dyDescent="0.2">
      <c r="A24517">
        <v>15472</v>
      </c>
      <c r="B24517" t="s">
        <v>44</v>
      </c>
      <c r="C24517">
        <v>15472</v>
      </c>
      <c r="D24517" t="str">
        <f>"15472"</f>
        <v>15472</v>
      </c>
      <c r="E24517" t="s">
        <v>6</v>
      </c>
    </row>
    <row r="24518" spans="1:5" x14ac:dyDescent="0.2">
      <c r="A24518">
        <v>15473</v>
      </c>
      <c r="B24518" t="s">
        <v>44</v>
      </c>
      <c r="C24518">
        <v>15473</v>
      </c>
      <c r="D24518" t="str">
        <f>"15473"</f>
        <v>15473</v>
      </c>
      <c r="E24518">
        <v>75.39</v>
      </c>
    </row>
    <row r="24519" spans="1:5" x14ac:dyDescent="0.2">
      <c r="A24519">
        <v>15474</v>
      </c>
      <c r="B24519" t="s">
        <v>44</v>
      </c>
      <c r="C24519">
        <v>15474</v>
      </c>
      <c r="D24519" t="str">
        <f>"15474"</f>
        <v>15474</v>
      </c>
      <c r="E24519">
        <v>68.540000000000006</v>
      </c>
    </row>
    <row r="24520" spans="1:5" x14ac:dyDescent="0.2">
      <c r="A24520">
        <v>15475</v>
      </c>
      <c r="B24520" t="s">
        <v>44</v>
      </c>
      <c r="C24520">
        <v>15475</v>
      </c>
      <c r="D24520" t="str">
        <f>"15475"</f>
        <v>15475</v>
      </c>
      <c r="E24520" t="s">
        <v>6</v>
      </c>
    </row>
    <row r="24521" spans="1:5" x14ac:dyDescent="0.2">
      <c r="A24521">
        <v>15476</v>
      </c>
      <c r="B24521" t="s">
        <v>44</v>
      </c>
      <c r="C24521">
        <v>15476</v>
      </c>
      <c r="D24521" t="str">
        <f>"15476"</f>
        <v>15476</v>
      </c>
      <c r="E24521" t="s">
        <v>6</v>
      </c>
    </row>
    <row r="24522" spans="1:5" x14ac:dyDescent="0.2">
      <c r="A24522">
        <v>15477</v>
      </c>
      <c r="B24522" t="s">
        <v>44</v>
      </c>
      <c r="C24522">
        <v>15477</v>
      </c>
      <c r="D24522" t="str">
        <f>"15477"</f>
        <v>15477</v>
      </c>
      <c r="E24522" t="s">
        <v>6</v>
      </c>
    </row>
    <row r="24523" spans="1:5" x14ac:dyDescent="0.2">
      <c r="A24523">
        <v>15478</v>
      </c>
      <c r="B24523" t="s">
        <v>44</v>
      </c>
      <c r="C24523">
        <v>15478</v>
      </c>
      <c r="D24523" t="str">
        <f>"15478"</f>
        <v>15478</v>
      </c>
      <c r="E24523">
        <v>71.17</v>
      </c>
    </row>
    <row r="24524" spans="1:5" x14ac:dyDescent="0.2">
      <c r="A24524">
        <v>15479</v>
      </c>
      <c r="B24524" t="s">
        <v>44</v>
      </c>
      <c r="C24524">
        <v>15479</v>
      </c>
      <c r="D24524" t="str">
        <f>"15479"</f>
        <v>15479</v>
      </c>
      <c r="E24524">
        <v>75</v>
      </c>
    </row>
    <row r="24525" spans="1:5" x14ac:dyDescent="0.2">
      <c r="A24525">
        <v>15480</v>
      </c>
      <c r="B24525" t="s">
        <v>44</v>
      </c>
      <c r="C24525">
        <v>15480</v>
      </c>
      <c r="D24525" t="str">
        <f>"15480"</f>
        <v>15480</v>
      </c>
      <c r="E24525">
        <v>74.73</v>
      </c>
    </row>
    <row r="24526" spans="1:5" x14ac:dyDescent="0.2">
      <c r="A24526">
        <v>15482</v>
      </c>
      <c r="B24526" t="s">
        <v>44</v>
      </c>
      <c r="C24526">
        <v>15482</v>
      </c>
      <c r="D24526" t="str">
        <f>"15482"</f>
        <v>15482</v>
      </c>
      <c r="E24526" t="s">
        <v>6</v>
      </c>
    </row>
    <row r="24527" spans="1:5" x14ac:dyDescent="0.2">
      <c r="A24527">
        <v>15483</v>
      </c>
      <c r="B24527" t="s">
        <v>44</v>
      </c>
      <c r="C24527">
        <v>15483</v>
      </c>
      <c r="D24527" t="str">
        <f>"15483"</f>
        <v>15483</v>
      </c>
      <c r="E24527" t="s">
        <v>6</v>
      </c>
    </row>
    <row r="24528" spans="1:5" x14ac:dyDescent="0.2">
      <c r="A24528">
        <v>15484</v>
      </c>
      <c r="B24528" t="s">
        <v>44</v>
      </c>
      <c r="C24528">
        <v>15484</v>
      </c>
      <c r="D24528" t="str">
        <f>"15484"</f>
        <v>15484</v>
      </c>
      <c r="E24528" t="s">
        <v>6</v>
      </c>
    </row>
    <row r="24529" spans="1:5" x14ac:dyDescent="0.2">
      <c r="A24529">
        <v>15486</v>
      </c>
      <c r="B24529" t="s">
        <v>44</v>
      </c>
      <c r="C24529">
        <v>15486</v>
      </c>
      <c r="D24529" t="str">
        <f>"15486"</f>
        <v>15486</v>
      </c>
      <c r="E24529">
        <v>72.64</v>
      </c>
    </row>
    <row r="24530" spans="1:5" x14ac:dyDescent="0.2">
      <c r="A24530">
        <v>15488</v>
      </c>
      <c r="B24530" t="s">
        <v>44</v>
      </c>
      <c r="C24530">
        <v>15488</v>
      </c>
      <c r="D24530" t="str">
        <f>"15488"</f>
        <v>15488</v>
      </c>
      <c r="E24530" t="s">
        <v>6</v>
      </c>
    </row>
    <row r="24531" spans="1:5" x14ac:dyDescent="0.2">
      <c r="A24531">
        <v>15489</v>
      </c>
      <c r="B24531" t="s">
        <v>44</v>
      </c>
      <c r="C24531">
        <v>15489</v>
      </c>
      <c r="D24531" t="str">
        <f>"15489"</f>
        <v>15489</v>
      </c>
      <c r="E24531" t="s">
        <v>6</v>
      </c>
    </row>
    <row r="24532" spans="1:5" x14ac:dyDescent="0.2">
      <c r="A24532">
        <v>15490</v>
      </c>
      <c r="B24532" t="s">
        <v>44</v>
      </c>
      <c r="C24532">
        <v>15490</v>
      </c>
      <c r="D24532" t="str">
        <f>"15490"</f>
        <v>15490</v>
      </c>
      <c r="E24532">
        <v>75</v>
      </c>
    </row>
    <row r="24533" spans="1:5" x14ac:dyDescent="0.2">
      <c r="A24533">
        <v>15492</v>
      </c>
      <c r="B24533" t="s">
        <v>44</v>
      </c>
      <c r="C24533">
        <v>15492</v>
      </c>
      <c r="D24533" t="str">
        <f>"15492"</f>
        <v>15492</v>
      </c>
      <c r="E24533" t="s">
        <v>6</v>
      </c>
    </row>
    <row r="24534" spans="1:5" x14ac:dyDescent="0.2">
      <c r="A24534">
        <v>15501</v>
      </c>
      <c r="B24534" t="s">
        <v>44</v>
      </c>
      <c r="C24534">
        <v>15501</v>
      </c>
      <c r="D24534" t="str">
        <f>"15501"</f>
        <v>15501</v>
      </c>
      <c r="E24534">
        <v>70.44</v>
      </c>
    </row>
    <row r="24535" spans="1:5" x14ac:dyDescent="0.2">
      <c r="A24535">
        <v>15510</v>
      </c>
      <c r="B24535" t="s">
        <v>44</v>
      </c>
      <c r="C24535">
        <v>15510</v>
      </c>
      <c r="D24535" t="str">
        <f>"15510"</f>
        <v>15510</v>
      </c>
      <c r="E24535" t="s">
        <v>6</v>
      </c>
    </row>
    <row r="24536" spans="1:5" x14ac:dyDescent="0.2">
      <c r="A24536">
        <v>15520</v>
      </c>
      <c r="B24536" t="s">
        <v>44</v>
      </c>
      <c r="C24536">
        <v>15520</v>
      </c>
      <c r="D24536" t="str">
        <f>"15520"</f>
        <v>15520</v>
      </c>
      <c r="E24536" t="s">
        <v>6</v>
      </c>
    </row>
    <row r="24537" spans="1:5" x14ac:dyDescent="0.2">
      <c r="A24537">
        <v>15521</v>
      </c>
      <c r="B24537" t="s">
        <v>44</v>
      </c>
      <c r="C24537">
        <v>15521</v>
      </c>
      <c r="D24537" t="str">
        <f>"15521"</f>
        <v>15521</v>
      </c>
      <c r="E24537">
        <v>69.510000000000005</v>
      </c>
    </row>
    <row r="24538" spans="1:5" x14ac:dyDescent="0.2">
      <c r="A24538">
        <v>15522</v>
      </c>
      <c r="B24538" t="s">
        <v>44</v>
      </c>
      <c r="C24538">
        <v>15522</v>
      </c>
      <c r="D24538" t="str">
        <f>"15522"</f>
        <v>15522</v>
      </c>
      <c r="E24538">
        <v>72.73</v>
      </c>
    </row>
    <row r="24539" spans="1:5" x14ac:dyDescent="0.2">
      <c r="A24539">
        <v>15530</v>
      </c>
      <c r="B24539" t="s">
        <v>44</v>
      </c>
      <c r="C24539">
        <v>15530</v>
      </c>
      <c r="D24539" t="str">
        <f>"15530"</f>
        <v>15530</v>
      </c>
      <c r="E24539">
        <v>69.2</v>
      </c>
    </row>
    <row r="24540" spans="1:5" x14ac:dyDescent="0.2">
      <c r="A24540">
        <v>15531</v>
      </c>
      <c r="B24540" t="s">
        <v>44</v>
      </c>
      <c r="C24540">
        <v>15531</v>
      </c>
      <c r="D24540" t="str">
        <f>"15531"</f>
        <v>15531</v>
      </c>
      <c r="E24540">
        <v>68.790000000000006</v>
      </c>
    </row>
    <row r="24541" spans="1:5" x14ac:dyDescent="0.2">
      <c r="A24541">
        <v>15532</v>
      </c>
      <c r="B24541" t="s">
        <v>44</v>
      </c>
      <c r="C24541">
        <v>15532</v>
      </c>
      <c r="D24541" t="str">
        <f>"15532"</f>
        <v>15532</v>
      </c>
      <c r="E24541" t="s">
        <v>6</v>
      </c>
    </row>
    <row r="24542" spans="1:5" x14ac:dyDescent="0.2">
      <c r="A24542">
        <v>15533</v>
      </c>
      <c r="B24542" t="s">
        <v>44</v>
      </c>
      <c r="C24542">
        <v>15533</v>
      </c>
      <c r="D24542" t="str">
        <f>"15533"</f>
        <v>15533</v>
      </c>
      <c r="E24542">
        <v>67.650000000000006</v>
      </c>
    </row>
    <row r="24543" spans="1:5" x14ac:dyDescent="0.2">
      <c r="A24543">
        <v>15534</v>
      </c>
      <c r="B24543" t="s">
        <v>44</v>
      </c>
      <c r="C24543">
        <v>15534</v>
      </c>
      <c r="D24543" t="str">
        <f>"15534"</f>
        <v>15534</v>
      </c>
      <c r="E24543">
        <v>70.27</v>
      </c>
    </row>
    <row r="24544" spans="1:5" x14ac:dyDescent="0.2">
      <c r="A24544">
        <v>15535</v>
      </c>
      <c r="B24544" t="s">
        <v>44</v>
      </c>
      <c r="C24544">
        <v>15535</v>
      </c>
      <c r="D24544" t="str">
        <f>"15535"</f>
        <v>15535</v>
      </c>
      <c r="E24544">
        <v>70.83</v>
      </c>
    </row>
    <row r="24545" spans="1:5" x14ac:dyDescent="0.2">
      <c r="A24545">
        <v>15536</v>
      </c>
      <c r="B24545" t="s">
        <v>44</v>
      </c>
      <c r="C24545">
        <v>15536</v>
      </c>
      <c r="D24545" t="str">
        <f>"15536"</f>
        <v>15536</v>
      </c>
      <c r="E24545">
        <v>66.67</v>
      </c>
    </row>
    <row r="24546" spans="1:5" x14ac:dyDescent="0.2">
      <c r="A24546">
        <v>15537</v>
      </c>
      <c r="B24546" t="s">
        <v>44</v>
      </c>
      <c r="C24546">
        <v>15537</v>
      </c>
      <c r="D24546" t="str">
        <f>"15537"</f>
        <v>15537</v>
      </c>
      <c r="E24546">
        <v>68.75</v>
      </c>
    </row>
    <row r="24547" spans="1:5" x14ac:dyDescent="0.2">
      <c r="A24547">
        <v>15538</v>
      </c>
      <c r="B24547" t="s">
        <v>44</v>
      </c>
      <c r="C24547">
        <v>15538</v>
      </c>
      <c r="D24547" t="str">
        <f>"15538"</f>
        <v>15538</v>
      </c>
      <c r="E24547">
        <v>69.7</v>
      </c>
    </row>
    <row r="24548" spans="1:5" x14ac:dyDescent="0.2">
      <c r="A24548">
        <v>15539</v>
      </c>
      <c r="B24548" t="s">
        <v>44</v>
      </c>
      <c r="C24548">
        <v>15539</v>
      </c>
      <c r="D24548" t="str">
        <f>"15539"</f>
        <v>15539</v>
      </c>
      <c r="E24548">
        <v>68</v>
      </c>
    </row>
    <row r="24549" spans="1:5" x14ac:dyDescent="0.2">
      <c r="A24549">
        <v>15540</v>
      </c>
      <c r="B24549" t="s">
        <v>44</v>
      </c>
      <c r="C24549">
        <v>15540</v>
      </c>
      <c r="D24549" t="str">
        <f>"15540"</f>
        <v>15540</v>
      </c>
      <c r="E24549">
        <v>68.75</v>
      </c>
    </row>
    <row r="24550" spans="1:5" x14ac:dyDescent="0.2">
      <c r="A24550">
        <v>15541</v>
      </c>
      <c r="B24550" t="s">
        <v>44</v>
      </c>
      <c r="C24550">
        <v>15541</v>
      </c>
      <c r="D24550" t="str">
        <f>"15541"</f>
        <v>15541</v>
      </c>
      <c r="E24550">
        <v>72.319999999999993</v>
      </c>
    </row>
    <row r="24551" spans="1:5" x14ac:dyDescent="0.2">
      <c r="A24551">
        <v>15542</v>
      </c>
      <c r="B24551" t="s">
        <v>44</v>
      </c>
      <c r="C24551">
        <v>15542</v>
      </c>
      <c r="D24551" t="str">
        <f>"15542"</f>
        <v>15542</v>
      </c>
      <c r="E24551">
        <v>64.91</v>
      </c>
    </row>
    <row r="24552" spans="1:5" x14ac:dyDescent="0.2">
      <c r="A24552">
        <v>15544</v>
      </c>
      <c r="B24552" t="s">
        <v>44</v>
      </c>
      <c r="C24552">
        <v>15544</v>
      </c>
      <c r="D24552" t="str">
        <f>"15544"</f>
        <v>15544</v>
      </c>
      <c r="E24552" t="s">
        <v>6</v>
      </c>
    </row>
    <row r="24553" spans="1:5" x14ac:dyDescent="0.2">
      <c r="A24553">
        <v>15545</v>
      </c>
      <c r="B24553" t="s">
        <v>44</v>
      </c>
      <c r="C24553">
        <v>15545</v>
      </c>
      <c r="D24553" t="str">
        <f>"15545"</f>
        <v>15545</v>
      </c>
      <c r="E24553">
        <v>70.73</v>
      </c>
    </row>
    <row r="24554" spans="1:5" x14ac:dyDescent="0.2">
      <c r="A24554">
        <v>15546</v>
      </c>
      <c r="B24554" t="s">
        <v>44</v>
      </c>
      <c r="C24554">
        <v>15546</v>
      </c>
      <c r="D24554" t="str">
        <f>"15546"</f>
        <v>15546</v>
      </c>
      <c r="E24554">
        <v>61.11</v>
      </c>
    </row>
    <row r="24555" spans="1:5" x14ac:dyDescent="0.2">
      <c r="A24555">
        <v>15547</v>
      </c>
      <c r="B24555" t="s">
        <v>44</v>
      </c>
      <c r="C24555">
        <v>15547</v>
      </c>
      <c r="D24555" t="str">
        <f>"15547"</f>
        <v>15547</v>
      </c>
      <c r="E24555" t="s">
        <v>6</v>
      </c>
    </row>
    <row r="24556" spans="1:5" x14ac:dyDescent="0.2">
      <c r="A24556">
        <v>15548</v>
      </c>
      <c r="B24556" t="s">
        <v>44</v>
      </c>
      <c r="C24556">
        <v>15548</v>
      </c>
      <c r="D24556" t="str">
        <f>"15548"</f>
        <v>15548</v>
      </c>
      <c r="E24556" t="s">
        <v>6</v>
      </c>
    </row>
    <row r="24557" spans="1:5" x14ac:dyDescent="0.2">
      <c r="A24557">
        <v>15550</v>
      </c>
      <c r="B24557" t="s">
        <v>44</v>
      </c>
      <c r="C24557">
        <v>15550</v>
      </c>
      <c r="D24557" t="str">
        <f>"15550"</f>
        <v>15550</v>
      </c>
      <c r="E24557">
        <v>67.09</v>
      </c>
    </row>
    <row r="24558" spans="1:5" x14ac:dyDescent="0.2">
      <c r="A24558">
        <v>15551</v>
      </c>
      <c r="B24558" t="s">
        <v>44</v>
      </c>
      <c r="C24558">
        <v>15551</v>
      </c>
      <c r="D24558" t="str">
        <f>"15551"</f>
        <v>15551</v>
      </c>
      <c r="E24558">
        <v>72.73</v>
      </c>
    </row>
    <row r="24559" spans="1:5" x14ac:dyDescent="0.2">
      <c r="A24559">
        <v>15552</v>
      </c>
      <c r="B24559" t="s">
        <v>44</v>
      </c>
      <c r="C24559">
        <v>15552</v>
      </c>
      <c r="D24559" t="str">
        <f>"15552"</f>
        <v>15552</v>
      </c>
      <c r="E24559">
        <v>68.34</v>
      </c>
    </row>
    <row r="24560" spans="1:5" x14ac:dyDescent="0.2">
      <c r="A24560">
        <v>15553</v>
      </c>
      <c r="B24560" t="s">
        <v>44</v>
      </c>
      <c r="C24560">
        <v>15553</v>
      </c>
      <c r="D24560" t="str">
        <f>"15553"</f>
        <v>15553</v>
      </c>
      <c r="E24560" t="s">
        <v>6</v>
      </c>
    </row>
    <row r="24561" spans="1:5" x14ac:dyDescent="0.2">
      <c r="A24561">
        <v>15554</v>
      </c>
      <c r="B24561" t="s">
        <v>44</v>
      </c>
      <c r="C24561">
        <v>15554</v>
      </c>
      <c r="D24561" t="str">
        <f>"15554"</f>
        <v>15554</v>
      </c>
      <c r="E24561">
        <v>69.83</v>
      </c>
    </row>
    <row r="24562" spans="1:5" x14ac:dyDescent="0.2">
      <c r="A24562">
        <v>15555</v>
      </c>
      <c r="B24562" t="s">
        <v>44</v>
      </c>
      <c r="C24562">
        <v>15555</v>
      </c>
      <c r="D24562" t="str">
        <f>"15555"</f>
        <v>15555</v>
      </c>
      <c r="E24562" t="s">
        <v>6</v>
      </c>
    </row>
    <row r="24563" spans="1:5" x14ac:dyDescent="0.2">
      <c r="A24563">
        <v>15557</v>
      </c>
      <c r="B24563" t="s">
        <v>44</v>
      </c>
      <c r="C24563">
        <v>15557</v>
      </c>
      <c r="D24563" t="str">
        <f>"15557"</f>
        <v>15557</v>
      </c>
      <c r="E24563">
        <v>71.349999999999994</v>
      </c>
    </row>
    <row r="24564" spans="1:5" x14ac:dyDescent="0.2">
      <c r="A24564">
        <v>15558</v>
      </c>
      <c r="B24564" t="s">
        <v>44</v>
      </c>
      <c r="C24564">
        <v>15558</v>
      </c>
      <c r="D24564" t="str">
        <f>"15558"</f>
        <v>15558</v>
      </c>
      <c r="E24564">
        <v>63.75</v>
      </c>
    </row>
    <row r="24565" spans="1:5" x14ac:dyDescent="0.2">
      <c r="A24565">
        <v>15559</v>
      </c>
      <c r="B24565" t="s">
        <v>44</v>
      </c>
      <c r="C24565">
        <v>15559</v>
      </c>
      <c r="D24565" t="str">
        <f>"15559"</f>
        <v>15559</v>
      </c>
      <c r="E24565">
        <v>72.83</v>
      </c>
    </row>
    <row r="24566" spans="1:5" x14ac:dyDescent="0.2">
      <c r="A24566">
        <v>15560</v>
      </c>
      <c r="B24566" t="s">
        <v>44</v>
      </c>
      <c r="C24566">
        <v>15560</v>
      </c>
      <c r="D24566" t="str">
        <f>"15560"</f>
        <v>15560</v>
      </c>
      <c r="E24566" t="s">
        <v>6</v>
      </c>
    </row>
    <row r="24567" spans="1:5" x14ac:dyDescent="0.2">
      <c r="A24567">
        <v>15561</v>
      </c>
      <c r="B24567" t="s">
        <v>44</v>
      </c>
      <c r="C24567">
        <v>15561</v>
      </c>
      <c r="D24567" t="str">
        <f>"15561"</f>
        <v>15561</v>
      </c>
      <c r="E24567" t="s">
        <v>6</v>
      </c>
    </row>
    <row r="24568" spans="1:5" x14ac:dyDescent="0.2">
      <c r="A24568">
        <v>15562</v>
      </c>
      <c r="B24568" t="s">
        <v>44</v>
      </c>
      <c r="C24568">
        <v>15562</v>
      </c>
      <c r="D24568" t="str">
        <f>"15562"</f>
        <v>15562</v>
      </c>
      <c r="E24568">
        <v>69.23</v>
      </c>
    </row>
    <row r="24569" spans="1:5" x14ac:dyDescent="0.2">
      <c r="A24569">
        <v>15563</v>
      </c>
      <c r="B24569" t="s">
        <v>44</v>
      </c>
      <c r="C24569">
        <v>15563</v>
      </c>
      <c r="D24569" t="str">
        <f>"15563"</f>
        <v>15563</v>
      </c>
      <c r="E24569">
        <v>72.989999999999995</v>
      </c>
    </row>
    <row r="24570" spans="1:5" x14ac:dyDescent="0.2">
      <c r="A24570">
        <v>15564</v>
      </c>
      <c r="B24570" t="s">
        <v>44</v>
      </c>
      <c r="C24570">
        <v>15564</v>
      </c>
      <c r="D24570" t="str">
        <f>"15564"</f>
        <v>15564</v>
      </c>
      <c r="E24570" t="s">
        <v>6</v>
      </c>
    </row>
    <row r="24571" spans="1:5" x14ac:dyDescent="0.2">
      <c r="A24571">
        <v>15565</v>
      </c>
      <c r="B24571" t="s">
        <v>44</v>
      </c>
      <c r="C24571">
        <v>15565</v>
      </c>
      <c r="D24571" t="str">
        <f>"15565"</f>
        <v>15565</v>
      </c>
      <c r="E24571" t="s">
        <v>6</v>
      </c>
    </row>
    <row r="24572" spans="1:5" x14ac:dyDescent="0.2">
      <c r="A24572">
        <v>15601</v>
      </c>
      <c r="B24572" t="s">
        <v>44</v>
      </c>
      <c r="C24572">
        <v>15601</v>
      </c>
      <c r="D24572" t="str">
        <f>"15601"</f>
        <v>15601</v>
      </c>
      <c r="E24572">
        <v>75.55</v>
      </c>
    </row>
    <row r="24573" spans="1:5" x14ac:dyDescent="0.2">
      <c r="A24573">
        <v>15610</v>
      </c>
      <c r="B24573" t="s">
        <v>44</v>
      </c>
      <c r="C24573">
        <v>15610</v>
      </c>
      <c r="D24573" t="str">
        <f>"15610"</f>
        <v>15610</v>
      </c>
      <c r="E24573">
        <v>77.010000000000005</v>
      </c>
    </row>
    <row r="24574" spans="1:5" x14ac:dyDescent="0.2">
      <c r="A24574">
        <v>15611</v>
      </c>
      <c r="B24574" t="s">
        <v>44</v>
      </c>
      <c r="C24574">
        <v>15611</v>
      </c>
      <c r="D24574" t="str">
        <f>"15611"</f>
        <v>15611</v>
      </c>
      <c r="E24574">
        <v>75</v>
      </c>
    </row>
    <row r="24575" spans="1:5" x14ac:dyDescent="0.2">
      <c r="A24575">
        <v>15612</v>
      </c>
      <c r="B24575" t="s">
        <v>44</v>
      </c>
      <c r="C24575">
        <v>15612</v>
      </c>
      <c r="D24575" t="str">
        <f>"15612"</f>
        <v>15612</v>
      </c>
      <c r="E24575">
        <v>75</v>
      </c>
    </row>
    <row r="24576" spans="1:5" x14ac:dyDescent="0.2">
      <c r="A24576">
        <v>15613</v>
      </c>
      <c r="B24576" t="s">
        <v>44</v>
      </c>
      <c r="C24576">
        <v>15613</v>
      </c>
      <c r="D24576" t="str">
        <f>"15613"</f>
        <v>15613</v>
      </c>
      <c r="E24576">
        <v>74.569999999999993</v>
      </c>
    </row>
    <row r="24577" spans="1:5" x14ac:dyDescent="0.2">
      <c r="A24577">
        <v>15615</v>
      </c>
      <c r="B24577" t="s">
        <v>44</v>
      </c>
      <c r="C24577">
        <v>15615</v>
      </c>
      <c r="D24577" t="str">
        <f>"15615"</f>
        <v>15615</v>
      </c>
      <c r="E24577">
        <v>69.23</v>
      </c>
    </row>
    <row r="24578" spans="1:5" x14ac:dyDescent="0.2">
      <c r="A24578">
        <v>15616</v>
      </c>
      <c r="B24578" t="s">
        <v>44</v>
      </c>
      <c r="C24578">
        <v>15616</v>
      </c>
      <c r="D24578" t="str">
        <f>"15616"</f>
        <v>15616</v>
      </c>
      <c r="E24578" t="s">
        <v>6</v>
      </c>
    </row>
    <row r="24579" spans="1:5" x14ac:dyDescent="0.2">
      <c r="A24579">
        <v>15617</v>
      </c>
      <c r="B24579" t="s">
        <v>44</v>
      </c>
      <c r="C24579">
        <v>15617</v>
      </c>
      <c r="D24579" t="str">
        <f>"15617"</f>
        <v>15617</v>
      </c>
      <c r="E24579" t="s">
        <v>6</v>
      </c>
    </row>
    <row r="24580" spans="1:5" x14ac:dyDescent="0.2">
      <c r="A24580">
        <v>15618</v>
      </c>
      <c r="B24580" t="s">
        <v>44</v>
      </c>
      <c r="C24580">
        <v>15618</v>
      </c>
      <c r="D24580" t="str">
        <f>"15618"</f>
        <v>15618</v>
      </c>
      <c r="E24580">
        <v>71.540000000000006</v>
      </c>
    </row>
    <row r="24581" spans="1:5" x14ac:dyDescent="0.2">
      <c r="A24581">
        <v>15620</v>
      </c>
      <c r="B24581" t="s">
        <v>44</v>
      </c>
      <c r="C24581">
        <v>15620</v>
      </c>
      <c r="D24581" t="str">
        <f>"15620"</f>
        <v>15620</v>
      </c>
      <c r="E24581">
        <v>72.09</v>
      </c>
    </row>
    <row r="24582" spans="1:5" x14ac:dyDescent="0.2">
      <c r="A24582">
        <v>15622</v>
      </c>
      <c r="B24582" t="s">
        <v>44</v>
      </c>
      <c r="C24582">
        <v>15622</v>
      </c>
      <c r="D24582" t="str">
        <f>"15622"</f>
        <v>15622</v>
      </c>
      <c r="E24582">
        <v>78.13</v>
      </c>
    </row>
    <row r="24583" spans="1:5" x14ac:dyDescent="0.2">
      <c r="A24583">
        <v>15623</v>
      </c>
      <c r="B24583" t="s">
        <v>44</v>
      </c>
      <c r="C24583">
        <v>15623</v>
      </c>
      <c r="D24583" t="str">
        <f>"15623"</f>
        <v>15623</v>
      </c>
      <c r="E24583">
        <v>73.680000000000007</v>
      </c>
    </row>
    <row r="24584" spans="1:5" x14ac:dyDescent="0.2">
      <c r="A24584">
        <v>15624</v>
      </c>
      <c r="B24584" t="s">
        <v>44</v>
      </c>
      <c r="C24584">
        <v>15624</v>
      </c>
      <c r="D24584" t="str">
        <f>"15624"</f>
        <v>15624</v>
      </c>
      <c r="E24584" t="s">
        <v>6</v>
      </c>
    </row>
    <row r="24585" spans="1:5" x14ac:dyDescent="0.2">
      <c r="A24585">
        <v>15626</v>
      </c>
      <c r="B24585" t="s">
        <v>44</v>
      </c>
      <c r="C24585">
        <v>15626</v>
      </c>
      <c r="D24585" t="str">
        <f>"15626"</f>
        <v>15626</v>
      </c>
      <c r="E24585">
        <v>76.17</v>
      </c>
    </row>
    <row r="24586" spans="1:5" x14ac:dyDescent="0.2">
      <c r="A24586">
        <v>15627</v>
      </c>
      <c r="B24586" t="s">
        <v>44</v>
      </c>
      <c r="C24586">
        <v>15627</v>
      </c>
      <c r="D24586" t="str">
        <f>"15627"</f>
        <v>15627</v>
      </c>
      <c r="E24586">
        <v>72.31</v>
      </c>
    </row>
    <row r="24587" spans="1:5" x14ac:dyDescent="0.2">
      <c r="A24587">
        <v>15628</v>
      </c>
      <c r="B24587" t="s">
        <v>44</v>
      </c>
      <c r="C24587">
        <v>15628</v>
      </c>
      <c r="D24587" t="str">
        <f>"15628"</f>
        <v>15628</v>
      </c>
      <c r="E24587">
        <v>71.430000000000007</v>
      </c>
    </row>
    <row r="24588" spans="1:5" x14ac:dyDescent="0.2">
      <c r="A24588">
        <v>15629</v>
      </c>
      <c r="B24588" t="s">
        <v>44</v>
      </c>
      <c r="C24588">
        <v>15629</v>
      </c>
      <c r="D24588" t="str">
        <f>"15629"</f>
        <v>15629</v>
      </c>
      <c r="E24588" t="s">
        <v>6</v>
      </c>
    </row>
    <row r="24589" spans="1:5" x14ac:dyDescent="0.2">
      <c r="A24589">
        <v>15631</v>
      </c>
      <c r="B24589" t="s">
        <v>44</v>
      </c>
      <c r="C24589">
        <v>15631</v>
      </c>
      <c r="D24589" t="str">
        <f>"15631"</f>
        <v>15631</v>
      </c>
      <c r="E24589">
        <v>65.91</v>
      </c>
    </row>
    <row r="24590" spans="1:5" x14ac:dyDescent="0.2">
      <c r="A24590">
        <v>15632</v>
      </c>
      <c r="B24590" t="s">
        <v>44</v>
      </c>
      <c r="C24590">
        <v>15632</v>
      </c>
      <c r="D24590" t="str">
        <f>"15632"</f>
        <v>15632</v>
      </c>
      <c r="E24590">
        <v>78.08</v>
      </c>
    </row>
    <row r="24591" spans="1:5" x14ac:dyDescent="0.2">
      <c r="A24591">
        <v>15633</v>
      </c>
      <c r="B24591" t="s">
        <v>44</v>
      </c>
      <c r="C24591">
        <v>15633</v>
      </c>
      <c r="D24591" t="str">
        <f>"15633"</f>
        <v>15633</v>
      </c>
      <c r="E24591" t="s">
        <v>6</v>
      </c>
    </row>
    <row r="24592" spans="1:5" x14ac:dyDescent="0.2">
      <c r="A24592">
        <v>15634</v>
      </c>
      <c r="B24592" t="s">
        <v>44</v>
      </c>
      <c r="C24592">
        <v>15634</v>
      </c>
      <c r="D24592" t="str">
        <f>"15634"</f>
        <v>15634</v>
      </c>
      <c r="E24592">
        <v>70</v>
      </c>
    </row>
    <row r="24593" spans="1:5" x14ac:dyDescent="0.2">
      <c r="A24593">
        <v>15635</v>
      </c>
      <c r="B24593" t="s">
        <v>44</v>
      </c>
      <c r="C24593">
        <v>15635</v>
      </c>
      <c r="D24593" t="str">
        <f>"15635"</f>
        <v>15635</v>
      </c>
      <c r="E24593" t="s">
        <v>6</v>
      </c>
    </row>
    <row r="24594" spans="1:5" x14ac:dyDescent="0.2">
      <c r="A24594">
        <v>15636</v>
      </c>
      <c r="B24594" t="s">
        <v>44</v>
      </c>
      <c r="C24594">
        <v>15636</v>
      </c>
      <c r="D24594" t="str">
        <f>"15636"</f>
        <v>15636</v>
      </c>
      <c r="E24594">
        <v>78.11</v>
      </c>
    </row>
    <row r="24595" spans="1:5" x14ac:dyDescent="0.2">
      <c r="A24595">
        <v>15637</v>
      </c>
      <c r="B24595" t="s">
        <v>44</v>
      </c>
      <c r="C24595">
        <v>15637</v>
      </c>
      <c r="D24595" t="str">
        <f>"15637"</f>
        <v>15637</v>
      </c>
      <c r="E24595">
        <v>71.28</v>
      </c>
    </row>
    <row r="24596" spans="1:5" x14ac:dyDescent="0.2">
      <c r="A24596">
        <v>15638</v>
      </c>
      <c r="B24596" t="s">
        <v>44</v>
      </c>
      <c r="C24596">
        <v>15638</v>
      </c>
      <c r="D24596" t="str">
        <f>"15638"</f>
        <v>15638</v>
      </c>
      <c r="E24596" t="s">
        <v>6</v>
      </c>
    </row>
    <row r="24597" spans="1:5" x14ac:dyDescent="0.2">
      <c r="A24597">
        <v>15639</v>
      </c>
      <c r="B24597" t="s">
        <v>44</v>
      </c>
      <c r="C24597">
        <v>15639</v>
      </c>
      <c r="D24597" t="str">
        <f>"15639"</f>
        <v>15639</v>
      </c>
      <c r="E24597">
        <v>72.92</v>
      </c>
    </row>
    <row r="24598" spans="1:5" x14ac:dyDescent="0.2">
      <c r="A24598">
        <v>15640</v>
      </c>
      <c r="B24598" t="s">
        <v>44</v>
      </c>
      <c r="C24598">
        <v>15640</v>
      </c>
      <c r="D24598" t="str">
        <f>"15640"</f>
        <v>15640</v>
      </c>
      <c r="E24598" t="s">
        <v>6</v>
      </c>
    </row>
    <row r="24599" spans="1:5" x14ac:dyDescent="0.2">
      <c r="A24599">
        <v>15641</v>
      </c>
      <c r="B24599" t="s">
        <v>44</v>
      </c>
      <c r="C24599">
        <v>15641</v>
      </c>
      <c r="D24599" t="str">
        <f>"15641"</f>
        <v>15641</v>
      </c>
      <c r="E24599">
        <v>72</v>
      </c>
    </row>
    <row r="24600" spans="1:5" x14ac:dyDescent="0.2">
      <c r="A24600">
        <v>15642</v>
      </c>
      <c r="B24600" t="s">
        <v>44</v>
      </c>
      <c r="C24600">
        <v>15642</v>
      </c>
      <c r="D24600" t="str">
        <f>"15642"</f>
        <v>15642</v>
      </c>
      <c r="E24600">
        <v>78.16</v>
      </c>
    </row>
    <row r="24601" spans="1:5" x14ac:dyDescent="0.2">
      <c r="A24601">
        <v>15644</v>
      </c>
      <c r="B24601" t="s">
        <v>44</v>
      </c>
      <c r="C24601">
        <v>15644</v>
      </c>
      <c r="D24601" t="str">
        <f>"15644"</f>
        <v>15644</v>
      </c>
      <c r="E24601">
        <v>73.02</v>
      </c>
    </row>
    <row r="24602" spans="1:5" x14ac:dyDescent="0.2">
      <c r="A24602">
        <v>15646</v>
      </c>
      <c r="B24602" t="s">
        <v>44</v>
      </c>
      <c r="C24602">
        <v>15646</v>
      </c>
      <c r="D24602" t="str">
        <f>"15646"</f>
        <v>15646</v>
      </c>
      <c r="E24602">
        <v>75</v>
      </c>
    </row>
    <row r="24603" spans="1:5" x14ac:dyDescent="0.2">
      <c r="A24603">
        <v>15647</v>
      </c>
      <c r="B24603" t="s">
        <v>44</v>
      </c>
      <c r="C24603">
        <v>15647</v>
      </c>
      <c r="D24603" t="str">
        <f>"15647"</f>
        <v>15647</v>
      </c>
      <c r="E24603">
        <v>72.22</v>
      </c>
    </row>
    <row r="24604" spans="1:5" x14ac:dyDescent="0.2">
      <c r="A24604">
        <v>15650</v>
      </c>
      <c r="B24604" t="s">
        <v>44</v>
      </c>
      <c r="C24604">
        <v>15650</v>
      </c>
      <c r="D24604" t="str">
        <f>"15650"</f>
        <v>15650</v>
      </c>
      <c r="E24604">
        <v>73.319999999999993</v>
      </c>
    </row>
    <row r="24605" spans="1:5" x14ac:dyDescent="0.2">
      <c r="A24605">
        <v>15655</v>
      </c>
      <c r="B24605" t="s">
        <v>44</v>
      </c>
      <c r="C24605">
        <v>15655</v>
      </c>
      <c r="D24605" t="str">
        <f>"15655"</f>
        <v>15655</v>
      </c>
      <c r="E24605">
        <v>75.86</v>
      </c>
    </row>
    <row r="24606" spans="1:5" x14ac:dyDescent="0.2">
      <c r="A24606">
        <v>15656</v>
      </c>
      <c r="B24606" t="s">
        <v>44</v>
      </c>
      <c r="C24606">
        <v>15656</v>
      </c>
      <c r="D24606" t="str">
        <f>"15656"</f>
        <v>15656</v>
      </c>
      <c r="E24606">
        <v>76.349999999999994</v>
      </c>
    </row>
    <row r="24607" spans="1:5" x14ac:dyDescent="0.2">
      <c r="A24607">
        <v>15658</v>
      </c>
      <c r="B24607" t="s">
        <v>44</v>
      </c>
      <c r="C24607">
        <v>15658</v>
      </c>
      <c r="D24607" t="str">
        <f>"15658"</f>
        <v>15658</v>
      </c>
      <c r="E24607">
        <v>74.94</v>
      </c>
    </row>
    <row r="24608" spans="1:5" x14ac:dyDescent="0.2">
      <c r="A24608">
        <v>15660</v>
      </c>
      <c r="B24608" t="s">
        <v>44</v>
      </c>
      <c r="C24608">
        <v>15660</v>
      </c>
      <c r="D24608" t="str">
        <f>"15660"</f>
        <v>15660</v>
      </c>
      <c r="E24608">
        <v>72.73</v>
      </c>
    </row>
    <row r="24609" spans="1:5" x14ac:dyDescent="0.2">
      <c r="A24609">
        <v>15661</v>
      </c>
      <c r="B24609" t="s">
        <v>44</v>
      </c>
      <c r="C24609">
        <v>15661</v>
      </c>
      <c r="D24609" t="str">
        <f>"15661"</f>
        <v>15661</v>
      </c>
      <c r="E24609">
        <v>76.67</v>
      </c>
    </row>
    <row r="24610" spans="1:5" x14ac:dyDescent="0.2">
      <c r="A24610">
        <v>15663</v>
      </c>
      <c r="B24610" t="s">
        <v>44</v>
      </c>
      <c r="C24610">
        <v>15663</v>
      </c>
      <c r="D24610" t="str">
        <f>"15663"</f>
        <v>15663</v>
      </c>
      <c r="E24610" t="s">
        <v>6</v>
      </c>
    </row>
    <row r="24611" spans="1:5" x14ac:dyDescent="0.2">
      <c r="A24611">
        <v>15665</v>
      </c>
      <c r="B24611" t="s">
        <v>44</v>
      </c>
      <c r="C24611">
        <v>15665</v>
      </c>
      <c r="D24611" t="str">
        <f>"15665"</f>
        <v>15665</v>
      </c>
      <c r="E24611">
        <v>74.7</v>
      </c>
    </row>
    <row r="24612" spans="1:5" x14ac:dyDescent="0.2">
      <c r="A24612">
        <v>15666</v>
      </c>
      <c r="B24612" t="s">
        <v>44</v>
      </c>
      <c r="C24612">
        <v>15666</v>
      </c>
      <c r="D24612" t="str">
        <f>"15666"</f>
        <v>15666</v>
      </c>
      <c r="E24612">
        <v>72.849999999999994</v>
      </c>
    </row>
    <row r="24613" spans="1:5" x14ac:dyDescent="0.2">
      <c r="A24613">
        <v>15668</v>
      </c>
      <c r="B24613" t="s">
        <v>44</v>
      </c>
      <c r="C24613">
        <v>15668</v>
      </c>
      <c r="D24613" t="str">
        <f>"15668"</f>
        <v>15668</v>
      </c>
      <c r="E24613">
        <v>78.98</v>
      </c>
    </row>
    <row r="24614" spans="1:5" x14ac:dyDescent="0.2">
      <c r="A24614">
        <v>15670</v>
      </c>
      <c r="B24614" t="s">
        <v>44</v>
      </c>
      <c r="C24614">
        <v>15670</v>
      </c>
      <c r="D24614" t="str">
        <f>"15670"</f>
        <v>15670</v>
      </c>
      <c r="E24614">
        <v>76.11</v>
      </c>
    </row>
    <row r="24615" spans="1:5" x14ac:dyDescent="0.2">
      <c r="A24615">
        <v>15671</v>
      </c>
      <c r="B24615" t="s">
        <v>44</v>
      </c>
      <c r="C24615">
        <v>15671</v>
      </c>
      <c r="D24615" t="str">
        <f>"15671"</f>
        <v>15671</v>
      </c>
      <c r="E24615">
        <v>68.569999999999993</v>
      </c>
    </row>
    <row r="24616" spans="1:5" x14ac:dyDescent="0.2">
      <c r="A24616">
        <v>15672</v>
      </c>
      <c r="B24616" t="s">
        <v>44</v>
      </c>
      <c r="C24616">
        <v>15672</v>
      </c>
      <c r="D24616" t="str">
        <f>"15672"</f>
        <v>15672</v>
      </c>
      <c r="E24616">
        <v>76.19</v>
      </c>
    </row>
    <row r="24617" spans="1:5" x14ac:dyDescent="0.2">
      <c r="A24617">
        <v>15673</v>
      </c>
      <c r="B24617" t="s">
        <v>44</v>
      </c>
      <c r="C24617">
        <v>15673</v>
      </c>
      <c r="D24617" t="str">
        <f>"15673"</f>
        <v>15673</v>
      </c>
      <c r="E24617" t="s">
        <v>6</v>
      </c>
    </row>
    <row r="24618" spans="1:5" x14ac:dyDescent="0.2">
      <c r="A24618">
        <v>15675</v>
      </c>
      <c r="B24618" t="s">
        <v>44</v>
      </c>
      <c r="C24618">
        <v>15675</v>
      </c>
      <c r="D24618" t="str">
        <f>"15675"</f>
        <v>15675</v>
      </c>
      <c r="E24618">
        <v>70.209999999999994</v>
      </c>
    </row>
    <row r="24619" spans="1:5" x14ac:dyDescent="0.2">
      <c r="A24619">
        <v>15676</v>
      </c>
      <c r="B24619" t="s">
        <v>44</v>
      </c>
      <c r="C24619">
        <v>15676</v>
      </c>
      <c r="D24619" t="str">
        <f>"15676"</f>
        <v>15676</v>
      </c>
      <c r="E24619" t="s">
        <v>6</v>
      </c>
    </row>
    <row r="24620" spans="1:5" x14ac:dyDescent="0.2">
      <c r="A24620">
        <v>15677</v>
      </c>
      <c r="B24620" t="s">
        <v>44</v>
      </c>
      <c r="C24620">
        <v>15677</v>
      </c>
      <c r="D24620" t="str">
        <f>"15677"</f>
        <v>15677</v>
      </c>
      <c r="E24620">
        <v>78.260000000000005</v>
      </c>
    </row>
    <row r="24621" spans="1:5" x14ac:dyDescent="0.2">
      <c r="A24621">
        <v>15678</v>
      </c>
      <c r="B24621" t="s">
        <v>44</v>
      </c>
      <c r="C24621">
        <v>15678</v>
      </c>
      <c r="D24621" t="str">
        <f>"15678"</f>
        <v>15678</v>
      </c>
      <c r="E24621">
        <v>69.7</v>
      </c>
    </row>
    <row r="24622" spans="1:5" x14ac:dyDescent="0.2">
      <c r="A24622">
        <v>15679</v>
      </c>
      <c r="B24622" t="s">
        <v>44</v>
      </c>
      <c r="C24622">
        <v>15679</v>
      </c>
      <c r="D24622" t="str">
        <f>"15679"</f>
        <v>15679</v>
      </c>
      <c r="E24622">
        <v>76.099999999999994</v>
      </c>
    </row>
    <row r="24623" spans="1:5" x14ac:dyDescent="0.2">
      <c r="A24623">
        <v>15680</v>
      </c>
      <c r="B24623" t="s">
        <v>44</v>
      </c>
      <c r="C24623">
        <v>15680</v>
      </c>
      <c r="D24623" t="str">
        <f>"15680"</f>
        <v>15680</v>
      </c>
      <c r="E24623" t="s">
        <v>6</v>
      </c>
    </row>
    <row r="24624" spans="1:5" x14ac:dyDescent="0.2">
      <c r="A24624">
        <v>15681</v>
      </c>
      <c r="B24624" t="s">
        <v>44</v>
      </c>
      <c r="C24624">
        <v>15681</v>
      </c>
      <c r="D24624" t="str">
        <f>"15681"</f>
        <v>15681</v>
      </c>
      <c r="E24624">
        <v>74.56</v>
      </c>
    </row>
    <row r="24625" spans="1:5" x14ac:dyDescent="0.2">
      <c r="A24625">
        <v>15683</v>
      </c>
      <c r="B24625" t="s">
        <v>44</v>
      </c>
      <c r="C24625">
        <v>15683</v>
      </c>
      <c r="D24625" t="str">
        <f>"15683"</f>
        <v>15683</v>
      </c>
      <c r="E24625">
        <v>73.209999999999994</v>
      </c>
    </row>
    <row r="24626" spans="1:5" x14ac:dyDescent="0.2">
      <c r="A24626">
        <v>15684</v>
      </c>
      <c r="B24626" t="s">
        <v>44</v>
      </c>
      <c r="C24626">
        <v>15684</v>
      </c>
      <c r="D24626" t="str">
        <f>"15684"</f>
        <v>15684</v>
      </c>
      <c r="E24626">
        <v>68.569999999999993</v>
      </c>
    </row>
    <row r="24627" spans="1:5" x14ac:dyDescent="0.2">
      <c r="A24627">
        <v>15686</v>
      </c>
      <c r="B24627" t="s">
        <v>44</v>
      </c>
      <c r="C24627">
        <v>15686</v>
      </c>
      <c r="D24627" t="str">
        <f>"15686"</f>
        <v>15686</v>
      </c>
      <c r="E24627">
        <v>75</v>
      </c>
    </row>
    <row r="24628" spans="1:5" x14ac:dyDescent="0.2">
      <c r="A24628">
        <v>15687</v>
      </c>
      <c r="B24628" t="s">
        <v>44</v>
      </c>
      <c r="C24628">
        <v>15687</v>
      </c>
      <c r="D24628" t="str">
        <f>"15687"</f>
        <v>15687</v>
      </c>
      <c r="E24628">
        <v>75</v>
      </c>
    </row>
    <row r="24629" spans="1:5" x14ac:dyDescent="0.2">
      <c r="A24629">
        <v>15688</v>
      </c>
      <c r="B24629" t="s">
        <v>44</v>
      </c>
      <c r="C24629">
        <v>15688</v>
      </c>
      <c r="D24629" t="str">
        <f>"15688"</f>
        <v>15688</v>
      </c>
      <c r="E24629">
        <v>71.05</v>
      </c>
    </row>
    <row r="24630" spans="1:5" x14ac:dyDescent="0.2">
      <c r="A24630">
        <v>15690</v>
      </c>
      <c r="B24630" t="s">
        <v>44</v>
      </c>
      <c r="C24630">
        <v>15690</v>
      </c>
      <c r="D24630" t="str">
        <f>"15690"</f>
        <v>15690</v>
      </c>
      <c r="E24630">
        <v>67.849999999999994</v>
      </c>
    </row>
    <row r="24631" spans="1:5" x14ac:dyDescent="0.2">
      <c r="A24631">
        <v>15692</v>
      </c>
      <c r="B24631" t="s">
        <v>44</v>
      </c>
      <c r="C24631">
        <v>15692</v>
      </c>
      <c r="D24631" t="str">
        <f>"15692"</f>
        <v>15692</v>
      </c>
      <c r="E24631">
        <v>71.430000000000007</v>
      </c>
    </row>
    <row r="24632" spans="1:5" x14ac:dyDescent="0.2">
      <c r="A24632">
        <v>15697</v>
      </c>
      <c r="B24632" t="s">
        <v>44</v>
      </c>
      <c r="C24632">
        <v>15697</v>
      </c>
      <c r="D24632" t="str">
        <f>"15697"</f>
        <v>15697</v>
      </c>
      <c r="E24632">
        <v>75.95</v>
      </c>
    </row>
    <row r="24633" spans="1:5" x14ac:dyDescent="0.2">
      <c r="A24633">
        <v>15698</v>
      </c>
      <c r="B24633" t="s">
        <v>44</v>
      </c>
      <c r="C24633">
        <v>15698</v>
      </c>
      <c r="D24633" t="str">
        <f>"15698"</f>
        <v>15698</v>
      </c>
      <c r="E24633">
        <v>68.290000000000006</v>
      </c>
    </row>
    <row r="24634" spans="1:5" x14ac:dyDescent="0.2">
      <c r="A24634">
        <v>15701</v>
      </c>
      <c r="B24634" t="s">
        <v>44</v>
      </c>
      <c r="C24634">
        <v>15701</v>
      </c>
      <c r="D24634" t="str">
        <f>"15701"</f>
        <v>15701</v>
      </c>
      <c r="E24634">
        <v>71.44</v>
      </c>
    </row>
    <row r="24635" spans="1:5" x14ac:dyDescent="0.2">
      <c r="A24635">
        <v>15705</v>
      </c>
      <c r="B24635" t="s">
        <v>44</v>
      </c>
      <c r="C24635">
        <v>15705</v>
      </c>
      <c r="D24635" t="str">
        <f>"15705"</f>
        <v>15705</v>
      </c>
      <c r="E24635" t="s">
        <v>6</v>
      </c>
    </row>
    <row r="24636" spans="1:5" x14ac:dyDescent="0.2">
      <c r="A24636">
        <v>15710</v>
      </c>
      <c r="B24636" t="s">
        <v>44</v>
      </c>
      <c r="C24636">
        <v>15710</v>
      </c>
      <c r="D24636" t="str">
        <f>"15710"</f>
        <v>15710</v>
      </c>
      <c r="E24636" t="s">
        <v>6</v>
      </c>
    </row>
    <row r="24637" spans="1:5" x14ac:dyDescent="0.2">
      <c r="A24637">
        <v>15711</v>
      </c>
      <c r="B24637" t="s">
        <v>44</v>
      </c>
      <c r="C24637">
        <v>15711</v>
      </c>
      <c r="D24637" t="str">
        <f>"15711"</f>
        <v>15711</v>
      </c>
      <c r="E24637">
        <v>75</v>
      </c>
    </row>
    <row r="24638" spans="1:5" x14ac:dyDescent="0.2">
      <c r="A24638">
        <v>15712</v>
      </c>
      <c r="B24638" t="s">
        <v>44</v>
      </c>
      <c r="C24638">
        <v>15712</v>
      </c>
      <c r="D24638" t="str">
        <f>"15712"</f>
        <v>15712</v>
      </c>
      <c r="E24638" t="s">
        <v>6</v>
      </c>
    </row>
    <row r="24639" spans="1:5" x14ac:dyDescent="0.2">
      <c r="A24639">
        <v>15713</v>
      </c>
      <c r="B24639" t="s">
        <v>44</v>
      </c>
      <c r="C24639">
        <v>15713</v>
      </c>
      <c r="D24639" t="str">
        <f>"15713"</f>
        <v>15713</v>
      </c>
      <c r="E24639">
        <v>70</v>
      </c>
    </row>
    <row r="24640" spans="1:5" x14ac:dyDescent="0.2">
      <c r="A24640">
        <v>15714</v>
      </c>
      <c r="B24640" t="s">
        <v>44</v>
      </c>
      <c r="C24640">
        <v>15714</v>
      </c>
      <c r="D24640" t="str">
        <f>"15714"</f>
        <v>15714</v>
      </c>
      <c r="E24640">
        <v>67.03</v>
      </c>
    </row>
    <row r="24641" spans="1:5" x14ac:dyDescent="0.2">
      <c r="A24641">
        <v>15715</v>
      </c>
      <c r="B24641" t="s">
        <v>44</v>
      </c>
      <c r="C24641">
        <v>15715</v>
      </c>
      <c r="D24641" t="str">
        <f>"15715"</f>
        <v>15715</v>
      </c>
      <c r="E24641" t="s">
        <v>6</v>
      </c>
    </row>
    <row r="24642" spans="1:5" x14ac:dyDescent="0.2">
      <c r="A24642">
        <v>15716</v>
      </c>
      <c r="B24642" t="s">
        <v>44</v>
      </c>
      <c r="C24642">
        <v>15716</v>
      </c>
      <c r="D24642" t="str">
        <f>"15716"</f>
        <v>15716</v>
      </c>
      <c r="E24642" t="s">
        <v>6</v>
      </c>
    </row>
    <row r="24643" spans="1:5" x14ac:dyDescent="0.2">
      <c r="A24643">
        <v>15717</v>
      </c>
      <c r="B24643" t="s">
        <v>44</v>
      </c>
      <c r="C24643">
        <v>15717</v>
      </c>
      <c r="D24643" t="str">
        <f>"15717"</f>
        <v>15717</v>
      </c>
      <c r="E24643">
        <v>72.23</v>
      </c>
    </row>
    <row r="24644" spans="1:5" x14ac:dyDescent="0.2">
      <c r="A24644">
        <v>15720</v>
      </c>
      <c r="B24644" t="s">
        <v>44</v>
      </c>
      <c r="C24644">
        <v>15720</v>
      </c>
      <c r="D24644" t="str">
        <f>"15720"</f>
        <v>15720</v>
      </c>
      <c r="E24644" t="s">
        <v>6</v>
      </c>
    </row>
    <row r="24645" spans="1:5" x14ac:dyDescent="0.2">
      <c r="A24645">
        <v>15721</v>
      </c>
      <c r="B24645" t="s">
        <v>44</v>
      </c>
      <c r="C24645">
        <v>15721</v>
      </c>
      <c r="D24645" t="str">
        <f>"15721"</f>
        <v>15721</v>
      </c>
      <c r="E24645" t="s">
        <v>6</v>
      </c>
    </row>
    <row r="24646" spans="1:5" x14ac:dyDescent="0.2">
      <c r="A24646">
        <v>15722</v>
      </c>
      <c r="B24646" t="s">
        <v>44</v>
      </c>
      <c r="C24646">
        <v>15722</v>
      </c>
      <c r="D24646" t="str">
        <f>"15722"</f>
        <v>15722</v>
      </c>
      <c r="E24646">
        <v>74.11</v>
      </c>
    </row>
    <row r="24647" spans="1:5" x14ac:dyDescent="0.2">
      <c r="A24647">
        <v>15723</v>
      </c>
      <c r="B24647" t="s">
        <v>44</v>
      </c>
      <c r="C24647">
        <v>15723</v>
      </c>
      <c r="D24647" t="str">
        <f>"15723"</f>
        <v>15723</v>
      </c>
      <c r="E24647" t="s">
        <v>6</v>
      </c>
    </row>
    <row r="24648" spans="1:5" x14ac:dyDescent="0.2">
      <c r="A24648">
        <v>15724</v>
      </c>
      <c r="B24648" t="s">
        <v>44</v>
      </c>
      <c r="C24648">
        <v>15724</v>
      </c>
      <c r="D24648" t="str">
        <f>"15724"</f>
        <v>15724</v>
      </c>
      <c r="E24648">
        <v>68.69</v>
      </c>
    </row>
    <row r="24649" spans="1:5" x14ac:dyDescent="0.2">
      <c r="A24649">
        <v>15725</v>
      </c>
      <c r="B24649" t="s">
        <v>44</v>
      </c>
      <c r="C24649">
        <v>15725</v>
      </c>
      <c r="D24649" t="str">
        <f>"15725"</f>
        <v>15725</v>
      </c>
      <c r="E24649">
        <v>74.599999999999994</v>
      </c>
    </row>
    <row r="24650" spans="1:5" x14ac:dyDescent="0.2">
      <c r="A24650">
        <v>15728</v>
      </c>
      <c r="B24650" t="s">
        <v>44</v>
      </c>
      <c r="C24650">
        <v>15728</v>
      </c>
      <c r="D24650" t="str">
        <f>"15728"</f>
        <v>15728</v>
      </c>
      <c r="E24650">
        <v>66.88</v>
      </c>
    </row>
    <row r="24651" spans="1:5" x14ac:dyDescent="0.2">
      <c r="A24651">
        <v>15729</v>
      </c>
      <c r="B24651" t="s">
        <v>44</v>
      </c>
      <c r="C24651">
        <v>15729</v>
      </c>
      <c r="D24651" t="str">
        <f>"15729"</f>
        <v>15729</v>
      </c>
      <c r="E24651">
        <v>67.69</v>
      </c>
    </row>
    <row r="24652" spans="1:5" x14ac:dyDescent="0.2">
      <c r="A24652">
        <v>15730</v>
      </c>
      <c r="B24652" t="s">
        <v>44</v>
      </c>
      <c r="C24652">
        <v>15730</v>
      </c>
      <c r="D24652" t="str">
        <f>"15730"</f>
        <v>15730</v>
      </c>
      <c r="E24652" t="s">
        <v>6</v>
      </c>
    </row>
    <row r="24653" spans="1:5" x14ac:dyDescent="0.2">
      <c r="A24653">
        <v>15731</v>
      </c>
      <c r="B24653" t="s">
        <v>44</v>
      </c>
      <c r="C24653">
        <v>15731</v>
      </c>
      <c r="D24653" t="str">
        <f>"15731"</f>
        <v>15731</v>
      </c>
      <c r="E24653" t="s">
        <v>6</v>
      </c>
    </row>
    <row r="24654" spans="1:5" x14ac:dyDescent="0.2">
      <c r="A24654">
        <v>15732</v>
      </c>
      <c r="B24654" t="s">
        <v>44</v>
      </c>
      <c r="C24654">
        <v>15732</v>
      </c>
      <c r="D24654" t="str">
        <f>"15732"</f>
        <v>15732</v>
      </c>
      <c r="E24654">
        <v>69.33</v>
      </c>
    </row>
    <row r="24655" spans="1:5" x14ac:dyDescent="0.2">
      <c r="A24655">
        <v>15733</v>
      </c>
      <c r="B24655" t="s">
        <v>44</v>
      </c>
      <c r="C24655">
        <v>15733</v>
      </c>
      <c r="D24655" t="str">
        <f>"15733"</f>
        <v>15733</v>
      </c>
      <c r="E24655" t="s">
        <v>6</v>
      </c>
    </row>
    <row r="24656" spans="1:5" x14ac:dyDescent="0.2">
      <c r="A24656">
        <v>15734</v>
      </c>
      <c r="B24656" t="s">
        <v>44</v>
      </c>
      <c r="C24656">
        <v>15734</v>
      </c>
      <c r="D24656" t="str">
        <f>"15734"</f>
        <v>15734</v>
      </c>
      <c r="E24656" t="s">
        <v>6</v>
      </c>
    </row>
    <row r="24657" spans="1:5" x14ac:dyDescent="0.2">
      <c r="A24657">
        <v>15736</v>
      </c>
      <c r="B24657" t="s">
        <v>44</v>
      </c>
      <c r="C24657">
        <v>15736</v>
      </c>
      <c r="D24657" t="str">
        <f>"15736"</f>
        <v>15736</v>
      </c>
      <c r="E24657" t="s">
        <v>6</v>
      </c>
    </row>
    <row r="24658" spans="1:5" x14ac:dyDescent="0.2">
      <c r="A24658">
        <v>15737</v>
      </c>
      <c r="B24658" t="s">
        <v>44</v>
      </c>
      <c r="C24658">
        <v>15737</v>
      </c>
      <c r="D24658" t="str">
        <f>"15737"</f>
        <v>15737</v>
      </c>
      <c r="E24658" t="s">
        <v>6</v>
      </c>
    </row>
    <row r="24659" spans="1:5" x14ac:dyDescent="0.2">
      <c r="A24659">
        <v>15738</v>
      </c>
      <c r="B24659" t="s">
        <v>44</v>
      </c>
      <c r="C24659">
        <v>15738</v>
      </c>
      <c r="D24659" t="str">
        <f>"15738"</f>
        <v>15738</v>
      </c>
      <c r="E24659" t="s">
        <v>6</v>
      </c>
    </row>
    <row r="24660" spans="1:5" x14ac:dyDescent="0.2">
      <c r="A24660">
        <v>15739</v>
      </c>
      <c r="B24660" t="s">
        <v>44</v>
      </c>
      <c r="C24660">
        <v>15739</v>
      </c>
      <c r="D24660" t="str">
        <f>"15739"</f>
        <v>15739</v>
      </c>
      <c r="E24660" t="s">
        <v>6</v>
      </c>
    </row>
    <row r="24661" spans="1:5" x14ac:dyDescent="0.2">
      <c r="A24661">
        <v>15741</v>
      </c>
      <c r="B24661" t="s">
        <v>44</v>
      </c>
      <c r="C24661">
        <v>15741</v>
      </c>
      <c r="D24661" t="str">
        <f>"15741"</f>
        <v>15741</v>
      </c>
      <c r="E24661" t="s">
        <v>6</v>
      </c>
    </row>
    <row r="24662" spans="1:5" x14ac:dyDescent="0.2">
      <c r="A24662">
        <v>15742</v>
      </c>
      <c r="B24662" t="s">
        <v>44</v>
      </c>
      <c r="C24662">
        <v>15742</v>
      </c>
      <c r="D24662" t="str">
        <f>"15742"</f>
        <v>15742</v>
      </c>
      <c r="E24662">
        <v>69.23</v>
      </c>
    </row>
    <row r="24663" spans="1:5" x14ac:dyDescent="0.2">
      <c r="A24663">
        <v>15744</v>
      </c>
      <c r="B24663" t="s">
        <v>44</v>
      </c>
      <c r="C24663">
        <v>15744</v>
      </c>
      <c r="D24663" t="str">
        <f>"15744"</f>
        <v>15744</v>
      </c>
      <c r="E24663" t="s">
        <v>6</v>
      </c>
    </row>
    <row r="24664" spans="1:5" x14ac:dyDescent="0.2">
      <c r="A24664">
        <v>15745</v>
      </c>
      <c r="B24664" t="s">
        <v>44</v>
      </c>
      <c r="C24664">
        <v>15745</v>
      </c>
      <c r="D24664" t="str">
        <f>"15745"</f>
        <v>15745</v>
      </c>
      <c r="E24664" t="s">
        <v>6</v>
      </c>
    </row>
    <row r="24665" spans="1:5" x14ac:dyDescent="0.2">
      <c r="A24665">
        <v>15747</v>
      </c>
      <c r="B24665" t="s">
        <v>44</v>
      </c>
      <c r="C24665">
        <v>15747</v>
      </c>
      <c r="D24665" t="str">
        <f>"15747"</f>
        <v>15747</v>
      </c>
      <c r="E24665">
        <v>71.430000000000007</v>
      </c>
    </row>
    <row r="24666" spans="1:5" x14ac:dyDescent="0.2">
      <c r="A24666">
        <v>15748</v>
      </c>
      <c r="B24666" t="s">
        <v>44</v>
      </c>
      <c r="C24666">
        <v>15748</v>
      </c>
      <c r="D24666" t="str">
        <f>"15748"</f>
        <v>15748</v>
      </c>
      <c r="E24666">
        <v>71.209999999999994</v>
      </c>
    </row>
    <row r="24667" spans="1:5" x14ac:dyDescent="0.2">
      <c r="A24667">
        <v>15750</v>
      </c>
      <c r="B24667" t="s">
        <v>44</v>
      </c>
      <c r="C24667">
        <v>15750</v>
      </c>
      <c r="D24667" t="str">
        <f>"15750"</f>
        <v>15750</v>
      </c>
      <c r="E24667" t="s">
        <v>6</v>
      </c>
    </row>
    <row r="24668" spans="1:5" x14ac:dyDescent="0.2">
      <c r="A24668">
        <v>15752</v>
      </c>
      <c r="B24668" t="s">
        <v>44</v>
      </c>
      <c r="C24668">
        <v>15752</v>
      </c>
      <c r="D24668" t="str">
        <f>"15752"</f>
        <v>15752</v>
      </c>
      <c r="E24668" t="s">
        <v>6</v>
      </c>
    </row>
    <row r="24669" spans="1:5" x14ac:dyDescent="0.2">
      <c r="A24669">
        <v>15753</v>
      </c>
      <c r="B24669" t="s">
        <v>44</v>
      </c>
      <c r="C24669">
        <v>15753</v>
      </c>
      <c r="D24669" t="str">
        <f>"15753"</f>
        <v>15753</v>
      </c>
      <c r="E24669">
        <v>55</v>
      </c>
    </row>
    <row r="24670" spans="1:5" x14ac:dyDescent="0.2">
      <c r="A24670">
        <v>15754</v>
      </c>
      <c r="B24670" t="s">
        <v>44</v>
      </c>
      <c r="C24670">
        <v>15754</v>
      </c>
      <c r="D24670" t="str">
        <f>"15754"</f>
        <v>15754</v>
      </c>
      <c r="E24670" t="s">
        <v>6</v>
      </c>
    </row>
    <row r="24671" spans="1:5" x14ac:dyDescent="0.2">
      <c r="A24671">
        <v>15757</v>
      </c>
      <c r="B24671" t="s">
        <v>44</v>
      </c>
      <c r="C24671">
        <v>15757</v>
      </c>
      <c r="D24671" t="str">
        <f>"15757"</f>
        <v>15757</v>
      </c>
      <c r="E24671">
        <v>66.2</v>
      </c>
    </row>
    <row r="24672" spans="1:5" x14ac:dyDescent="0.2">
      <c r="A24672">
        <v>15759</v>
      </c>
      <c r="B24672" t="s">
        <v>44</v>
      </c>
      <c r="C24672">
        <v>15759</v>
      </c>
      <c r="D24672" t="str">
        <f>"15759"</f>
        <v>15759</v>
      </c>
      <c r="E24672">
        <v>65.22</v>
      </c>
    </row>
    <row r="24673" spans="1:5" x14ac:dyDescent="0.2">
      <c r="A24673">
        <v>15760</v>
      </c>
      <c r="B24673" t="s">
        <v>44</v>
      </c>
      <c r="C24673">
        <v>15760</v>
      </c>
      <c r="D24673" t="str">
        <f>"15760"</f>
        <v>15760</v>
      </c>
      <c r="E24673" t="s">
        <v>6</v>
      </c>
    </row>
    <row r="24674" spans="1:5" x14ac:dyDescent="0.2">
      <c r="A24674">
        <v>15761</v>
      </c>
      <c r="B24674" t="s">
        <v>44</v>
      </c>
      <c r="C24674">
        <v>15761</v>
      </c>
      <c r="D24674" t="str">
        <f>"15761"</f>
        <v>15761</v>
      </c>
      <c r="E24674" t="s">
        <v>6</v>
      </c>
    </row>
    <row r="24675" spans="1:5" x14ac:dyDescent="0.2">
      <c r="A24675">
        <v>15762</v>
      </c>
      <c r="B24675" t="s">
        <v>44</v>
      </c>
      <c r="C24675">
        <v>15762</v>
      </c>
      <c r="D24675" t="str">
        <f>"15762"</f>
        <v>15762</v>
      </c>
      <c r="E24675">
        <v>77.27</v>
      </c>
    </row>
    <row r="24676" spans="1:5" x14ac:dyDescent="0.2">
      <c r="A24676">
        <v>15763</v>
      </c>
      <c r="B24676" t="s">
        <v>44</v>
      </c>
      <c r="C24676">
        <v>15763</v>
      </c>
      <c r="D24676" t="str">
        <f>"15763"</f>
        <v>15763</v>
      </c>
      <c r="E24676" t="s">
        <v>6</v>
      </c>
    </row>
    <row r="24677" spans="1:5" x14ac:dyDescent="0.2">
      <c r="A24677">
        <v>15764</v>
      </c>
      <c r="B24677" t="s">
        <v>44</v>
      </c>
      <c r="C24677">
        <v>15764</v>
      </c>
      <c r="D24677" t="str">
        <f>"15764"</f>
        <v>15764</v>
      </c>
      <c r="E24677" t="s">
        <v>6</v>
      </c>
    </row>
    <row r="24678" spans="1:5" x14ac:dyDescent="0.2">
      <c r="A24678">
        <v>15765</v>
      </c>
      <c r="B24678" t="s">
        <v>44</v>
      </c>
      <c r="C24678">
        <v>15765</v>
      </c>
      <c r="D24678" t="str">
        <f>"15765"</f>
        <v>15765</v>
      </c>
      <c r="E24678">
        <v>78.209999999999994</v>
      </c>
    </row>
    <row r="24679" spans="1:5" x14ac:dyDescent="0.2">
      <c r="A24679">
        <v>15767</v>
      </c>
      <c r="B24679" t="s">
        <v>44</v>
      </c>
      <c r="C24679">
        <v>15767</v>
      </c>
      <c r="D24679" t="str">
        <f>"15767"</f>
        <v>15767</v>
      </c>
      <c r="E24679">
        <v>66.72</v>
      </c>
    </row>
    <row r="24680" spans="1:5" x14ac:dyDescent="0.2">
      <c r="A24680">
        <v>15770</v>
      </c>
      <c r="B24680" t="s">
        <v>44</v>
      </c>
      <c r="C24680">
        <v>15770</v>
      </c>
      <c r="D24680" t="str">
        <f>"15770"</f>
        <v>15770</v>
      </c>
      <c r="E24680" t="s">
        <v>6</v>
      </c>
    </row>
    <row r="24681" spans="1:5" x14ac:dyDescent="0.2">
      <c r="A24681">
        <v>15771</v>
      </c>
      <c r="B24681" t="s">
        <v>44</v>
      </c>
      <c r="C24681">
        <v>15771</v>
      </c>
      <c r="D24681" t="str">
        <f>"15771"</f>
        <v>15771</v>
      </c>
      <c r="E24681">
        <v>69.05</v>
      </c>
    </row>
    <row r="24682" spans="1:5" x14ac:dyDescent="0.2">
      <c r="A24682">
        <v>15772</v>
      </c>
      <c r="B24682" t="s">
        <v>44</v>
      </c>
      <c r="C24682">
        <v>15772</v>
      </c>
      <c r="D24682" t="str">
        <f>"15772"</f>
        <v>15772</v>
      </c>
      <c r="E24682">
        <v>66.150000000000006</v>
      </c>
    </row>
    <row r="24683" spans="1:5" x14ac:dyDescent="0.2">
      <c r="A24683">
        <v>15773</v>
      </c>
      <c r="B24683" t="s">
        <v>44</v>
      </c>
      <c r="C24683">
        <v>15773</v>
      </c>
      <c r="D24683" t="str">
        <f>"15773"</f>
        <v>15773</v>
      </c>
      <c r="E24683">
        <v>65</v>
      </c>
    </row>
    <row r="24684" spans="1:5" x14ac:dyDescent="0.2">
      <c r="A24684">
        <v>15774</v>
      </c>
      <c r="B24684" t="s">
        <v>44</v>
      </c>
      <c r="C24684">
        <v>15774</v>
      </c>
      <c r="D24684" t="str">
        <f>"15774"</f>
        <v>15774</v>
      </c>
      <c r="E24684">
        <v>74.66</v>
      </c>
    </row>
    <row r="24685" spans="1:5" x14ac:dyDescent="0.2">
      <c r="A24685">
        <v>15775</v>
      </c>
      <c r="B24685" t="s">
        <v>44</v>
      </c>
      <c r="C24685">
        <v>15775</v>
      </c>
      <c r="D24685" t="str">
        <f>"15775"</f>
        <v>15775</v>
      </c>
      <c r="E24685" t="s">
        <v>6</v>
      </c>
    </row>
    <row r="24686" spans="1:5" x14ac:dyDescent="0.2">
      <c r="A24686">
        <v>15776</v>
      </c>
      <c r="B24686" t="s">
        <v>44</v>
      </c>
      <c r="C24686">
        <v>15776</v>
      </c>
      <c r="D24686" t="str">
        <f>"15776"</f>
        <v>15776</v>
      </c>
      <c r="E24686" t="s">
        <v>6</v>
      </c>
    </row>
    <row r="24687" spans="1:5" x14ac:dyDescent="0.2">
      <c r="A24687">
        <v>15777</v>
      </c>
      <c r="B24687" t="s">
        <v>44</v>
      </c>
      <c r="C24687">
        <v>15777</v>
      </c>
      <c r="D24687" t="str">
        <f>"15777"</f>
        <v>15777</v>
      </c>
      <c r="E24687" t="s">
        <v>6</v>
      </c>
    </row>
    <row r="24688" spans="1:5" x14ac:dyDescent="0.2">
      <c r="A24688">
        <v>15778</v>
      </c>
      <c r="B24688" t="s">
        <v>44</v>
      </c>
      <c r="C24688">
        <v>15778</v>
      </c>
      <c r="D24688" t="str">
        <f>"15778"</f>
        <v>15778</v>
      </c>
      <c r="E24688" t="s">
        <v>6</v>
      </c>
    </row>
    <row r="24689" spans="1:5" x14ac:dyDescent="0.2">
      <c r="A24689">
        <v>15780</v>
      </c>
      <c r="B24689" t="s">
        <v>44</v>
      </c>
      <c r="C24689">
        <v>15780</v>
      </c>
      <c r="D24689" t="str">
        <f>"15780"</f>
        <v>15780</v>
      </c>
      <c r="E24689" t="s">
        <v>6</v>
      </c>
    </row>
    <row r="24690" spans="1:5" x14ac:dyDescent="0.2">
      <c r="A24690">
        <v>15781</v>
      </c>
      <c r="B24690" t="s">
        <v>44</v>
      </c>
      <c r="C24690">
        <v>15781</v>
      </c>
      <c r="D24690" t="str">
        <f>"15781"</f>
        <v>15781</v>
      </c>
      <c r="E24690" t="s">
        <v>6</v>
      </c>
    </row>
    <row r="24691" spans="1:5" x14ac:dyDescent="0.2">
      <c r="A24691">
        <v>15783</v>
      </c>
      <c r="B24691" t="s">
        <v>44</v>
      </c>
      <c r="C24691">
        <v>15783</v>
      </c>
      <c r="D24691" t="str">
        <f>"15783"</f>
        <v>15783</v>
      </c>
      <c r="E24691" t="s">
        <v>6</v>
      </c>
    </row>
    <row r="24692" spans="1:5" x14ac:dyDescent="0.2">
      <c r="A24692">
        <v>15784</v>
      </c>
      <c r="B24692" t="s">
        <v>44</v>
      </c>
      <c r="C24692">
        <v>15784</v>
      </c>
      <c r="D24692" t="str">
        <f>"15784"</f>
        <v>15784</v>
      </c>
      <c r="E24692" t="s">
        <v>6</v>
      </c>
    </row>
    <row r="24693" spans="1:5" x14ac:dyDescent="0.2">
      <c r="A24693">
        <v>15801</v>
      </c>
      <c r="B24693" t="s">
        <v>44</v>
      </c>
      <c r="C24693">
        <v>15801</v>
      </c>
      <c r="D24693" t="str">
        <f>"15801"</f>
        <v>15801</v>
      </c>
      <c r="E24693">
        <v>70.599999999999994</v>
      </c>
    </row>
    <row r="24694" spans="1:5" x14ac:dyDescent="0.2">
      <c r="A24694">
        <v>15821</v>
      </c>
      <c r="B24694" t="s">
        <v>44</v>
      </c>
      <c r="C24694">
        <v>15821</v>
      </c>
      <c r="D24694" t="str">
        <f>"15821"</f>
        <v>15821</v>
      </c>
      <c r="E24694" t="s">
        <v>6</v>
      </c>
    </row>
    <row r="24695" spans="1:5" x14ac:dyDescent="0.2">
      <c r="A24695">
        <v>15823</v>
      </c>
      <c r="B24695" t="s">
        <v>44</v>
      </c>
      <c r="C24695">
        <v>15823</v>
      </c>
      <c r="D24695" t="str">
        <f>"15823"</f>
        <v>15823</v>
      </c>
      <c r="E24695">
        <v>72.97</v>
      </c>
    </row>
    <row r="24696" spans="1:5" x14ac:dyDescent="0.2">
      <c r="A24696">
        <v>15824</v>
      </c>
      <c r="B24696" t="s">
        <v>44</v>
      </c>
      <c r="C24696">
        <v>15824</v>
      </c>
      <c r="D24696" t="str">
        <f>"15824"</f>
        <v>15824</v>
      </c>
      <c r="E24696">
        <v>72</v>
      </c>
    </row>
    <row r="24697" spans="1:5" x14ac:dyDescent="0.2">
      <c r="A24697">
        <v>15825</v>
      </c>
      <c r="B24697" t="s">
        <v>44</v>
      </c>
      <c r="C24697">
        <v>15825</v>
      </c>
      <c r="D24697" t="str">
        <f>"15825"</f>
        <v>15825</v>
      </c>
      <c r="E24697">
        <v>71.36</v>
      </c>
    </row>
    <row r="24698" spans="1:5" x14ac:dyDescent="0.2">
      <c r="A24698">
        <v>15827</v>
      </c>
      <c r="B24698" t="s">
        <v>44</v>
      </c>
      <c r="C24698">
        <v>15827</v>
      </c>
      <c r="D24698" t="str">
        <f>"15827"</f>
        <v>15827</v>
      </c>
      <c r="E24698">
        <v>78.569999999999993</v>
      </c>
    </row>
    <row r="24699" spans="1:5" x14ac:dyDescent="0.2">
      <c r="A24699">
        <v>15828</v>
      </c>
      <c r="B24699" t="s">
        <v>44</v>
      </c>
      <c r="C24699">
        <v>15828</v>
      </c>
      <c r="D24699" t="str">
        <f>"15828"</f>
        <v>15828</v>
      </c>
      <c r="E24699">
        <v>61.54</v>
      </c>
    </row>
    <row r="24700" spans="1:5" x14ac:dyDescent="0.2">
      <c r="A24700">
        <v>15829</v>
      </c>
      <c r="B24700" t="s">
        <v>44</v>
      </c>
      <c r="C24700">
        <v>15829</v>
      </c>
      <c r="D24700" t="str">
        <f>"15829"</f>
        <v>15829</v>
      </c>
      <c r="E24700">
        <v>73.33</v>
      </c>
    </row>
    <row r="24701" spans="1:5" x14ac:dyDescent="0.2">
      <c r="A24701">
        <v>15831</v>
      </c>
      <c r="B24701" t="s">
        <v>44</v>
      </c>
      <c r="C24701">
        <v>15831</v>
      </c>
      <c r="D24701" t="str">
        <f>"15831"</f>
        <v>15831</v>
      </c>
      <c r="E24701" t="s">
        <v>6</v>
      </c>
    </row>
    <row r="24702" spans="1:5" x14ac:dyDescent="0.2">
      <c r="A24702">
        <v>15832</v>
      </c>
      <c r="B24702" t="s">
        <v>44</v>
      </c>
      <c r="C24702">
        <v>15832</v>
      </c>
      <c r="D24702" t="str">
        <f>"15832"</f>
        <v>15832</v>
      </c>
      <c r="E24702">
        <v>76.92</v>
      </c>
    </row>
    <row r="24703" spans="1:5" x14ac:dyDescent="0.2">
      <c r="A24703">
        <v>15834</v>
      </c>
      <c r="B24703" t="s">
        <v>44</v>
      </c>
      <c r="C24703">
        <v>15834</v>
      </c>
      <c r="D24703" t="str">
        <f>"15834"</f>
        <v>15834</v>
      </c>
      <c r="E24703">
        <v>64.319999999999993</v>
      </c>
    </row>
    <row r="24704" spans="1:5" x14ac:dyDescent="0.2">
      <c r="A24704">
        <v>15840</v>
      </c>
      <c r="B24704" t="s">
        <v>44</v>
      </c>
      <c r="C24704">
        <v>15840</v>
      </c>
      <c r="D24704" t="str">
        <f>"15840"</f>
        <v>15840</v>
      </c>
      <c r="E24704">
        <v>69.39</v>
      </c>
    </row>
    <row r="24705" spans="1:5" x14ac:dyDescent="0.2">
      <c r="A24705">
        <v>15841</v>
      </c>
      <c r="B24705" t="s">
        <v>44</v>
      </c>
      <c r="C24705">
        <v>15841</v>
      </c>
      <c r="D24705" t="str">
        <f>"15841"</f>
        <v>15841</v>
      </c>
      <c r="E24705" t="s">
        <v>6</v>
      </c>
    </row>
    <row r="24706" spans="1:5" x14ac:dyDescent="0.2">
      <c r="A24706">
        <v>15845</v>
      </c>
      <c r="B24706" t="s">
        <v>44</v>
      </c>
      <c r="C24706">
        <v>15845</v>
      </c>
      <c r="D24706" t="str">
        <f>"15845"</f>
        <v>15845</v>
      </c>
      <c r="E24706">
        <v>72.33</v>
      </c>
    </row>
    <row r="24707" spans="1:5" x14ac:dyDescent="0.2">
      <c r="A24707">
        <v>15846</v>
      </c>
      <c r="B24707" t="s">
        <v>44</v>
      </c>
      <c r="C24707">
        <v>15846</v>
      </c>
      <c r="D24707" t="str">
        <f>"15846"</f>
        <v>15846</v>
      </c>
      <c r="E24707">
        <v>73.84</v>
      </c>
    </row>
    <row r="24708" spans="1:5" x14ac:dyDescent="0.2">
      <c r="A24708">
        <v>15847</v>
      </c>
      <c r="B24708" t="s">
        <v>44</v>
      </c>
      <c r="C24708">
        <v>15847</v>
      </c>
      <c r="D24708" t="str">
        <f>"15847"</f>
        <v>15847</v>
      </c>
      <c r="E24708" t="s">
        <v>6</v>
      </c>
    </row>
    <row r="24709" spans="1:5" x14ac:dyDescent="0.2">
      <c r="A24709">
        <v>15848</v>
      </c>
      <c r="B24709" t="s">
        <v>44</v>
      </c>
      <c r="C24709">
        <v>15848</v>
      </c>
      <c r="D24709" t="str">
        <f>"15848"</f>
        <v>15848</v>
      </c>
      <c r="E24709">
        <v>65.22</v>
      </c>
    </row>
    <row r="24710" spans="1:5" x14ac:dyDescent="0.2">
      <c r="A24710">
        <v>15849</v>
      </c>
      <c r="B24710" t="s">
        <v>44</v>
      </c>
      <c r="C24710">
        <v>15849</v>
      </c>
      <c r="D24710" t="str">
        <f>"15849"</f>
        <v>15849</v>
      </c>
      <c r="E24710">
        <v>68.180000000000007</v>
      </c>
    </row>
    <row r="24711" spans="1:5" x14ac:dyDescent="0.2">
      <c r="A24711">
        <v>15851</v>
      </c>
      <c r="B24711" t="s">
        <v>44</v>
      </c>
      <c r="C24711">
        <v>15851</v>
      </c>
      <c r="D24711" t="str">
        <f>"15851"</f>
        <v>15851</v>
      </c>
      <c r="E24711">
        <v>66.88</v>
      </c>
    </row>
    <row r="24712" spans="1:5" x14ac:dyDescent="0.2">
      <c r="A24712">
        <v>15853</v>
      </c>
      <c r="B24712" t="s">
        <v>44</v>
      </c>
      <c r="C24712">
        <v>15853</v>
      </c>
      <c r="D24712" t="str">
        <f>"15853"</f>
        <v>15853</v>
      </c>
      <c r="E24712">
        <v>70.48</v>
      </c>
    </row>
    <row r="24713" spans="1:5" x14ac:dyDescent="0.2">
      <c r="A24713">
        <v>15856</v>
      </c>
      <c r="B24713" t="s">
        <v>44</v>
      </c>
      <c r="C24713">
        <v>15856</v>
      </c>
      <c r="D24713" t="str">
        <f>"15856"</f>
        <v>15856</v>
      </c>
      <c r="E24713">
        <v>75.56</v>
      </c>
    </row>
    <row r="24714" spans="1:5" x14ac:dyDescent="0.2">
      <c r="A24714">
        <v>15857</v>
      </c>
      <c r="B24714" t="s">
        <v>44</v>
      </c>
      <c r="C24714">
        <v>15857</v>
      </c>
      <c r="D24714" t="str">
        <f>"15857"</f>
        <v>15857</v>
      </c>
      <c r="E24714">
        <v>74.05</v>
      </c>
    </row>
    <row r="24715" spans="1:5" x14ac:dyDescent="0.2">
      <c r="A24715">
        <v>15860</v>
      </c>
      <c r="B24715" t="s">
        <v>44</v>
      </c>
      <c r="C24715">
        <v>15860</v>
      </c>
      <c r="D24715" t="str">
        <f>"15860"</f>
        <v>15860</v>
      </c>
      <c r="E24715">
        <v>75.930000000000007</v>
      </c>
    </row>
    <row r="24716" spans="1:5" x14ac:dyDescent="0.2">
      <c r="A24716">
        <v>15861</v>
      </c>
      <c r="B24716" t="s">
        <v>44</v>
      </c>
      <c r="C24716">
        <v>15861</v>
      </c>
      <c r="D24716" t="str">
        <f>"15861"</f>
        <v>15861</v>
      </c>
      <c r="E24716" t="s">
        <v>6</v>
      </c>
    </row>
    <row r="24717" spans="1:5" x14ac:dyDescent="0.2">
      <c r="A24717">
        <v>15863</v>
      </c>
      <c r="B24717" t="s">
        <v>44</v>
      </c>
      <c r="C24717">
        <v>15863</v>
      </c>
      <c r="D24717" t="str">
        <f>"15863"</f>
        <v>15863</v>
      </c>
      <c r="E24717" t="s">
        <v>6</v>
      </c>
    </row>
    <row r="24718" spans="1:5" x14ac:dyDescent="0.2">
      <c r="A24718">
        <v>15864</v>
      </c>
      <c r="B24718" t="s">
        <v>44</v>
      </c>
      <c r="C24718">
        <v>15864</v>
      </c>
      <c r="D24718" t="str">
        <f>"15864"</f>
        <v>15864</v>
      </c>
      <c r="E24718">
        <v>71.760000000000005</v>
      </c>
    </row>
    <row r="24719" spans="1:5" x14ac:dyDescent="0.2">
      <c r="A24719">
        <v>15865</v>
      </c>
      <c r="B24719" t="s">
        <v>44</v>
      </c>
      <c r="C24719">
        <v>15865</v>
      </c>
      <c r="D24719" t="str">
        <f>"15865"</f>
        <v>15865</v>
      </c>
      <c r="E24719">
        <v>70.37</v>
      </c>
    </row>
    <row r="24720" spans="1:5" x14ac:dyDescent="0.2">
      <c r="A24720">
        <v>15866</v>
      </c>
      <c r="B24720" t="s">
        <v>44</v>
      </c>
      <c r="C24720">
        <v>15866</v>
      </c>
      <c r="D24720" t="str">
        <f>"15866"</f>
        <v>15866</v>
      </c>
      <c r="E24720" t="s">
        <v>6</v>
      </c>
    </row>
    <row r="24721" spans="1:5" x14ac:dyDescent="0.2">
      <c r="A24721">
        <v>15868</v>
      </c>
      <c r="B24721" t="s">
        <v>44</v>
      </c>
      <c r="C24721">
        <v>15868</v>
      </c>
      <c r="D24721" t="str">
        <f>"15868"</f>
        <v>15868</v>
      </c>
      <c r="E24721">
        <v>73.33</v>
      </c>
    </row>
    <row r="24722" spans="1:5" x14ac:dyDescent="0.2">
      <c r="A24722">
        <v>15870</v>
      </c>
      <c r="B24722" t="s">
        <v>44</v>
      </c>
      <c r="C24722">
        <v>15870</v>
      </c>
      <c r="D24722" t="str">
        <f>"15870"</f>
        <v>15870</v>
      </c>
      <c r="E24722">
        <v>79.37</v>
      </c>
    </row>
    <row r="24723" spans="1:5" x14ac:dyDescent="0.2">
      <c r="A24723">
        <v>15901</v>
      </c>
      <c r="B24723" t="s">
        <v>44</v>
      </c>
      <c r="C24723">
        <v>15901</v>
      </c>
      <c r="D24723" t="str">
        <f>"15901"</f>
        <v>15901</v>
      </c>
      <c r="E24723">
        <v>49.19</v>
      </c>
    </row>
    <row r="24724" spans="1:5" x14ac:dyDescent="0.2">
      <c r="A24724">
        <v>15902</v>
      </c>
      <c r="B24724" t="s">
        <v>44</v>
      </c>
      <c r="C24724">
        <v>15902</v>
      </c>
      <c r="D24724" t="str">
        <f>"15902"</f>
        <v>15902</v>
      </c>
      <c r="E24724">
        <v>59.34</v>
      </c>
    </row>
    <row r="24725" spans="1:5" x14ac:dyDescent="0.2">
      <c r="A24725">
        <v>15904</v>
      </c>
      <c r="B24725" t="s">
        <v>44</v>
      </c>
      <c r="C24725">
        <v>15904</v>
      </c>
      <c r="D24725" t="str">
        <f>"15904"</f>
        <v>15904</v>
      </c>
      <c r="E24725">
        <v>73.72</v>
      </c>
    </row>
    <row r="24726" spans="1:5" x14ac:dyDescent="0.2">
      <c r="A24726">
        <v>15905</v>
      </c>
      <c r="B24726" t="s">
        <v>44</v>
      </c>
      <c r="C24726">
        <v>15905</v>
      </c>
      <c r="D24726" t="str">
        <f>"15905"</f>
        <v>15905</v>
      </c>
      <c r="E24726">
        <v>72.09</v>
      </c>
    </row>
    <row r="24727" spans="1:5" x14ac:dyDescent="0.2">
      <c r="A24727">
        <v>15906</v>
      </c>
      <c r="B24727" t="s">
        <v>44</v>
      </c>
      <c r="C24727">
        <v>15906</v>
      </c>
      <c r="D24727" t="str">
        <f>"15906"</f>
        <v>15906</v>
      </c>
      <c r="E24727">
        <v>60.67</v>
      </c>
    </row>
    <row r="24728" spans="1:5" x14ac:dyDescent="0.2">
      <c r="A24728">
        <v>15909</v>
      </c>
      <c r="B24728" t="s">
        <v>44</v>
      </c>
      <c r="C24728">
        <v>15909</v>
      </c>
      <c r="D24728" t="str">
        <f>"15909"</f>
        <v>15909</v>
      </c>
      <c r="E24728">
        <v>69.760000000000005</v>
      </c>
    </row>
    <row r="24729" spans="1:5" x14ac:dyDescent="0.2">
      <c r="A24729">
        <v>15920</v>
      </c>
      <c r="B24729" t="s">
        <v>44</v>
      </c>
      <c r="C24729">
        <v>15920</v>
      </c>
      <c r="D24729" t="str">
        <f>"15920"</f>
        <v>15920</v>
      </c>
      <c r="E24729">
        <v>77.27</v>
      </c>
    </row>
    <row r="24730" spans="1:5" x14ac:dyDescent="0.2">
      <c r="A24730">
        <v>15921</v>
      </c>
      <c r="B24730" t="s">
        <v>44</v>
      </c>
      <c r="C24730">
        <v>15921</v>
      </c>
      <c r="D24730" t="str">
        <f>"15921"</f>
        <v>15921</v>
      </c>
      <c r="E24730" t="s">
        <v>6</v>
      </c>
    </row>
    <row r="24731" spans="1:5" x14ac:dyDescent="0.2">
      <c r="A24731">
        <v>15922</v>
      </c>
      <c r="B24731" t="s">
        <v>44</v>
      </c>
      <c r="C24731">
        <v>15922</v>
      </c>
      <c r="D24731" t="str">
        <f>"15922"</f>
        <v>15922</v>
      </c>
      <c r="E24731" t="s">
        <v>6</v>
      </c>
    </row>
    <row r="24732" spans="1:5" x14ac:dyDescent="0.2">
      <c r="A24732">
        <v>15923</v>
      </c>
      <c r="B24732" t="s">
        <v>44</v>
      </c>
      <c r="C24732">
        <v>15923</v>
      </c>
      <c r="D24732" t="str">
        <f>"15923"</f>
        <v>15923</v>
      </c>
      <c r="E24732">
        <v>69.44</v>
      </c>
    </row>
    <row r="24733" spans="1:5" x14ac:dyDescent="0.2">
      <c r="A24733">
        <v>15924</v>
      </c>
      <c r="B24733" t="s">
        <v>44</v>
      </c>
      <c r="C24733">
        <v>15924</v>
      </c>
      <c r="D24733" t="str">
        <f>"15924"</f>
        <v>15924</v>
      </c>
      <c r="E24733">
        <v>73.47</v>
      </c>
    </row>
    <row r="24734" spans="1:5" x14ac:dyDescent="0.2">
      <c r="A24734">
        <v>15925</v>
      </c>
      <c r="B24734" t="s">
        <v>44</v>
      </c>
      <c r="C24734">
        <v>15925</v>
      </c>
      <c r="D24734" t="str">
        <f>"15925"</f>
        <v>15925</v>
      </c>
      <c r="E24734" t="s">
        <v>6</v>
      </c>
    </row>
    <row r="24735" spans="1:5" x14ac:dyDescent="0.2">
      <c r="A24735">
        <v>15926</v>
      </c>
      <c r="B24735" t="s">
        <v>44</v>
      </c>
      <c r="C24735">
        <v>15926</v>
      </c>
      <c r="D24735" t="str">
        <f>"15926"</f>
        <v>15926</v>
      </c>
      <c r="E24735">
        <v>69.349999999999994</v>
      </c>
    </row>
    <row r="24736" spans="1:5" x14ac:dyDescent="0.2">
      <c r="A24736">
        <v>15927</v>
      </c>
      <c r="B24736" t="s">
        <v>44</v>
      </c>
      <c r="C24736">
        <v>15927</v>
      </c>
      <c r="D24736" t="str">
        <f>"15927"</f>
        <v>15927</v>
      </c>
      <c r="E24736">
        <v>69.64</v>
      </c>
    </row>
    <row r="24737" spans="1:5" x14ac:dyDescent="0.2">
      <c r="A24737">
        <v>15928</v>
      </c>
      <c r="B24737" t="s">
        <v>44</v>
      </c>
      <c r="C24737">
        <v>15928</v>
      </c>
      <c r="D24737" t="str">
        <f>"15928"</f>
        <v>15928</v>
      </c>
      <c r="E24737">
        <v>76</v>
      </c>
    </row>
    <row r="24738" spans="1:5" x14ac:dyDescent="0.2">
      <c r="A24738">
        <v>15929</v>
      </c>
      <c r="B24738" t="s">
        <v>44</v>
      </c>
      <c r="C24738">
        <v>15929</v>
      </c>
      <c r="D24738" t="str">
        <f>"15929"</f>
        <v>15929</v>
      </c>
      <c r="E24738" t="s">
        <v>6</v>
      </c>
    </row>
    <row r="24739" spans="1:5" x14ac:dyDescent="0.2">
      <c r="A24739">
        <v>15931</v>
      </c>
      <c r="B24739" t="s">
        <v>44</v>
      </c>
      <c r="C24739">
        <v>15931</v>
      </c>
      <c r="D24739" t="str">
        <f>"15931"</f>
        <v>15931</v>
      </c>
      <c r="E24739">
        <v>74.819999999999993</v>
      </c>
    </row>
    <row r="24740" spans="1:5" x14ac:dyDescent="0.2">
      <c r="A24740">
        <v>15935</v>
      </c>
      <c r="B24740" t="s">
        <v>44</v>
      </c>
      <c r="C24740">
        <v>15935</v>
      </c>
      <c r="D24740" t="str">
        <f>"15935"</f>
        <v>15935</v>
      </c>
      <c r="E24740">
        <v>72.87</v>
      </c>
    </row>
    <row r="24741" spans="1:5" x14ac:dyDescent="0.2">
      <c r="A24741">
        <v>15936</v>
      </c>
      <c r="B24741" t="s">
        <v>44</v>
      </c>
      <c r="C24741">
        <v>15936</v>
      </c>
      <c r="D24741" t="str">
        <f>"15936"</f>
        <v>15936</v>
      </c>
      <c r="E24741">
        <v>69.010000000000005</v>
      </c>
    </row>
    <row r="24742" spans="1:5" x14ac:dyDescent="0.2">
      <c r="A24742">
        <v>15937</v>
      </c>
      <c r="B24742" t="s">
        <v>44</v>
      </c>
      <c r="C24742">
        <v>15937</v>
      </c>
      <c r="D24742" t="str">
        <f>"15937"</f>
        <v>15937</v>
      </c>
      <c r="E24742" t="s">
        <v>6</v>
      </c>
    </row>
    <row r="24743" spans="1:5" x14ac:dyDescent="0.2">
      <c r="A24743">
        <v>15938</v>
      </c>
      <c r="B24743" t="s">
        <v>44</v>
      </c>
      <c r="C24743">
        <v>15938</v>
      </c>
      <c r="D24743" t="str">
        <f>"15938"</f>
        <v>15938</v>
      </c>
      <c r="E24743">
        <v>73.45</v>
      </c>
    </row>
    <row r="24744" spans="1:5" x14ac:dyDescent="0.2">
      <c r="A24744">
        <v>15940</v>
      </c>
      <c r="B24744" t="s">
        <v>44</v>
      </c>
      <c r="C24744">
        <v>15940</v>
      </c>
      <c r="D24744" t="str">
        <f>"15940"</f>
        <v>15940</v>
      </c>
      <c r="E24744">
        <v>76.47</v>
      </c>
    </row>
    <row r="24745" spans="1:5" x14ac:dyDescent="0.2">
      <c r="A24745">
        <v>15942</v>
      </c>
      <c r="B24745" t="s">
        <v>44</v>
      </c>
      <c r="C24745">
        <v>15942</v>
      </c>
      <c r="D24745" t="str">
        <f>"15942"</f>
        <v>15942</v>
      </c>
      <c r="E24745">
        <v>75</v>
      </c>
    </row>
    <row r="24746" spans="1:5" x14ac:dyDescent="0.2">
      <c r="A24746">
        <v>15943</v>
      </c>
      <c r="B24746" t="s">
        <v>44</v>
      </c>
      <c r="C24746">
        <v>15943</v>
      </c>
      <c r="D24746" t="str">
        <f>"15943"</f>
        <v>15943</v>
      </c>
      <c r="E24746">
        <v>70.59</v>
      </c>
    </row>
    <row r="24747" spans="1:5" x14ac:dyDescent="0.2">
      <c r="A24747">
        <v>15944</v>
      </c>
      <c r="B24747" t="s">
        <v>44</v>
      </c>
      <c r="C24747">
        <v>15944</v>
      </c>
      <c r="D24747" t="str">
        <f>"15944"</f>
        <v>15944</v>
      </c>
      <c r="E24747">
        <v>70.83</v>
      </c>
    </row>
    <row r="24748" spans="1:5" x14ac:dyDescent="0.2">
      <c r="A24748">
        <v>15945</v>
      </c>
      <c r="B24748" t="s">
        <v>44</v>
      </c>
      <c r="C24748">
        <v>15945</v>
      </c>
      <c r="D24748" t="str">
        <f>"15945"</f>
        <v>15945</v>
      </c>
      <c r="E24748">
        <v>63.64</v>
      </c>
    </row>
    <row r="24749" spans="1:5" x14ac:dyDescent="0.2">
      <c r="A24749">
        <v>15946</v>
      </c>
      <c r="B24749" t="s">
        <v>44</v>
      </c>
      <c r="C24749">
        <v>15946</v>
      </c>
      <c r="D24749" t="str">
        <f>"15946"</f>
        <v>15946</v>
      </c>
      <c r="E24749">
        <v>72.84</v>
      </c>
    </row>
    <row r="24750" spans="1:5" x14ac:dyDescent="0.2">
      <c r="A24750">
        <v>15948</v>
      </c>
      <c r="B24750" t="s">
        <v>44</v>
      </c>
      <c r="C24750">
        <v>15948</v>
      </c>
      <c r="D24750" t="str">
        <f>"15948"</f>
        <v>15948</v>
      </c>
      <c r="E24750" t="s">
        <v>6</v>
      </c>
    </row>
    <row r="24751" spans="1:5" x14ac:dyDescent="0.2">
      <c r="A24751">
        <v>15949</v>
      </c>
      <c r="B24751" t="s">
        <v>44</v>
      </c>
      <c r="C24751">
        <v>15949</v>
      </c>
      <c r="D24751" t="str">
        <f>"15949"</f>
        <v>15949</v>
      </c>
      <c r="E24751">
        <v>70</v>
      </c>
    </row>
    <row r="24752" spans="1:5" x14ac:dyDescent="0.2">
      <c r="A24752">
        <v>15951</v>
      </c>
      <c r="B24752" t="s">
        <v>44</v>
      </c>
      <c r="C24752">
        <v>15951</v>
      </c>
      <c r="D24752" t="str">
        <f>"15951"</f>
        <v>15951</v>
      </c>
      <c r="E24752" t="s">
        <v>6</v>
      </c>
    </row>
    <row r="24753" spans="1:5" x14ac:dyDescent="0.2">
      <c r="A24753">
        <v>15952</v>
      </c>
      <c r="B24753" t="s">
        <v>44</v>
      </c>
      <c r="C24753">
        <v>15952</v>
      </c>
      <c r="D24753" t="str">
        <f>"15952"</f>
        <v>15952</v>
      </c>
      <c r="E24753">
        <v>68.180000000000007</v>
      </c>
    </row>
    <row r="24754" spans="1:5" x14ac:dyDescent="0.2">
      <c r="A24754">
        <v>15953</v>
      </c>
      <c r="B24754" t="s">
        <v>44</v>
      </c>
      <c r="C24754">
        <v>15953</v>
      </c>
      <c r="D24754" t="str">
        <f>"15953"</f>
        <v>15953</v>
      </c>
      <c r="E24754" t="s">
        <v>6</v>
      </c>
    </row>
    <row r="24755" spans="1:5" x14ac:dyDescent="0.2">
      <c r="A24755">
        <v>15954</v>
      </c>
      <c r="B24755" t="s">
        <v>44</v>
      </c>
      <c r="C24755">
        <v>15954</v>
      </c>
      <c r="D24755" t="str">
        <f>"15954"</f>
        <v>15954</v>
      </c>
      <c r="E24755">
        <v>67.709999999999994</v>
      </c>
    </row>
    <row r="24756" spans="1:5" x14ac:dyDescent="0.2">
      <c r="A24756">
        <v>15955</v>
      </c>
      <c r="B24756" t="s">
        <v>44</v>
      </c>
      <c r="C24756">
        <v>15955</v>
      </c>
      <c r="D24756" t="str">
        <f>"15955"</f>
        <v>15955</v>
      </c>
      <c r="E24756">
        <v>74.44</v>
      </c>
    </row>
    <row r="24757" spans="1:5" x14ac:dyDescent="0.2">
      <c r="A24757">
        <v>15956</v>
      </c>
      <c r="B24757" t="s">
        <v>44</v>
      </c>
      <c r="C24757">
        <v>15956</v>
      </c>
      <c r="D24757" t="str">
        <f>"15956"</f>
        <v>15956</v>
      </c>
      <c r="E24757">
        <v>67.2</v>
      </c>
    </row>
    <row r="24758" spans="1:5" x14ac:dyDescent="0.2">
      <c r="A24758">
        <v>15957</v>
      </c>
      <c r="B24758" t="s">
        <v>44</v>
      </c>
      <c r="C24758">
        <v>15957</v>
      </c>
      <c r="D24758" t="str">
        <f>"15957"</f>
        <v>15957</v>
      </c>
      <c r="E24758">
        <v>71.430000000000007</v>
      </c>
    </row>
    <row r="24759" spans="1:5" x14ac:dyDescent="0.2">
      <c r="A24759">
        <v>15958</v>
      </c>
      <c r="B24759" t="s">
        <v>44</v>
      </c>
      <c r="C24759">
        <v>15958</v>
      </c>
      <c r="D24759" t="str">
        <f>"15958"</f>
        <v>15958</v>
      </c>
      <c r="E24759">
        <v>74.77</v>
      </c>
    </row>
    <row r="24760" spans="1:5" x14ac:dyDescent="0.2">
      <c r="A24760">
        <v>15960</v>
      </c>
      <c r="B24760" t="s">
        <v>44</v>
      </c>
      <c r="C24760">
        <v>15960</v>
      </c>
      <c r="D24760" t="str">
        <f>"15960"</f>
        <v>15960</v>
      </c>
      <c r="E24760" t="s">
        <v>6</v>
      </c>
    </row>
    <row r="24761" spans="1:5" x14ac:dyDescent="0.2">
      <c r="A24761">
        <v>15961</v>
      </c>
      <c r="B24761" t="s">
        <v>44</v>
      </c>
      <c r="C24761">
        <v>15961</v>
      </c>
      <c r="D24761" t="str">
        <f>"15961"</f>
        <v>15961</v>
      </c>
      <c r="E24761">
        <v>70.45</v>
      </c>
    </row>
    <row r="24762" spans="1:5" x14ac:dyDescent="0.2">
      <c r="A24762">
        <v>15962</v>
      </c>
      <c r="B24762" t="s">
        <v>44</v>
      </c>
      <c r="C24762">
        <v>15962</v>
      </c>
      <c r="D24762" t="str">
        <f>"15962"</f>
        <v>15962</v>
      </c>
      <c r="E24762" t="s">
        <v>6</v>
      </c>
    </row>
    <row r="24763" spans="1:5" x14ac:dyDescent="0.2">
      <c r="A24763">
        <v>15963</v>
      </c>
      <c r="B24763" t="s">
        <v>44</v>
      </c>
      <c r="C24763">
        <v>15963</v>
      </c>
      <c r="D24763" t="str">
        <f>"15963"</f>
        <v>15963</v>
      </c>
      <c r="E24763">
        <v>70.87</v>
      </c>
    </row>
    <row r="24764" spans="1:5" x14ac:dyDescent="0.2">
      <c r="A24764">
        <v>16001</v>
      </c>
      <c r="B24764" t="s">
        <v>44</v>
      </c>
      <c r="C24764">
        <v>16001</v>
      </c>
      <c r="D24764" t="str">
        <f>"16001"</f>
        <v>16001</v>
      </c>
      <c r="E24764">
        <v>72.739999999999995</v>
      </c>
    </row>
    <row r="24765" spans="1:5" x14ac:dyDescent="0.2">
      <c r="A24765">
        <v>16002</v>
      </c>
      <c r="B24765" t="s">
        <v>44</v>
      </c>
      <c r="C24765">
        <v>16002</v>
      </c>
      <c r="D24765" t="str">
        <f>"16002"</f>
        <v>16002</v>
      </c>
      <c r="E24765">
        <v>76.790000000000006</v>
      </c>
    </row>
    <row r="24766" spans="1:5" x14ac:dyDescent="0.2">
      <c r="A24766">
        <v>16003</v>
      </c>
      <c r="B24766" t="s">
        <v>44</v>
      </c>
      <c r="C24766">
        <v>16003</v>
      </c>
      <c r="D24766" t="str">
        <f>"16003"</f>
        <v>16003</v>
      </c>
      <c r="E24766" t="s">
        <v>6</v>
      </c>
    </row>
    <row r="24767" spans="1:5" x14ac:dyDescent="0.2">
      <c r="A24767">
        <v>16020</v>
      </c>
      <c r="B24767" t="s">
        <v>44</v>
      </c>
      <c r="C24767">
        <v>16020</v>
      </c>
      <c r="D24767" t="str">
        <f>"16020"</f>
        <v>16020</v>
      </c>
      <c r="E24767">
        <v>73.33</v>
      </c>
    </row>
    <row r="24768" spans="1:5" x14ac:dyDescent="0.2">
      <c r="A24768">
        <v>16022</v>
      </c>
      <c r="B24768" t="s">
        <v>44</v>
      </c>
      <c r="C24768">
        <v>16022</v>
      </c>
      <c r="D24768" t="str">
        <f>"16022"</f>
        <v>16022</v>
      </c>
      <c r="E24768" t="s">
        <v>6</v>
      </c>
    </row>
    <row r="24769" spans="1:5" x14ac:dyDescent="0.2">
      <c r="A24769">
        <v>16023</v>
      </c>
      <c r="B24769" t="s">
        <v>44</v>
      </c>
      <c r="C24769">
        <v>16023</v>
      </c>
      <c r="D24769" t="str">
        <f>"16023"</f>
        <v>16023</v>
      </c>
      <c r="E24769">
        <v>74.209999999999994</v>
      </c>
    </row>
    <row r="24770" spans="1:5" x14ac:dyDescent="0.2">
      <c r="A24770">
        <v>16024</v>
      </c>
      <c r="B24770" t="s">
        <v>44</v>
      </c>
      <c r="C24770">
        <v>16024</v>
      </c>
      <c r="D24770" t="str">
        <f>"16024"</f>
        <v>16024</v>
      </c>
      <c r="E24770" t="s">
        <v>6</v>
      </c>
    </row>
    <row r="24771" spans="1:5" x14ac:dyDescent="0.2">
      <c r="A24771">
        <v>16025</v>
      </c>
      <c r="B24771" t="s">
        <v>44</v>
      </c>
      <c r="C24771">
        <v>16025</v>
      </c>
      <c r="D24771" t="str">
        <f>"16025"</f>
        <v>16025</v>
      </c>
      <c r="E24771">
        <v>77.099999999999994</v>
      </c>
    </row>
    <row r="24772" spans="1:5" x14ac:dyDescent="0.2">
      <c r="A24772">
        <v>16027</v>
      </c>
      <c r="B24772" t="s">
        <v>44</v>
      </c>
      <c r="C24772">
        <v>16027</v>
      </c>
      <c r="D24772" t="str">
        <f>"16027"</f>
        <v>16027</v>
      </c>
      <c r="E24772" t="s">
        <v>6</v>
      </c>
    </row>
    <row r="24773" spans="1:5" x14ac:dyDescent="0.2">
      <c r="A24773">
        <v>16028</v>
      </c>
      <c r="B24773" t="s">
        <v>44</v>
      </c>
      <c r="C24773">
        <v>16028</v>
      </c>
      <c r="D24773" t="str">
        <f>"16028"</f>
        <v>16028</v>
      </c>
      <c r="E24773">
        <v>74.7</v>
      </c>
    </row>
    <row r="24774" spans="1:5" x14ac:dyDescent="0.2">
      <c r="A24774">
        <v>16029</v>
      </c>
      <c r="B24774" t="s">
        <v>44</v>
      </c>
      <c r="C24774">
        <v>16029</v>
      </c>
      <c r="D24774" t="str">
        <f>"16029"</f>
        <v>16029</v>
      </c>
      <c r="E24774" t="s">
        <v>6</v>
      </c>
    </row>
    <row r="24775" spans="1:5" x14ac:dyDescent="0.2">
      <c r="A24775">
        <v>16030</v>
      </c>
      <c r="B24775" t="s">
        <v>44</v>
      </c>
      <c r="C24775">
        <v>16030</v>
      </c>
      <c r="D24775" t="str">
        <f>"16030"</f>
        <v>16030</v>
      </c>
      <c r="E24775" t="s">
        <v>6</v>
      </c>
    </row>
    <row r="24776" spans="1:5" x14ac:dyDescent="0.2">
      <c r="A24776">
        <v>16033</v>
      </c>
      <c r="B24776" t="s">
        <v>44</v>
      </c>
      <c r="C24776">
        <v>16033</v>
      </c>
      <c r="D24776" t="str">
        <f>"16033"</f>
        <v>16033</v>
      </c>
      <c r="E24776">
        <v>77.709999999999994</v>
      </c>
    </row>
    <row r="24777" spans="1:5" x14ac:dyDescent="0.2">
      <c r="A24777">
        <v>16034</v>
      </c>
      <c r="B24777" t="s">
        <v>44</v>
      </c>
      <c r="C24777">
        <v>16034</v>
      </c>
      <c r="D24777" t="str">
        <f>"16034"</f>
        <v>16034</v>
      </c>
      <c r="E24777">
        <v>78.89</v>
      </c>
    </row>
    <row r="24778" spans="1:5" x14ac:dyDescent="0.2">
      <c r="A24778">
        <v>16036</v>
      </c>
      <c r="B24778" t="s">
        <v>44</v>
      </c>
      <c r="C24778">
        <v>16036</v>
      </c>
      <c r="D24778" t="str">
        <f>"16036"</f>
        <v>16036</v>
      </c>
      <c r="E24778" t="s">
        <v>6</v>
      </c>
    </row>
    <row r="24779" spans="1:5" x14ac:dyDescent="0.2">
      <c r="A24779">
        <v>16037</v>
      </c>
      <c r="B24779" t="s">
        <v>44</v>
      </c>
      <c r="C24779">
        <v>16037</v>
      </c>
      <c r="D24779" t="str">
        <f>"16037"</f>
        <v>16037</v>
      </c>
      <c r="E24779">
        <v>79.84</v>
      </c>
    </row>
    <row r="24780" spans="1:5" x14ac:dyDescent="0.2">
      <c r="A24780">
        <v>16038</v>
      </c>
      <c r="B24780" t="s">
        <v>44</v>
      </c>
      <c r="C24780">
        <v>16038</v>
      </c>
      <c r="D24780" t="str">
        <f>"16038"</f>
        <v>16038</v>
      </c>
      <c r="E24780">
        <v>74.03</v>
      </c>
    </row>
    <row r="24781" spans="1:5" x14ac:dyDescent="0.2">
      <c r="A24781">
        <v>16040</v>
      </c>
      <c r="B24781" t="s">
        <v>44</v>
      </c>
      <c r="C24781">
        <v>16040</v>
      </c>
      <c r="D24781" t="str">
        <f>"16040"</f>
        <v>16040</v>
      </c>
      <c r="E24781">
        <v>73.91</v>
      </c>
    </row>
    <row r="24782" spans="1:5" x14ac:dyDescent="0.2">
      <c r="A24782">
        <v>16041</v>
      </c>
      <c r="B24782" t="s">
        <v>44</v>
      </c>
      <c r="C24782">
        <v>16041</v>
      </c>
      <c r="D24782" t="str">
        <f>"16041"</f>
        <v>16041</v>
      </c>
      <c r="E24782">
        <v>77.010000000000005</v>
      </c>
    </row>
    <row r="24783" spans="1:5" x14ac:dyDescent="0.2">
      <c r="A24783">
        <v>16045</v>
      </c>
      <c r="B24783" t="s">
        <v>44</v>
      </c>
      <c r="C24783">
        <v>16045</v>
      </c>
      <c r="D24783" t="str">
        <f>"16045"</f>
        <v>16045</v>
      </c>
      <c r="E24783">
        <v>65.52</v>
      </c>
    </row>
    <row r="24784" spans="1:5" x14ac:dyDescent="0.2">
      <c r="A24784">
        <v>16046</v>
      </c>
      <c r="B24784" t="s">
        <v>44</v>
      </c>
      <c r="C24784">
        <v>16046</v>
      </c>
      <c r="D24784" t="str">
        <f>"16046"</f>
        <v>16046</v>
      </c>
      <c r="E24784">
        <v>81.69</v>
      </c>
    </row>
    <row r="24785" spans="1:5" x14ac:dyDescent="0.2">
      <c r="A24785">
        <v>16049</v>
      </c>
      <c r="B24785" t="s">
        <v>44</v>
      </c>
      <c r="C24785">
        <v>16049</v>
      </c>
      <c r="D24785" t="str">
        <f>"16049"</f>
        <v>16049</v>
      </c>
      <c r="E24785">
        <v>71.33</v>
      </c>
    </row>
    <row r="24786" spans="1:5" x14ac:dyDescent="0.2">
      <c r="A24786">
        <v>16050</v>
      </c>
      <c r="B24786" t="s">
        <v>44</v>
      </c>
      <c r="C24786">
        <v>16050</v>
      </c>
      <c r="D24786" t="str">
        <f>"16050"</f>
        <v>16050</v>
      </c>
      <c r="E24786">
        <v>72.73</v>
      </c>
    </row>
    <row r="24787" spans="1:5" x14ac:dyDescent="0.2">
      <c r="A24787">
        <v>16051</v>
      </c>
      <c r="B24787" t="s">
        <v>44</v>
      </c>
      <c r="C24787">
        <v>16051</v>
      </c>
      <c r="D24787" t="str">
        <f>"16051"</f>
        <v>16051</v>
      </c>
      <c r="E24787">
        <v>74.319999999999993</v>
      </c>
    </row>
    <row r="24788" spans="1:5" x14ac:dyDescent="0.2">
      <c r="A24788">
        <v>16052</v>
      </c>
      <c r="B24788" t="s">
        <v>44</v>
      </c>
      <c r="C24788">
        <v>16052</v>
      </c>
      <c r="D24788" t="str">
        <f>"16052"</f>
        <v>16052</v>
      </c>
      <c r="E24788">
        <v>74.599999999999994</v>
      </c>
    </row>
    <row r="24789" spans="1:5" x14ac:dyDescent="0.2">
      <c r="A24789">
        <v>16053</v>
      </c>
      <c r="B24789" t="s">
        <v>44</v>
      </c>
      <c r="C24789">
        <v>16053</v>
      </c>
      <c r="D24789" t="str">
        <f>"16053"</f>
        <v>16053</v>
      </c>
      <c r="E24789">
        <v>79.459999999999994</v>
      </c>
    </row>
    <row r="24790" spans="1:5" x14ac:dyDescent="0.2">
      <c r="A24790">
        <v>16054</v>
      </c>
      <c r="B24790" t="s">
        <v>44</v>
      </c>
      <c r="C24790">
        <v>16054</v>
      </c>
      <c r="D24790" t="str">
        <f>"16054"</f>
        <v>16054</v>
      </c>
      <c r="E24790" t="s">
        <v>6</v>
      </c>
    </row>
    <row r="24791" spans="1:5" x14ac:dyDescent="0.2">
      <c r="A24791">
        <v>16055</v>
      </c>
      <c r="B24791" t="s">
        <v>44</v>
      </c>
      <c r="C24791">
        <v>16055</v>
      </c>
      <c r="D24791" t="str">
        <f>"16055"</f>
        <v>16055</v>
      </c>
      <c r="E24791">
        <v>78.84</v>
      </c>
    </row>
    <row r="24792" spans="1:5" x14ac:dyDescent="0.2">
      <c r="A24792">
        <v>16056</v>
      </c>
      <c r="B24792" t="s">
        <v>44</v>
      </c>
      <c r="C24792">
        <v>16056</v>
      </c>
      <c r="D24792" t="str">
        <f>"16056"</f>
        <v>16056</v>
      </c>
      <c r="E24792">
        <v>76.680000000000007</v>
      </c>
    </row>
    <row r="24793" spans="1:5" x14ac:dyDescent="0.2">
      <c r="A24793">
        <v>16057</v>
      </c>
      <c r="B24793" t="s">
        <v>44</v>
      </c>
      <c r="C24793">
        <v>16057</v>
      </c>
      <c r="D24793" t="str">
        <f>"16057"</f>
        <v>16057</v>
      </c>
      <c r="E24793">
        <v>72.75</v>
      </c>
    </row>
    <row r="24794" spans="1:5" x14ac:dyDescent="0.2">
      <c r="A24794">
        <v>16059</v>
      </c>
      <c r="B24794" t="s">
        <v>44</v>
      </c>
      <c r="C24794">
        <v>16059</v>
      </c>
      <c r="D24794" t="str">
        <f>"16059"</f>
        <v>16059</v>
      </c>
      <c r="E24794">
        <v>78.42</v>
      </c>
    </row>
    <row r="24795" spans="1:5" x14ac:dyDescent="0.2">
      <c r="A24795">
        <v>16061</v>
      </c>
      <c r="B24795" t="s">
        <v>44</v>
      </c>
      <c r="C24795">
        <v>16061</v>
      </c>
      <c r="D24795" t="str">
        <f>"16061"</f>
        <v>16061</v>
      </c>
      <c r="E24795">
        <v>76.34</v>
      </c>
    </row>
    <row r="24796" spans="1:5" x14ac:dyDescent="0.2">
      <c r="A24796">
        <v>16063</v>
      </c>
      <c r="B24796" t="s">
        <v>44</v>
      </c>
      <c r="C24796">
        <v>16063</v>
      </c>
      <c r="D24796" t="str">
        <f>"16063"</f>
        <v>16063</v>
      </c>
      <c r="E24796">
        <v>77.63</v>
      </c>
    </row>
    <row r="24797" spans="1:5" x14ac:dyDescent="0.2">
      <c r="A24797">
        <v>16066</v>
      </c>
      <c r="B24797" t="s">
        <v>44</v>
      </c>
      <c r="C24797">
        <v>16066</v>
      </c>
      <c r="D24797" t="str">
        <f>"16066"</f>
        <v>16066</v>
      </c>
      <c r="E24797">
        <v>80.430000000000007</v>
      </c>
    </row>
    <row r="24798" spans="1:5" x14ac:dyDescent="0.2">
      <c r="A24798">
        <v>16101</v>
      </c>
      <c r="B24798" t="s">
        <v>44</v>
      </c>
      <c r="C24798">
        <v>16101</v>
      </c>
      <c r="D24798" t="str">
        <f>"16101"</f>
        <v>16101</v>
      </c>
      <c r="E24798">
        <v>66.34</v>
      </c>
    </row>
    <row r="24799" spans="1:5" x14ac:dyDescent="0.2">
      <c r="A24799">
        <v>16102</v>
      </c>
      <c r="B24799" t="s">
        <v>44</v>
      </c>
      <c r="C24799">
        <v>16102</v>
      </c>
      <c r="D24799" t="str">
        <f>"16102"</f>
        <v>16102</v>
      </c>
      <c r="E24799">
        <v>69.959999999999994</v>
      </c>
    </row>
    <row r="24800" spans="1:5" x14ac:dyDescent="0.2">
      <c r="A24800">
        <v>16105</v>
      </c>
      <c r="B24800" t="s">
        <v>44</v>
      </c>
      <c r="C24800">
        <v>16105</v>
      </c>
      <c r="D24800" t="str">
        <f>"16105"</f>
        <v>16105</v>
      </c>
      <c r="E24800">
        <v>74.55</v>
      </c>
    </row>
    <row r="24801" spans="1:5" x14ac:dyDescent="0.2">
      <c r="A24801">
        <v>16110</v>
      </c>
      <c r="B24801" t="s">
        <v>44</v>
      </c>
      <c r="C24801">
        <v>16110</v>
      </c>
      <c r="D24801" t="str">
        <f>"16110"</f>
        <v>16110</v>
      </c>
      <c r="E24801">
        <v>68.75</v>
      </c>
    </row>
    <row r="24802" spans="1:5" x14ac:dyDescent="0.2">
      <c r="A24802">
        <v>16111</v>
      </c>
      <c r="B24802" t="s">
        <v>44</v>
      </c>
      <c r="C24802">
        <v>16111</v>
      </c>
      <c r="D24802" t="str">
        <f>"16111"</f>
        <v>16111</v>
      </c>
      <c r="E24802">
        <v>56.52</v>
      </c>
    </row>
    <row r="24803" spans="1:5" x14ac:dyDescent="0.2">
      <c r="A24803">
        <v>16112</v>
      </c>
      <c r="B24803" t="s">
        <v>44</v>
      </c>
      <c r="C24803">
        <v>16112</v>
      </c>
      <c r="D24803" t="str">
        <f>"16112"</f>
        <v>16112</v>
      </c>
      <c r="E24803">
        <v>67.5</v>
      </c>
    </row>
    <row r="24804" spans="1:5" x14ac:dyDescent="0.2">
      <c r="A24804">
        <v>16114</v>
      </c>
      <c r="B24804" t="s">
        <v>44</v>
      </c>
      <c r="C24804">
        <v>16114</v>
      </c>
      <c r="D24804" t="str">
        <f>"16114"</f>
        <v>16114</v>
      </c>
      <c r="E24804">
        <v>75.86</v>
      </c>
    </row>
    <row r="24805" spans="1:5" x14ac:dyDescent="0.2">
      <c r="A24805">
        <v>16115</v>
      </c>
      <c r="B24805" t="s">
        <v>44</v>
      </c>
      <c r="C24805">
        <v>16115</v>
      </c>
      <c r="D24805" t="str">
        <f>"16115"</f>
        <v>16115</v>
      </c>
      <c r="E24805">
        <v>77.22</v>
      </c>
    </row>
    <row r="24806" spans="1:5" x14ac:dyDescent="0.2">
      <c r="A24806">
        <v>16116</v>
      </c>
      <c r="B24806" t="s">
        <v>44</v>
      </c>
      <c r="C24806">
        <v>16116</v>
      </c>
      <c r="D24806" t="str">
        <f>"16116"</f>
        <v>16116</v>
      </c>
      <c r="E24806">
        <v>69.53</v>
      </c>
    </row>
    <row r="24807" spans="1:5" x14ac:dyDescent="0.2">
      <c r="A24807">
        <v>16117</v>
      </c>
      <c r="B24807" t="s">
        <v>44</v>
      </c>
      <c r="C24807">
        <v>16117</v>
      </c>
      <c r="D24807" t="str">
        <f>"16117"</f>
        <v>16117</v>
      </c>
      <c r="E24807">
        <v>71.77</v>
      </c>
    </row>
    <row r="24808" spans="1:5" x14ac:dyDescent="0.2">
      <c r="A24808">
        <v>16120</v>
      </c>
      <c r="B24808" t="s">
        <v>44</v>
      </c>
      <c r="C24808">
        <v>16120</v>
      </c>
      <c r="D24808" t="str">
        <f>"16120"</f>
        <v>16120</v>
      </c>
      <c r="E24808">
        <v>70.75</v>
      </c>
    </row>
    <row r="24809" spans="1:5" x14ac:dyDescent="0.2">
      <c r="A24809">
        <v>16121</v>
      </c>
      <c r="B24809" t="s">
        <v>44</v>
      </c>
      <c r="C24809">
        <v>16121</v>
      </c>
      <c r="D24809" t="str">
        <f>"16121"</f>
        <v>16121</v>
      </c>
      <c r="E24809">
        <v>56.19</v>
      </c>
    </row>
    <row r="24810" spans="1:5" x14ac:dyDescent="0.2">
      <c r="A24810">
        <v>16123</v>
      </c>
      <c r="B24810" t="s">
        <v>44</v>
      </c>
      <c r="C24810">
        <v>16123</v>
      </c>
      <c r="D24810" t="str">
        <f>"16123"</f>
        <v>16123</v>
      </c>
      <c r="E24810">
        <v>72.319999999999993</v>
      </c>
    </row>
    <row r="24811" spans="1:5" x14ac:dyDescent="0.2">
      <c r="A24811">
        <v>16124</v>
      </c>
      <c r="B24811" t="s">
        <v>44</v>
      </c>
      <c r="C24811">
        <v>16124</v>
      </c>
      <c r="D24811" t="str">
        <f>"16124"</f>
        <v>16124</v>
      </c>
      <c r="E24811">
        <v>68.89</v>
      </c>
    </row>
    <row r="24812" spans="1:5" x14ac:dyDescent="0.2">
      <c r="A24812">
        <v>16125</v>
      </c>
      <c r="B24812" t="s">
        <v>44</v>
      </c>
      <c r="C24812">
        <v>16125</v>
      </c>
      <c r="D24812" t="str">
        <f>"16125"</f>
        <v>16125</v>
      </c>
      <c r="E24812">
        <v>66.2</v>
      </c>
    </row>
    <row r="24813" spans="1:5" x14ac:dyDescent="0.2">
      <c r="A24813">
        <v>16127</v>
      </c>
      <c r="B24813" t="s">
        <v>44</v>
      </c>
      <c r="C24813">
        <v>16127</v>
      </c>
      <c r="D24813" t="str">
        <f>"16127"</f>
        <v>16127</v>
      </c>
      <c r="E24813">
        <v>72.099999999999994</v>
      </c>
    </row>
    <row r="24814" spans="1:5" x14ac:dyDescent="0.2">
      <c r="A24814">
        <v>16130</v>
      </c>
      <c r="B24814" t="s">
        <v>44</v>
      </c>
      <c r="C24814">
        <v>16130</v>
      </c>
      <c r="D24814" t="str">
        <f>"16130"</f>
        <v>16130</v>
      </c>
      <c r="E24814">
        <v>66.67</v>
      </c>
    </row>
    <row r="24815" spans="1:5" x14ac:dyDescent="0.2">
      <c r="A24815">
        <v>16131</v>
      </c>
      <c r="B24815" t="s">
        <v>44</v>
      </c>
      <c r="C24815">
        <v>16131</v>
      </c>
      <c r="D24815" t="str">
        <f>"16131"</f>
        <v>16131</v>
      </c>
      <c r="E24815">
        <v>66.67</v>
      </c>
    </row>
    <row r="24816" spans="1:5" x14ac:dyDescent="0.2">
      <c r="A24816">
        <v>16132</v>
      </c>
      <c r="B24816" t="s">
        <v>44</v>
      </c>
      <c r="C24816">
        <v>16132</v>
      </c>
      <c r="D24816" t="str">
        <f>"16132"</f>
        <v>16132</v>
      </c>
      <c r="E24816" t="s">
        <v>6</v>
      </c>
    </row>
    <row r="24817" spans="1:5" x14ac:dyDescent="0.2">
      <c r="A24817">
        <v>16133</v>
      </c>
      <c r="B24817" t="s">
        <v>44</v>
      </c>
      <c r="C24817">
        <v>16133</v>
      </c>
      <c r="D24817" t="str">
        <f>"16133"</f>
        <v>16133</v>
      </c>
      <c r="E24817">
        <v>71.83</v>
      </c>
    </row>
    <row r="24818" spans="1:5" x14ac:dyDescent="0.2">
      <c r="A24818">
        <v>16134</v>
      </c>
      <c r="B24818" t="s">
        <v>44</v>
      </c>
      <c r="C24818">
        <v>16134</v>
      </c>
      <c r="D24818" t="str">
        <f>"16134"</f>
        <v>16134</v>
      </c>
      <c r="E24818">
        <v>66.86</v>
      </c>
    </row>
    <row r="24819" spans="1:5" x14ac:dyDescent="0.2">
      <c r="A24819">
        <v>16136</v>
      </c>
      <c r="B24819" t="s">
        <v>44</v>
      </c>
      <c r="C24819">
        <v>16136</v>
      </c>
      <c r="D24819" t="str">
        <f>"16136"</f>
        <v>16136</v>
      </c>
      <c r="E24819" t="s">
        <v>6</v>
      </c>
    </row>
    <row r="24820" spans="1:5" x14ac:dyDescent="0.2">
      <c r="A24820">
        <v>16137</v>
      </c>
      <c r="B24820" t="s">
        <v>44</v>
      </c>
      <c r="C24820">
        <v>16137</v>
      </c>
      <c r="D24820" t="str">
        <f>"16137"</f>
        <v>16137</v>
      </c>
      <c r="E24820">
        <v>71.06</v>
      </c>
    </row>
    <row r="24821" spans="1:5" x14ac:dyDescent="0.2">
      <c r="A24821">
        <v>16141</v>
      </c>
      <c r="B24821" t="s">
        <v>44</v>
      </c>
      <c r="C24821">
        <v>16141</v>
      </c>
      <c r="D24821" t="str">
        <f>"16141"</f>
        <v>16141</v>
      </c>
      <c r="E24821">
        <v>72.150000000000006</v>
      </c>
    </row>
    <row r="24822" spans="1:5" x14ac:dyDescent="0.2">
      <c r="A24822">
        <v>16142</v>
      </c>
      <c r="B24822" t="s">
        <v>44</v>
      </c>
      <c r="C24822">
        <v>16142</v>
      </c>
      <c r="D24822" t="str">
        <f>"16142"</f>
        <v>16142</v>
      </c>
      <c r="E24822">
        <v>69.959999999999994</v>
      </c>
    </row>
    <row r="24823" spans="1:5" x14ac:dyDescent="0.2">
      <c r="A24823">
        <v>16143</v>
      </c>
      <c r="B24823" t="s">
        <v>44</v>
      </c>
      <c r="C24823">
        <v>16143</v>
      </c>
      <c r="D24823" t="str">
        <f>"16143"</f>
        <v>16143</v>
      </c>
      <c r="E24823">
        <v>74.81</v>
      </c>
    </row>
    <row r="24824" spans="1:5" x14ac:dyDescent="0.2">
      <c r="A24824">
        <v>16145</v>
      </c>
      <c r="B24824" t="s">
        <v>44</v>
      </c>
      <c r="C24824">
        <v>16145</v>
      </c>
      <c r="D24824" t="str">
        <f>"16145"</f>
        <v>16145</v>
      </c>
      <c r="E24824">
        <v>70.680000000000007</v>
      </c>
    </row>
    <row r="24825" spans="1:5" x14ac:dyDescent="0.2">
      <c r="A24825">
        <v>16146</v>
      </c>
      <c r="B24825" t="s">
        <v>44</v>
      </c>
      <c r="C24825">
        <v>16146</v>
      </c>
      <c r="D24825" t="str">
        <f>"16146"</f>
        <v>16146</v>
      </c>
      <c r="E24825">
        <v>59.15</v>
      </c>
    </row>
    <row r="24826" spans="1:5" x14ac:dyDescent="0.2">
      <c r="A24826">
        <v>16148</v>
      </c>
      <c r="B24826" t="s">
        <v>44</v>
      </c>
      <c r="C24826">
        <v>16148</v>
      </c>
      <c r="D24826" t="str">
        <f>"16148"</f>
        <v>16148</v>
      </c>
      <c r="E24826">
        <v>71.98</v>
      </c>
    </row>
    <row r="24827" spans="1:5" x14ac:dyDescent="0.2">
      <c r="A24827">
        <v>16150</v>
      </c>
      <c r="B24827" t="s">
        <v>44</v>
      </c>
      <c r="C24827">
        <v>16150</v>
      </c>
      <c r="D24827" t="str">
        <f>"16150"</f>
        <v>16150</v>
      </c>
      <c r="E24827">
        <v>69.540000000000006</v>
      </c>
    </row>
    <row r="24828" spans="1:5" x14ac:dyDescent="0.2">
      <c r="A24828">
        <v>16153</v>
      </c>
      <c r="B24828" t="s">
        <v>44</v>
      </c>
      <c r="C24828">
        <v>16153</v>
      </c>
      <c r="D24828" t="str">
        <f>"16153"</f>
        <v>16153</v>
      </c>
      <c r="E24828">
        <v>71.069999999999993</v>
      </c>
    </row>
    <row r="24829" spans="1:5" x14ac:dyDescent="0.2">
      <c r="A24829">
        <v>16154</v>
      </c>
      <c r="B24829" t="s">
        <v>44</v>
      </c>
      <c r="C24829">
        <v>16154</v>
      </c>
      <c r="D24829" t="str">
        <f>"16154"</f>
        <v>16154</v>
      </c>
      <c r="E24829">
        <v>71.77</v>
      </c>
    </row>
    <row r="24830" spans="1:5" x14ac:dyDescent="0.2">
      <c r="A24830">
        <v>16156</v>
      </c>
      <c r="B24830" t="s">
        <v>44</v>
      </c>
      <c r="C24830">
        <v>16156</v>
      </c>
      <c r="D24830" t="str">
        <f>"16156"</f>
        <v>16156</v>
      </c>
      <c r="E24830">
        <v>71.61</v>
      </c>
    </row>
    <row r="24831" spans="1:5" x14ac:dyDescent="0.2">
      <c r="A24831">
        <v>16157</v>
      </c>
      <c r="B24831" t="s">
        <v>44</v>
      </c>
      <c r="C24831">
        <v>16157</v>
      </c>
      <c r="D24831" t="str">
        <f>"16157"</f>
        <v>16157</v>
      </c>
      <c r="E24831">
        <v>75.95</v>
      </c>
    </row>
    <row r="24832" spans="1:5" x14ac:dyDescent="0.2">
      <c r="A24832">
        <v>16159</v>
      </c>
      <c r="B24832" t="s">
        <v>44</v>
      </c>
      <c r="C24832">
        <v>16159</v>
      </c>
      <c r="D24832" t="str">
        <f>"16159"</f>
        <v>16159</v>
      </c>
      <c r="E24832">
        <v>73.209999999999994</v>
      </c>
    </row>
    <row r="24833" spans="1:5" x14ac:dyDescent="0.2">
      <c r="A24833">
        <v>16160</v>
      </c>
      <c r="B24833" t="s">
        <v>44</v>
      </c>
      <c r="C24833">
        <v>16160</v>
      </c>
      <c r="D24833" t="str">
        <f>"16160"</f>
        <v>16160</v>
      </c>
      <c r="E24833" t="s">
        <v>6</v>
      </c>
    </row>
    <row r="24834" spans="1:5" x14ac:dyDescent="0.2">
      <c r="A24834">
        <v>16161</v>
      </c>
      <c r="B24834" t="s">
        <v>44</v>
      </c>
      <c r="C24834">
        <v>16161</v>
      </c>
      <c r="D24834" t="str">
        <f>"16161"</f>
        <v>16161</v>
      </c>
      <c r="E24834" t="s">
        <v>6</v>
      </c>
    </row>
    <row r="24835" spans="1:5" x14ac:dyDescent="0.2">
      <c r="A24835">
        <v>16201</v>
      </c>
      <c r="B24835" t="s">
        <v>44</v>
      </c>
      <c r="C24835">
        <v>16201</v>
      </c>
      <c r="D24835" t="str">
        <f>"16201"</f>
        <v>16201</v>
      </c>
      <c r="E24835">
        <v>71.66</v>
      </c>
    </row>
    <row r="24836" spans="1:5" x14ac:dyDescent="0.2">
      <c r="A24836">
        <v>16210</v>
      </c>
      <c r="B24836" t="s">
        <v>44</v>
      </c>
      <c r="C24836">
        <v>16210</v>
      </c>
      <c r="D24836" t="str">
        <f>"16210"</f>
        <v>16210</v>
      </c>
      <c r="E24836">
        <v>72.73</v>
      </c>
    </row>
    <row r="24837" spans="1:5" x14ac:dyDescent="0.2">
      <c r="A24837">
        <v>16211</v>
      </c>
      <c r="B24837" t="s">
        <v>44</v>
      </c>
      <c r="C24837">
        <v>16211</v>
      </c>
      <c r="D24837" t="str">
        <f>"16211"</f>
        <v>16211</v>
      </c>
      <c r="E24837" t="s">
        <v>6</v>
      </c>
    </row>
    <row r="24838" spans="1:5" x14ac:dyDescent="0.2">
      <c r="A24838">
        <v>16212</v>
      </c>
      <c r="B24838" t="s">
        <v>44</v>
      </c>
      <c r="C24838">
        <v>16212</v>
      </c>
      <c r="D24838" t="str">
        <f>"16212"</f>
        <v>16212</v>
      </c>
      <c r="E24838" t="s">
        <v>6</v>
      </c>
    </row>
    <row r="24839" spans="1:5" x14ac:dyDescent="0.2">
      <c r="A24839">
        <v>16213</v>
      </c>
      <c r="B24839" t="s">
        <v>44</v>
      </c>
      <c r="C24839">
        <v>16213</v>
      </c>
      <c r="D24839" t="str">
        <f>"16213"</f>
        <v>16213</v>
      </c>
      <c r="E24839" t="s">
        <v>6</v>
      </c>
    </row>
    <row r="24840" spans="1:5" x14ac:dyDescent="0.2">
      <c r="A24840">
        <v>16214</v>
      </c>
      <c r="B24840" t="s">
        <v>44</v>
      </c>
      <c r="C24840">
        <v>16214</v>
      </c>
      <c r="D24840" t="str">
        <f>"16214"</f>
        <v>16214</v>
      </c>
      <c r="E24840">
        <v>70.790000000000006</v>
      </c>
    </row>
    <row r="24841" spans="1:5" x14ac:dyDescent="0.2">
      <c r="A24841">
        <v>16217</v>
      </c>
      <c r="B24841" t="s">
        <v>44</v>
      </c>
      <c r="C24841">
        <v>16217</v>
      </c>
      <c r="D24841" t="str">
        <f>"16217"</f>
        <v>16217</v>
      </c>
      <c r="E24841" t="s">
        <v>6</v>
      </c>
    </row>
    <row r="24842" spans="1:5" x14ac:dyDescent="0.2">
      <c r="A24842">
        <v>16218</v>
      </c>
      <c r="B24842" t="s">
        <v>44</v>
      </c>
      <c r="C24842">
        <v>16218</v>
      </c>
      <c r="D24842" t="str">
        <f>"16218"</f>
        <v>16218</v>
      </c>
      <c r="E24842">
        <v>76.599999999999994</v>
      </c>
    </row>
    <row r="24843" spans="1:5" x14ac:dyDescent="0.2">
      <c r="A24843">
        <v>16222</v>
      </c>
      <c r="B24843" t="s">
        <v>44</v>
      </c>
      <c r="C24843">
        <v>16222</v>
      </c>
      <c r="D24843" t="str">
        <f>"16222"</f>
        <v>16222</v>
      </c>
      <c r="E24843">
        <v>66.06</v>
      </c>
    </row>
    <row r="24844" spans="1:5" x14ac:dyDescent="0.2">
      <c r="A24844">
        <v>16224</v>
      </c>
      <c r="B24844" t="s">
        <v>44</v>
      </c>
      <c r="C24844">
        <v>16224</v>
      </c>
      <c r="D24844" t="str">
        <f>"16224"</f>
        <v>16224</v>
      </c>
      <c r="E24844">
        <v>72</v>
      </c>
    </row>
    <row r="24845" spans="1:5" x14ac:dyDescent="0.2">
      <c r="A24845">
        <v>16226</v>
      </c>
      <c r="B24845" t="s">
        <v>44</v>
      </c>
      <c r="C24845">
        <v>16226</v>
      </c>
      <c r="D24845" t="str">
        <f>"16226"</f>
        <v>16226</v>
      </c>
      <c r="E24845">
        <v>72.02</v>
      </c>
    </row>
    <row r="24846" spans="1:5" x14ac:dyDescent="0.2">
      <c r="A24846">
        <v>16228</v>
      </c>
      <c r="B24846" t="s">
        <v>44</v>
      </c>
      <c r="C24846">
        <v>16228</v>
      </c>
      <c r="D24846" t="str">
        <f>"16228"</f>
        <v>16228</v>
      </c>
      <c r="E24846">
        <v>73.680000000000007</v>
      </c>
    </row>
    <row r="24847" spans="1:5" x14ac:dyDescent="0.2">
      <c r="A24847">
        <v>16229</v>
      </c>
      <c r="B24847" t="s">
        <v>44</v>
      </c>
      <c r="C24847">
        <v>16229</v>
      </c>
      <c r="D24847" t="str">
        <f>"16229"</f>
        <v>16229</v>
      </c>
      <c r="E24847">
        <v>75.569999999999993</v>
      </c>
    </row>
    <row r="24848" spans="1:5" x14ac:dyDescent="0.2">
      <c r="A24848">
        <v>16230</v>
      </c>
      <c r="B24848" t="s">
        <v>44</v>
      </c>
      <c r="C24848">
        <v>16230</v>
      </c>
      <c r="D24848" t="str">
        <f>"16230"</f>
        <v>16230</v>
      </c>
      <c r="E24848" t="s">
        <v>6</v>
      </c>
    </row>
    <row r="24849" spans="1:5" x14ac:dyDescent="0.2">
      <c r="A24849">
        <v>16232</v>
      </c>
      <c r="B24849" t="s">
        <v>44</v>
      </c>
      <c r="C24849">
        <v>16232</v>
      </c>
      <c r="D24849" t="str">
        <f>"16232"</f>
        <v>16232</v>
      </c>
      <c r="E24849">
        <v>69.150000000000006</v>
      </c>
    </row>
    <row r="24850" spans="1:5" x14ac:dyDescent="0.2">
      <c r="A24850">
        <v>16233</v>
      </c>
      <c r="B24850" t="s">
        <v>44</v>
      </c>
      <c r="C24850">
        <v>16233</v>
      </c>
      <c r="D24850" t="str">
        <f>"16233"</f>
        <v>16233</v>
      </c>
      <c r="E24850">
        <v>72</v>
      </c>
    </row>
    <row r="24851" spans="1:5" x14ac:dyDescent="0.2">
      <c r="A24851">
        <v>16235</v>
      </c>
      <c r="B24851" t="s">
        <v>44</v>
      </c>
      <c r="C24851">
        <v>16235</v>
      </c>
      <c r="D24851" t="str">
        <f>"16235"</f>
        <v>16235</v>
      </c>
      <c r="E24851">
        <v>72.58</v>
      </c>
    </row>
    <row r="24852" spans="1:5" x14ac:dyDescent="0.2">
      <c r="A24852">
        <v>16236</v>
      </c>
      <c r="B24852" t="s">
        <v>44</v>
      </c>
      <c r="C24852">
        <v>16236</v>
      </c>
      <c r="D24852" t="str">
        <f>"16236"</f>
        <v>16236</v>
      </c>
      <c r="E24852" t="s">
        <v>6</v>
      </c>
    </row>
    <row r="24853" spans="1:5" x14ac:dyDescent="0.2">
      <c r="A24853">
        <v>16238</v>
      </c>
      <c r="B24853" t="s">
        <v>44</v>
      </c>
      <c r="C24853">
        <v>16238</v>
      </c>
      <c r="D24853" t="str">
        <f>"16238"</f>
        <v>16238</v>
      </c>
      <c r="E24853" t="s">
        <v>6</v>
      </c>
    </row>
    <row r="24854" spans="1:5" x14ac:dyDescent="0.2">
      <c r="A24854">
        <v>16239</v>
      </c>
      <c r="B24854" t="s">
        <v>44</v>
      </c>
      <c r="C24854">
        <v>16239</v>
      </c>
      <c r="D24854" t="str">
        <f>"16239"</f>
        <v>16239</v>
      </c>
      <c r="E24854">
        <v>72.459999999999994</v>
      </c>
    </row>
    <row r="24855" spans="1:5" x14ac:dyDescent="0.2">
      <c r="A24855">
        <v>16240</v>
      </c>
      <c r="B24855" t="s">
        <v>44</v>
      </c>
      <c r="C24855">
        <v>16240</v>
      </c>
      <c r="D24855" t="str">
        <f>"16240"</f>
        <v>16240</v>
      </c>
      <c r="E24855">
        <v>69.7</v>
      </c>
    </row>
    <row r="24856" spans="1:5" x14ac:dyDescent="0.2">
      <c r="A24856">
        <v>16242</v>
      </c>
      <c r="B24856" t="s">
        <v>44</v>
      </c>
      <c r="C24856">
        <v>16242</v>
      </c>
      <c r="D24856" t="str">
        <f>"16242"</f>
        <v>16242</v>
      </c>
      <c r="E24856">
        <v>71.569999999999993</v>
      </c>
    </row>
    <row r="24857" spans="1:5" x14ac:dyDescent="0.2">
      <c r="A24857">
        <v>16245</v>
      </c>
      <c r="B24857" t="s">
        <v>44</v>
      </c>
      <c r="C24857">
        <v>16245</v>
      </c>
      <c r="D24857" t="str">
        <f>"16245"</f>
        <v>16245</v>
      </c>
      <c r="E24857" t="s">
        <v>6</v>
      </c>
    </row>
    <row r="24858" spans="1:5" x14ac:dyDescent="0.2">
      <c r="A24858">
        <v>16246</v>
      </c>
      <c r="B24858" t="s">
        <v>44</v>
      </c>
      <c r="C24858">
        <v>16246</v>
      </c>
      <c r="D24858" t="str">
        <f>"16246"</f>
        <v>16246</v>
      </c>
      <c r="E24858" t="s">
        <v>6</v>
      </c>
    </row>
    <row r="24859" spans="1:5" x14ac:dyDescent="0.2">
      <c r="A24859">
        <v>16248</v>
      </c>
      <c r="B24859" t="s">
        <v>44</v>
      </c>
      <c r="C24859">
        <v>16248</v>
      </c>
      <c r="D24859" t="str">
        <f>"16248"</f>
        <v>16248</v>
      </c>
      <c r="E24859">
        <v>70</v>
      </c>
    </row>
    <row r="24860" spans="1:5" x14ac:dyDescent="0.2">
      <c r="A24860">
        <v>16249</v>
      </c>
      <c r="B24860" t="s">
        <v>44</v>
      </c>
      <c r="C24860">
        <v>16249</v>
      </c>
      <c r="D24860" t="str">
        <f>"16249"</f>
        <v>16249</v>
      </c>
      <c r="E24860">
        <v>70.709999999999994</v>
      </c>
    </row>
    <row r="24861" spans="1:5" x14ac:dyDescent="0.2">
      <c r="A24861">
        <v>16250</v>
      </c>
      <c r="B24861" t="s">
        <v>44</v>
      </c>
      <c r="C24861">
        <v>16250</v>
      </c>
      <c r="D24861" t="str">
        <f>"16250"</f>
        <v>16250</v>
      </c>
      <c r="E24861" t="s">
        <v>6</v>
      </c>
    </row>
    <row r="24862" spans="1:5" x14ac:dyDescent="0.2">
      <c r="A24862">
        <v>16253</v>
      </c>
      <c r="B24862" t="s">
        <v>44</v>
      </c>
      <c r="C24862">
        <v>16253</v>
      </c>
      <c r="D24862" t="str">
        <f>"16253"</f>
        <v>16253</v>
      </c>
      <c r="E24862" t="s">
        <v>6</v>
      </c>
    </row>
    <row r="24863" spans="1:5" x14ac:dyDescent="0.2">
      <c r="A24863">
        <v>16254</v>
      </c>
      <c r="B24863" t="s">
        <v>44</v>
      </c>
      <c r="C24863">
        <v>16254</v>
      </c>
      <c r="D24863" t="str">
        <f>"16254"</f>
        <v>16254</v>
      </c>
      <c r="E24863">
        <v>73.86</v>
      </c>
    </row>
    <row r="24864" spans="1:5" x14ac:dyDescent="0.2">
      <c r="A24864">
        <v>16255</v>
      </c>
      <c r="B24864" t="s">
        <v>44</v>
      </c>
      <c r="C24864">
        <v>16255</v>
      </c>
      <c r="D24864" t="str">
        <f>"16255"</f>
        <v>16255</v>
      </c>
      <c r="E24864">
        <v>68.599999999999994</v>
      </c>
    </row>
    <row r="24865" spans="1:5" x14ac:dyDescent="0.2">
      <c r="A24865">
        <v>16256</v>
      </c>
      <c r="B24865" t="s">
        <v>44</v>
      </c>
      <c r="C24865">
        <v>16256</v>
      </c>
      <c r="D24865" t="str">
        <f>"16256"</f>
        <v>16256</v>
      </c>
      <c r="E24865">
        <v>41.82</v>
      </c>
    </row>
    <row r="24866" spans="1:5" x14ac:dyDescent="0.2">
      <c r="A24866">
        <v>16258</v>
      </c>
      <c r="B24866" t="s">
        <v>44</v>
      </c>
      <c r="C24866">
        <v>16258</v>
      </c>
      <c r="D24866" t="str">
        <f>"16258"</f>
        <v>16258</v>
      </c>
      <c r="E24866">
        <v>71.599999999999994</v>
      </c>
    </row>
    <row r="24867" spans="1:5" x14ac:dyDescent="0.2">
      <c r="A24867">
        <v>16259</v>
      </c>
      <c r="B24867" t="s">
        <v>44</v>
      </c>
      <c r="C24867">
        <v>16259</v>
      </c>
      <c r="D24867" t="str">
        <f>"16259"</f>
        <v>16259</v>
      </c>
      <c r="E24867">
        <v>70.930000000000007</v>
      </c>
    </row>
    <row r="24868" spans="1:5" x14ac:dyDescent="0.2">
      <c r="A24868">
        <v>16260</v>
      </c>
      <c r="B24868" t="s">
        <v>44</v>
      </c>
      <c r="C24868">
        <v>16260</v>
      </c>
      <c r="D24868" t="str">
        <f>"16260"</f>
        <v>16260</v>
      </c>
      <c r="E24868">
        <v>80</v>
      </c>
    </row>
    <row r="24869" spans="1:5" x14ac:dyDescent="0.2">
      <c r="A24869">
        <v>16262</v>
      </c>
      <c r="B24869" t="s">
        <v>44</v>
      </c>
      <c r="C24869">
        <v>16262</v>
      </c>
      <c r="D24869" t="str">
        <f>"16262"</f>
        <v>16262</v>
      </c>
      <c r="E24869">
        <v>74.63</v>
      </c>
    </row>
    <row r="24870" spans="1:5" x14ac:dyDescent="0.2">
      <c r="A24870">
        <v>16301</v>
      </c>
      <c r="B24870" t="s">
        <v>44</v>
      </c>
      <c r="C24870">
        <v>16301</v>
      </c>
      <c r="D24870" t="str">
        <f>"16301"</f>
        <v>16301</v>
      </c>
      <c r="E24870">
        <v>65.290000000000006</v>
      </c>
    </row>
    <row r="24871" spans="1:5" x14ac:dyDescent="0.2">
      <c r="A24871">
        <v>16311</v>
      </c>
      <c r="B24871" t="s">
        <v>44</v>
      </c>
      <c r="C24871">
        <v>16311</v>
      </c>
      <c r="D24871" t="str">
        <f>"16311"</f>
        <v>16311</v>
      </c>
      <c r="E24871">
        <v>76.19</v>
      </c>
    </row>
    <row r="24872" spans="1:5" x14ac:dyDescent="0.2">
      <c r="A24872">
        <v>16313</v>
      </c>
      <c r="B24872" t="s">
        <v>44</v>
      </c>
      <c r="C24872">
        <v>16313</v>
      </c>
      <c r="D24872" t="str">
        <f>"16313"</f>
        <v>16313</v>
      </c>
      <c r="E24872">
        <v>69.77</v>
      </c>
    </row>
    <row r="24873" spans="1:5" x14ac:dyDescent="0.2">
      <c r="A24873">
        <v>16314</v>
      </c>
      <c r="B24873" t="s">
        <v>44</v>
      </c>
      <c r="C24873">
        <v>16314</v>
      </c>
      <c r="D24873" t="str">
        <f>"16314"</f>
        <v>16314</v>
      </c>
      <c r="E24873">
        <v>70.27</v>
      </c>
    </row>
    <row r="24874" spans="1:5" x14ac:dyDescent="0.2">
      <c r="A24874">
        <v>16316</v>
      </c>
      <c r="B24874" t="s">
        <v>44</v>
      </c>
      <c r="C24874">
        <v>16316</v>
      </c>
      <c r="D24874" t="str">
        <f>"16316"</f>
        <v>16316</v>
      </c>
      <c r="E24874">
        <v>74.53</v>
      </c>
    </row>
    <row r="24875" spans="1:5" x14ac:dyDescent="0.2">
      <c r="A24875">
        <v>16317</v>
      </c>
      <c r="B24875" t="s">
        <v>44</v>
      </c>
      <c r="C24875">
        <v>16317</v>
      </c>
      <c r="D24875" t="str">
        <f>"16317"</f>
        <v>16317</v>
      </c>
      <c r="E24875">
        <v>68.66</v>
      </c>
    </row>
    <row r="24876" spans="1:5" x14ac:dyDescent="0.2">
      <c r="A24876">
        <v>16319</v>
      </c>
      <c r="B24876" t="s">
        <v>44</v>
      </c>
      <c r="C24876">
        <v>16319</v>
      </c>
      <c r="D24876" t="str">
        <f>"16319"</f>
        <v>16319</v>
      </c>
      <c r="E24876">
        <v>70.59</v>
      </c>
    </row>
    <row r="24877" spans="1:5" x14ac:dyDescent="0.2">
      <c r="A24877">
        <v>16321</v>
      </c>
      <c r="B24877" t="s">
        <v>44</v>
      </c>
      <c r="C24877">
        <v>16321</v>
      </c>
      <c r="D24877" t="str">
        <f>"16321"</f>
        <v>16321</v>
      </c>
      <c r="E24877" t="s">
        <v>6</v>
      </c>
    </row>
    <row r="24878" spans="1:5" x14ac:dyDescent="0.2">
      <c r="A24878">
        <v>16322</v>
      </c>
      <c r="B24878" t="s">
        <v>44</v>
      </c>
      <c r="C24878">
        <v>16322</v>
      </c>
      <c r="D24878" t="str">
        <f>"16322"</f>
        <v>16322</v>
      </c>
      <c r="E24878" t="s">
        <v>6</v>
      </c>
    </row>
    <row r="24879" spans="1:5" x14ac:dyDescent="0.2">
      <c r="A24879">
        <v>16323</v>
      </c>
      <c r="B24879" t="s">
        <v>44</v>
      </c>
      <c r="C24879">
        <v>16323</v>
      </c>
      <c r="D24879" t="str">
        <f>"16323"</f>
        <v>16323</v>
      </c>
      <c r="E24879">
        <v>68.260000000000005</v>
      </c>
    </row>
    <row r="24880" spans="1:5" x14ac:dyDescent="0.2">
      <c r="A24880">
        <v>16326</v>
      </c>
      <c r="B24880" t="s">
        <v>44</v>
      </c>
      <c r="C24880">
        <v>16326</v>
      </c>
      <c r="D24880" t="str">
        <f>"16326"</f>
        <v>16326</v>
      </c>
      <c r="E24880">
        <v>76.19</v>
      </c>
    </row>
    <row r="24881" spans="1:5" x14ac:dyDescent="0.2">
      <c r="A24881">
        <v>16327</v>
      </c>
      <c r="B24881" t="s">
        <v>44</v>
      </c>
      <c r="C24881">
        <v>16327</v>
      </c>
      <c r="D24881" t="str">
        <f>"16327"</f>
        <v>16327</v>
      </c>
      <c r="E24881">
        <v>71.19</v>
      </c>
    </row>
    <row r="24882" spans="1:5" x14ac:dyDescent="0.2">
      <c r="A24882">
        <v>16328</v>
      </c>
      <c r="B24882" t="s">
        <v>44</v>
      </c>
      <c r="C24882">
        <v>16328</v>
      </c>
      <c r="D24882" t="str">
        <f>"16328"</f>
        <v>16328</v>
      </c>
      <c r="E24882" t="s">
        <v>6</v>
      </c>
    </row>
    <row r="24883" spans="1:5" x14ac:dyDescent="0.2">
      <c r="A24883">
        <v>16329</v>
      </c>
      <c r="B24883" t="s">
        <v>44</v>
      </c>
      <c r="C24883">
        <v>16329</v>
      </c>
      <c r="D24883" t="str">
        <f>"16329"</f>
        <v>16329</v>
      </c>
      <c r="E24883">
        <v>72.73</v>
      </c>
    </row>
    <row r="24884" spans="1:5" x14ac:dyDescent="0.2">
      <c r="A24884">
        <v>16331</v>
      </c>
      <c r="B24884" t="s">
        <v>44</v>
      </c>
      <c r="C24884">
        <v>16331</v>
      </c>
      <c r="D24884" t="str">
        <f>"16331"</f>
        <v>16331</v>
      </c>
      <c r="E24884" t="s">
        <v>6</v>
      </c>
    </row>
    <row r="24885" spans="1:5" x14ac:dyDescent="0.2">
      <c r="A24885">
        <v>16332</v>
      </c>
      <c r="B24885" t="s">
        <v>44</v>
      </c>
      <c r="C24885">
        <v>16332</v>
      </c>
      <c r="D24885" t="str">
        <f>"16332"</f>
        <v>16332</v>
      </c>
      <c r="E24885" t="s">
        <v>6</v>
      </c>
    </row>
    <row r="24886" spans="1:5" x14ac:dyDescent="0.2">
      <c r="A24886">
        <v>16333</v>
      </c>
      <c r="B24886" t="s">
        <v>44</v>
      </c>
      <c r="C24886">
        <v>16333</v>
      </c>
      <c r="D24886" t="str">
        <f>"16333"</f>
        <v>16333</v>
      </c>
      <c r="E24886" t="s">
        <v>6</v>
      </c>
    </row>
    <row r="24887" spans="1:5" x14ac:dyDescent="0.2">
      <c r="A24887">
        <v>16334</v>
      </c>
      <c r="B24887" t="s">
        <v>44</v>
      </c>
      <c r="C24887">
        <v>16334</v>
      </c>
      <c r="D24887" t="str">
        <f>"16334"</f>
        <v>16334</v>
      </c>
      <c r="E24887">
        <v>73.91</v>
      </c>
    </row>
    <row r="24888" spans="1:5" x14ac:dyDescent="0.2">
      <c r="A24888">
        <v>16335</v>
      </c>
      <c r="B24888" t="s">
        <v>44</v>
      </c>
      <c r="C24888">
        <v>16335</v>
      </c>
      <c r="D24888" t="str">
        <f>"16335"</f>
        <v>16335</v>
      </c>
      <c r="E24888">
        <v>69.25</v>
      </c>
    </row>
    <row r="24889" spans="1:5" x14ac:dyDescent="0.2">
      <c r="A24889">
        <v>16340</v>
      </c>
      <c r="B24889" t="s">
        <v>44</v>
      </c>
      <c r="C24889">
        <v>16340</v>
      </c>
      <c r="D24889" t="str">
        <f>"16340"</f>
        <v>16340</v>
      </c>
      <c r="E24889">
        <v>67.86</v>
      </c>
    </row>
    <row r="24890" spans="1:5" x14ac:dyDescent="0.2">
      <c r="A24890">
        <v>16341</v>
      </c>
      <c r="B24890" t="s">
        <v>44</v>
      </c>
      <c r="C24890">
        <v>16341</v>
      </c>
      <c r="D24890" t="str">
        <f>"16341"</f>
        <v>16341</v>
      </c>
      <c r="E24890">
        <v>66.67</v>
      </c>
    </row>
    <row r="24891" spans="1:5" x14ac:dyDescent="0.2">
      <c r="A24891">
        <v>16342</v>
      </c>
      <c r="B24891" t="s">
        <v>44</v>
      </c>
      <c r="C24891">
        <v>16342</v>
      </c>
      <c r="D24891" t="str">
        <f>"16342"</f>
        <v>16342</v>
      </c>
      <c r="E24891">
        <v>66.36</v>
      </c>
    </row>
    <row r="24892" spans="1:5" x14ac:dyDescent="0.2">
      <c r="A24892">
        <v>16343</v>
      </c>
      <c r="B24892" t="s">
        <v>44</v>
      </c>
      <c r="C24892">
        <v>16343</v>
      </c>
      <c r="D24892" t="str">
        <f>"16343"</f>
        <v>16343</v>
      </c>
      <c r="E24892" t="s">
        <v>6</v>
      </c>
    </row>
    <row r="24893" spans="1:5" x14ac:dyDescent="0.2">
      <c r="A24893">
        <v>16344</v>
      </c>
      <c r="B24893" t="s">
        <v>44</v>
      </c>
      <c r="C24893">
        <v>16344</v>
      </c>
      <c r="D24893" t="str">
        <f>"16344"</f>
        <v>16344</v>
      </c>
      <c r="E24893" t="s">
        <v>6</v>
      </c>
    </row>
    <row r="24894" spans="1:5" x14ac:dyDescent="0.2">
      <c r="A24894">
        <v>16345</v>
      </c>
      <c r="B24894" t="s">
        <v>44</v>
      </c>
      <c r="C24894">
        <v>16345</v>
      </c>
      <c r="D24894" t="str">
        <f>"16345"</f>
        <v>16345</v>
      </c>
      <c r="E24894">
        <v>74.72</v>
      </c>
    </row>
    <row r="24895" spans="1:5" x14ac:dyDescent="0.2">
      <c r="A24895">
        <v>16346</v>
      </c>
      <c r="B24895" t="s">
        <v>44</v>
      </c>
      <c r="C24895">
        <v>16346</v>
      </c>
      <c r="D24895" t="str">
        <f>"16346"</f>
        <v>16346</v>
      </c>
      <c r="E24895">
        <v>68.75</v>
      </c>
    </row>
    <row r="24896" spans="1:5" x14ac:dyDescent="0.2">
      <c r="A24896">
        <v>16347</v>
      </c>
      <c r="B24896" t="s">
        <v>44</v>
      </c>
      <c r="C24896">
        <v>16347</v>
      </c>
      <c r="D24896" t="str">
        <f>"16347"</f>
        <v>16347</v>
      </c>
      <c r="E24896">
        <v>67</v>
      </c>
    </row>
    <row r="24897" spans="1:5" x14ac:dyDescent="0.2">
      <c r="A24897">
        <v>16350</v>
      </c>
      <c r="B24897" t="s">
        <v>44</v>
      </c>
      <c r="C24897">
        <v>16350</v>
      </c>
      <c r="D24897" t="str">
        <f>"16350"</f>
        <v>16350</v>
      </c>
      <c r="E24897">
        <v>68.22</v>
      </c>
    </row>
    <row r="24898" spans="1:5" x14ac:dyDescent="0.2">
      <c r="A24898">
        <v>16351</v>
      </c>
      <c r="B24898" t="s">
        <v>44</v>
      </c>
      <c r="C24898">
        <v>16351</v>
      </c>
      <c r="D24898" t="str">
        <f>"16351"</f>
        <v>16351</v>
      </c>
      <c r="E24898">
        <v>67.12</v>
      </c>
    </row>
    <row r="24899" spans="1:5" x14ac:dyDescent="0.2">
      <c r="A24899">
        <v>16352</v>
      </c>
      <c r="B24899" t="s">
        <v>44</v>
      </c>
      <c r="C24899">
        <v>16352</v>
      </c>
      <c r="D24899" t="str">
        <f>"16352"</f>
        <v>16352</v>
      </c>
      <c r="E24899" t="s">
        <v>6</v>
      </c>
    </row>
    <row r="24900" spans="1:5" x14ac:dyDescent="0.2">
      <c r="A24900">
        <v>16353</v>
      </c>
      <c r="B24900" t="s">
        <v>44</v>
      </c>
      <c r="C24900">
        <v>16353</v>
      </c>
      <c r="D24900" t="str">
        <f>"16353"</f>
        <v>16353</v>
      </c>
      <c r="E24900">
        <v>69.67</v>
      </c>
    </row>
    <row r="24901" spans="1:5" x14ac:dyDescent="0.2">
      <c r="A24901">
        <v>16354</v>
      </c>
      <c r="B24901" t="s">
        <v>44</v>
      </c>
      <c r="C24901">
        <v>16354</v>
      </c>
      <c r="D24901" t="str">
        <f>"16354"</f>
        <v>16354</v>
      </c>
      <c r="E24901">
        <v>63.52</v>
      </c>
    </row>
    <row r="24902" spans="1:5" x14ac:dyDescent="0.2">
      <c r="A24902">
        <v>16360</v>
      </c>
      <c r="B24902" t="s">
        <v>44</v>
      </c>
      <c r="C24902">
        <v>16360</v>
      </c>
      <c r="D24902" t="str">
        <f>"16360"</f>
        <v>16360</v>
      </c>
      <c r="E24902">
        <v>71.67</v>
      </c>
    </row>
    <row r="24903" spans="1:5" x14ac:dyDescent="0.2">
      <c r="A24903">
        <v>16362</v>
      </c>
      <c r="B24903" t="s">
        <v>44</v>
      </c>
      <c r="C24903">
        <v>16362</v>
      </c>
      <c r="D24903" t="str">
        <f>"16362"</f>
        <v>16362</v>
      </c>
      <c r="E24903">
        <v>67.349999999999994</v>
      </c>
    </row>
    <row r="24904" spans="1:5" x14ac:dyDescent="0.2">
      <c r="A24904">
        <v>16364</v>
      </c>
      <c r="B24904" t="s">
        <v>44</v>
      </c>
      <c r="C24904">
        <v>16364</v>
      </c>
      <c r="D24904" t="str">
        <f>"16364"</f>
        <v>16364</v>
      </c>
      <c r="E24904">
        <v>72.55</v>
      </c>
    </row>
    <row r="24905" spans="1:5" x14ac:dyDescent="0.2">
      <c r="A24905">
        <v>16365</v>
      </c>
      <c r="B24905" t="s">
        <v>44</v>
      </c>
      <c r="C24905">
        <v>16365</v>
      </c>
      <c r="D24905" t="str">
        <f>"16365"</f>
        <v>16365</v>
      </c>
      <c r="E24905">
        <v>71.11</v>
      </c>
    </row>
    <row r="24906" spans="1:5" x14ac:dyDescent="0.2">
      <c r="A24906">
        <v>16370</v>
      </c>
      <c r="B24906" t="s">
        <v>44</v>
      </c>
      <c r="C24906">
        <v>16370</v>
      </c>
      <c r="D24906" t="str">
        <f>"16370"</f>
        <v>16370</v>
      </c>
      <c r="E24906" t="s">
        <v>6</v>
      </c>
    </row>
    <row r="24907" spans="1:5" x14ac:dyDescent="0.2">
      <c r="A24907">
        <v>16371</v>
      </c>
      <c r="B24907" t="s">
        <v>44</v>
      </c>
      <c r="C24907">
        <v>16371</v>
      </c>
      <c r="D24907" t="str">
        <f>"16371"</f>
        <v>16371</v>
      </c>
      <c r="E24907">
        <v>69.66</v>
      </c>
    </row>
    <row r="24908" spans="1:5" x14ac:dyDescent="0.2">
      <c r="A24908">
        <v>16372</v>
      </c>
      <c r="B24908" t="s">
        <v>44</v>
      </c>
      <c r="C24908">
        <v>16372</v>
      </c>
      <c r="D24908" t="str">
        <f>"16372"</f>
        <v>16372</v>
      </c>
      <c r="E24908" t="s">
        <v>6</v>
      </c>
    </row>
    <row r="24909" spans="1:5" x14ac:dyDescent="0.2">
      <c r="A24909">
        <v>16373</v>
      </c>
      <c r="B24909" t="s">
        <v>44</v>
      </c>
      <c r="C24909">
        <v>16373</v>
      </c>
      <c r="D24909" t="str">
        <f>"16373"</f>
        <v>16373</v>
      </c>
      <c r="E24909">
        <v>73.25</v>
      </c>
    </row>
    <row r="24910" spans="1:5" x14ac:dyDescent="0.2">
      <c r="A24910">
        <v>16374</v>
      </c>
      <c r="B24910" t="s">
        <v>44</v>
      </c>
      <c r="C24910">
        <v>16374</v>
      </c>
      <c r="D24910" t="str">
        <f>"16374"</f>
        <v>16374</v>
      </c>
      <c r="E24910">
        <v>71.760000000000005</v>
      </c>
    </row>
    <row r="24911" spans="1:5" x14ac:dyDescent="0.2">
      <c r="A24911">
        <v>16401</v>
      </c>
      <c r="B24911" t="s">
        <v>44</v>
      </c>
      <c r="C24911">
        <v>16401</v>
      </c>
      <c r="D24911" t="str">
        <f>"16401"</f>
        <v>16401</v>
      </c>
      <c r="E24911">
        <v>69.19</v>
      </c>
    </row>
    <row r="24912" spans="1:5" x14ac:dyDescent="0.2">
      <c r="A24912">
        <v>16402</v>
      </c>
      <c r="B24912" t="s">
        <v>44</v>
      </c>
      <c r="C24912">
        <v>16402</v>
      </c>
      <c r="D24912" t="str">
        <f>"16402"</f>
        <v>16402</v>
      </c>
      <c r="E24912">
        <v>62.5</v>
      </c>
    </row>
    <row r="24913" spans="1:5" x14ac:dyDescent="0.2">
      <c r="A24913">
        <v>16403</v>
      </c>
      <c r="B24913" t="s">
        <v>44</v>
      </c>
      <c r="C24913">
        <v>16403</v>
      </c>
      <c r="D24913" t="str">
        <f>"16403"</f>
        <v>16403</v>
      </c>
      <c r="E24913">
        <v>71.040000000000006</v>
      </c>
    </row>
    <row r="24914" spans="1:5" x14ac:dyDescent="0.2">
      <c r="A24914">
        <v>16404</v>
      </c>
      <c r="B24914" t="s">
        <v>44</v>
      </c>
      <c r="C24914">
        <v>16404</v>
      </c>
      <c r="D24914" t="str">
        <f>"16404"</f>
        <v>16404</v>
      </c>
      <c r="E24914">
        <v>63.57</v>
      </c>
    </row>
    <row r="24915" spans="1:5" x14ac:dyDescent="0.2">
      <c r="A24915">
        <v>16405</v>
      </c>
      <c r="B24915" t="s">
        <v>44</v>
      </c>
      <c r="C24915">
        <v>16405</v>
      </c>
      <c r="D24915" t="str">
        <f>"16405"</f>
        <v>16405</v>
      </c>
      <c r="E24915">
        <v>66.67</v>
      </c>
    </row>
    <row r="24916" spans="1:5" x14ac:dyDescent="0.2">
      <c r="A24916">
        <v>16406</v>
      </c>
      <c r="B24916" t="s">
        <v>44</v>
      </c>
      <c r="C24916">
        <v>16406</v>
      </c>
      <c r="D24916" t="str">
        <f>"16406"</f>
        <v>16406</v>
      </c>
      <c r="E24916">
        <v>71.13</v>
      </c>
    </row>
    <row r="24917" spans="1:5" x14ac:dyDescent="0.2">
      <c r="A24917">
        <v>16407</v>
      </c>
      <c r="B24917" t="s">
        <v>44</v>
      </c>
      <c r="C24917">
        <v>16407</v>
      </c>
      <c r="D24917" t="str">
        <f>"16407"</f>
        <v>16407</v>
      </c>
      <c r="E24917">
        <v>64.33</v>
      </c>
    </row>
    <row r="24918" spans="1:5" x14ac:dyDescent="0.2">
      <c r="A24918">
        <v>16410</v>
      </c>
      <c r="B24918" t="s">
        <v>44</v>
      </c>
      <c r="C24918">
        <v>16410</v>
      </c>
      <c r="D24918" t="str">
        <f>"16410"</f>
        <v>16410</v>
      </c>
      <c r="E24918">
        <v>70.45</v>
      </c>
    </row>
    <row r="24919" spans="1:5" x14ac:dyDescent="0.2">
      <c r="A24919">
        <v>16411</v>
      </c>
      <c r="B24919" t="s">
        <v>44</v>
      </c>
      <c r="C24919">
        <v>16411</v>
      </c>
      <c r="D24919" t="str">
        <f>"16411"</f>
        <v>16411</v>
      </c>
      <c r="E24919">
        <v>66.150000000000006</v>
      </c>
    </row>
    <row r="24920" spans="1:5" x14ac:dyDescent="0.2">
      <c r="A24920">
        <v>16412</v>
      </c>
      <c r="B24920" t="s">
        <v>44</v>
      </c>
      <c r="C24920">
        <v>16412</v>
      </c>
      <c r="D24920" t="str">
        <f>"16412"</f>
        <v>16412</v>
      </c>
      <c r="E24920">
        <v>73.47</v>
      </c>
    </row>
    <row r="24921" spans="1:5" x14ac:dyDescent="0.2">
      <c r="A24921">
        <v>16415</v>
      </c>
      <c r="B24921" t="s">
        <v>44</v>
      </c>
      <c r="C24921">
        <v>16415</v>
      </c>
      <c r="D24921" t="str">
        <f>"16415"</f>
        <v>16415</v>
      </c>
      <c r="E24921">
        <v>76.180000000000007</v>
      </c>
    </row>
    <row r="24922" spans="1:5" x14ac:dyDescent="0.2">
      <c r="A24922">
        <v>16417</v>
      </c>
      <c r="B24922" t="s">
        <v>44</v>
      </c>
      <c r="C24922">
        <v>16417</v>
      </c>
      <c r="D24922" t="str">
        <f>"16417"</f>
        <v>16417</v>
      </c>
      <c r="E24922">
        <v>69.83</v>
      </c>
    </row>
    <row r="24923" spans="1:5" x14ac:dyDescent="0.2">
      <c r="A24923">
        <v>16420</v>
      </c>
      <c r="B24923" t="s">
        <v>44</v>
      </c>
      <c r="C24923">
        <v>16420</v>
      </c>
      <c r="D24923" t="str">
        <f>"16420"</f>
        <v>16420</v>
      </c>
      <c r="E24923">
        <v>66.67</v>
      </c>
    </row>
    <row r="24924" spans="1:5" x14ac:dyDescent="0.2">
      <c r="A24924">
        <v>16421</v>
      </c>
      <c r="B24924" t="s">
        <v>44</v>
      </c>
      <c r="C24924">
        <v>16421</v>
      </c>
      <c r="D24924" t="str">
        <f>"16421"</f>
        <v>16421</v>
      </c>
      <c r="E24924">
        <v>74.38</v>
      </c>
    </row>
    <row r="24925" spans="1:5" x14ac:dyDescent="0.2">
      <c r="A24925">
        <v>16422</v>
      </c>
      <c r="B24925" t="s">
        <v>44</v>
      </c>
      <c r="C24925">
        <v>16422</v>
      </c>
      <c r="D24925" t="str">
        <f>"16422"</f>
        <v>16422</v>
      </c>
      <c r="E24925" t="s">
        <v>6</v>
      </c>
    </row>
    <row r="24926" spans="1:5" x14ac:dyDescent="0.2">
      <c r="A24926">
        <v>16423</v>
      </c>
      <c r="B24926" t="s">
        <v>44</v>
      </c>
      <c r="C24926">
        <v>16423</v>
      </c>
      <c r="D24926" t="str">
        <f>"16423"</f>
        <v>16423</v>
      </c>
      <c r="E24926">
        <v>67.819999999999993</v>
      </c>
    </row>
    <row r="24927" spans="1:5" x14ac:dyDescent="0.2">
      <c r="A24927">
        <v>16424</v>
      </c>
      <c r="B24927" t="s">
        <v>44</v>
      </c>
      <c r="C24927">
        <v>16424</v>
      </c>
      <c r="D24927" t="str">
        <f>"16424"</f>
        <v>16424</v>
      </c>
      <c r="E24927">
        <v>68.75</v>
      </c>
    </row>
    <row r="24928" spans="1:5" x14ac:dyDescent="0.2">
      <c r="A24928">
        <v>16426</v>
      </c>
      <c r="B24928" t="s">
        <v>44</v>
      </c>
      <c r="C24928">
        <v>16426</v>
      </c>
      <c r="D24928" t="str">
        <f>"16426"</f>
        <v>16426</v>
      </c>
      <c r="E24928">
        <v>73</v>
      </c>
    </row>
    <row r="24929" spans="1:5" x14ac:dyDescent="0.2">
      <c r="A24929">
        <v>16427</v>
      </c>
      <c r="B24929" t="s">
        <v>44</v>
      </c>
      <c r="C24929">
        <v>16427</v>
      </c>
      <c r="D24929" t="str">
        <f>"16427"</f>
        <v>16427</v>
      </c>
      <c r="E24929" t="s">
        <v>6</v>
      </c>
    </row>
    <row r="24930" spans="1:5" x14ac:dyDescent="0.2">
      <c r="A24930">
        <v>16428</v>
      </c>
      <c r="B24930" t="s">
        <v>44</v>
      </c>
      <c r="C24930">
        <v>16428</v>
      </c>
      <c r="D24930" t="str">
        <f>"16428"</f>
        <v>16428</v>
      </c>
      <c r="E24930">
        <v>69.62</v>
      </c>
    </row>
    <row r="24931" spans="1:5" x14ac:dyDescent="0.2">
      <c r="A24931">
        <v>16430</v>
      </c>
      <c r="B24931" t="s">
        <v>44</v>
      </c>
      <c r="C24931">
        <v>16430</v>
      </c>
      <c r="D24931" t="str">
        <f>"16430"</f>
        <v>16430</v>
      </c>
      <c r="E24931" t="s">
        <v>6</v>
      </c>
    </row>
    <row r="24932" spans="1:5" x14ac:dyDescent="0.2">
      <c r="A24932">
        <v>16433</v>
      </c>
      <c r="B24932" t="s">
        <v>44</v>
      </c>
      <c r="C24932">
        <v>16433</v>
      </c>
      <c r="D24932" t="str">
        <f>"16433"</f>
        <v>16433</v>
      </c>
      <c r="E24932">
        <v>72.650000000000006</v>
      </c>
    </row>
    <row r="24933" spans="1:5" x14ac:dyDescent="0.2">
      <c r="A24933">
        <v>16434</v>
      </c>
      <c r="B24933" t="s">
        <v>44</v>
      </c>
      <c r="C24933">
        <v>16434</v>
      </c>
      <c r="D24933" t="str">
        <f>"16434"</f>
        <v>16434</v>
      </c>
      <c r="E24933">
        <v>56.48</v>
      </c>
    </row>
    <row r="24934" spans="1:5" x14ac:dyDescent="0.2">
      <c r="A24934">
        <v>16435</v>
      </c>
      <c r="B24934" t="s">
        <v>44</v>
      </c>
      <c r="C24934">
        <v>16435</v>
      </c>
      <c r="D24934" t="str">
        <f>"16435"</f>
        <v>16435</v>
      </c>
      <c r="E24934">
        <v>64.37</v>
      </c>
    </row>
    <row r="24935" spans="1:5" x14ac:dyDescent="0.2">
      <c r="A24935">
        <v>16436</v>
      </c>
      <c r="B24935" t="s">
        <v>44</v>
      </c>
      <c r="C24935">
        <v>16436</v>
      </c>
      <c r="D24935" t="str">
        <f>"16436"</f>
        <v>16436</v>
      </c>
      <c r="E24935">
        <v>63.64</v>
      </c>
    </row>
    <row r="24936" spans="1:5" x14ac:dyDescent="0.2">
      <c r="A24936">
        <v>16438</v>
      </c>
      <c r="B24936" t="s">
        <v>44</v>
      </c>
      <c r="C24936">
        <v>16438</v>
      </c>
      <c r="D24936" t="str">
        <f>"16438"</f>
        <v>16438</v>
      </c>
      <c r="E24936">
        <v>67.930000000000007</v>
      </c>
    </row>
    <row r="24937" spans="1:5" x14ac:dyDescent="0.2">
      <c r="A24937">
        <v>16440</v>
      </c>
      <c r="B24937" t="s">
        <v>44</v>
      </c>
      <c r="C24937">
        <v>16440</v>
      </c>
      <c r="D24937" t="str">
        <f>"16440"</f>
        <v>16440</v>
      </c>
      <c r="E24937">
        <v>68.89</v>
      </c>
    </row>
    <row r="24938" spans="1:5" x14ac:dyDescent="0.2">
      <c r="A24938">
        <v>16441</v>
      </c>
      <c r="B24938" t="s">
        <v>44</v>
      </c>
      <c r="C24938">
        <v>16441</v>
      </c>
      <c r="D24938" t="str">
        <f>"16441"</f>
        <v>16441</v>
      </c>
      <c r="E24938">
        <v>72.31</v>
      </c>
    </row>
    <row r="24939" spans="1:5" x14ac:dyDescent="0.2">
      <c r="A24939">
        <v>16442</v>
      </c>
      <c r="B24939" t="s">
        <v>44</v>
      </c>
      <c r="C24939">
        <v>16442</v>
      </c>
      <c r="D24939" t="str">
        <f>"16442"</f>
        <v>16442</v>
      </c>
      <c r="E24939">
        <v>71.63</v>
      </c>
    </row>
    <row r="24940" spans="1:5" x14ac:dyDescent="0.2">
      <c r="A24940">
        <v>16443</v>
      </c>
      <c r="B24940" t="s">
        <v>44</v>
      </c>
      <c r="C24940">
        <v>16443</v>
      </c>
      <c r="D24940" t="str">
        <f>"16443"</f>
        <v>16443</v>
      </c>
      <c r="E24940">
        <v>69.84</v>
      </c>
    </row>
    <row r="24941" spans="1:5" x14ac:dyDescent="0.2">
      <c r="A24941">
        <v>16501</v>
      </c>
      <c r="B24941" t="s">
        <v>44</v>
      </c>
      <c r="C24941">
        <v>16501</v>
      </c>
      <c r="D24941" t="str">
        <f>"16501"</f>
        <v>16501</v>
      </c>
      <c r="E24941">
        <v>45</v>
      </c>
    </row>
    <row r="24942" spans="1:5" x14ac:dyDescent="0.2">
      <c r="A24942">
        <v>16502</v>
      </c>
      <c r="B24942" t="s">
        <v>44</v>
      </c>
      <c r="C24942">
        <v>16502</v>
      </c>
      <c r="D24942" t="str">
        <f>"16502"</f>
        <v>16502</v>
      </c>
      <c r="E24942">
        <v>56.32</v>
      </c>
    </row>
    <row r="24943" spans="1:5" x14ac:dyDescent="0.2">
      <c r="A24943">
        <v>16503</v>
      </c>
      <c r="B24943" t="s">
        <v>44</v>
      </c>
      <c r="C24943">
        <v>16503</v>
      </c>
      <c r="D24943" t="str">
        <f>"16503"</f>
        <v>16503</v>
      </c>
      <c r="E24943">
        <v>40.33</v>
      </c>
    </row>
    <row r="24944" spans="1:5" x14ac:dyDescent="0.2">
      <c r="A24944">
        <v>16504</v>
      </c>
      <c r="B24944" t="s">
        <v>44</v>
      </c>
      <c r="C24944">
        <v>16504</v>
      </c>
      <c r="D24944" t="str">
        <f>"16504"</f>
        <v>16504</v>
      </c>
      <c r="E24944">
        <v>66.17</v>
      </c>
    </row>
    <row r="24945" spans="1:5" x14ac:dyDescent="0.2">
      <c r="A24945">
        <v>16505</v>
      </c>
      <c r="B24945" t="s">
        <v>44</v>
      </c>
      <c r="C24945">
        <v>16505</v>
      </c>
      <c r="D24945" t="str">
        <f>"16505"</f>
        <v>16505</v>
      </c>
      <c r="E24945">
        <v>73.45</v>
      </c>
    </row>
    <row r="24946" spans="1:5" x14ac:dyDescent="0.2">
      <c r="A24946">
        <v>16506</v>
      </c>
      <c r="B24946" t="s">
        <v>44</v>
      </c>
      <c r="C24946">
        <v>16506</v>
      </c>
      <c r="D24946" t="str">
        <f>"16506"</f>
        <v>16506</v>
      </c>
      <c r="E24946">
        <v>74.55</v>
      </c>
    </row>
    <row r="24947" spans="1:5" x14ac:dyDescent="0.2">
      <c r="A24947">
        <v>16507</v>
      </c>
      <c r="B24947" t="s">
        <v>44</v>
      </c>
      <c r="C24947">
        <v>16507</v>
      </c>
      <c r="D24947" t="str">
        <f>"16507"</f>
        <v>16507</v>
      </c>
      <c r="E24947">
        <v>51.44</v>
      </c>
    </row>
    <row r="24948" spans="1:5" x14ac:dyDescent="0.2">
      <c r="A24948">
        <v>16508</v>
      </c>
      <c r="B24948" t="s">
        <v>44</v>
      </c>
      <c r="C24948">
        <v>16508</v>
      </c>
      <c r="D24948" t="str">
        <f>"16508"</f>
        <v>16508</v>
      </c>
      <c r="E24948">
        <v>69.430000000000007</v>
      </c>
    </row>
    <row r="24949" spans="1:5" x14ac:dyDescent="0.2">
      <c r="A24949">
        <v>16509</v>
      </c>
      <c r="B24949" t="s">
        <v>44</v>
      </c>
      <c r="C24949">
        <v>16509</v>
      </c>
      <c r="D24949" t="str">
        <f>"16509"</f>
        <v>16509</v>
      </c>
      <c r="E24949">
        <v>74.02</v>
      </c>
    </row>
    <row r="24950" spans="1:5" x14ac:dyDescent="0.2">
      <c r="A24950">
        <v>16510</v>
      </c>
      <c r="B24950" t="s">
        <v>44</v>
      </c>
      <c r="C24950">
        <v>16510</v>
      </c>
      <c r="D24950" t="str">
        <f>"16510"</f>
        <v>16510</v>
      </c>
      <c r="E24950">
        <v>69.05</v>
      </c>
    </row>
    <row r="24951" spans="1:5" x14ac:dyDescent="0.2">
      <c r="A24951">
        <v>16511</v>
      </c>
      <c r="B24951" t="s">
        <v>44</v>
      </c>
      <c r="C24951">
        <v>16511</v>
      </c>
      <c r="D24951" t="str">
        <f>"16511"</f>
        <v>16511</v>
      </c>
      <c r="E24951">
        <v>68.78</v>
      </c>
    </row>
    <row r="24952" spans="1:5" x14ac:dyDescent="0.2">
      <c r="A24952">
        <v>16530</v>
      </c>
      <c r="B24952" t="s">
        <v>44</v>
      </c>
      <c r="C24952">
        <v>16530</v>
      </c>
      <c r="D24952" t="str">
        <f>"16530"</f>
        <v>16530</v>
      </c>
      <c r="E24952" t="s">
        <v>6</v>
      </c>
    </row>
    <row r="24953" spans="1:5" x14ac:dyDescent="0.2">
      <c r="A24953">
        <v>16534</v>
      </c>
      <c r="B24953" t="s">
        <v>44</v>
      </c>
      <c r="C24953">
        <v>16534</v>
      </c>
      <c r="D24953" t="str">
        <f>"16534"</f>
        <v>16534</v>
      </c>
      <c r="E24953" t="s">
        <v>6</v>
      </c>
    </row>
    <row r="24954" spans="1:5" x14ac:dyDescent="0.2">
      <c r="A24954">
        <v>16563</v>
      </c>
      <c r="B24954" t="s">
        <v>44</v>
      </c>
      <c r="C24954">
        <v>16563</v>
      </c>
      <c r="D24954" t="str">
        <f>"16563"</f>
        <v>16563</v>
      </c>
      <c r="E24954" t="s">
        <v>6</v>
      </c>
    </row>
    <row r="24955" spans="1:5" x14ac:dyDescent="0.2">
      <c r="A24955">
        <v>16565</v>
      </c>
      <c r="B24955" t="s">
        <v>44</v>
      </c>
      <c r="C24955">
        <v>16565</v>
      </c>
      <c r="D24955" t="str">
        <f>"16565"</f>
        <v>16565</v>
      </c>
      <c r="E24955" t="s">
        <v>6</v>
      </c>
    </row>
    <row r="24956" spans="1:5" x14ac:dyDescent="0.2">
      <c r="A24956">
        <v>16601</v>
      </c>
      <c r="B24956" t="s">
        <v>44</v>
      </c>
      <c r="C24956">
        <v>16601</v>
      </c>
      <c r="D24956" t="str">
        <f>"16601"</f>
        <v>16601</v>
      </c>
      <c r="E24956">
        <v>67.3</v>
      </c>
    </row>
    <row r="24957" spans="1:5" x14ac:dyDescent="0.2">
      <c r="A24957">
        <v>16602</v>
      </c>
      <c r="B24957" t="s">
        <v>44</v>
      </c>
      <c r="C24957">
        <v>16602</v>
      </c>
      <c r="D24957" t="str">
        <f>"16602"</f>
        <v>16602</v>
      </c>
      <c r="E24957">
        <v>66.86</v>
      </c>
    </row>
    <row r="24958" spans="1:5" x14ac:dyDescent="0.2">
      <c r="A24958">
        <v>16611</v>
      </c>
      <c r="B24958" t="s">
        <v>44</v>
      </c>
      <c r="C24958">
        <v>16611</v>
      </c>
      <c r="D24958" t="str">
        <f>"16611"</f>
        <v>16611</v>
      </c>
      <c r="E24958">
        <v>73.040000000000006</v>
      </c>
    </row>
    <row r="24959" spans="1:5" x14ac:dyDescent="0.2">
      <c r="A24959">
        <v>16613</v>
      </c>
      <c r="B24959" t="s">
        <v>44</v>
      </c>
      <c r="C24959">
        <v>16613</v>
      </c>
      <c r="D24959" t="str">
        <f>"16613"</f>
        <v>16613</v>
      </c>
      <c r="E24959">
        <v>71.05</v>
      </c>
    </row>
    <row r="24960" spans="1:5" x14ac:dyDescent="0.2">
      <c r="A24960">
        <v>16616</v>
      </c>
      <c r="B24960" t="s">
        <v>44</v>
      </c>
      <c r="C24960">
        <v>16616</v>
      </c>
      <c r="D24960" t="str">
        <f>"16616"</f>
        <v>16616</v>
      </c>
      <c r="E24960" t="s">
        <v>6</v>
      </c>
    </row>
    <row r="24961" spans="1:5" x14ac:dyDescent="0.2">
      <c r="A24961">
        <v>16617</v>
      </c>
      <c r="B24961" t="s">
        <v>44</v>
      </c>
      <c r="C24961">
        <v>16617</v>
      </c>
      <c r="D24961" t="str">
        <f>"16617"</f>
        <v>16617</v>
      </c>
      <c r="E24961">
        <v>71.430000000000007</v>
      </c>
    </row>
    <row r="24962" spans="1:5" x14ac:dyDescent="0.2">
      <c r="A24962">
        <v>16619</v>
      </c>
      <c r="B24962" t="s">
        <v>44</v>
      </c>
      <c r="C24962">
        <v>16619</v>
      </c>
      <c r="D24962" t="str">
        <f>"16619"</f>
        <v>16619</v>
      </c>
      <c r="E24962" t="s">
        <v>6</v>
      </c>
    </row>
    <row r="24963" spans="1:5" x14ac:dyDescent="0.2">
      <c r="A24963">
        <v>16620</v>
      </c>
      <c r="B24963" t="s">
        <v>44</v>
      </c>
      <c r="C24963">
        <v>16620</v>
      </c>
      <c r="D24963" t="str">
        <f>"16620"</f>
        <v>16620</v>
      </c>
      <c r="E24963" t="s">
        <v>6</v>
      </c>
    </row>
    <row r="24964" spans="1:5" x14ac:dyDescent="0.2">
      <c r="A24964">
        <v>16621</v>
      </c>
      <c r="B24964" t="s">
        <v>44</v>
      </c>
      <c r="C24964">
        <v>16621</v>
      </c>
      <c r="D24964" t="str">
        <f>"16621"</f>
        <v>16621</v>
      </c>
      <c r="E24964">
        <v>72.41</v>
      </c>
    </row>
    <row r="24965" spans="1:5" x14ac:dyDescent="0.2">
      <c r="A24965">
        <v>16622</v>
      </c>
      <c r="B24965" t="s">
        <v>44</v>
      </c>
      <c r="C24965">
        <v>16622</v>
      </c>
      <c r="D24965" t="str">
        <f>"16622"</f>
        <v>16622</v>
      </c>
      <c r="E24965">
        <v>70</v>
      </c>
    </row>
    <row r="24966" spans="1:5" x14ac:dyDescent="0.2">
      <c r="A24966">
        <v>16623</v>
      </c>
      <c r="B24966" t="s">
        <v>44</v>
      </c>
      <c r="C24966">
        <v>16623</v>
      </c>
      <c r="D24966" t="str">
        <f>"16623"</f>
        <v>16623</v>
      </c>
      <c r="E24966">
        <v>72.73</v>
      </c>
    </row>
    <row r="24967" spans="1:5" x14ac:dyDescent="0.2">
      <c r="A24967">
        <v>16624</v>
      </c>
      <c r="B24967" t="s">
        <v>44</v>
      </c>
      <c r="C24967">
        <v>16624</v>
      </c>
      <c r="D24967" t="str">
        <f>"16624"</f>
        <v>16624</v>
      </c>
      <c r="E24967" t="s">
        <v>6</v>
      </c>
    </row>
    <row r="24968" spans="1:5" x14ac:dyDescent="0.2">
      <c r="A24968">
        <v>16625</v>
      </c>
      <c r="B24968" t="s">
        <v>44</v>
      </c>
      <c r="C24968">
        <v>16625</v>
      </c>
      <c r="D24968" t="str">
        <f>"16625"</f>
        <v>16625</v>
      </c>
      <c r="E24968">
        <v>65.819999999999993</v>
      </c>
    </row>
    <row r="24969" spans="1:5" x14ac:dyDescent="0.2">
      <c r="A24969">
        <v>16627</v>
      </c>
      <c r="B24969" t="s">
        <v>44</v>
      </c>
      <c r="C24969">
        <v>16627</v>
      </c>
      <c r="D24969" t="str">
        <f>"16627"</f>
        <v>16627</v>
      </c>
      <c r="E24969">
        <v>69.66</v>
      </c>
    </row>
    <row r="24970" spans="1:5" x14ac:dyDescent="0.2">
      <c r="A24970">
        <v>16630</v>
      </c>
      <c r="B24970" t="s">
        <v>44</v>
      </c>
      <c r="C24970">
        <v>16630</v>
      </c>
      <c r="D24970" t="str">
        <f>"16630"</f>
        <v>16630</v>
      </c>
      <c r="E24970">
        <v>72.430000000000007</v>
      </c>
    </row>
    <row r="24971" spans="1:5" x14ac:dyDescent="0.2">
      <c r="A24971">
        <v>16633</v>
      </c>
      <c r="B24971" t="s">
        <v>44</v>
      </c>
      <c r="C24971">
        <v>16633</v>
      </c>
      <c r="D24971" t="str">
        <f>"16633"</f>
        <v>16633</v>
      </c>
      <c r="E24971" t="s">
        <v>6</v>
      </c>
    </row>
    <row r="24972" spans="1:5" x14ac:dyDescent="0.2">
      <c r="A24972">
        <v>16634</v>
      </c>
      <c r="B24972" t="s">
        <v>44</v>
      </c>
      <c r="C24972">
        <v>16634</v>
      </c>
      <c r="D24972" t="str">
        <f>"16634"</f>
        <v>16634</v>
      </c>
      <c r="E24972" t="s">
        <v>6</v>
      </c>
    </row>
    <row r="24973" spans="1:5" x14ac:dyDescent="0.2">
      <c r="A24973">
        <v>16635</v>
      </c>
      <c r="B24973" t="s">
        <v>44</v>
      </c>
      <c r="C24973">
        <v>16635</v>
      </c>
      <c r="D24973" t="str">
        <f>"16635"</f>
        <v>16635</v>
      </c>
      <c r="E24973">
        <v>74.290000000000006</v>
      </c>
    </row>
    <row r="24974" spans="1:5" x14ac:dyDescent="0.2">
      <c r="A24974">
        <v>16636</v>
      </c>
      <c r="B24974" t="s">
        <v>44</v>
      </c>
      <c r="C24974">
        <v>16636</v>
      </c>
      <c r="D24974" t="str">
        <f>"16636"</f>
        <v>16636</v>
      </c>
      <c r="E24974">
        <v>74.36</v>
      </c>
    </row>
    <row r="24975" spans="1:5" x14ac:dyDescent="0.2">
      <c r="A24975">
        <v>16637</v>
      </c>
      <c r="B24975" t="s">
        <v>44</v>
      </c>
      <c r="C24975">
        <v>16637</v>
      </c>
      <c r="D24975" t="str">
        <f>"16637"</f>
        <v>16637</v>
      </c>
      <c r="E24975">
        <v>71.430000000000007</v>
      </c>
    </row>
    <row r="24976" spans="1:5" x14ac:dyDescent="0.2">
      <c r="A24976">
        <v>16638</v>
      </c>
      <c r="B24976" t="s">
        <v>44</v>
      </c>
      <c r="C24976">
        <v>16638</v>
      </c>
      <c r="D24976" t="str">
        <f>"16638"</f>
        <v>16638</v>
      </c>
      <c r="E24976" t="s">
        <v>6</v>
      </c>
    </row>
    <row r="24977" spans="1:5" x14ac:dyDescent="0.2">
      <c r="A24977">
        <v>16639</v>
      </c>
      <c r="B24977" t="s">
        <v>44</v>
      </c>
      <c r="C24977">
        <v>16639</v>
      </c>
      <c r="D24977" t="str">
        <f>"16639"</f>
        <v>16639</v>
      </c>
      <c r="E24977">
        <v>68.290000000000006</v>
      </c>
    </row>
    <row r="24978" spans="1:5" x14ac:dyDescent="0.2">
      <c r="A24978">
        <v>16640</v>
      </c>
      <c r="B24978" t="s">
        <v>44</v>
      </c>
      <c r="C24978">
        <v>16640</v>
      </c>
      <c r="D24978" t="str">
        <f>"16640"</f>
        <v>16640</v>
      </c>
      <c r="E24978">
        <v>72.92</v>
      </c>
    </row>
    <row r="24979" spans="1:5" x14ac:dyDescent="0.2">
      <c r="A24979">
        <v>16641</v>
      </c>
      <c r="B24979" t="s">
        <v>44</v>
      </c>
      <c r="C24979">
        <v>16641</v>
      </c>
      <c r="D24979" t="str">
        <f>"16641"</f>
        <v>16641</v>
      </c>
      <c r="E24979">
        <v>74.14</v>
      </c>
    </row>
    <row r="24980" spans="1:5" x14ac:dyDescent="0.2">
      <c r="A24980">
        <v>16645</v>
      </c>
      <c r="B24980" t="s">
        <v>44</v>
      </c>
      <c r="C24980">
        <v>16645</v>
      </c>
      <c r="D24980" t="str">
        <f>"16645"</f>
        <v>16645</v>
      </c>
      <c r="E24980" t="s">
        <v>6</v>
      </c>
    </row>
    <row r="24981" spans="1:5" x14ac:dyDescent="0.2">
      <c r="A24981">
        <v>16646</v>
      </c>
      <c r="B24981" t="s">
        <v>44</v>
      </c>
      <c r="C24981">
        <v>16646</v>
      </c>
      <c r="D24981" t="str">
        <f>"16646"</f>
        <v>16646</v>
      </c>
      <c r="E24981">
        <v>69.569999999999993</v>
      </c>
    </row>
    <row r="24982" spans="1:5" x14ac:dyDescent="0.2">
      <c r="A24982">
        <v>16647</v>
      </c>
      <c r="B24982" t="s">
        <v>44</v>
      </c>
      <c r="C24982">
        <v>16647</v>
      </c>
      <c r="D24982" t="str">
        <f>"16647"</f>
        <v>16647</v>
      </c>
      <c r="E24982">
        <v>73.680000000000007</v>
      </c>
    </row>
    <row r="24983" spans="1:5" x14ac:dyDescent="0.2">
      <c r="A24983">
        <v>16648</v>
      </c>
      <c r="B24983" t="s">
        <v>44</v>
      </c>
      <c r="C24983">
        <v>16648</v>
      </c>
      <c r="D24983" t="str">
        <f>"16648"</f>
        <v>16648</v>
      </c>
      <c r="E24983">
        <v>74.97</v>
      </c>
    </row>
    <row r="24984" spans="1:5" x14ac:dyDescent="0.2">
      <c r="A24984">
        <v>16650</v>
      </c>
      <c r="B24984" t="s">
        <v>44</v>
      </c>
      <c r="C24984">
        <v>16650</v>
      </c>
      <c r="D24984" t="str">
        <f>"16650"</f>
        <v>16650</v>
      </c>
      <c r="E24984">
        <v>68.67</v>
      </c>
    </row>
    <row r="24985" spans="1:5" x14ac:dyDescent="0.2">
      <c r="A24985">
        <v>16651</v>
      </c>
      <c r="B24985" t="s">
        <v>44</v>
      </c>
      <c r="C24985">
        <v>16651</v>
      </c>
      <c r="D24985" t="str">
        <f>"16651"</f>
        <v>16651</v>
      </c>
      <c r="E24985">
        <v>71.900000000000006</v>
      </c>
    </row>
    <row r="24986" spans="1:5" x14ac:dyDescent="0.2">
      <c r="A24986">
        <v>16652</v>
      </c>
      <c r="B24986" t="s">
        <v>44</v>
      </c>
      <c r="C24986">
        <v>16652</v>
      </c>
      <c r="D24986" t="str">
        <f>"16652"</f>
        <v>16652</v>
      </c>
      <c r="E24986">
        <v>70.95</v>
      </c>
    </row>
    <row r="24987" spans="1:5" x14ac:dyDescent="0.2">
      <c r="A24987">
        <v>16655</v>
      </c>
      <c r="B24987" t="s">
        <v>44</v>
      </c>
      <c r="C24987">
        <v>16655</v>
      </c>
      <c r="D24987" t="str">
        <f>"16655"</f>
        <v>16655</v>
      </c>
      <c r="E24987">
        <v>73.97</v>
      </c>
    </row>
    <row r="24988" spans="1:5" x14ac:dyDescent="0.2">
      <c r="A24988">
        <v>16656</v>
      </c>
      <c r="B24988" t="s">
        <v>44</v>
      </c>
      <c r="C24988">
        <v>16656</v>
      </c>
      <c r="D24988" t="str">
        <f>"16656"</f>
        <v>16656</v>
      </c>
      <c r="E24988">
        <v>62.26</v>
      </c>
    </row>
    <row r="24989" spans="1:5" x14ac:dyDescent="0.2">
      <c r="A24989">
        <v>16657</v>
      </c>
      <c r="B24989" t="s">
        <v>44</v>
      </c>
      <c r="C24989">
        <v>16657</v>
      </c>
      <c r="D24989" t="str">
        <f>"16657"</f>
        <v>16657</v>
      </c>
      <c r="E24989">
        <v>65.63</v>
      </c>
    </row>
    <row r="24990" spans="1:5" x14ac:dyDescent="0.2">
      <c r="A24990">
        <v>16659</v>
      </c>
      <c r="B24990" t="s">
        <v>44</v>
      </c>
      <c r="C24990">
        <v>16659</v>
      </c>
      <c r="D24990" t="str">
        <f>"16659"</f>
        <v>16659</v>
      </c>
      <c r="E24990">
        <v>61.54</v>
      </c>
    </row>
    <row r="24991" spans="1:5" x14ac:dyDescent="0.2">
      <c r="A24991">
        <v>16661</v>
      </c>
      <c r="B24991" t="s">
        <v>44</v>
      </c>
      <c r="C24991">
        <v>16661</v>
      </c>
      <c r="D24991" t="str">
        <f>"16661"</f>
        <v>16661</v>
      </c>
      <c r="E24991">
        <v>71.430000000000007</v>
      </c>
    </row>
    <row r="24992" spans="1:5" x14ac:dyDescent="0.2">
      <c r="A24992">
        <v>16662</v>
      </c>
      <c r="B24992" t="s">
        <v>44</v>
      </c>
      <c r="C24992">
        <v>16662</v>
      </c>
      <c r="D24992" t="str">
        <f>"16662"</f>
        <v>16662</v>
      </c>
      <c r="E24992">
        <v>70.11</v>
      </c>
    </row>
    <row r="24993" spans="1:5" x14ac:dyDescent="0.2">
      <c r="A24993">
        <v>16663</v>
      </c>
      <c r="B24993" t="s">
        <v>44</v>
      </c>
      <c r="C24993">
        <v>16663</v>
      </c>
      <c r="D24993" t="str">
        <f>"16663"</f>
        <v>16663</v>
      </c>
      <c r="E24993" t="s">
        <v>6</v>
      </c>
    </row>
    <row r="24994" spans="1:5" x14ac:dyDescent="0.2">
      <c r="A24994">
        <v>16664</v>
      </c>
      <c r="B24994" t="s">
        <v>44</v>
      </c>
      <c r="C24994">
        <v>16664</v>
      </c>
      <c r="D24994" t="str">
        <f>"16664"</f>
        <v>16664</v>
      </c>
      <c r="E24994">
        <v>69.77</v>
      </c>
    </row>
    <row r="24995" spans="1:5" x14ac:dyDescent="0.2">
      <c r="A24995">
        <v>16665</v>
      </c>
      <c r="B24995" t="s">
        <v>44</v>
      </c>
      <c r="C24995">
        <v>16665</v>
      </c>
      <c r="D24995" t="str">
        <f>"16665"</f>
        <v>16665</v>
      </c>
      <c r="E24995" t="s">
        <v>6</v>
      </c>
    </row>
    <row r="24996" spans="1:5" x14ac:dyDescent="0.2">
      <c r="A24996">
        <v>16666</v>
      </c>
      <c r="B24996" t="s">
        <v>44</v>
      </c>
      <c r="C24996">
        <v>16666</v>
      </c>
      <c r="D24996" t="str">
        <f>"16666"</f>
        <v>16666</v>
      </c>
      <c r="E24996">
        <v>70.37</v>
      </c>
    </row>
    <row r="24997" spans="1:5" x14ac:dyDescent="0.2">
      <c r="A24997">
        <v>16667</v>
      </c>
      <c r="B24997" t="s">
        <v>44</v>
      </c>
      <c r="C24997">
        <v>16667</v>
      </c>
      <c r="D24997" t="str">
        <f>"16667"</f>
        <v>16667</v>
      </c>
      <c r="E24997">
        <v>72.459999999999994</v>
      </c>
    </row>
    <row r="24998" spans="1:5" x14ac:dyDescent="0.2">
      <c r="A24998">
        <v>16668</v>
      </c>
      <c r="B24998" t="s">
        <v>44</v>
      </c>
      <c r="C24998">
        <v>16668</v>
      </c>
      <c r="D24998" t="str">
        <f>"16668"</f>
        <v>16668</v>
      </c>
      <c r="E24998">
        <v>70.91</v>
      </c>
    </row>
    <row r="24999" spans="1:5" x14ac:dyDescent="0.2">
      <c r="A24999">
        <v>16669</v>
      </c>
      <c r="B24999" t="s">
        <v>44</v>
      </c>
      <c r="C24999">
        <v>16669</v>
      </c>
      <c r="D24999" t="str">
        <f>"16669"</f>
        <v>16669</v>
      </c>
      <c r="E24999">
        <v>72.55</v>
      </c>
    </row>
    <row r="25000" spans="1:5" x14ac:dyDescent="0.2">
      <c r="A25000">
        <v>16670</v>
      </c>
      <c r="B25000" t="s">
        <v>44</v>
      </c>
      <c r="C25000">
        <v>16670</v>
      </c>
      <c r="D25000" t="str">
        <f>"16670"</f>
        <v>16670</v>
      </c>
      <c r="E25000" t="s">
        <v>6</v>
      </c>
    </row>
    <row r="25001" spans="1:5" x14ac:dyDescent="0.2">
      <c r="A25001">
        <v>16671</v>
      </c>
      <c r="B25001" t="s">
        <v>44</v>
      </c>
      <c r="C25001">
        <v>16671</v>
      </c>
      <c r="D25001" t="str">
        <f>"16671"</f>
        <v>16671</v>
      </c>
      <c r="E25001" t="s">
        <v>6</v>
      </c>
    </row>
    <row r="25002" spans="1:5" x14ac:dyDescent="0.2">
      <c r="A25002">
        <v>16672</v>
      </c>
      <c r="B25002" t="s">
        <v>44</v>
      </c>
      <c r="C25002">
        <v>16672</v>
      </c>
      <c r="D25002" t="str">
        <f>"16672"</f>
        <v>16672</v>
      </c>
      <c r="E25002" t="s">
        <v>6</v>
      </c>
    </row>
    <row r="25003" spans="1:5" x14ac:dyDescent="0.2">
      <c r="A25003">
        <v>16673</v>
      </c>
      <c r="B25003" t="s">
        <v>44</v>
      </c>
      <c r="C25003">
        <v>16673</v>
      </c>
      <c r="D25003" t="str">
        <f>"16673"</f>
        <v>16673</v>
      </c>
      <c r="E25003">
        <v>72.87</v>
      </c>
    </row>
    <row r="25004" spans="1:5" x14ac:dyDescent="0.2">
      <c r="A25004">
        <v>16674</v>
      </c>
      <c r="B25004" t="s">
        <v>44</v>
      </c>
      <c r="C25004">
        <v>16674</v>
      </c>
      <c r="D25004" t="str">
        <f>"16674"</f>
        <v>16674</v>
      </c>
      <c r="E25004">
        <v>67.86</v>
      </c>
    </row>
    <row r="25005" spans="1:5" x14ac:dyDescent="0.2">
      <c r="A25005">
        <v>16677</v>
      </c>
      <c r="B25005" t="s">
        <v>44</v>
      </c>
      <c r="C25005">
        <v>16677</v>
      </c>
      <c r="D25005" t="str">
        <f>"16677"</f>
        <v>16677</v>
      </c>
      <c r="E25005" t="s">
        <v>6</v>
      </c>
    </row>
    <row r="25006" spans="1:5" x14ac:dyDescent="0.2">
      <c r="A25006">
        <v>16678</v>
      </c>
      <c r="B25006" t="s">
        <v>44</v>
      </c>
      <c r="C25006">
        <v>16678</v>
      </c>
      <c r="D25006" t="str">
        <f>"16678"</f>
        <v>16678</v>
      </c>
      <c r="E25006">
        <v>69.84</v>
      </c>
    </row>
    <row r="25007" spans="1:5" x14ac:dyDescent="0.2">
      <c r="A25007">
        <v>16679</v>
      </c>
      <c r="B25007" t="s">
        <v>44</v>
      </c>
      <c r="C25007">
        <v>16679</v>
      </c>
      <c r="D25007" t="str">
        <f>"16679"</f>
        <v>16679</v>
      </c>
      <c r="E25007">
        <v>66.67</v>
      </c>
    </row>
    <row r="25008" spans="1:5" x14ac:dyDescent="0.2">
      <c r="A25008">
        <v>16680</v>
      </c>
      <c r="B25008" t="s">
        <v>44</v>
      </c>
      <c r="C25008">
        <v>16680</v>
      </c>
      <c r="D25008" t="str">
        <f>"16680"</f>
        <v>16680</v>
      </c>
      <c r="E25008">
        <v>68</v>
      </c>
    </row>
    <row r="25009" spans="1:5" x14ac:dyDescent="0.2">
      <c r="A25009">
        <v>16681</v>
      </c>
      <c r="B25009" t="s">
        <v>44</v>
      </c>
      <c r="C25009">
        <v>16681</v>
      </c>
      <c r="D25009" t="str">
        <f>"16681"</f>
        <v>16681</v>
      </c>
      <c r="E25009" t="s">
        <v>6</v>
      </c>
    </row>
    <row r="25010" spans="1:5" x14ac:dyDescent="0.2">
      <c r="A25010">
        <v>16682</v>
      </c>
      <c r="B25010" t="s">
        <v>44</v>
      </c>
      <c r="C25010">
        <v>16682</v>
      </c>
      <c r="D25010" t="str">
        <f>"16682"</f>
        <v>16682</v>
      </c>
      <c r="E25010" t="s">
        <v>6</v>
      </c>
    </row>
    <row r="25011" spans="1:5" x14ac:dyDescent="0.2">
      <c r="A25011">
        <v>16683</v>
      </c>
      <c r="B25011" t="s">
        <v>44</v>
      </c>
      <c r="C25011">
        <v>16683</v>
      </c>
      <c r="D25011" t="str">
        <f>"16683"</f>
        <v>16683</v>
      </c>
      <c r="E25011">
        <v>78.95</v>
      </c>
    </row>
    <row r="25012" spans="1:5" x14ac:dyDescent="0.2">
      <c r="A25012">
        <v>16685</v>
      </c>
      <c r="B25012" t="s">
        <v>44</v>
      </c>
      <c r="C25012">
        <v>16685</v>
      </c>
      <c r="D25012" t="str">
        <f>"16685"</f>
        <v>16685</v>
      </c>
      <c r="E25012">
        <v>69.23</v>
      </c>
    </row>
    <row r="25013" spans="1:5" x14ac:dyDescent="0.2">
      <c r="A25013">
        <v>16686</v>
      </c>
      <c r="B25013" t="s">
        <v>44</v>
      </c>
      <c r="C25013">
        <v>16686</v>
      </c>
      <c r="D25013" t="str">
        <f>"16686"</f>
        <v>16686</v>
      </c>
      <c r="E25013">
        <v>70.150000000000006</v>
      </c>
    </row>
    <row r="25014" spans="1:5" x14ac:dyDescent="0.2">
      <c r="A25014">
        <v>16689</v>
      </c>
      <c r="B25014" t="s">
        <v>44</v>
      </c>
      <c r="C25014">
        <v>16689</v>
      </c>
      <c r="D25014" t="str">
        <f>"16689"</f>
        <v>16689</v>
      </c>
      <c r="E25014">
        <v>77.27</v>
      </c>
    </row>
    <row r="25015" spans="1:5" x14ac:dyDescent="0.2">
      <c r="A25015">
        <v>16691</v>
      </c>
      <c r="B25015" t="s">
        <v>44</v>
      </c>
      <c r="C25015">
        <v>16691</v>
      </c>
      <c r="D25015" t="str">
        <f>"16691"</f>
        <v>16691</v>
      </c>
      <c r="E25015">
        <v>68.75</v>
      </c>
    </row>
    <row r="25016" spans="1:5" x14ac:dyDescent="0.2">
      <c r="A25016">
        <v>16692</v>
      </c>
      <c r="B25016" t="s">
        <v>44</v>
      </c>
      <c r="C25016">
        <v>16692</v>
      </c>
      <c r="D25016" t="str">
        <f>"16692"</f>
        <v>16692</v>
      </c>
      <c r="E25016">
        <v>67.650000000000006</v>
      </c>
    </row>
    <row r="25017" spans="1:5" x14ac:dyDescent="0.2">
      <c r="A25017">
        <v>16693</v>
      </c>
      <c r="B25017" t="s">
        <v>44</v>
      </c>
      <c r="C25017">
        <v>16693</v>
      </c>
      <c r="D25017" t="str">
        <f>"16693"</f>
        <v>16693</v>
      </c>
      <c r="E25017">
        <v>68.42</v>
      </c>
    </row>
    <row r="25018" spans="1:5" x14ac:dyDescent="0.2">
      <c r="A25018">
        <v>16694</v>
      </c>
      <c r="B25018" t="s">
        <v>44</v>
      </c>
      <c r="C25018">
        <v>16694</v>
      </c>
      <c r="D25018" t="str">
        <f>"16694"</f>
        <v>16694</v>
      </c>
      <c r="E25018" t="s">
        <v>6</v>
      </c>
    </row>
    <row r="25019" spans="1:5" x14ac:dyDescent="0.2">
      <c r="A25019">
        <v>16695</v>
      </c>
      <c r="B25019" t="s">
        <v>44</v>
      </c>
      <c r="C25019">
        <v>16695</v>
      </c>
      <c r="D25019" t="str">
        <f>"16695"</f>
        <v>16695</v>
      </c>
      <c r="E25019">
        <v>70.45</v>
      </c>
    </row>
    <row r="25020" spans="1:5" x14ac:dyDescent="0.2">
      <c r="A25020">
        <v>16701</v>
      </c>
      <c r="B25020" t="s">
        <v>44</v>
      </c>
      <c r="C25020">
        <v>16701</v>
      </c>
      <c r="D25020" t="str">
        <f>"16701"</f>
        <v>16701</v>
      </c>
      <c r="E25020">
        <v>68.45</v>
      </c>
    </row>
    <row r="25021" spans="1:5" x14ac:dyDescent="0.2">
      <c r="A25021">
        <v>16720</v>
      </c>
      <c r="B25021" t="s">
        <v>44</v>
      </c>
      <c r="C25021">
        <v>16720</v>
      </c>
      <c r="D25021" t="str">
        <f>"16720"</f>
        <v>16720</v>
      </c>
      <c r="E25021">
        <v>70.489999999999995</v>
      </c>
    </row>
    <row r="25022" spans="1:5" x14ac:dyDescent="0.2">
      <c r="A25022">
        <v>16725</v>
      </c>
      <c r="B25022" t="s">
        <v>44</v>
      </c>
      <c r="C25022">
        <v>16725</v>
      </c>
      <c r="D25022" t="str">
        <f>"16725"</f>
        <v>16725</v>
      </c>
      <c r="E25022" t="s">
        <v>6</v>
      </c>
    </row>
    <row r="25023" spans="1:5" x14ac:dyDescent="0.2">
      <c r="A25023">
        <v>16726</v>
      </c>
      <c r="B25023" t="s">
        <v>44</v>
      </c>
      <c r="C25023">
        <v>16726</v>
      </c>
      <c r="D25023" t="str">
        <f>"16726"</f>
        <v>16726</v>
      </c>
      <c r="E25023">
        <v>64</v>
      </c>
    </row>
    <row r="25024" spans="1:5" x14ac:dyDescent="0.2">
      <c r="A25024">
        <v>16727</v>
      </c>
      <c r="B25024" t="s">
        <v>44</v>
      </c>
      <c r="C25024">
        <v>16727</v>
      </c>
      <c r="D25024" t="str">
        <f>"16727"</f>
        <v>16727</v>
      </c>
      <c r="E25024">
        <v>68.42</v>
      </c>
    </row>
    <row r="25025" spans="1:5" x14ac:dyDescent="0.2">
      <c r="A25025">
        <v>16729</v>
      </c>
      <c r="B25025" t="s">
        <v>44</v>
      </c>
      <c r="C25025">
        <v>16729</v>
      </c>
      <c r="D25025" t="str">
        <f>"16729"</f>
        <v>16729</v>
      </c>
      <c r="E25025">
        <v>72.5</v>
      </c>
    </row>
    <row r="25026" spans="1:5" x14ac:dyDescent="0.2">
      <c r="A25026">
        <v>16731</v>
      </c>
      <c r="B25026" t="s">
        <v>44</v>
      </c>
      <c r="C25026">
        <v>16731</v>
      </c>
      <c r="D25026" t="str">
        <f>"16731"</f>
        <v>16731</v>
      </c>
      <c r="E25026">
        <v>66.92</v>
      </c>
    </row>
    <row r="25027" spans="1:5" x14ac:dyDescent="0.2">
      <c r="A25027">
        <v>16732</v>
      </c>
      <c r="B25027" t="s">
        <v>44</v>
      </c>
      <c r="C25027">
        <v>16732</v>
      </c>
      <c r="D25027" t="str">
        <f>"16732"</f>
        <v>16732</v>
      </c>
      <c r="E25027">
        <v>66.67</v>
      </c>
    </row>
    <row r="25028" spans="1:5" x14ac:dyDescent="0.2">
      <c r="A25028">
        <v>16733</v>
      </c>
      <c r="B25028" t="s">
        <v>44</v>
      </c>
      <c r="C25028">
        <v>16733</v>
      </c>
      <c r="D25028" t="str">
        <f>"16733"</f>
        <v>16733</v>
      </c>
      <c r="E25028" t="s">
        <v>6</v>
      </c>
    </row>
    <row r="25029" spans="1:5" x14ac:dyDescent="0.2">
      <c r="A25029">
        <v>16734</v>
      </c>
      <c r="B25029" t="s">
        <v>44</v>
      </c>
      <c r="C25029">
        <v>16734</v>
      </c>
      <c r="D25029" t="str">
        <f>"16734"</f>
        <v>16734</v>
      </c>
      <c r="E25029" t="s">
        <v>6</v>
      </c>
    </row>
    <row r="25030" spans="1:5" x14ac:dyDescent="0.2">
      <c r="A25030">
        <v>16735</v>
      </c>
      <c r="B25030" t="s">
        <v>44</v>
      </c>
      <c r="C25030">
        <v>16735</v>
      </c>
      <c r="D25030" t="str">
        <f>"16735"</f>
        <v>16735</v>
      </c>
      <c r="E25030">
        <v>70.03</v>
      </c>
    </row>
    <row r="25031" spans="1:5" x14ac:dyDescent="0.2">
      <c r="A25031">
        <v>16738</v>
      </c>
      <c r="B25031" t="s">
        <v>44</v>
      </c>
      <c r="C25031">
        <v>16738</v>
      </c>
      <c r="D25031" t="str">
        <f>"16738"</f>
        <v>16738</v>
      </c>
      <c r="E25031">
        <v>76.92</v>
      </c>
    </row>
    <row r="25032" spans="1:5" x14ac:dyDescent="0.2">
      <c r="A25032">
        <v>16740</v>
      </c>
      <c r="B25032" t="s">
        <v>44</v>
      </c>
      <c r="C25032">
        <v>16740</v>
      </c>
      <c r="D25032" t="str">
        <f>"16740"</f>
        <v>16740</v>
      </c>
      <c r="E25032">
        <v>70.91</v>
      </c>
    </row>
    <row r="25033" spans="1:5" x14ac:dyDescent="0.2">
      <c r="A25033">
        <v>16743</v>
      </c>
      <c r="B25033" t="s">
        <v>44</v>
      </c>
      <c r="C25033">
        <v>16743</v>
      </c>
      <c r="D25033" t="str">
        <f>"16743"</f>
        <v>16743</v>
      </c>
      <c r="E25033">
        <v>67.8</v>
      </c>
    </row>
    <row r="25034" spans="1:5" x14ac:dyDescent="0.2">
      <c r="A25034">
        <v>16744</v>
      </c>
      <c r="B25034" t="s">
        <v>44</v>
      </c>
      <c r="C25034">
        <v>16744</v>
      </c>
      <c r="D25034" t="str">
        <f>"16744"</f>
        <v>16744</v>
      </c>
      <c r="E25034">
        <v>68.75</v>
      </c>
    </row>
    <row r="25035" spans="1:5" x14ac:dyDescent="0.2">
      <c r="A25035">
        <v>16745</v>
      </c>
      <c r="B25035" t="s">
        <v>44</v>
      </c>
      <c r="C25035">
        <v>16745</v>
      </c>
      <c r="D25035" t="str">
        <f>"16745"</f>
        <v>16745</v>
      </c>
      <c r="E25035">
        <v>69.23</v>
      </c>
    </row>
    <row r="25036" spans="1:5" x14ac:dyDescent="0.2">
      <c r="A25036">
        <v>16746</v>
      </c>
      <c r="B25036" t="s">
        <v>44</v>
      </c>
      <c r="C25036">
        <v>16746</v>
      </c>
      <c r="D25036" t="str">
        <f>"16746"</f>
        <v>16746</v>
      </c>
      <c r="E25036">
        <v>64.81</v>
      </c>
    </row>
    <row r="25037" spans="1:5" x14ac:dyDescent="0.2">
      <c r="A25037">
        <v>16748</v>
      </c>
      <c r="B25037" t="s">
        <v>44</v>
      </c>
      <c r="C25037">
        <v>16748</v>
      </c>
      <c r="D25037" t="str">
        <f>"16748"</f>
        <v>16748</v>
      </c>
      <c r="E25037">
        <v>66.94</v>
      </c>
    </row>
    <row r="25038" spans="1:5" x14ac:dyDescent="0.2">
      <c r="A25038">
        <v>16749</v>
      </c>
      <c r="B25038" t="s">
        <v>44</v>
      </c>
      <c r="C25038">
        <v>16749</v>
      </c>
      <c r="D25038" t="str">
        <f>"16749"</f>
        <v>16749</v>
      </c>
      <c r="E25038">
        <v>69.400000000000006</v>
      </c>
    </row>
    <row r="25039" spans="1:5" x14ac:dyDescent="0.2">
      <c r="A25039">
        <v>16750</v>
      </c>
      <c r="B25039" t="s">
        <v>44</v>
      </c>
      <c r="C25039">
        <v>16750</v>
      </c>
      <c r="D25039" t="str">
        <f>"16750"</f>
        <v>16750</v>
      </c>
      <c r="E25039">
        <v>63.16</v>
      </c>
    </row>
    <row r="25040" spans="1:5" x14ac:dyDescent="0.2">
      <c r="A25040">
        <v>16801</v>
      </c>
      <c r="B25040" t="s">
        <v>44</v>
      </c>
      <c r="C25040">
        <v>16801</v>
      </c>
      <c r="D25040" t="str">
        <f>"16801"</f>
        <v>16801</v>
      </c>
      <c r="E25040">
        <v>77.25</v>
      </c>
    </row>
    <row r="25041" spans="1:5" x14ac:dyDescent="0.2">
      <c r="A25041">
        <v>16803</v>
      </c>
      <c r="B25041" t="s">
        <v>44</v>
      </c>
      <c r="C25041">
        <v>16803</v>
      </c>
      <c r="D25041" t="str">
        <f>"16803"</f>
        <v>16803</v>
      </c>
      <c r="E25041">
        <v>78.83</v>
      </c>
    </row>
    <row r="25042" spans="1:5" x14ac:dyDescent="0.2">
      <c r="A25042">
        <v>16820</v>
      </c>
      <c r="B25042" t="s">
        <v>44</v>
      </c>
      <c r="C25042">
        <v>16820</v>
      </c>
      <c r="D25042" t="str">
        <f>"16820"</f>
        <v>16820</v>
      </c>
      <c r="E25042">
        <v>68.63</v>
      </c>
    </row>
    <row r="25043" spans="1:5" x14ac:dyDescent="0.2">
      <c r="A25043">
        <v>16821</v>
      </c>
      <c r="B25043" t="s">
        <v>44</v>
      </c>
      <c r="C25043">
        <v>16821</v>
      </c>
      <c r="D25043" t="str">
        <f>"16821"</f>
        <v>16821</v>
      </c>
      <c r="E25043">
        <v>64.709999999999994</v>
      </c>
    </row>
    <row r="25044" spans="1:5" x14ac:dyDescent="0.2">
      <c r="A25044">
        <v>16822</v>
      </c>
      <c r="B25044" t="s">
        <v>44</v>
      </c>
      <c r="C25044">
        <v>16822</v>
      </c>
      <c r="D25044" t="str">
        <f>"16822"</f>
        <v>16822</v>
      </c>
      <c r="E25044">
        <v>70.27</v>
      </c>
    </row>
    <row r="25045" spans="1:5" x14ac:dyDescent="0.2">
      <c r="A25045">
        <v>16823</v>
      </c>
      <c r="B25045" t="s">
        <v>44</v>
      </c>
      <c r="C25045">
        <v>16823</v>
      </c>
      <c r="D25045" t="str">
        <f>"16823"</f>
        <v>16823</v>
      </c>
      <c r="E25045">
        <v>77.67</v>
      </c>
    </row>
    <row r="25046" spans="1:5" x14ac:dyDescent="0.2">
      <c r="A25046">
        <v>16826</v>
      </c>
      <c r="B25046" t="s">
        <v>44</v>
      </c>
      <c r="C25046">
        <v>16826</v>
      </c>
      <c r="D25046" t="str">
        <f>"16826"</f>
        <v>16826</v>
      </c>
      <c r="E25046" t="s">
        <v>6</v>
      </c>
    </row>
    <row r="25047" spans="1:5" x14ac:dyDescent="0.2">
      <c r="A25047">
        <v>16827</v>
      </c>
      <c r="B25047" t="s">
        <v>44</v>
      </c>
      <c r="C25047">
        <v>16827</v>
      </c>
      <c r="D25047" t="str">
        <f>"16827"</f>
        <v>16827</v>
      </c>
      <c r="E25047">
        <v>78.08</v>
      </c>
    </row>
    <row r="25048" spans="1:5" x14ac:dyDescent="0.2">
      <c r="A25048">
        <v>16828</v>
      </c>
      <c r="B25048" t="s">
        <v>44</v>
      </c>
      <c r="C25048">
        <v>16828</v>
      </c>
      <c r="D25048" t="str">
        <f>"16828"</f>
        <v>16828</v>
      </c>
      <c r="E25048">
        <v>76.55</v>
      </c>
    </row>
    <row r="25049" spans="1:5" x14ac:dyDescent="0.2">
      <c r="A25049">
        <v>16829</v>
      </c>
      <c r="B25049" t="s">
        <v>44</v>
      </c>
      <c r="C25049">
        <v>16829</v>
      </c>
      <c r="D25049" t="str">
        <f>"16829"</f>
        <v>16829</v>
      </c>
      <c r="E25049">
        <v>77.78</v>
      </c>
    </row>
    <row r="25050" spans="1:5" x14ac:dyDescent="0.2">
      <c r="A25050">
        <v>16830</v>
      </c>
      <c r="B25050" t="s">
        <v>44</v>
      </c>
      <c r="C25050">
        <v>16830</v>
      </c>
      <c r="D25050" t="str">
        <f>"16830"</f>
        <v>16830</v>
      </c>
      <c r="E25050">
        <v>67.819999999999993</v>
      </c>
    </row>
    <row r="25051" spans="1:5" x14ac:dyDescent="0.2">
      <c r="A25051">
        <v>16832</v>
      </c>
      <c r="B25051" t="s">
        <v>44</v>
      </c>
      <c r="C25051">
        <v>16832</v>
      </c>
      <c r="D25051" t="str">
        <f>"16832"</f>
        <v>16832</v>
      </c>
      <c r="E25051">
        <v>65.22</v>
      </c>
    </row>
    <row r="25052" spans="1:5" x14ac:dyDescent="0.2">
      <c r="A25052">
        <v>16833</v>
      </c>
      <c r="B25052" t="s">
        <v>44</v>
      </c>
      <c r="C25052">
        <v>16833</v>
      </c>
      <c r="D25052" t="str">
        <f>"16833"</f>
        <v>16833</v>
      </c>
      <c r="E25052">
        <v>67.48</v>
      </c>
    </row>
    <row r="25053" spans="1:5" x14ac:dyDescent="0.2">
      <c r="A25053">
        <v>16834</v>
      </c>
      <c r="B25053" t="s">
        <v>44</v>
      </c>
      <c r="C25053">
        <v>16834</v>
      </c>
      <c r="D25053" t="str">
        <f>"16834"</f>
        <v>16834</v>
      </c>
      <c r="E25053" t="s">
        <v>6</v>
      </c>
    </row>
    <row r="25054" spans="1:5" x14ac:dyDescent="0.2">
      <c r="A25054">
        <v>16835</v>
      </c>
      <c r="B25054" t="s">
        <v>44</v>
      </c>
      <c r="C25054">
        <v>16835</v>
      </c>
      <c r="D25054" t="str">
        <f>"16835"</f>
        <v>16835</v>
      </c>
      <c r="E25054" t="s">
        <v>6</v>
      </c>
    </row>
    <row r="25055" spans="1:5" x14ac:dyDescent="0.2">
      <c r="A25055">
        <v>16836</v>
      </c>
      <c r="B25055" t="s">
        <v>44</v>
      </c>
      <c r="C25055">
        <v>16836</v>
      </c>
      <c r="D25055" t="str">
        <f>"16836"</f>
        <v>16836</v>
      </c>
      <c r="E25055">
        <v>67.27</v>
      </c>
    </row>
    <row r="25056" spans="1:5" x14ac:dyDescent="0.2">
      <c r="A25056">
        <v>16837</v>
      </c>
      <c r="B25056" t="s">
        <v>44</v>
      </c>
      <c r="C25056">
        <v>16837</v>
      </c>
      <c r="D25056" t="str">
        <f>"16837"</f>
        <v>16837</v>
      </c>
      <c r="E25056" t="s">
        <v>6</v>
      </c>
    </row>
    <row r="25057" spans="1:5" x14ac:dyDescent="0.2">
      <c r="A25057">
        <v>16838</v>
      </c>
      <c r="B25057" t="s">
        <v>44</v>
      </c>
      <c r="C25057">
        <v>16838</v>
      </c>
      <c r="D25057" t="str">
        <f>"16838"</f>
        <v>16838</v>
      </c>
      <c r="E25057">
        <v>67.86</v>
      </c>
    </row>
    <row r="25058" spans="1:5" x14ac:dyDescent="0.2">
      <c r="A25058">
        <v>16839</v>
      </c>
      <c r="B25058" t="s">
        <v>44</v>
      </c>
      <c r="C25058">
        <v>16839</v>
      </c>
      <c r="D25058" t="str">
        <f>"16839"</f>
        <v>16839</v>
      </c>
      <c r="E25058">
        <v>63.64</v>
      </c>
    </row>
    <row r="25059" spans="1:5" x14ac:dyDescent="0.2">
      <c r="A25059">
        <v>16840</v>
      </c>
      <c r="B25059" t="s">
        <v>44</v>
      </c>
      <c r="C25059">
        <v>16840</v>
      </c>
      <c r="D25059" t="str">
        <f>"16840"</f>
        <v>16840</v>
      </c>
      <c r="E25059">
        <v>68</v>
      </c>
    </row>
    <row r="25060" spans="1:5" x14ac:dyDescent="0.2">
      <c r="A25060">
        <v>16841</v>
      </c>
      <c r="B25060" t="s">
        <v>44</v>
      </c>
      <c r="C25060">
        <v>16841</v>
      </c>
      <c r="D25060" t="str">
        <f>"16841"</f>
        <v>16841</v>
      </c>
      <c r="E25060">
        <v>73.150000000000006</v>
      </c>
    </row>
    <row r="25061" spans="1:5" x14ac:dyDescent="0.2">
      <c r="A25061">
        <v>16843</v>
      </c>
      <c r="B25061" t="s">
        <v>44</v>
      </c>
      <c r="C25061">
        <v>16843</v>
      </c>
      <c r="D25061" t="str">
        <f>"16843"</f>
        <v>16843</v>
      </c>
      <c r="E25061" t="s">
        <v>6</v>
      </c>
    </row>
    <row r="25062" spans="1:5" x14ac:dyDescent="0.2">
      <c r="A25062">
        <v>16844</v>
      </c>
      <c r="B25062" t="s">
        <v>44</v>
      </c>
      <c r="C25062">
        <v>16844</v>
      </c>
      <c r="D25062" t="str">
        <f>"16844"</f>
        <v>16844</v>
      </c>
      <c r="E25062">
        <v>76.739999999999995</v>
      </c>
    </row>
    <row r="25063" spans="1:5" x14ac:dyDescent="0.2">
      <c r="A25063">
        <v>16845</v>
      </c>
      <c r="B25063" t="s">
        <v>44</v>
      </c>
      <c r="C25063">
        <v>16845</v>
      </c>
      <c r="D25063" t="str">
        <f>"16845"</f>
        <v>16845</v>
      </c>
      <c r="E25063">
        <v>71.430000000000007</v>
      </c>
    </row>
    <row r="25064" spans="1:5" x14ac:dyDescent="0.2">
      <c r="A25064">
        <v>16848</v>
      </c>
      <c r="B25064" t="s">
        <v>44</v>
      </c>
      <c r="C25064">
        <v>16848</v>
      </c>
      <c r="D25064" t="str">
        <f>"16848"</f>
        <v>16848</v>
      </c>
      <c r="E25064" t="s">
        <v>6</v>
      </c>
    </row>
    <row r="25065" spans="1:5" x14ac:dyDescent="0.2">
      <c r="A25065">
        <v>16849</v>
      </c>
      <c r="B25065" t="s">
        <v>44</v>
      </c>
      <c r="C25065">
        <v>16849</v>
      </c>
      <c r="D25065" t="str">
        <f>"16849"</f>
        <v>16849</v>
      </c>
      <c r="E25065" t="s">
        <v>6</v>
      </c>
    </row>
    <row r="25066" spans="1:5" x14ac:dyDescent="0.2">
      <c r="A25066">
        <v>16850</v>
      </c>
      <c r="B25066" t="s">
        <v>44</v>
      </c>
      <c r="C25066">
        <v>16850</v>
      </c>
      <c r="D25066" t="str">
        <f>"16850"</f>
        <v>16850</v>
      </c>
      <c r="E25066" t="s">
        <v>6</v>
      </c>
    </row>
    <row r="25067" spans="1:5" x14ac:dyDescent="0.2">
      <c r="A25067">
        <v>16851</v>
      </c>
      <c r="B25067" t="s">
        <v>44</v>
      </c>
      <c r="C25067">
        <v>16851</v>
      </c>
      <c r="D25067" t="str">
        <f>"16851"</f>
        <v>16851</v>
      </c>
      <c r="E25067" t="s">
        <v>6</v>
      </c>
    </row>
    <row r="25068" spans="1:5" x14ac:dyDescent="0.2">
      <c r="A25068">
        <v>16852</v>
      </c>
      <c r="B25068" t="s">
        <v>44</v>
      </c>
      <c r="C25068">
        <v>16852</v>
      </c>
      <c r="D25068" t="str">
        <f>"16852"</f>
        <v>16852</v>
      </c>
      <c r="E25068">
        <v>60</v>
      </c>
    </row>
    <row r="25069" spans="1:5" x14ac:dyDescent="0.2">
      <c r="A25069">
        <v>16853</v>
      </c>
      <c r="B25069" t="s">
        <v>44</v>
      </c>
      <c r="C25069">
        <v>16853</v>
      </c>
      <c r="D25069" t="str">
        <f>"16853"</f>
        <v>16853</v>
      </c>
      <c r="E25069" t="s">
        <v>6</v>
      </c>
    </row>
    <row r="25070" spans="1:5" x14ac:dyDescent="0.2">
      <c r="A25070">
        <v>16854</v>
      </c>
      <c r="B25070" t="s">
        <v>44</v>
      </c>
      <c r="C25070">
        <v>16854</v>
      </c>
      <c r="D25070" t="str">
        <f>"16854"</f>
        <v>16854</v>
      </c>
      <c r="E25070">
        <v>72.73</v>
      </c>
    </row>
    <row r="25071" spans="1:5" x14ac:dyDescent="0.2">
      <c r="A25071">
        <v>16856</v>
      </c>
      <c r="B25071" t="s">
        <v>44</v>
      </c>
      <c r="C25071">
        <v>16856</v>
      </c>
      <c r="D25071" t="str">
        <f>"16856"</f>
        <v>16856</v>
      </c>
      <c r="E25071" t="s">
        <v>6</v>
      </c>
    </row>
    <row r="25072" spans="1:5" x14ac:dyDescent="0.2">
      <c r="A25072">
        <v>16858</v>
      </c>
      <c r="B25072" t="s">
        <v>44</v>
      </c>
      <c r="C25072">
        <v>16858</v>
      </c>
      <c r="D25072" t="str">
        <f>"16858"</f>
        <v>16858</v>
      </c>
      <c r="E25072">
        <v>69.36</v>
      </c>
    </row>
    <row r="25073" spans="1:5" x14ac:dyDescent="0.2">
      <c r="A25073">
        <v>16859</v>
      </c>
      <c r="B25073" t="s">
        <v>44</v>
      </c>
      <c r="C25073">
        <v>16859</v>
      </c>
      <c r="D25073" t="str">
        <f>"16859"</f>
        <v>16859</v>
      </c>
      <c r="E25073">
        <v>69.569999999999993</v>
      </c>
    </row>
    <row r="25074" spans="1:5" x14ac:dyDescent="0.2">
      <c r="A25074">
        <v>16860</v>
      </c>
      <c r="B25074" t="s">
        <v>44</v>
      </c>
      <c r="C25074">
        <v>16860</v>
      </c>
      <c r="D25074" t="str">
        <f>"16860"</f>
        <v>16860</v>
      </c>
      <c r="E25074">
        <v>77.78</v>
      </c>
    </row>
    <row r="25075" spans="1:5" x14ac:dyDescent="0.2">
      <c r="A25075">
        <v>16861</v>
      </c>
      <c r="B25075" t="s">
        <v>44</v>
      </c>
      <c r="C25075">
        <v>16861</v>
      </c>
      <c r="D25075" t="str">
        <f>"16861"</f>
        <v>16861</v>
      </c>
      <c r="E25075">
        <v>61.54</v>
      </c>
    </row>
    <row r="25076" spans="1:5" x14ac:dyDescent="0.2">
      <c r="A25076">
        <v>16863</v>
      </c>
      <c r="B25076" t="s">
        <v>44</v>
      </c>
      <c r="C25076">
        <v>16863</v>
      </c>
      <c r="D25076" t="str">
        <f>"16863"</f>
        <v>16863</v>
      </c>
      <c r="E25076">
        <v>70.59</v>
      </c>
    </row>
    <row r="25077" spans="1:5" x14ac:dyDescent="0.2">
      <c r="A25077">
        <v>16864</v>
      </c>
      <c r="B25077" t="s">
        <v>44</v>
      </c>
      <c r="C25077">
        <v>16864</v>
      </c>
      <c r="D25077" t="str">
        <f>"16864"</f>
        <v>16864</v>
      </c>
      <c r="E25077" t="s">
        <v>6</v>
      </c>
    </row>
    <row r="25078" spans="1:5" x14ac:dyDescent="0.2">
      <c r="A25078">
        <v>16865</v>
      </c>
      <c r="B25078" t="s">
        <v>44</v>
      </c>
      <c r="C25078">
        <v>16865</v>
      </c>
      <c r="D25078" t="str">
        <f>"16865"</f>
        <v>16865</v>
      </c>
      <c r="E25078">
        <v>80.23</v>
      </c>
    </row>
    <row r="25079" spans="1:5" x14ac:dyDescent="0.2">
      <c r="A25079">
        <v>16866</v>
      </c>
      <c r="B25079" t="s">
        <v>44</v>
      </c>
      <c r="C25079">
        <v>16866</v>
      </c>
      <c r="D25079" t="str">
        <f>"16866"</f>
        <v>16866</v>
      </c>
      <c r="E25079">
        <v>72.03</v>
      </c>
    </row>
    <row r="25080" spans="1:5" x14ac:dyDescent="0.2">
      <c r="A25080">
        <v>16868</v>
      </c>
      <c r="B25080" t="s">
        <v>44</v>
      </c>
      <c r="C25080">
        <v>16868</v>
      </c>
      <c r="D25080" t="str">
        <f>"16868"</f>
        <v>16868</v>
      </c>
      <c r="E25080" t="s">
        <v>6</v>
      </c>
    </row>
    <row r="25081" spans="1:5" x14ac:dyDescent="0.2">
      <c r="A25081">
        <v>16870</v>
      </c>
      <c r="B25081" t="s">
        <v>44</v>
      </c>
      <c r="C25081">
        <v>16870</v>
      </c>
      <c r="D25081" t="str">
        <f>"16870"</f>
        <v>16870</v>
      </c>
      <c r="E25081">
        <v>79.27</v>
      </c>
    </row>
    <row r="25082" spans="1:5" x14ac:dyDescent="0.2">
      <c r="A25082">
        <v>16871</v>
      </c>
      <c r="B25082" t="s">
        <v>44</v>
      </c>
      <c r="C25082">
        <v>16871</v>
      </c>
      <c r="D25082" t="str">
        <f>"16871"</f>
        <v>16871</v>
      </c>
      <c r="E25082" t="s">
        <v>6</v>
      </c>
    </row>
    <row r="25083" spans="1:5" x14ac:dyDescent="0.2">
      <c r="A25083">
        <v>16872</v>
      </c>
      <c r="B25083" t="s">
        <v>44</v>
      </c>
      <c r="C25083">
        <v>16872</v>
      </c>
      <c r="D25083" t="str">
        <f>"16872"</f>
        <v>16872</v>
      </c>
      <c r="E25083">
        <v>57.63</v>
      </c>
    </row>
    <row r="25084" spans="1:5" x14ac:dyDescent="0.2">
      <c r="A25084">
        <v>16874</v>
      </c>
      <c r="B25084" t="s">
        <v>44</v>
      </c>
      <c r="C25084">
        <v>16874</v>
      </c>
      <c r="D25084" t="str">
        <f>"16874"</f>
        <v>16874</v>
      </c>
      <c r="E25084">
        <v>76.12</v>
      </c>
    </row>
    <row r="25085" spans="1:5" x14ac:dyDescent="0.2">
      <c r="A25085">
        <v>16875</v>
      </c>
      <c r="B25085" t="s">
        <v>44</v>
      </c>
      <c r="C25085">
        <v>16875</v>
      </c>
      <c r="D25085" t="str">
        <f>"16875"</f>
        <v>16875</v>
      </c>
      <c r="E25085">
        <v>74.599999999999994</v>
      </c>
    </row>
    <row r="25086" spans="1:5" x14ac:dyDescent="0.2">
      <c r="A25086">
        <v>16876</v>
      </c>
      <c r="B25086" t="s">
        <v>44</v>
      </c>
      <c r="C25086">
        <v>16876</v>
      </c>
      <c r="D25086" t="str">
        <f>"16876"</f>
        <v>16876</v>
      </c>
      <c r="E25086" t="s">
        <v>6</v>
      </c>
    </row>
    <row r="25087" spans="1:5" x14ac:dyDescent="0.2">
      <c r="A25087">
        <v>16877</v>
      </c>
      <c r="B25087" t="s">
        <v>44</v>
      </c>
      <c r="C25087">
        <v>16877</v>
      </c>
      <c r="D25087" t="str">
        <f>"16877"</f>
        <v>16877</v>
      </c>
      <c r="E25087">
        <v>75.290000000000006</v>
      </c>
    </row>
    <row r="25088" spans="1:5" x14ac:dyDescent="0.2">
      <c r="A25088">
        <v>16878</v>
      </c>
      <c r="B25088" t="s">
        <v>44</v>
      </c>
      <c r="C25088">
        <v>16878</v>
      </c>
      <c r="D25088" t="str">
        <f>"16878"</f>
        <v>16878</v>
      </c>
      <c r="E25088">
        <v>71.59</v>
      </c>
    </row>
    <row r="25089" spans="1:5" x14ac:dyDescent="0.2">
      <c r="A25089">
        <v>16879</v>
      </c>
      <c r="B25089" t="s">
        <v>44</v>
      </c>
      <c r="C25089">
        <v>16879</v>
      </c>
      <c r="D25089" t="str">
        <f>"16879"</f>
        <v>16879</v>
      </c>
      <c r="E25089">
        <v>73.680000000000007</v>
      </c>
    </row>
    <row r="25090" spans="1:5" x14ac:dyDescent="0.2">
      <c r="A25090">
        <v>16881</v>
      </c>
      <c r="B25090" t="s">
        <v>44</v>
      </c>
      <c r="C25090">
        <v>16881</v>
      </c>
      <c r="D25090" t="str">
        <f>"16881"</f>
        <v>16881</v>
      </c>
      <c r="E25090">
        <v>69.069999999999993</v>
      </c>
    </row>
    <row r="25091" spans="1:5" x14ac:dyDescent="0.2">
      <c r="A25091">
        <v>16882</v>
      </c>
      <c r="B25091" t="s">
        <v>44</v>
      </c>
      <c r="C25091">
        <v>16882</v>
      </c>
      <c r="D25091" t="str">
        <f>"16882"</f>
        <v>16882</v>
      </c>
      <c r="E25091">
        <v>58.82</v>
      </c>
    </row>
    <row r="25092" spans="1:5" x14ac:dyDescent="0.2">
      <c r="A25092">
        <v>16901</v>
      </c>
      <c r="B25092" t="s">
        <v>44</v>
      </c>
      <c r="C25092">
        <v>16901</v>
      </c>
      <c r="D25092" t="str">
        <f>"16901"</f>
        <v>16901</v>
      </c>
      <c r="E25092">
        <v>71.91</v>
      </c>
    </row>
    <row r="25093" spans="1:5" x14ac:dyDescent="0.2">
      <c r="A25093">
        <v>16910</v>
      </c>
      <c r="B25093" t="s">
        <v>44</v>
      </c>
      <c r="C25093">
        <v>16910</v>
      </c>
      <c r="D25093" t="str">
        <f>"16910"</f>
        <v>16910</v>
      </c>
      <c r="E25093" t="s">
        <v>6</v>
      </c>
    </row>
    <row r="25094" spans="1:5" x14ac:dyDescent="0.2">
      <c r="A25094">
        <v>16912</v>
      </c>
      <c r="B25094" t="s">
        <v>44</v>
      </c>
      <c r="C25094">
        <v>16912</v>
      </c>
      <c r="D25094" t="str">
        <f>"16912"</f>
        <v>16912</v>
      </c>
      <c r="E25094">
        <v>68.819999999999993</v>
      </c>
    </row>
    <row r="25095" spans="1:5" x14ac:dyDescent="0.2">
      <c r="A25095">
        <v>16914</v>
      </c>
      <c r="B25095" t="s">
        <v>44</v>
      </c>
      <c r="C25095">
        <v>16914</v>
      </c>
      <c r="D25095" t="str">
        <f>"16914"</f>
        <v>16914</v>
      </c>
      <c r="E25095">
        <v>70.09</v>
      </c>
    </row>
    <row r="25096" spans="1:5" x14ac:dyDescent="0.2">
      <c r="A25096">
        <v>16915</v>
      </c>
      <c r="B25096" t="s">
        <v>44</v>
      </c>
      <c r="C25096">
        <v>16915</v>
      </c>
      <c r="D25096" t="str">
        <f>"16915"</f>
        <v>16915</v>
      </c>
      <c r="E25096">
        <v>67.67</v>
      </c>
    </row>
    <row r="25097" spans="1:5" x14ac:dyDescent="0.2">
      <c r="A25097">
        <v>16917</v>
      </c>
      <c r="B25097" t="s">
        <v>44</v>
      </c>
      <c r="C25097">
        <v>16917</v>
      </c>
      <c r="D25097" t="str">
        <f>"16917"</f>
        <v>16917</v>
      </c>
      <c r="E25097">
        <v>69.569999999999993</v>
      </c>
    </row>
    <row r="25098" spans="1:5" x14ac:dyDescent="0.2">
      <c r="A25098">
        <v>16920</v>
      </c>
      <c r="B25098" t="s">
        <v>44</v>
      </c>
      <c r="C25098">
        <v>16920</v>
      </c>
      <c r="D25098" t="str">
        <f>"16920"</f>
        <v>16920</v>
      </c>
      <c r="E25098">
        <v>66.67</v>
      </c>
    </row>
    <row r="25099" spans="1:5" x14ac:dyDescent="0.2">
      <c r="A25099">
        <v>16921</v>
      </c>
      <c r="B25099" t="s">
        <v>44</v>
      </c>
      <c r="C25099">
        <v>16921</v>
      </c>
      <c r="D25099" t="str">
        <f>"16921"</f>
        <v>16921</v>
      </c>
      <c r="E25099">
        <v>72</v>
      </c>
    </row>
    <row r="25100" spans="1:5" x14ac:dyDescent="0.2">
      <c r="A25100">
        <v>16922</v>
      </c>
      <c r="B25100" t="s">
        <v>44</v>
      </c>
      <c r="C25100">
        <v>16922</v>
      </c>
      <c r="D25100" t="str">
        <f>"16922"</f>
        <v>16922</v>
      </c>
      <c r="E25100">
        <v>65.88</v>
      </c>
    </row>
    <row r="25101" spans="1:5" x14ac:dyDescent="0.2">
      <c r="A25101">
        <v>16923</v>
      </c>
      <c r="B25101" t="s">
        <v>44</v>
      </c>
      <c r="C25101">
        <v>16923</v>
      </c>
      <c r="D25101" t="str">
        <f>"16923"</f>
        <v>16923</v>
      </c>
      <c r="E25101">
        <v>61.4</v>
      </c>
    </row>
    <row r="25102" spans="1:5" x14ac:dyDescent="0.2">
      <c r="A25102">
        <v>16925</v>
      </c>
      <c r="B25102" t="s">
        <v>44</v>
      </c>
      <c r="C25102">
        <v>16925</v>
      </c>
      <c r="D25102" t="str">
        <f>"16925"</f>
        <v>16925</v>
      </c>
      <c r="E25102">
        <v>71.03</v>
      </c>
    </row>
    <row r="25103" spans="1:5" x14ac:dyDescent="0.2">
      <c r="A25103">
        <v>16926</v>
      </c>
      <c r="B25103" t="s">
        <v>44</v>
      </c>
      <c r="C25103">
        <v>16926</v>
      </c>
      <c r="D25103" t="str">
        <f>"16926"</f>
        <v>16926</v>
      </c>
      <c r="E25103">
        <v>70.27</v>
      </c>
    </row>
    <row r="25104" spans="1:5" x14ac:dyDescent="0.2">
      <c r="A25104">
        <v>16927</v>
      </c>
      <c r="B25104" t="s">
        <v>44</v>
      </c>
      <c r="C25104">
        <v>16927</v>
      </c>
      <c r="D25104" t="str">
        <f>"16927"</f>
        <v>16927</v>
      </c>
      <c r="E25104">
        <v>64</v>
      </c>
    </row>
    <row r="25105" spans="1:5" x14ac:dyDescent="0.2">
      <c r="A25105">
        <v>16928</v>
      </c>
      <c r="B25105" t="s">
        <v>44</v>
      </c>
      <c r="C25105">
        <v>16928</v>
      </c>
      <c r="D25105" t="str">
        <f>"16928"</f>
        <v>16928</v>
      </c>
      <c r="E25105">
        <v>70</v>
      </c>
    </row>
    <row r="25106" spans="1:5" x14ac:dyDescent="0.2">
      <c r="A25106">
        <v>16929</v>
      </c>
      <c r="B25106" t="s">
        <v>44</v>
      </c>
      <c r="C25106">
        <v>16929</v>
      </c>
      <c r="D25106" t="str">
        <f>"16929"</f>
        <v>16929</v>
      </c>
      <c r="E25106">
        <v>71.819999999999993</v>
      </c>
    </row>
    <row r="25107" spans="1:5" x14ac:dyDescent="0.2">
      <c r="A25107">
        <v>16930</v>
      </c>
      <c r="B25107" t="s">
        <v>44</v>
      </c>
      <c r="C25107">
        <v>16930</v>
      </c>
      <c r="D25107" t="str">
        <f>"16930"</f>
        <v>16930</v>
      </c>
      <c r="E25107">
        <v>72.41</v>
      </c>
    </row>
    <row r="25108" spans="1:5" x14ac:dyDescent="0.2">
      <c r="A25108">
        <v>16932</v>
      </c>
      <c r="B25108" t="s">
        <v>44</v>
      </c>
      <c r="C25108">
        <v>16932</v>
      </c>
      <c r="D25108" t="str">
        <f>"16932"</f>
        <v>16932</v>
      </c>
      <c r="E25108">
        <v>68.75</v>
      </c>
    </row>
    <row r="25109" spans="1:5" x14ac:dyDescent="0.2">
      <c r="A25109">
        <v>16933</v>
      </c>
      <c r="B25109" t="s">
        <v>44</v>
      </c>
      <c r="C25109">
        <v>16933</v>
      </c>
      <c r="D25109" t="str">
        <f>"16933"</f>
        <v>16933</v>
      </c>
      <c r="E25109">
        <v>70.22</v>
      </c>
    </row>
    <row r="25110" spans="1:5" x14ac:dyDescent="0.2">
      <c r="A25110">
        <v>16935</v>
      </c>
      <c r="B25110" t="s">
        <v>44</v>
      </c>
      <c r="C25110">
        <v>16935</v>
      </c>
      <c r="D25110" t="str">
        <f>"16935"</f>
        <v>16935</v>
      </c>
      <c r="E25110">
        <v>71.19</v>
      </c>
    </row>
    <row r="25111" spans="1:5" x14ac:dyDescent="0.2">
      <c r="A25111">
        <v>16936</v>
      </c>
      <c r="B25111" t="s">
        <v>44</v>
      </c>
      <c r="C25111">
        <v>16936</v>
      </c>
      <c r="D25111" t="str">
        <f>"16936"</f>
        <v>16936</v>
      </c>
      <c r="E25111">
        <v>70.53</v>
      </c>
    </row>
    <row r="25112" spans="1:5" x14ac:dyDescent="0.2">
      <c r="A25112">
        <v>16937</v>
      </c>
      <c r="B25112" t="s">
        <v>44</v>
      </c>
      <c r="C25112">
        <v>16937</v>
      </c>
      <c r="D25112" t="str">
        <f>"16937"</f>
        <v>16937</v>
      </c>
      <c r="E25112" t="s">
        <v>6</v>
      </c>
    </row>
    <row r="25113" spans="1:5" x14ac:dyDescent="0.2">
      <c r="A25113">
        <v>16938</v>
      </c>
      <c r="B25113" t="s">
        <v>44</v>
      </c>
      <c r="C25113">
        <v>16938</v>
      </c>
      <c r="D25113" t="str">
        <f>"16938"</f>
        <v>16938</v>
      </c>
      <c r="E25113">
        <v>72.22</v>
      </c>
    </row>
    <row r="25114" spans="1:5" x14ac:dyDescent="0.2">
      <c r="A25114">
        <v>16941</v>
      </c>
      <c r="B25114" t="s">
        <v>44</v>
      </c>
      <c r="C25114">
        <v>16941</v>
      </c>
      <c r="D25114" t="str">
        <f>"16941"</f>
        <v>16941</v>
      </c>
      <c r="E25114" t="s">
        <v>6</v>
      </c>
    </row>
    <row r="25115" spans="1:5" x14ac:dyDescent="0.2">
      <c r="A25115">
        <v>16942</v>
      </c>
      <c r="B25115" t="s">
        <v>44</v>
      </c>
      <c r="C25115">
        <v>16942</v>
      </c>
      <c r="D25115" t="str">
        <f>"16942"</f>
        <v>16942</v>
      </c>
      <c r="E25115">
        <v>67.650000000000006</v>
      </c>
    </row>
    <row r="25116" spans="1:5" x14ac:dyDescent="0.2">
      <c r="A25116">
        <v>16943</v>
      </c>
      <c r="B25116" t="s">
        <v>44</v>
      </c>
      <c r="C25116">
        <v>16943</v>
      </c>
      <c r="D25116" t="str">
        <f>"16943"</f>
        <v>16943</v>
      </c>
      <c r="E25116">
        <v>66.67</v>
      </c>
    </row>
    <row r="25117" spans="1:5" x14ac:dyDescent="0.2">
      <c r="A25117">
        <v>16946</v>
      </c>
      <c r="B25117" t="s">
        <v>44</v>
      </c>
      <c r="C25117">
        <v>16946</v>
      </c>
      <c r="D25117" t="str">
        <f>"16946"</f>
        <v>16946</v>
      </c>
      <c r="E25117">
        <v>70.34</v>
      </c>
    </row>
    <row r="25118" spans="1:5" x14ac:dyDescent="0.2">
      <c r="A25118">
        <v>16947</v>
      </c>
      <c r="B25118" t="s">
        <v>44</v>
      </c>
      <c r="C25118">
        <v>16947</v>
      </c>
      <c r="D25118" t="str">
        <f>"16947"</f>
        <v>16947</v>
      </c>
      <c r="E25118">
        <v>70.87</v>
      </c>
    </row>
    <row r="25119" spans="1:5" x14ac:dyDescent="0.2">
      <c r="A25119">
        <v>16948</v>
      </c>
      <c r="B25119" t="s">
        <v>44</v>
      </c>
      <c r="C25119">
        <v>16948</v>
      </c>
      <c r="D25119" t="str">
        <f>"16948"</f>
        <v>16948</v>
      </c>
      <c r="E25119">
        <v>60.29</v>
      </c>
    </row>
    <row r="25120" spans="1:5" x14ac:dyDescent="0.2">
      <c r="A25120">
        <v>16950</v>
      </c>
      <c r="B25120" t="s">
        <v>44</v>
      </c>
      <c r="C25120">
        <v>16950</v>
      </c>
      <c r="D25120" t="str">
        <f>"16950"</f>
        <v>16950</v>
      </c>
      <c r="E25120">
        <v>66.91</v>
      </c>
    </row>
    <row r="25121" spans="1:5" x14ac:dyDescent="0.2">
      <c r="A25121">
        <v>17002</v>
      </c>
      <c r="B25121" t="s">
        <v>44</v>
      </c>
      <c r="C25121">
        <v>17002</v>
      </c>
      <c r="D25121" t="str">
        <f>"17002"</f>
        <v>17002</v>
      </c>
      <c r="E25121">
        <v>66.67</v>
      </c>
    </row>
    <row r="25122" spans="1:5" x14ac:dyDescent="0.2">
      <c r="A25122">
        <v>17003</v>
      </c>
      <c r="B25122" t="s">
        <v>44</v>
      </c>
      <c r="C25122">
        <v>17003</v>
      </c>
      <c r="D25122" t="str">
        <f>"17003"</f>
        <v>17003</v>
      </c>
      <c r="E25122">
        <v>74.73</v>
      </c>
    </row>
    <row r="25123" spans="1:5" x14ac:dyDescent="0.2">
      <c r="A25123">
        <v>17004</v>
      </c>
      <c r="B25123" t="s">
        <v>44</v>
      </c>
      <c r="C25123">
        <v>17004</v>
      </c>
      <c r="D25123" t="str">
        <f>"17004"</f>
        <v>17004</v>
      </c>
      <c r="E25123">
        <v>61.65</v>
      </c>
    </row>
    <row r="25124" spans="1:5" x14ac:dyDescent="0.2">
      <c r="A25124">
        <v>17005</v>
      </c>
      <c r="B25124" t="s">
        <v>44</v>
      </c>
      <c r="C25124">
        <v>17005</v>
      </c>
      <c r="D25124" t="str">
        <f>"17005"</f>
        <v>17005</v>
      </c>
      <c r="E25124" t="s">
        <v>6</v>
      </c>
    </row>
    <row r="25125" spans="1:5" x14ac:dyDescent="0.2">
      <c r="A25125">
        <v>17006</v>
      </c>
      <c r="B25125" t="s">
        <v>44</v>
      </c>
      <c r="C25125">
        <v>17006</v>
      </c>
      <c r="D25125" t="str">
        <f>"17006"</f>
        <v>17006</v>
      </c>
      <c r="E25125">
        <v>65.38</v>
      </c>
    </row>
    <row r="25126" spans="1:5" x14ac:dyDescent="0.2">
      <c r="A25126">
        <v>17007</v>
      </c>
      <c r="B25126" t="s">
        <v>44</v>
      </c>
      <c r="C25126">
        <v>17007</v>
      </c>
      <c r="D25126" t="str">
        <f>"17007"</f>
        <v>17007</v>
      </c>
      <c r="E25126">
        <v>79.05</v>
      </c>
    </row>
    <row r="25127" spans="1:5" x14ac:dyDescent="0.2">
      <c r="A25127">
        <v>17009</v>
      </c>
      <c r="B25127" t="s">
        <v>44</v>
      </c>
      <c r="C25127">
        <v>17009</v>
      </c>
      <c r="D25127" t="str">
        <f>"17009"</f>
        <v>17009</v>
      </c>
      <c r="E25127">
        <v>68.69</v>
      </c>
    </row>
    <row r="25128" spans="1:5" x14ac:dyDescent="0.2">
      <c r="A25128">
        <v>17011</v>
      </c>
      <c r="B25128" t="s">
        <v>44</v>
      </c>
      <c r="C25128">
        <v>17011</v>
      </c>
      <c r="D25128" t="str">
        <f>"17011"</f>
        <v>17011</v>
      </c>
      <c r="E25128">
        <v>79.61</v>
      </c>
    </row>
    <row r="25129" spans="1:5" x14ac:dyDescent="0.2">
      <c r="A25129">
        <v>17013</v>
      </c>
      <c r="B25129" t="s">
        <v>44</v>
      </c>
      <c r="C25129">
        <v>17013</v>
      </c>
      <c r="D25129" t="str">
        <f>"17013"</f>
        <v>17013</v>
      </c>
      <c r="E25129">
        <v>72.91</v>
      </c>
    </row>
    <row r="25130" spans="1:5" x14ac:dyDescent="0.2">
      <c r="A25130">
        <v>17014</v>
      </c>
      <c r="B25130" t="s">
        <v>44</v>
      </c>
      <c r="C25130">
        <v>17014</v>
      </c>
      <c r="D25130" t="str">
        <f>"17014"</f>
        <v>17014</v>
      </c>
      <c r="E25130" t="s">
        <v>6</v>
      </c>
    </row>
    <row r="25131" spans="1:5" x14ac:dyDescent="0.2">
      <c r="A25131">
        <v>17015</v>
      </c>
      <c r="B25131" t="s">
        <v>44</v>
      </c>
      <c r="C25131">
        <v>17015</v>
      </c>
      <c r="D25131" t="str">
        <f>"17015"</f>
        <v>17015</v>
      </c>
      <c r="E25131">
        <v>76.3</v>
      </c>
    </row>
    <row r="25132" spans="1:5" x14ac:dyDescent="0.2">
      <c r="A25132">
        <v>17017</v>
      </c>
      <c r="B25132" t="s">
        <v>44</v>
      </c>
      <c r="C25132">
        <v>17017</v>
      </c>
      <c r="D25132" t="str">
        <f>"17017"</f>
        <v>17017</v>
      </c>
      <c r="E25132">
        <v>73.17</v>
      </c>
    </row>
    <row r="25133" spans="1:5" x14ac:dyDescent="0.2">
      <c r="A25133">
        <v>17018</v>
      </c>
      <c r="B25133" t="s">
        <v>44</v>
      </c>
      <c r="C25133">
        <v>17018</v>
      </c>
      <c r="D25133" t="str">
        <f>"17018"</f>
        <v>17018</v>
      </c>
      <c r="E25133">
        <v>80.97</v>
      </c>
    </row>
    <row r="25134" spans="1:5" x14ac:dyDescent="0.2">
      <c r="A25134">
        <v>17019</v>
      </c>
      <c r="B25134" t="s">
        <v>44</v>
      </c>
      <c r="C25134">
        <v>17019</v>
      </c>
      <c r="D25134" t="str">
        <f>"17019"</f>
        <v>17019</v>
      </c>
      <c r="E25134">
        <v>77.22</v>
      </c>
    </row>
    <row r="25135" spans="1:5" x14ac:dyDescent="0.2">
      <c r="A25135">
        <v>17020</v>
      </c>
      <c r="B25135" t="s">
        <v>44</v>
      </c>
      <c r="C25135">
        <v>17020</v>
      </c>
      <c r="D25135" t="str">
        <f>"17020"</f>
        <v>17020</v>
      </c>
      <c r="E25135">
        <v>75.56</v>
      </c>
    </row>
    <row r="25136" spans="1:5" x14ac:dyDescent="0.2">
      <c r="A25136">
        <v>17021</v>
      </c>
      <c r="B25136" t="s">
        <v>44</v>
      </c>
      <c r="C25136">
        <v>17021</v>
      </c>
      <c r="D25136" t="str">
        <f>"17021"</f>
        <v>17021</v>
      </c>
      <c r="E25136">
        <v>70.45</v>
      </c>
    </row>
    <row r="25137" spans="1:5" x14ac:dyDescent="0.2">
      <c r="A25137">
        <v>17022</v>
      </c>
      <c r="B25137" t="s">
        <v>44</v>
      </c>
      <c r="C25137">
        <v>17022</v>
      </c>
      <c r="D25137" t="str">
        <f>"17022"</f>
        <v>17022</v>
      </c>
      <c r="E25137">
        <v>77.17</v>
      </c>
    </row>
    <row r="25138" spans="1:5" x14ac:dyDescent="0.2">
      <c r="A25138">
        <v>17023</v>
      </c>
      <c r="B25138" t="s">
        <v>44</v>
      </c>
      <c r="C25138">
        <v>17023</v>
      </c>
      <c r="D25138" t="str">
        <f>"17023"</f>
        <v>17023</v>
      </c>
      <c r="E25138">
        <v>71.010000000000005</v>
      </c>
    </row>
    <row r="25139" spans="1:5" x14ac:dyDescent="0.2">
      <c r="A25139">
        <v>17024</v>
      </c>
      <c r="B25139" t="s">
        <v>44</v>
      </c>
      <c r="C25139">
        <v>17024</v>
      </c>
      <c r="D25139" t="str">
        <f>"17024"</f>
        <v>17024</v>
      </c>
      <c r="E25139">
        <v>71.13</v>
      </c>
    </row>
    <row r="25140" spans="1:5" x14ac:dyDescent="0.2">
      <c r="A25140">
        <v>17025</v>
      </c>
      <c r="B25140" t="s">
        <v>44</v>
      </c>
      <c r="C25140">
        <v>17025</v>
      </c>
      <c r="D25140" t="str">
        <f>"17025"</f>
        <v>17025</v>
      </c>
      <c r="E25140">
        <v>77.510000000000005</v>
      </c>
    </row>
    <row r="25141" spans="1:5" x14ac:dyDescent="0.2">
      <c r="A25141">
        <v>17026</v>
      </c>
      <c r="B25141" t="s">
        <v>44</v>
      </c>
      <c r="C25141">
        <v>17026</v>
      </c>
      <c r="D25141" t="str">
        <f>"17026"</f>
        <v>17026</v>
      </c>
      <c r="E25141">
        <v>76.22</v>
      </c>
    </row>
    <row r="25142" spans="1:5" x14ac:dyDescent="0.2">
      <c r="A25142">
        <v>17027</v>
      </c>
      <c r="B25142" t="s">
        <v>44</v>
      </c>
      <c r="C25142">
        <v>17027</v>
      </c>
      <c r="D25142" t="str">
        <f>"17027"</f>
        <v>17027</v>
      </c>
      <c r="E25142" t="s">
        <v>6</v>
      </c>
    </row>
    <row r="25143" spans="1:5" x14ac:dyDescent="0.2">
      <c r="A25143">
        <v>17028</v>
      </c>
      <c r="B25143" t="s">
        <v>44</v>
      </c>
      <c r="C25143">
        <v>17028</v>
      </c>
      <c r="D25143" t="str">
        <f>"17028"</f>
        <v>17028</v>
      </c>
      <c r="E25143">
        <v>70.430000000000007</v>
      </c>
    </row>
    <row r="25144" spans="1:5" x14ac:dyDescent="0.2">
      <c r="A25144">
        <v>17029</v>
      </c>
      <c r="B25144" t="s">
        <v>44</v>
      </c>
      <c r="C25144">
        <v>17029</v>
      </c>
      <c r="D25144" t="str">
        <f>"17029"</f>
        <v>17029</v>
      </c>
      <c r="E25144">
        <v>55.56</v>
      </c>
    </row>
    <row r="25145" spans="1:5" x14ac:dyDescent="0.2">
      <c r="A25145">
        <v>17030</v>
      </c>
      <c r="B25145" t="s">
        <v>44</v>
      </c>
      <c r="C25145">
        <v>17030</v>
      </c>
      <c r="D25145" t="str">
        <f>"17030"</f>
        <v>17030</v>
      </c>
      <c r="E25145">
        <v>69.23</v>
      </c>
    </row>
    <row r="25146" spans="1:5" x14ac:dyDescent="0.2">
      <c r="A25146">
        <v>17032</v>
      </c>
      <c r="B25146" t="s">
        <v>44</v>
      </c>
      <c r="C25146">
        <v>17032</v>
      </c>
      <c r="D25146" t="str">
        <f>"17032"</f>
        <v>17032</v>
      </c>
      <c r="E25146">
        <v>75.69</v>
      </c>
    </row>
    <row r="25147" spans="1:5" x14ac:dyDescent="0.2">
      <c r="A25147">
        <v>17033</v>
      </c>
      <c r="B25147" t="s">
        <v>44</v>
      </c>
      <c r="C25147">
        <v>17033</v>
      </c>
      <c r="D25147" t="str">
        <f>"17033"</f>
        <v>17033</v>
      </c>
      <c r="E25147">
        <v>74.569999999999993</v>
      </c>
    </row>
    <row r="25148" spans="1:5" x14ac:dyDescent="0.2">
      <c r="A25148">
        <v>17034</v>
      </c>
      <c r="B25148" t="s">
        <v>44</v>
      </c>
      <c r="C25148">
        <v>17034</v>
      </c>
      <c r="D25148" t="str">
        <f>"17034"</f>
        <v>17034</v>
      </c>
      <c r="E25148">
        <v>69.23</v>
      </c>
    </row>
    <row r="25149" spans="1:5" x14ac:dyDescent="0.2">
      <c r="A25149">
        <v>17035</v>
      </c>
      <c r="B25149" t="s">
        <v>44</v>
      </c>
      <c r="C25149">
        <v>17035</v>
      </c>
      <c r="D25149" t="str">
        <f>"17035"</f>
        <v>17035</v>
      </c>
      <c r="E25149">
        <v>68.569999999999993</v>
      </c>
    </row>
    <row r="25150" spans="1:5" x14ac:dyDescent="0.2">
      <c r="A25150">
        <v>17036</v>
      </c>
      <c r="B25150" t="s">
        <v>44</v>
      </c>
      <c r="C25150">
        <v>17036</v>
      </c>
      <c r="D25150" t="str">
        <f>"17036"</f>
        <v>17036</v>
      </c>
      <c r="E25150">
        <v>77.56</v>
      </c>
    </row>
    <row r="25151" spans="1:5" x14ac:dyDescent="0.2">
      <c r="A25151">
        <v>17037</v>
      </c>
      <c r="B25151" t="s">
        <v>44</v>
      </c>
      <c r="C25151">
        <v>17037</v>
      </c>
      <c r="D25151" t="str">
        <f>"17037"</f>
        <v>17037</v>
      </c>
      <c r="E25151">
        <v>70.209999999999994</v>
      </c>
    </row>
    <row r="25152" spans="1:5" x14ac:dyDescent="0.2">
      <c r="A25152">
        <v>17038</v>
      </c>
      <c r="B25152" t="s">
        <v>44</v>
      </c>
      <c r="C25152">
        <v>17038</v>
      </c>
      <c r="D25152" t="str">
        <f>"17038"</f>
        <v>17038</v>
      </c>
      <c r="E25152">
        <v>75</v>
      </c>
    </row>
    <row r="25153" spans="1:5" x14ac:dyDescent="0.2">
      <c r="A25153">
        <v>17039</v>
      </c>
      <c r="B25153" t="s">
        <v>44</v>
      </c>
      <c r="C25153">
        <v>17039</v>
      </c>
      <c r="D25153" t="str">
        <f>"17039"</f>
        <v>17039</v>
      </c>
      <c r="E25153" t="s">
        <v>6</v>
      </c>
    </row>
    <row r="25154" spans="1:5" x14ac:dyDescent="0.2">
      <c r="A25154">
        <v>17040</v>
      </c>
      <c r="B25154" t="s">
        <v>44</v>
      </c>
      <c r="C25154">
        <v>17040</v>
      </c>
      <c r="D25154" t="str">
        <f>"17040"</f>
        <v>17040</v>
      </c>
      <c r="E25154">
        <v>73.81</v>
      </c>
    </row>
    <row r="25155" spans="1:5" x14ac:dyDescent="0.2">
      <c r="A25155">
        <v>17041</v>
      </c>
      <c r="B25155" t="s">
        <v>44</v>
      </c>
      <c r="C25155">
        <v>17041</v>
      </c>
      <c r="D25155" t="str">
        <f>"17041"</f>
        <v>17041</v>
      </c>
      <c r="E25155" t="s">
        <v>6</v>
      </c>
    </row>
    <row r="25156" spans="1:5" x14ac:dyDescent="0.2">
      <c r="A25156">
        <v>17042</v>
      </c>
      <c r="B25156" t="s">
        <v>44</v>
      </c>
      <c r="C25156">
        <v>17042</v>
      </c>
      <c r="D25156" t="str">
        <f>"17042"</f>
        <v>17042</v>
      </c>
      <c r="E25156">
        <v>70.98</v>
      </c>
    </row>
    <row r="25157" spans="1:5" x14ac:dyDescent="0.2">
      <c r="A25157">
        <v>17043</v>
      </c>
      <c r="B25157" t="s">
        <v>44</v>
      </c>
      <c r="C25157">
        <v>17043</v>
      </c>
      <c r="D25157" t="str">
        <f>"17043"</f>
        <v>17043</v>
      </c>
      <c r="E25157">
        <v>77.42</v>
      </c>
    </row>
    <row r="25158" spans="1:5" x14ac:dyDescent="0.2">
      <c r="A25158">
        <v>17044</v>
      </c>
      <c r="B25158" t="s">
        <v>44</v>
      </c>
      <c r="C25158">
        <v>17044</v>
      </c>
      <c r="D25158" t="str">
        <f>"17044"</f>
        <v>17044</v>
      </c>
      <c r="E25158">
        <v>67.63</v>
      </c>
    </row>
    <row r="25159" spans="1:5" x14ac:dyDescent="0.2">
      <c r="A25159">
        <v>17045</v>
      </c>
      <c r="B25159" t="s">
        <v>44</v>
      </c>
      <c r="C25159">
        <v>17045</v>
      </c>
      <c r="D25159" t="str">
        <f>"17045"</f>
        <v>17045</v>
      </c>
      <c r="E25159">
        <v>73.58</v>
      </c>
    </row>
    <row r="25160" spans="1:5" x14ac:dyDescent="0.2">
      <c r="A25160">
        <v>17046</v>
      </c>
      <c r="B25160" t="s">
        <v>44</v>
      </c>
      <c r="C25160">
        <v>17046</v>
      </c>
      <c r="D25160" t="str">
        <f>"17046"</f>
        <v>17046</v>
      </c>
      <c r="E25160">
        <v>63.09</v>
      </c>
    </row>
    <row r="25161" spans="1:5" x14ac:dyDescent="0.2">
      <c r="A25161">
        <v>17047</v>
      </c>
      <c r="B25161" t="s">
        <v>44</v>
      </c>
      <c r="C25161">
        <v>17047</v>
      </c>
      <c r="D25161" t="str">
        <f>"17047"</f>
        <v>17047</v>
      </c>
      <c r="E25161">
        <v>69.489999999999995</v>
      </c>
    </row>
    <row r="25162" spans="1:5" x14ac:dyDescent="0.2">
      <c r="A25162">
        <v>17048</v>
      </c>
      <c r="B25162" t="s">
        <v>44</v>
      </c>
      <c r="C25162">
        <v>17048</v>
      </c>
      <c r="D25162" t="str">
        <f>"17048"</f>
        <v>17048</v>
      </c>
      <c r="E25162">
        <v>68.510000000000005</v>
      </c>
    </row>
    <row r="25163" spans="1:5" x14ac:dyDescent="0.2">
      <c r="A25163">
        <v>17049</v>
      </c>
      <c r="B25163" t="s">
        <v>44</v>
      </c>
      <c r="C25163">
        <v>17049</v>
      </c>
      <c r="D25163" t="str">
        <f>"17049"</f>
        <v>17049</v>
      </c>
      <c r="E25163">
        <v>70.2</v>
      </c>
    </row>
    <row r="25164" spans="1:5" x14ac:dyDescent="0.2">
      <c r="A25164">
        <v>17050</v>
      </c>
      <c r="B25164" t="s">
        <v>44</v>
      </c>
      <c r="C25164">
        <v>17050</v>
      </c>
      <c r="D25164" t="str">
        <f>"17050"</f>
        <v>17050</v>
      </c>
      <c r="E25164">
        <v>80.760000000000005</v>
      </c>
    </row>
    <row r="25165" spans="1:5" x14ac:dyDescent="0.2">
      <c r="A25165">
        <v>17051</v>
      </c>
      <c r="B25165" t="s">
        <v>44</v>
      </c>
      <c r="C25165">
        <v>17051</v>
      </c>
      <c r="D25165" t="str">
        <f>"17051"</f>
        <v>17051</v>
      </c>
      <c r="E25165">
        <v>69.23</v>
      </c>
    </row>
    <row r="25166" spans="1:5" x14ac:dyDescent="0.2">
      <c r="A25166">
        <v>17052</v>
      </c>
      <c r="B25166" t="s">
        <v>44</v>
      </c>
      <c r="C25166">
        <v>17052</v>
      </c>
      <c r="D25166" t="str">
        <f>"17052"</f>
        <v>17052</v>
      </c>
      <c r="E25166">
        <v>68.489999999999995</v>
      </c>
    </row>
    <row r="25167" spans="1:5" x14ac:dyDescent="0.2">
      <c r="A25167">
        <v>17053</v>
      </c>
      <c r="B25167" t="s">
        <v>44</v>
      </c>
      <c r="C25167">
        <v>17053</v>
      </c>
      <c r="D25167" t="str">
        <f>"17053"</f>
        <v>17053</v>
      </c>
      <c r="E25167">
        <v>78.75</v>
      </c>
    </row>
    <row r="25168" spans="1:5" x14ac:dyDescent="0.2">
      <c r="A25168">
        <v>17055</v>
      </c>
      <c r="B25168" t="s">
        <v>44</v>
      </c>
      <c r="C25168">
        <v>17055</v>
      </c>
      <c r="D25168" t="str">
        <f>"17055"</f>
        <v>17055</v>
      </c>
      <c r="E25168">
        <v>78.37</v>
      </c>
    </row>
    <row r="25169" spans="1:5" x14ac:dyDescent="0.2">
      <c r="A25169">
        <v>17056</v>
      </c>
      <c r="B25169" t="s">
        <v>44</v>
      </c>
      <c r="C25169">
        <v>17056</v>
      </c>
      <c r="D25169" t="str">
        <f>"17056"</f>
        <v>17056</v>
      </c>
      <c r="E25169" t="s">
        <v>6</v>
      </c>
    </row>
    <row r="25170" spans="1:5" x14ac:dyDescent="0.2">
      <c r="A25170">
        <v>17057</v>
      </c>
      <c r="B25170" t="s">
        <v>44</v>
      </c>
      <c r="C25170">
        <v>17057</v>
      </c>
      <c r="D25170" t="str">
        <f>"17057"</f>
        <v>17057</v>
      </c>
      <c r="E25170">
        <v>73.45</v>
      </c>
    </row>
    <row r="25171" spans="1:5" x14ac:dyDescent="0.2">
      <c r="A25171">
        <v>17058</v>
      </c>
      <c r="B25171" t="s">
        <v>44</v>
      </c>
      <c r="C25171">
        <v>17058</v>
      </c>
      <c r="D25171" t="str">
        <f>"17058"</f>
        <v>17058</v>
      </c>
      <c r="E25171">
        <v>68.290000000000006</v>
      </c>
    </row>
    <row r="25172" spans="1:5" x14ac:dyDescent="0.2">
      <c r="A25172">
        <v>17059</v>
      </c>
      <c r="B25172" t="s">
        <v>44</v>
      </c>
      <c r="C25172">
        <v>17059</v>
      </c>
      <c r="D25172" t="str">
        <f>"17059"</f>
        <v>17059</v>
      </c>
      <c r="E25172">
        <v>71.150000000000006</v>
      </c>
    </row>
    <row r="25173" spans="1:5" x14ac:dyDescent="0.2">
      <c r="A25173">
        <v>17060</v>
      </c>
      <c r="B25173" t="s">
        <v>44</v>
      </c>
      <c r="C25173">
        <v>17060</v>
      </c>
      <c r="D25173" t="str">
        <f>"17060"</f>
        <v>17060</v>
      </c>
      <c r="E25173">
        <v>67.27</v>
      </c>
    </row>
    <row r="25174" spans="1:5" x14ac:dyDescent="0.2">
      <c r="A25174">
        <v>17061</v>
      </c>
      <c r="B25174" t="s">
        <v>44</v>
      </c>
      <c r="C25174">
        <v>17061</v>
      </c>
      <c r="D25174" t="str">
        <f>"17061"</f>
        <v>17061</v>
      </c>
      <c r="E25174">
        <v>71.39</v>
      </c>
    </row>
    <row r="25175" spans="1:5" x14ac:dyDescent="0.2">
      <c r="A25175">
        <v>17062</v>
      </c>
      <c r="B25175" t="s">
        <v>44</v>
      </c>
      <c r="C25175">
        <v>17062</v>
      </c>
      <c r="D25175" t="str">
        <f>"17062"</f>
        <v>17062</v>
      </c>
      <c r="E25175">
        <v>75.25</v>
      </c>
    </row>
    <row r="25176" spans="1:5" x14ac:dyDescent="0.2">
      <c r="A25176">
        <v>17063</v>
      </c>
      <c r="B25176" t="s">
        <v>44</v>
      </c>
      <c r="C25176">
        <v>17063</v>
      </c>
      <c r="D25176" t="str">
        <f>"17063"</f>
        <v>17063</v>
      </c>
      <c r="E25176">
        <v>66.88</v>
      </c>
    </row>
    <row r="25177" spans="1:5" x14ac:dyDescent="0.2">
      <c r="A25177">
        <v>17064</v>
      </c>
      <c r="B25177" t="s">
        <v>44</v>
      </c>
      <c r="C25177">
        <v>17064</v>
      </c>
      <c r="D25177" t="str">
        <f>"17064"</f>
        <v>17064</v>
      </c>
      <c r="E25177" t="s">
        <v>6</v>
      </c>
    </row>
    <row r="25178" spans="1:5" x14ac:dyDescent="0.2">
      <c r="A25178">
        <v>17065</v>
      </c>
      <c r="B25178" t="s">
        <v>44</v>
      </c>
      <c r="C25178">
        <v>17065</v>
      </c>
      <c r="D25178" t="str">
        <f>"17065"</f>
        <v>17065</v>
      </c>
      <c r="E25178">
        <v>74.650000000000006</v>
      </c>
    </row>
    <row r="25179" spans="1:5" x14ac:dyDescent="0.2">
      <c r="A25179">
        <v>17066</v>
      </c>
      <c r="B25179" t="s">
        <v>44</v>
      </c>
      <c r="C25179">
        <v>17066</v>
      </c>
      <c r="D25179" t="str">
        <f>"17066"</f>
        <v>17066</v>
      </c>
      <c r="E25179">
        <v>65.63</v>
      </c>
    </row>
    <row r="25180" spans="1:5" x14ac:dyDescent="0.2">
      <c r="A25180">
        <v>17067</v>
      </c>
      <c r="B25180" t="s">
        <v>44</v>
      </c>
      <c r="C25180">
        <v>17067</v>
      </c>
      <c r="D25180" t="str">
        <f>"17067"</f>
        <v>17067</v>
      </c>
      <c r="E25180">
        <v>72.02</v>
      </c>
    </row>
    <row r="25181" spans="1:5" x14ac:dyDescent="0.2">
      <c r="A25181">
        <v>17068</v>
      </c>
      <c r="B25181" t="s">
        <v>44</v>
      </c>
      <c r="C25181">
        <v>17068</v>
      </c>
      <c r="D25181" t="str">
        <f>"17068"</f>
        <v>17068</v>
      </c>
      <c r="E25181">
        <v>72.510000000000005</v>
      </c>
    </row>
    <row r="25182" spans="1:5" x14ac:dyDescent="0.2">
      <c r="A25182">
        <v>17069</v>
      </c>
      <c r="B25182" t="s">
        <v>44</v>
      </c>
      <c r="C25182">
        <v>17069</v>
      </c>
      <c r="D25182" t="str">
        <f>"17069"</f>
        <v>17069</v>
      </c>
      <c r="E25182" t="s">
        <v>6</v>
      </c>
    </row>
    <row r="25183" spans="1:5" x14ac:dyDescent="0.2">
      <c r="A25183">
        <v>17070</v>
      </c>
      <c r="B25183" t="s">
        <v>44</v>
      </c>
      <c r="C25183">
        <v>17070</v>
      </c>
      <c r="D25183" t="str">
        <f>"17070"</f>
        <v>17070</v>
      </c>
      <c r="E25183">
        <v>77.59</v>
      </c>
    </row>
    <row r="25184" spans="1:5" x14ac:dyDescent="0.2">
      <c r="A25184">
        <v>17073</v>
      </c>
      <c r="B25184" t="s">
        <v>44</v>
      </c>
      <c r="C25184">
        <v>17073</v>
      </c>
      <c r="D25184" t="str">
        <f>"17073"</f>
        <v>17073</v>
      </c>
      <c r="E25184">
        <v>76.28</v>
      </c>
    </row>
    <row r="25185" spans="1:5" x14ac:dyDescent="0.2">
      <c r="A25185">
        <v>17074</v>
      </c>
      <c r="B25185" t="s">
        <v>44</v>
      </c>
      <c r="C25185">
        <v>17074</v>
      </c>
      <c r="D25185" t="str">
        <f>"17074"</f>
        <v>17074</v>
      </c>
      <c r="E25185">
        <v>72.930000000000007</v>
      </c>
    </row>
    <row r="25186" spans="1:5" x14ac:dyDescent="0.2">
      <c r="A25186">
        <v>17075</v>
      </c>
      <c r="B25186" t="s">
        <v>44</v>
      </c>
      <c r="C25186">
        <v>17075</v>
      </c>
      <c r="D25186" t="str">
        <f>"17075"</f>
        <v>17075</v>
      </c>
      <c r="E25186" t="s">
        <v>6</v>
      </c>
    </row>
    <row r="25187" spans="1:5" x14ac:dyDescent="0.2">
      <c r="A25187">
        <v>17076</v>
      </c>
      <c r="B25187" t="s">
        <v>44</v>
      </c>
      <c r="C25187">
        <v>17076</v>
      </c>
      <c r="D25187" t="str">
        <f>"17076"</f>
        <v>17076</v>
      </c>
      <c r="E25187" t="s">
        <v>6</v>
      </c>
    </row>
    <row r="25188" spans="1:5" x14ac:dyDescent="0.2">
      <c r="A25188">
        <v>17077</v>
      </c>
      <c r="B25188" t="s">
        <v>44</v>
      </c>
      <c r="C25188">
        <v>17077</v>
      </c>
      <c r="D25188" t="str">
        <f>"17077"</f>
        <v>17077</v>
      </c>
      <c r="E25188" t="s">
        <v>6</v>
      </c>
    </row>
    <row r="25189" spans="1:5" x14ac:dyDescent="0.2">
      <c r="A25189">
        <v>17078</v>
      </c>
      <c r="B25189" t="s">
        <v>44</v>
      </c>
      <c r="C25189">
        <v>17078</v>
      </c>
      <c r="D25189" t="str">
        <f>"17078"</f>
        <v>17078</v>
      </c>
      <c r="E25189">
        <v>76.19</v>
      </c>
    </row>
    <row r="25190" spans="1:5" x14ac:dyDescent="0.2">
      <c r="A25190">
        <v>17080</v>
      </c>
      <c r="B25190" t="s">
        <v>44</v>
      </c>
      <c r="C25190">
        <v>17080</v>
      </c>
      <c r="D25190" t="str">
        <f>"17080"</f>
        <v>17080</v>
      </c>
      <c r="E25190" t="s">
        <v>6</v>
      </c>
    </row>
    <row r="25191" spans="1:5" x14ac:dyDescent="0.2">
      <c r="A25191">
        <v>17082</v>
      </c>
      <c r="B25191" t="s">
        <v>44</v>
      </c>
      <c r="C25191">
        <v>17082</v>
      </c>
      <c r="D25191" t="str">
        <f>"17082"</f>
        <v>17082</v>
      </c>
      <c r="E25191">
        <v>70.989999999999995</v>
      </c>
    </row>
    <row r="25192" spans="1:5" x14ac:dyDescent="0.2">
      <c r="A25192">
        <v>17083</v>
      </c>
      <c r="B25192" t="s">
        <v>44</v>
      </c>
      <c r="C25192">
        <v>17083</v>
      </c>
      <c r="D25192" t="str">
        <f>"17083"</f>
        <v>17083</v>
      </c>
      <c r="E25192" t="s">
        <v>6</v>
      </c>
    </row>
    <row r="25193" spans="1:5" x14ac:dyDescent="0.2">
      <c r="A25193">
        <v>17084</v>
      </c>
      <c r="B25193" t="s">
        <v>44</v>
      </c>
      <c r="C25193">
        <v>17084</v>
      </c>
      <c r="D25193" t="str">
        <f>"17084"</f>
        <v>17084</v>
      </c>
      <c r="E25193">
        <v>72.430000000000007</v>
      </c>
    </row>
    <row r="25194" spans="1:5" x14ac:dyDescent="0.2">
      <c r="A25194">
        <v>17086</v>
      </c>
      <c r="B25194" t="s">
        <v>44</v>
      </c>
      <c r="C25194">
        <v>17086</v>
      </c>
      <c r="D25194" t="str">
        <f>"17086"</f>
        <v>17086</v>
      </c>
      <c r="E25194">
        <v>68.22</v>
      </c>
    </row>
    <row r="25195" spans="1:5" x14ac:dyDescent="0.2">
      <c r="A25195">
        <v>17087</v>
      </c>
      <c r="B25195" t="s">
        <v>44</v>
      </c>
      <c r="C25195">
        <v>17087</v>
      </c>
      <c r="D25195" t="str">
        <f>"17087"</f>
        <v>17087</v>
      </c>
      <c r="E25195">
        <v>75.94</v>
      </c>
    </row>
    <row r="25196" spans="1:5" x14ac:dyDescent="0.2">
      <c r="A25196">
        <v>17088</v>
      </c>
      <c r="B25196" t="s">
        <v>44</v>
      </c>
      <c r="C25196">
        <v>17088</v>
      </c>
      <c r="D25196" t="str">
        <f>"17088"</f>
        <v>17088</v>
      </c>
      <c r="E25196" t="s">
        <v>6</v>
      </c>
    </row>
    <row r="25197" spans="1:5" x14ac:dyDescent="0.2">
      <c r="A25197">
        <v>17090</v>
      </c>
      <c r="B25197" t="s">
        <v>44</v>
      </c>
      <c r="C25197">
        <v>17090</v>
      </c>
      <c r="D25197" t="str">
        <f>"17090"</f>
        <v>17090</v>
      </c>
      <c r="E25197">
        <v>75.290000000000006</v>
      </c>
    </row>
    <row r="25198" spans="1:5" x14ac:dyDescent="0.2">
      <c r="A25198">
        <v>17093</v>
      </c>
      <c r="B25198" t="s">
        <v>44</v>
      </c>
      <c r="C25198">
        <v>17093</v>
      </c>
      <c r="D25198" t="str">
        <f>"17093"</f>
        <v>17093</v>
      </c>
      <c r="E25198" t="s">
        <v>6</v>
      </c>
    </row>
    <row r="25199" spans="1:5" x14ac:dyDescent="0.2">
      <c r="A25199">
        <v>17094</v>
      </c>
      <c r="B25199" t="s">
        <v>44</v>
      </c>
      <c r="C25199">
        <v>17094</v>
      </c>
      <c r="D25199" t="str">
        <f>"17094"</f>
        <v>17094</v>
      </c>
      <c r="E25199">
        <v>71.930000000000007</v>
      </c>
    </row>
    <row r="25200" spans="1:5" x14ac:dyDescent="0.2">
      <c r="A25200">
        <v>17097</v>
      </c>
      <c r="B25200" t="s">
        <v>44</v>
      </c>
      <c r="C25200">
        <v>17097</v>
      </c>
      <c r="D25200" t="str">
        <f>"17097"</f>
        <v>17097</v>
      </c>
      <c r="E25200" t="s">
        <v>6</v>
      </c>
    </row>
    <row r="25201" spans="1:5" x14ac:dyDescent="0.2">
      <c r="A25201">
        <v>17098</v>
      </c>
      <c r="B25201" t="s">
        <v>44</v>
      </c>
      <c r="C25201">
        <v>17098</v>
      </c>
      <c r="D25201" t="str">
        <f>"17098"</f>
        <v>17098</v>
      </c>
      <c r="E25201">
        <v>72.569999999999993</v>
      </c>
    </row>
    <row r="25202" spans="1:5" x14ac:dyDescent="0.2">
      <c r="A25202">
        <v>17099</v>
      </c>
      <c r="B25202" t="s">
        <v>44</v>
      </c>
      <c r="C25202">
        <v>17099</v>
      </c>
      <c r="D25202" t="str">
        <f>"17099"</f>
        <v>17099</v>
      </c>
      <c r="E25202">
        <v>66.67</v>
      </c>
    </row>
    <row r="25203" spans="1:5" x14ac:dyDescent="0.2">
      <c r="A25203">
        <v>17101</v>
      </c>
      <c r="B25203" t="s">
        <v>44</v>
      </c>
      <c r="C25203">
        <v>17101</v>
      </c>
      <c r="D25203" t="str">
        <f>"17101"</f>
        <v>17101</v>
      </c>
      <c r="E25203">
        <v>70.73</v>
      </c>
    </row>
    <row r="25204" spans="1:5" x14ac:dyDescent="0.2">
      <c r="A25204">
        <v>17102</v>
      </c>
      <c r="B25204" t="s">
        <v>44</v>
      </c>
      <c r="C25204">
        <v>17102</v>
      </c>
      <c r="D25204" t="str">
        <f>"17102"</f>
        <v>17102</v>
      </c>
      <c r="E25204">
        <v>73.540000000000006</v>
      </c>
    </row>
    <row r="25205" spans="1:5" x14ac:dyDescent="0.2">
      <c r="A25205">
        <v>17103</v>
      </c>
      <c r="B25205" t="s">
        <v>44</v>
      </c>
      <c r="C25205">
        <v>17103</v>
      </c>
      <c r="D25205" t="str">
        <f>"17103"</f>
        <v>17103</v>
      </c>
      <c r="E25205">
        <v>51.53</v>
      </c>
    </row>
    <row r="25206" spans="1:5" x14ac:dyDescent="0.2">
      <c r="A25206">
        <v>17104</v>
      </c>
      <c r="B25206" t="s">
        <v>44</v>
      </c>
      <c r="C25206">
        <v>17104</v>
      </c>
      <c r="D25206" t="str">
        <f>"17104"</f>
        <v>17104</v>
      </c>
      <c r="E25206">
        <v>48.86</v>
      </c>
    </row>
    <row r="25207" spans="1:5" x14ac:dyDescent="0.2">
      <c r="A25207">
        <v>17105</v>
      </c>
      <c r="B25207" t="s">
        <v>44</v>
      </c>
      <c r="C25207">
        <v>17105</v>
      </c>
      <c r="D25207" t="str">
        <f>"17105"</f>
        <v>17105</v>
      </c>
      <c r="E25207" t="s">
        <v>6</v>
      </c>
    </row>
    <row r="25208" spans="1:5" x14ac:dyDescent="0.2">
      <c r="A25208">
        <v>17107</v>
      </c>
      <c r="B25208" t="s">
        <v>44</v>
      </c>
      <c r="C25208">
        <v>17107</v>
      </c>
      <c r="D25208" t="str">
        <f>"17107"</f>
        <v>17107</v>
      </c>
      <c r="E25208" t="s">
        <v>6</v>
      </c>
    </row>
    <row r="25209" spans="1:5" x14ac:dyDescent="0.2">
      <c r="A25209">
        <v>17109</v>
      </c>
      <c r="B25209" t="s">
        <v>44</v>
      </c>
      <c r="C25209">
        <v>17109</v>
      </c>
      <c r="D25209" t="str">
        <f>"17109"</f>
        <v>17109</v>
      </c>
      <c r="E25209">
        <v>71.47</v>
      </c>
    </row>
    <row r="25210" spans="1:5" x14ac:dyDescent="0.2">
      <c r="A25210">
        <v>17110</v>
      </c>
      <c r="B25210" t="s">
        <v>44</v>
      </c>
      <c r="C25210">
        <v>17110</v>
      </c>
      <c r="D25210" t="str">
        <f>"17110"</f>
        <v>17110</v>
      </c>
      <c r="E25210">
        <v>71.45</v>
      </c>
    </row>
    <row r="25211" spans="1:5" x14ac:dyDescent="0.2">
      <c r="A25211">
        <v>17111</v>
      </c>
      <c r="B25211" t="s">
        <v>44</v>
      </c>
      <c r="C25211">
        <v>17111</v>
      </c>
      <c r="D25211" t="str">
        <f>"17111"</f>
        <v>17111</v>
      </c>
      <c r="E25211">
        <v>75.680000000000007</v>
      </c>
    </row>
    <row r="25212" spans="1:5" x14ac:dyDescent="0.2">
      <c r="A25212">
        <v>17112</v>
      </c>
      <c r="B25212" t="s">
        <v>44</v>
      </c>
      <c r="C25212">
        <v>17112</v>
      </c>
      <c r="D25212" t="str">
        <f>"17112"</f>
        <v>17112</v>
      </c>
      <c r="E25212">
        <v>79.33</v>
      </c>
    </row>
    <row r="25213" spans="1:5" x14ac:dyDescent="0.2">
      <c r="A25213">
        <v>17113</v>
      </c>
      <c r="B25213" t="s">
        <v>44</v>
      </c>
      <c r="C25213">
        <v>17113</v>
      </c>
      <c r="D25213" t="str">
        <f>"17113"</f>
        <v>17113</v>
      </c>
      <c r="E25213">
        <v>64.17</v>
      </c>
    </row>
    <row r="25214" spans="1:5" x14ac:dyDescent="0.2">
      <c r="A25214">
        <v>17120</v>
      </c>
      <c r="B25214" t="s">
        <v>44</v>
      </c>
      <c r="C25214">
        <v>17120</v>
      </c>
      <c r="D25214" t="str">
        <f>"17120"</f>
        <v>17120</v>
      </c>
      <c r="E25214" t="s">
        <v>6</v>
      </c>
    </row>
    <row r="25215" spans="1:5" x14ac:dyDescent="0.2">
      <c r="A25215">
        <v>17121</v>
      </c>
      <c r="B25215" t="s">
        <v>44</v>
      </c>
      <c r="C25215">
        <v>17121</v>
      </c>
      <c r="D25215" t="str">
        <f>"17121"</f>
        <v>17121</v>
      </c>
      <c r="E25215" t="s">
        <v>6</v>
      </c>
    </row>
    <row r="25216" spans="1:5" x14ac:dyDescent="0.2">
      <c r="A25216">
        <v>17122</v>
      </c>
      <c r="B25216" t="s">
        <v>44</v>
      </c>
      <c r="C25216">
        <v>17122</v>
      </c>
      <c r="D25216" t="str">
        <f>"17122"</f>
        <v>17122</v>
      </c>
      <c r="E25216" t="s">
        <v>6</v>
      </c>
    </row>
    <row r="25217" spans="1:5" x14ac:dyDescent="0.2">
      <c r="A25217">
        <v>17124</v>
      </c>
      <c r="B25217" t="s">
        <v>44</v>
      </c>
      <c r="C25217">
        <v>17124</v>
      </c>
      <c r="D25217" t="str">
        <f>"17124"</f>
        <v>17124</v>
      </c>
      <c r="E25217" t="s">
        <v>6</v>
      </c>
    </row>
    <row r="25218" spans="1:5" x14ac:dyDescent="0.2">
      <c r="A25218">
        <v>17130</v>
      </c>
      <c r="B25218" t="s">
        <v>44</v>
      </c>
      <c r="C25218">
        <v>17130</v>
      </c>
      <c r="D25218" t="str">
        <f>"17130"</f>
        <v>17130</v>
      </c>
      <c r="E25218" t="s">
        <v>6</v>
      </c>
    </row>
    <row r="25219" spans="1:5" x14ac:dyDescent="0.2">
      <c r="A25219">
        <v>17201</v>
      </c>
      <c r="B25219" t="s">
        <v>44</v>
      </c>
      <c r="C25219">
        <v>17201</v>
      </c>
      <c r="D25219" t="str">
        <f>"17201"</f>
        <v>17201</v>
      </c>
      <c r="E25219">
        <v>65.760000000000005</v>
      </c>
    </row>
    <row r="25220" spans="1:5" x14ac:dyDescent="0.2">
      <c r="A25220">
        <v>17202</v>
      </c>
      <c r="B25220" t="s">
        <v>44</v>
      </c>
      <c r="C25220">
        <v>17202</v>
      </c>
      <c r="D25220" t="str">
        <f>"17202"</f>
        <v>17202</v>
      </c>
      <c r="E25220">
        <v>75.260000000000005</v>
      </c>
    </row>
    <row r="25221" spans="1:5" x14ac:dyDescent="0.2">
      <c r="A25221">
        <v>17210</v>
      </c>
      <c r="B25221" t="s">
        <v>44</v>
      </c>
      <c r="C25221">
        <v>17210</v>
      </c>
      <c r="D25221" t="str">
        <f>"17210"</f>
        <v>17210</v>
      </c>
      <c r="E25221" t="s">
        <v>6</v>
      </c>
    </row>
    <row r="25222" spans="1:5" x14ac:dyDescent="0.2">
      <c r="A25222">
        <v>17211</v>
      </c>
      <c r="B25222" t="s">
        <v>44</v>
      </c>
      <c r="C25222">
        <v>17211</v>
      </c>
      <c r="D25222" t="str">
        <f>"17211"</f>
        <v>17211</v>
      </c>
      <c r="E25222">
        <v>76.19</v>
      </c>
    </row>
    <row r="25223" spans="1:5" x14ac:dyDescent="0.2">
      <c r="A25223">
        <v>17212</v>
      </c>
      <c r="B25223" t="s">
        <v>44</v>
      </c>
      <c r="C25223">
        <v>17212</v>
      </c>
      <c r="D25223" t="str">
        <f>"17212"</f>
        <v>17212</v>
      </c>
      <c r="E25223">
        <v>77.42</v>
      </c>
    </row>
    <row r="25224" spans="1:5" x14ac:dyDescent="0.2">
      <c r="A25224">
        <v>17213</v>
      </c>
      <c r="B25224" t="s">
        <v>44</v>
      </c>
      <c r="C25224">
        <v>17213</v>
      </c>
      <c r="D25224" t="str">
        <f>"17213"</f>
        <v>17213</v>
      </c>
      <c r="E25224">
        <v>71.430000000000007</v>
      </c>
    </row>
    <row r="25225" spans="1:5" x14ac:dyDescent="0.2">
      <c r="A25225">
        <v>17214</v>
      </c>
      <c r="B25225" t="s">
        <v>44</v>
      </c>
      <c r="C25225">
        <v>17214</v>
      </c>
      <c r="D25225" t="str">
        <f>"17214"</f>
        <v>17214</v>
      </c>
      <c r="E25225">
        <v>80.36</v>
      </c>
    </row>
    <row r="25226" spans="1:5" x14ac:dyDescent="0.2">
      <c r="A25226">
        <v>17215</v>
      </c>
      <c r="B25226" t="s">
        <v>44</v>
      </c>
      <c r="C25226">
        <v>17215</v>
      </c>
      <c r="D25226" t="str">
        <f>"17215"</f>
        <v>17215</v>
      </c>
      <c r="E25226">
        <v>78.569999999999993</v>
      </c>
    </row>
    <row r="25227" spans="1:5" x14ac:dyDescent="0.2">
      <c r="A25227">
        <v>17217</v>
      </c>
      <c r="B25227" t="s">
        <v>44</v>
      </c>
      <c r="C25227">
        <v>17217</v>
      </c>
      <c r="D25227" t="str">
        <f>"17217"</f>
        <v>17217</v>
      </c>
      <c r="E25227" t="s">
        <v>6</v>
      </c>
    </row>
    <row r="25228" spans="1:5" x14ac:dyDescent="0.2">
      <c r="A25228">
        <v>17219</v>
      </c>
      <c r="B25228" t="s">
        <v>44</v>
      </c>
      <c r="C25228">
        <v>17219</v>
      </c>
      <c r="D25228" t="str">
        <f>"17219"</f>
        <v>17219</v>
      </c>
      <c r="E25228">
        <v>64.709999999999994</v>
      </c>
    </row>
    <row r="25229" spans="1:5" x14ac:dyDescent="0.2">
      <c r="A25229">
        <v>17220</v>
      </c>
      <c r="B25229" t="s">
        <v>44</v>
      </c>
      <c r="C25229">
        <v>17220</v>
      </c>
      <c r="D25229" t="str">
        <f>"17220"</f>
        <v>17220</v>
      </c>
      <c r="E25229">
        <v>61.54</v>
      </c>
    </row>
    <row r="25230" spans="1:5" x14ac:dyDescent="0.2">
      <c r="A25230">
        <v>17221</v>
      </c>
      <c r="B25230" t="s">
        <v>44</v>
      </c>
      <c r="C25230">
        <v>17221</v>
      </c>
      <c r="D25230" t="str">
        <f>"17221"</f>
        <v>17221</v>
      </c>
      <c r="E25230">
        <v>75</v>
      </c>
    </row>
    <row r="25231" spans="1:5" x14ac:dyDescent="0.2">
      <c r="A25231">
        <v>17222</v>
      </c>
      <c r="B25231" t="s">
        <v>44</v>
      </c>
      <c r="C25231">
        <v>17222</v>
      </c>
      <c r="D25231" t="str">
        <f>"17222"</f>
        <v>17222</v>
      </c>
      <c r="E25231">
        <v>75.09</v>
      </c>
    </row>
    <row r="25232" spans="1:5" x14ac:dyDescent="0.2">
      <c r="A25232">
        <v>17223</v>
      </c>
      <c r="B25232" t="s">
        <v>44</v>
      </c>
      <c r="C25232">
        <v>17223</v>
      </c>
      <c r="D25232" t="str">
        <f>"17223"</f>
        <v>17223</v>
      </c>
      <c r="E25232">
        <v>78.569999999999993</v>
      </c>
    </row>
    <row r="25233" spans="1:5" x14ac:dyDescent="0.2">
      <c r="A25233">
        <v>17224</v>
      </c>
      <c r="B25233" t="s">
        <v>44</v>
      </c>
      <c r="C25233">
        <v>17224</v>
      </c>
      <c r="D25233" t="str">
        <f>"17224"</f>
        <v>17224</v>
      </c>
      <c r="E25233">
        <v>72.41</v>
      </c>
    </row>
    <row r="25234" spans="1:5" x14ac:dyDescent="0.2">
      <c r="A25234">
        <v>17225</v>
      </c>
      <c r="B25234" t="s">
        <v>44</v>
      </c>
      <c r="C25234">
        <v>17225</v>
      </c>
      <c r="D25234" t="str">
        <f>"17225"</f>
        <v>17225</v>
      </c>
      <c r="E25234">
        <v>75.650000000000006</v>
      </c>
    </row>
    <row r="25235" spans="1:5" x14ac:dyDescent="0.2">
      <c r="A25235">
        <v>17228</v>
      </c>
      <c r="B25235" t="s">
        <v>44</v>
      </c>
      <c r="C25235">
        <v>17228</v>
      </c>
      <c r="D25235" t="str">
        <f>"17228"</f>
        <v>17228</v>
      </c>
      <c r="E25235">
        <v>74</v>
      </c>
    </row>
    <row r="25236" spans="1:5" x14ac:dyDescent="0.2">
      <c r="A25236">
        <v>17229</v>
      </c>
      <c r="B25236" t="s">
        <v>44</v>
      </c>
      <c r="C25236">
        <v>17229</v>
      </c>
      <c r="D25236" t="str">
        <f>"17229"</f>
        <v>17229</v>
      </c>
      <c r="E25236">
        <v>72.88</v>
      </c>
    </row>
    <row r="25237" spans="1:5" x14ac:dyDescent="0.2">
      <c r="A25237">
        <v>17232</v>
      </c>
      <c r="B25237" t="s">
        <v>44</v>
      </c>
      <c r="C25237">
        <v>17232</v>
      </c>
      <c r="D25237" t="str">
        <f>"17232"</f>
        <v>17232</v>
      </c>
      <c r="E25237" t="s">
        <v>6</v>
      </c>
    </row>
    <row r="25238" spans="1:5" x14ac:dyDescent="0.2">
      <c r="A25238">
        <v>17233</v>
      </c>
      <c r="B25238" t="s">
        <v>44</v>
      </c>
      <c r="C25238">
        <v>17233</v>
      </c>
      <c r="D25238" t="str">
        <f>"17233"</f>
        <v>17233</v>
      </c>
      <c r="E25238">
        <v>71.599999999999994</v>
      </c>
    </row>
    <row r="25239" spans="1:5" x14ac:dyDescent="0.2">
      <c r="A25239">
        <v>17235</v>
      </c>
      <c r="B25239" t="s">
        <v>44</v>
      </c>
      <c r="C25239">
        <v>17235</v>
      </c>
      <c r="D25239" t="str">
        <f>"17235"</f>
        <v>17235</v>
      </c>
      <c r="E25239" t="s">
        <v>6</v>
      </c>
    </row>
    <row r="25240" spans="1:5" x14ac:dyDescent="0.2">
      <c r="A25240">
        <v>17236</v>
      </c>
      <c r="B25240" t="s">
        <v>44</v>
      </c>
      <c r="C25240">
        <v>17236</v>
      </c>
      <c r="D25240" t="str">
        <f>"17236"</f>
        <v>17236</v>
      </c>
      <c r="E25240">
        <v>73.989999999999995</v>
      </c>
    </row>
    <row r="25241" spans="1:5" x14ac:dyDescent="0.2">
      <c r="A25241">
        <v>17237</v>
      </c>
      <c r="B25241" t="s">
        <v>44</v>
      </c>
      <c r="C25241">
        <v>17237</v>
      </c>
      <c r="D25241" t="str">
        <f>"17237"</f>
        <v>17237</v>
      </c>
      <c r="E25241">
        <v>73.260000000000005</v>
      </c>
    </row>
    <row r="25242" spans="1:5" x14ac:dyDescent="0.2">
      <c r="A25242">
        <v>17238</v>
      </c>
      <c r="B25242" t="s">
        <v>44</v>
      </c>
      <c r="C25242">
        <v>17238</v>
      </c>
      <c r="D25242" t="str">
        <f>"17238"</f>
        <v>17238</v>
      </c>
      <c r="E25242">
        <v>72.41</v>
      </c>
    </row>
    <row r="25243" spans="1:5" x14ac:dyDescent="0.2">
      <c r="A25243">
        <v>17239</v>
      </c>
      <c r="B25243" t="s">
        <v>44</v>
      </c>
      <c r="C25243">
        <v>17239</v>
      </c>
      <c r="D25243" t="str">
        <f>"17239"</f>
        <v>17239</v>
      </c>
      <c r="E25243">
        <v>70</v>
      </c>
    </row>
    <row r="25244" spans="1:5" x14ac:dyDescent="0.2">
      <c r="A25244">
        <v>17240</v>
      </c>
      <c r="B25244" t="s">
        <v>44</v>
      </c>
      <c r="C25244">
        <v>17240</v>
      </c>
      <c r="D25244" t="str">
        <f>"17240"</f>
        <v>17240</v>
      </c>
      <c r="E25244">
        <v>72.5</v>
      </c>
    </row>
    <row r="25245" spans="1:5" x14ac:dyDescent="0.2">
      <c r="A25245">
        <v>17241</v>
      </c>
      <c r="B25245" t="s">
        <v>44</v>
      </c>
      <c r="C25245">
        <v>17241</v>
      </c>
      <c r="D25245" t="str">
        <f>"17241"</f>
        <v>17241</v>
      </c>
      <c r="E25245">
        <v>73.010000000000005</v>
      </c>
    </row>
    <row r="25246" spans="1:5" x14ac:dyDescent="0.2">
      <c r="A25246">
        <v>17243</v>
      </c>
      <c r="B25246" t="s">
        <v>44</v>
      </c>
      <c r="C25246">
        <v>17243</v>
      </c>
      <c r="D25246" t="str">
        <f>"17243"</f>
        <v>17243</v>
      </c>
      <c r="E25246">
        <v>69.489999999999995</v>
      </c>
    </row>
    <row r="25247" spans="1:5" x14ac:dyDescent="0.2">
      <c r="A25247">
        <v>17244</v>
      </c>
      <c r="B25247" t="s">
        <v>44</v>
      </c>
      <c r="C25247">
        <v>17244</v>
      </c>
      <c r="D25247" t="str">
        <f>"17244"</f>
        <v>17244</v>
      </c>
      <c r="E25247">
        <v>73.28</v>
      </c>
    </row>
    <row r="25248" spans="1:5" x14ac:dyDescent="0.2">
      <c r="A25248">
        <v>17246</v>
      </c>
      <c r="B25248" t="s">
        <v>44</v>
      </c>
      <c r="C25248">
        <v>17246</v>
      </c>
      <c r="D25248" t="str">
        <f>"17246"</f>
        <v>17246</v>
      </c>
      <c r="E25248">
        <v>58.33</v>
      </c>
    </row>
    <row r="25249" spans="1:5" x14ac:dyDescent="0.2">
      <c r="A25249">
        <v>17247</v>
      </c>
      <c r="B25249" t="s">
        <v>44</v>
      </c>
      <c r="C25249">
        <v>17247</v>
      </c>
      <c r="D25249" t="str">
        <f>"17247"</f>
        <v>17247</v>
      </c>
      <c r="E25249" t="s">
        <v>6</v>
      </c>
    </row>
    <row r="25250" spans="1:5" x14ac:dyDescent="0.2">
      <c r="A25250">
        <v>17249</v>
      </c>
      <c r="B25250" t="s">
        <v>44</v>
      </c>
      <c r="C25250">
        <v>17249</v>
      </c>
      <c r="D25250" t="str">
        <f>"17249"</f>
        <v>17249</v>
      </c>
      <c r="E25250" t="s">
        <v>6</v>
      </c>
    </row>
    <row r="25251" spans="1:5" x14ac:dyDescent="0.2">
      <c r="A25251">
        <v>17250</v>
      </c>
      <c r="B25251" t="s">
        <v>44</v>
      </c>
      <c r="C25251">
        <v>17250</v>
      </c>
      <c r="D25251" t="str">
        <f>"17250"</f>
        <v>17250</v>
      </c>
      <c r="E25251" t="s">
        <v>6</v>
      </c>
    </row>
    <row r="25252" spans="1:5" x14ac:dyDescent="0.2">
      <c r="A25252">
        <v>17252</v>
      </c>
      <c r="B25252" t="s">
        <v>44</v>
      </c>
      <c r="C25252">
        <v>17252</v>
      </c>
      <c r="D25252" t="str">
        <f>"17252"</f>
        <v>17252</v>
      </c>
      <c r="E25252">
        <v>70.650000000000006</v>
      </c>
    </row>
    <row r="25253" spans="1:5" x14ac:dyDescent="0.2">
      <c r="A25253">
        <v>17253</v>
      </c>
      <c r="B25253" t="s">
        <v>44</v>
      </c>
      <c r="C25253">
        <v>17253</v>
      </c>
      <c r="D25253" t="str">
        <f>"17253"</f>
        <v>17253</v>
      </c>
      <c r="E25253" t="s">
        <v>6</v>
      </c>
    </row>
    <row r="25254" spans="1:5" x14ac:dyDescent="0.2">
      <c r="A25254">
        <v>17255</v>
      </c>
      <c r="B25254" t="s">
        <v>44</v>
      </c>
      <c r="C25254">
        <v>17255</v>
      </c>
      <c r="D25254" t="str">
        <f>"17255"</f>
        <v>17255</v>
      </c>
      <c r="E25254">
        <v>72</v>
      </c>
    </row>
    <row r="25255" spans="1:5" x14ac:dyDescent="0.2">
      <c r="A25255">
        <v>17256</v>
      </c>
      <c r="B25255" t="s">
        <v>44</v>
      </c>
      <c r="C25255">
        <v>17256</v>
      </c>
      <c r="D25255" t="str">
        <f>"17256"</f>
        <v>17256</v>
      </c>
      <c r="E25255" t="s">
        <v>6</v>
      </c>
    </row>
    <row r="25256" spans="1:5" x14ac:dyDescent="0.2">
      <c r="A25256">
        <v>17257</v>
      </c>
      <c r="B25256" t="s">
        <v>44</v>
      </c>
      <c r="C25256">
        <v>17257</v>
      </c>
      <c r="D25256" t="str">
        <f>"17257"</f>
        <v>17257</v>
      </c>
      <c r="E25256">
        <v>72.11</v>
      </c>
    </row>
    <row r="25257" spans="1:5" x14ac:dyDescent="0.2">
      <c r="A25257">
        <v>17260</v>
      </c>
      <c r="B25257" t="s">
        <v>44</v>
      </c>
      <c r="C25257">
        <v>17260</v>
      </c>
      <c r="D25257" t="str">
        <f>"17260"</f>
        <v>17260</v>
      </c>
      <c r="E25257">
        <v>70.37</v>
      </c>
    </row>
    <row r="25258" spans="1:5" x14ac:dyDescent="0.2">
      <c r="A25258">
        <v>17262</v>
      </c>
      <c r="B25258" t="s">
        <v>44</v>
      </c>
      <c r="C25258">
        <v>17262</v>
      </c>
      <c r="D25258" t="str">
        <f>"17262"</f>
        <v>17262</v>
      </c>
      <c r="E25258">
        <v>64.58</v>
      </c>
    </row>
    <row r="25259" spans="1:5" x14ac:dyDescent="0.2">
      <c r="A25259">
        <v>17263</v>
      </c>
      <c r="B25259" t="s">
        <v>44</v>
      </c>
      <c r="C25259">
        <v>17263</v>
      </c>
      <c r="D25259" t="str">
        <f>"17263"</f>
        <v>17263</v>
      </c>
      <c r="E25259" t="s">
        <v>6</v>
      </c>
    </row>
    <row r="25260" spans="1:5" x14ac:dyDescent="0.2">
      <c r="A25260">
        <v>17264</v>
      </c>
      <c r="B25260" t="s">
        <v>44</v>
      </c>
      <c r="C25260">
        <v>17264</v>
      </c>
      <c r="D25260" t="str">
        <f>"17264"</f>
        <v>17264</v>
      </c>
      <c r="E25260">
        <v>70</v>
      </c>
    </row>
    <row r="25261" spans="1:5" x14ac:dyDescent="0.2">
      <c r="A25261">
        <v>17265</v>
      </c>
      <c r="B25261" t="s">
        <v>44</v>
      </c>
      <c r="C25261">
        <v>17265</v>
      </c>
      <c r="D25261" t="str">
        <f>"17265"</f>
        <v>17265</v>
      </c>
      <c r="E25261">
        <v>73.91</v>
      </c>
    </row>
    <row r="25262" spans="1:5" x14ac:dyDescent="0.2">
      <c r="A25262">
        <v>17266</v>
      </c>
      <c r="B25262" t="s">
        <v>44</v>
      </c>
      <c r="C25262">
        <v>17266</v>
      </c>
      <c r="D25262" t="str">
        <f>"17266"</f>
        <v>17266</v>
      </c>
      <c r="E25262">
        <v>73.33</v>
      </c>
    </row>
    <row r="25263" spans="1:5" x14ac:dyDescent="0.2">
      <c r="A25263">
        <v>17267</v>
      </c>
      <c r="B25263" t="s">
        <v>44</v>
      </c>
      <c r="C25263">
        <v>17267</v>
      </c>
      <c r="D25263" t="str">
        <f>"17267"</f>
        <v>17267</v>
      </c>
      <c r="E25263">
        <v>73.08</v>
      </c>
    </row>
    <row r="25264" spans="1:5" x14ac:dyDescent="0.2">
      <c r="A25264">
        <v>17268</v>
      </c>
      <c r="B25264" t="s">
        <v>44</v>
      </c>
      <c r="C25264">
        <v>17268</v>
      </c>
      <c r="D25264" t="str">
        <f>"17268"</f>
        <v>17268</v>
      </c>
      <c r="E25264">
        <v>72.959999999999994</v>
      </c>
    </row>
    <row r="25265" spans="1:5" x14ac:dyDescent="0.2">
      <c r="A25265">
        <v>17271</v>
      </c>
      <c r="B25265" t="s">
        <v>44</v>
      </c>
      <c r="C25265">
        <v>17271</v>
      </c>
      <c r="D25265" t="str">
        <f>"17271"</f>
        <v>17271</v>
      </c>
      <c r="E25265">
        <v>66.67</v>
      </c>
    </row>
    <row r="25266" spans="1:5" x14ac:dyDescent="0.2">
      <c r="A25266">
        <v>17272</v>
      </c>
      <c r="B25266" t="s">
        <v>44</v>
      </c>
      <c r="C25266">
        <v>17272</v>
      </c>
      <c r="D25266" t="str">
        <f>"17272"</f>
        <v>17272</v>
      </c>
      <c r="E25266" t="s">
        <v>6</v>
      </c>
    </row>
    <row r="25267" spans="1:5" x14ac:dyDescent="0.2">
      <c r="A25267">
        <v>17301</v>
      </c>
      <c r="B25267" t="s">
        <v>44</v>
      </c>
      <c r="C25267">
        <v>17301</v>
      </c>
      <c r="D25267" t="str">
        <f>"17301"</f>
        <v>17301</v>
      </c>
      <c r="E25267">
        <v>76.06</v>
      </c>
    </row>
    <row r="25268" spans="1:5" x14ac:dyDescent="0.2">
      <c r="A25268">
        <v>17302</v>
      </c>
      <c r="B25268" t="s">
        <v>44</v>
      </c>
      <c r="C25268">
        <v>17302</v>
      </c>
      <c r="D25268" t="str">
        <f>"17302"</f>
        <v>17302</v>
      </c>
      <c r="E25268">
        <v>74.239999999999995</v>
      </c>
    </row>
    <row r="25269" spans="1:5" x14ac:dyDescent="0.2">
      <c r="A25269">
        <v>17304</v>
      </c>
      <c r="B25269" t="s">
        <v>44</v>
      </c>
      <c r="C25269">
        <v>17304</v>
      </c>
      <c r="D25269" t="str">
        <f>"17304"</f>
        <v>17304</v>
      </c>
      <c r="E25269">
        <v>72.37</v>
      </c>
    </row>
    <row r="25270" spans="1:5" x14ac:dyDescent="0.2">
      <c r="A25270">
        <v>17306</v>
      </c>
      <c r="B25270" t="s">
        <v>44</v>
      </c>
      <c r="C25270">
        <v>17306</v>
      </c>
      <c r="D25270" t="str">
        <f>"17306"</f>
        <v>17306</v>
      </c>
      <c r="E25270" t="s">
        <v>6</v>
      </c>
    </row>
    <row r="25271" spans="1:5" x14ac:dyDescent="0.2">
      <c r="A25271">
        <v>17307</v>
      </c>
      <c r="B25271" t="s">
        <v>44</v>
      </c>
      <c r="C25271">
        <v>17307</v>
      </c>
      <c r="D25271" t="str">
        <f>"17307"</f>
        <v>17307</v>
      </c>
      <c r="E25271">
        <v>70.650000000000006</v>
      </c>
    </row>
    <row r="25272" spans="1:5" x14ac:dyDescent="0.2">
      <c r="A25272">
        <v>17309</v>
      </c>
      <c r="B25272" t="s">
        <v>44</v>
      </c>
      <c r="C25272">
        <v>17309</v>
      </c>
      <c r="D25272" t="str">
        <f>"17309"</f>
        <v>17309</v>
      </c>
      <c r="E25272">
        <v>72.55</v>
      </c>
    </row>
    <row r="25273" spans="1:5" x14ac:dyDescent="0.2">
      <c r="A25273">
        <v>17313</v>
      </c>
      <c r="B25273" t="s">
        <v>44</v>
      </c>
      <c r="C25273">
        <v>17313</v>
      </c>
      <c r="D25273" t="str">
        <f>"17313"</f>
        <v>17313</v>
      </c>
      <c r="E25273">
        <v>73.760000000000005</v>
      </c>
    </row>
    <row r="25274" spans="1:5" x14ac:dyDescent="0.2">
      <c r="A25274">
        <v>17314</v>
      </c>
      <c r="B25274" t="s">
        <v>44</v>
      </c>
      <c r="C25274">
        <v>17314</v>
      </c>
      <c r="D25274" t="str">
        <f>"17314"</f>
        <v>17314</v>
      </c>
      <c r="E25274">
        <v>78.75</v>
      </c>
    </row>
    <row r="25275" spans="1:5" x14ac:dyDescent="0.2">
      <c r="A25275">
        <v>17315</v>
      </c>
      <c r="B25275" t="s">
        <v>44</v>
      </c>
      <c r="C25275">
        <v>17315</v>
      </c>
      <c r="D25275" t="str">
        <f>"17315"</f>
        <v>17315</v>
      </c>
      <c r="E25275">
        <v>75.13</v>
      </c>
    </row>
    <row r="25276" spans="1:5" x14ac:dyDescent="0.2">
      <c r="A25276">
        <v>17316</v>
      </c>
      <c r="B25276" t="s">
        <v>44</v>
      </c>
      <c r="C25276">
        <v>17316</v>
      </c>
      <c r="D25276" t="str">
        <f>"17316"</f>
        <v>17316</v>
      </c>
      <c r="E25276">
        <v>76.25</v>
      </c>
    </row>
    <row r="25277" spans="1:5" x14ac:dyDescent="0.2">
      <c r="A25277">
        <v>17318</v>
      </c>
      <c r="B25277" t="s">
        <v>44</v>
      </c>
      <c r="C25277">
        <v>17318</v>
      </c>
      <c r="D25277" t="str">
        <f>"17318"</f>
        <v>17318</v>
      </c>
      <c r="E25277" t="s">
        <v>6</v>
      </c>
    </row>
    <row r="25278" spans="1:5" x14ac:dyDescent="0.2">
      <c r="A25278">
        <v>17319</v>
      </c>
      <c r="B25278" t="s">
        <v>44</v>
      </c>
      <c r="C25278">
        <v>17319</v>
      </c>
      <c r="D25278" t="str">
        <f>"17319"</f>
        <v>17319</v>
      </c>
      <c r="E25278">
        <v>79.430000000000007</v>
      </c>
    </row>
    <row r="25279" spans="1:5" x14ac:dyDescent="0.2">
      <c r="A25279">
        <v>17320</v>
      </c>
      <c r="B25279" t="s">
        <v>44</v>
      </c>
      <c r="C25279">
        <v>17320</v>
      </c>
      <c r="D25279" t="str">
        <f>"17320"</f>
        <v>17320</v>
      </c>
      <c r="E25279">
        <v>77.78</v>
      </c>
    </row>
    <row r="25280" spans="1:5" x14ac:dyDescent="0.2">
      <c r="A25280">
        <v>17321</v>
      </c>
      <c r="B25280" t="s">
        <v>44</v>
      </c>
      <c r="C25280">
        <v>17321</v>
      </c>
      <c r="D25280" t="str">
        <f>"17321"</f>
        <v>17321</v>
      </c>
      <c r="E25280">
        <v>75.89</v>
      </c>
    </row>
    <row r="25281" spans="1:5" x14ac:dyDescent="0.2">
      <c r="A25281">
        <v>17322</v>
      </c>
      <c r="B25281" t="s">
        <v>44</v>
      </c>
      <c r="C25281">
        <v>17322</v>
      </c>
      <c r="D25281" t="str">
        <f>"17322"</f>
        <v>17322</v>
      </c>
      <c r="E25281">
        <v>77.59</v>
      </c>
    </row>
    <row r="25282" spans="1:5" x14ac:dyDescent="0.2">
      <c r="A25282">
        <v>17323</v>
      </c>
      <c r="B25282" t="s">
        <v>44</v>
      </c>
      <c r="C25282">
        <v>17323</v>
      </c>
      <c r="D25282" t="str">
        <f>"17323"</f>
        <v>17323</v>
      </c>
      <c r="E25282" t="s">
        <v>6</v>
      </c>
    </row>
    <row r="25283" spans="1:5" x14ac:dyDescent="0.2">
      <c r="A25283">
        <v>17324</v>
      </c>
      <c r="B25283" t="s">
        <v>44</v>
      </c>
      <c r="C25283">
        <v>17324</v>
      </c>
      <c r="D25283" t="str">
        <f>"17324"</f>
        <v>17324</v>
      </c>
      <c r="E25283">
        <v>73.459999999999994</v>
      </c>
    </row>
    <row r="25284" spans="1:5" x14ac:dyDescent="0.2">
      <c r="A25284">
        <v>17325</v>
      </c>
      <c r="B25284" t="s">
        <v>44</v>
      </c>
      <c r="C25284">
        <v>17325</v>
      </c>
      <c r="D25284" t="str">
        <f>"17325"</f>
        <v>17325</v>
      </c>
      <c r="E25284">
        <v>74.23</v>
      </c>
    </row>
    <row r="25285" spans="1:5" x14ac:dyDescent="0.2">
      <c r="A25285">
        <v>17327</v>
      </c>
      <c r="B25285" t="s">
        <v>44</v>
      </c>
      <c r="C25285">
        <v>17327</v>
      </c>
      <c r="D25285" t="str">
        <f>"17327"</f>
        <v>17327</v>
      </c>
      <c r="E25285">
        <v>76.34</v>
      </c>
    </row>
    <row r="25286" spans="1:5" x14ac:dyDescent="0.2">
      <c r="A25286">
        <v>17329</v>
      </c>
      <c r="B25286" t="s">
        <v>44</v>
      </c>
      <c r="C25286">
        <v>17329</v>
      </c>
      <c r="D25286" t="str">
        <f>"17329"</f>
        <v>17329</v>
      </c>
      <c r="E25286">
        <v>78.290000000000006</v>
      </c>
    </row>
    <row r="25287" spans="1:5" x14ac:dyDescent="0.2">
      <c r="A25287">
        <v>17331</v>
      </c>
      <c r="B25287" t="s">
        <v>44</v>
      </c>
      <c r="C25287">
        <v>17331</v>
      </c>
      <c r="D25287" t="str">
        <f>"17331"</f>
        <v>17331</v>
      </c>
      <c r="E25287">
        <v>75.27</v>
      </c>
    </row>
    <row r="25288" spans="1:5" x14ac:dyDescent="0.2">
      <c r="A25288">
        <v>17339</v>
      </c>
      <c r="B25288" t="s">
        <v>44</v>
      </c>
      <c r="C25288">
        <v>17339</v>
      </c>
      <c r="D25288" t="str">
        <f>"17339"</f>
        <v>17339</v>
      </c>
      <c r="E25288">
        <v>79.61</v>
      </c>
    </row>
    <row r="25289" spans="1:5" x14ac:dyDescent="0.2">
      <c r="A25289">
        <v>17340</v>
      </c>
      <c r="B25289" t="s">
        <v>44</v>
      </c>
      <c r="C25289">
        <v>17340</v>
      </c>
      <c r="D25289" t="str">
        <f>"17340"</f>
        <v>17340</v>
      </c>
      <c r="E25289">
        <v>75.67</v>
      </c>
    </row>
    <row r="25290" spans="1:5" x14ac:dyDescent="0.2">
      <c r="A25290">
        <v>17344</v>
      </c>
      <c r="B25290" t="s">
        <v>44</v>
      </c>
      <c r="C25290">
        <v>17344</v>
      </c>
      <c r="D25290" t="str">
        <f>"17344"</f>
        <v>17344</v>
      </c>
      <c r="E25290">
        <v>70.489999999999995</v>
      </c>
    </row>
    <row r="25291" spans="1:5" x14ac:dyDescent="0.2">
      <c r="A25291">
        <v>17345</v>
      </c>
      <c r="B25291" t="s">
        <v>44</v>
      </c>
      <c r="C25291">
        <v>17345</v>
      </c>
      <c r="D25291" t="str">
        <f>"17345"</f>
        <v>17345</v>
      </c>
      <c r="E25291">
        <v>75.56</v>
      </c>
    </row>
    <row r="25292" spans="1:5" x14ac:dyDescent="0.2">
      <c r="A25292">
        <v>17347</v>
      </c>
      <c r="B25292" t="s">
        <v>44</v>
      </c>
      <c r="C25292">
        <v>17347</v>
      </c>
      <c r="D25292" t="str">
        <f>"17347"</f>
        <v>17347</v>
      </c>
      <c r="E25292">
        <v>77.599999999999994</v>
      </c>
    </row>
    <row r="25293" spans="1:5" x14ac:dyDescent="0.2">
      <c r="A25293">
        <v>17349</v>
      </c>
      <c r="B25293" t="s">
        <v>44</v>
      </c>
      <c r="C25293">
        <v>17349</v>
      </c>
      <c r="D25293" t="str">
        <f>"17349"</f>
        <v>17349</v>
      </c>
      <c r="E25293">
        <v>80.239999999999995</v>
      </c>
    </row>
    <row r="25294" spans="1:5" x14ac:dyDescent="0.2">
      <c r="A25294">
        <v>17350</v>
      </c>
      <c r="B25294" t="s">
        <v>44</v>
      </c>
      <c r="C25294">
        <v>17350</v>
      </c>
      <c r="D25294" t="str">
        <f>"17350"</f>
        <v>17350</v>
      </c>
      <c r="E25294">
        <v>71.64</v>
      </c>
    </row>
    <row r="25295" spans="1:5" x14ac:dyDescent="0.2">
      <c r="A25295">
        <v>17352</v>
      </c>
      <c r="B25295" t="s">
        <v>44</v>
      </c>
      <c r="C25295">
        <v>17352</v>
      </c>
      <c r="D25295" t="str">
        <f>"17352"</f>
        <v>17352</v>
      </c>
      <c r="E25295">
        <v>76.56</v>
      </c>
    </row>
    <row r="25296" spans="1:5" x14ac:dyDescent="0.2">
      <c r="A25296">
        <v>17353</v>
      </c>
      <c r="B25296" t="s">
        <v>44</v>
      </c>
      <c r="C25296">
        <v>17353</v>
      </c>
      <c r="D25296" t="str">
        <f>"17353"</f>
        <v>17353</v>
      </c>
      <c r="E25296">
        <v>77.63</v>
      </c>
    </row>
    <row r="25297" spans="1:5" x14ac:dyDescent="0.2">
      <c r="A25297">
        <v>17355</v>
      </c>
      <c r="B25297" t="s">
        <v>44</v>
      </c>
      <c r="C25297">
        <v>17355</v>
      </c>
      <c r="D25297" t="str">
        <f>"17355"</f>
        <v>17355</v>
      </c>
      <c r="E25297" t="s">
        <v>6</v>
      </c>
    </row>
    <row r="25298" spans="1:5" x14ac:dyDescent="0.2">
      <c r="A25298">
        <v>17356</v>
      </c>
      <c r="B25298" t="s">
        <v>44</v>
      </c>
      <c r="C25298">
        <v>17356</v>
      </c>
      <c r="D25298" t="str">
        <f>"17356"</f>
        <v>17356</v>
      </c>
      <c r="E25298">
        <v>74.7</v>
      </c>
    </row>
    <row r="25299" spans="1:5" x14ac:dyDescent="0.2">
      <c r="A25299">
        <v>17360</v>
      </c>
      <c r="B25299" t="s">
        <v>44</v>
      </c>
      <c r="C25299">
        <v>17360</v>
      </c>
      <c r="D25299" t="str">
        <f>"17360"</f>
        <v>17360</v>
      </c>
      <c r="E25299">
        <v>78.599999999999994</v>
      </c>
    </row>
    <row r="25300" spans="1:5" x14ac:dyDescent="0.2">
      <c r="A25300">
        <v>17361</v>
      </c>
      <c r="B25300" t="s">
        <v>44</v>
      </c>
      <c r="C25300">
        <v>17361</v>
      </c>
      <c r="D25300" t="str">
        <f>"17361"</f>
        <v>17361</v>
      </c>
      <c r="E25300">
        <v>78.069999999999993</v>
      </c>
    </row>
    <row r="25301" spans="1:5" x14ac:dyDescent="0.2">
      <c r="A25301">
        <v>17362</v>
      </c>
      <c r="B25301" t="s">
        <v>44</v>
      </c>
      <c r="C25301">
        <v>17362</v>
      </c>
      <c r="D25301" t="str">
        <f>"17362"</f>
        <v>17362</v>
      </c>
      <c r="E25301">
        <v>77.209999999999994</v>
      </c>
    </row>
    <row r="25302" spans="1:5" x14ac:dyDescent="0.2">
      <c r="A25302">
        <v>17363</v>
      </c>
      <c r="B25302" t="s">
        <v>44</v>
      </c>
      <c r="C25302">
        <v>17363</v>
      </c>
      <c r="D25302" t="str">
        <f>"17363"</f>
        <v>17363</v>
      </c>
      <c r="E25302">
        <v>77.78</v>
      </c>
    </row>
    <row r="25303" spans="1:5" x14ac:dyDescent="0.2">
      <c r="A25303">
        <v>17364</v>
      </c>
      <c r="B25303" t="s">
        <v>44</v>
      </c>
      <c r="C25303">
        <v>17364</v>
      </c>
      <c r="D25303" t="str">
        <f>"17364"</f>
        <v>17364</v>
      </c>
      <c r="E25303">
        <v>72.25</v>
      </c>
    </row>
    <row r="25304" spans="1:5" x14ac:dyDescent="0.2">
      <c r="A25304">
        <v>17365</v>
      </c>
      <c r="B25304" t="s">
        <v>44</v>
      </c>
      <c r="C25304">
        <v>17365</v>
      </c>
      <c r="D25304" t="str">
        <f>"17365"</f>
        <v>17365</v>
      </c>
      <c r="E25304">
        <v>76.64</v>
      </c>
    </row>
    <row r="25305" spans="1:5" x14ac:dyDescent="0.2">
      <c r="A25305">
        <v>17366</v>
      </c>
      <c r="B25305" t="s">
        <v>44</v>
      </c>
      <c r="C25305">
        <v>17366</v>
      </c>
      <c r="D25305" t="str">
        <f>"17366"</f>
        <v>17366</v>
      </c>
      <c r="E25305">
        <v>71.53</v>
      </c>
    </row>
    <row r="25306" spans="1:5" x14ac:dyDescent="0.2">
      <c r="A25306">
        <v>17368</v>
      </c>
      <c r="B25306" t="s">
        <v>44</v>
      </c>
      <c r="C25306">
        <v>17368</v>
      </c>
      <c r="D25306" t="str">
        <f>"17368"</f>
        <v>17368</v>
      </c>
      <c r="E25306">
        <v>76.290000000000006</v>
      </c>
    </row>
    <row r="25307" spans="1:5" x14ac:dyDescent="0.2">
      <c r="A25307">
        <v>17370</v>
      </c>
      <c r="B25307" t="s">
        <v>44</v>
      </c>
      <c r="C25307">
        <v>17370</v>
      </c>
      <c r="D25307" t="str">
        <f>"17370"</f>
        <v>17370</v>
      </c>
      <c r="E25307">
        <v>76.05</v>
      </c>
    </row>
    <row r="25308" spans="1:5" x14ac:dyDescent="0.2">
      <c r="A25308">
        <v>17371</v>
      </c>
      <c r="B25308" t="s">
        <v>44</v>
      </c>
      <c r="C25308">
        <v>17371</v>
      </c>
      <c r="D25308" t="str">
        <f>"17371"</f>
        <v>17371</v>
      </c>
      <c r="E25308" t="s">
        <v>6</v>
      </c>
    </row>
    <row r="25309" spans="1:5" x14ac:dyDescent="0.2">
      <c r="A25309">
        <v>17372</v>
      </c>
      <c r="B25309" t="s">
        <v>44</v>
      </c>
      <c r="C25309">
        <v>17372</v>
      </c>
      <c r="D25309" t="str">
        <f>"17372"</f>
        <v>17372</v>
      </c>
      <c r="E25309">
        <v>72.25</v>
      </c>
    </row>
    <row r="25310" spans="1:5" x14ac:dyDescent="0.2">
      <c r="A25310">
        <v>17375</v>
      </c>
      <c r="B25310" t="s">
        <v>44</v>
      </c>
      <c r="C25310">
        <v>17375</v>
      </c>
      <c r="D25310" t="str">
        <f>"17375"</f>
        <v>17375</v>
      </c>
      <c r="E25310" t="s">
        <v>6</v>
      </c>
    </row>
    <row r="25311" spans="1:5" x14ac:dyDescent="0.2">
      <c r="A25311">
        <v>17401</v>
      </c>
      <c r="B25311" t="s">
        <v>44</v>
      </c>
      <c r="C25311">
        <v>17401</v>
      </c>
      <c r="D25311" t="str">
        <f>"17401"</f>
        <v>17401</v>
      </c>
      <c r="E25311">
        <v>46.14</v>
      </c>
    </row>
    <row r="25312" spans="1:5" x14ac:dyDescent="0.2">
      <c r="A25312">
        <v>17402</v>
      </c>
      <c r="B25312" t="s">
        <v>44</v>
      </c>
      <c r="C25312">
        <v>17402</v>
      </c>
      <c r="D25312" t="str">
        <f>"17402"</f>
        <v>17402</v>
      </c>
      <c r="E25312">
        <v>75.75</v>
      </c>
    </row>
    <row r="25313" spans="1:5" x14ac:dyDescent="0.2">
      <c r="A25313">
        <v>17403</v>
      </c>
      <c r="B25313" t="s">
        <v>44</v>
      </c>
      <c r="C25313">
        <v>17403</v>
      </c>
      <c r="D25313" t="str">
        <f>"17403"</f>
        <v>17403</v>
      </c>
      <c r="E25313">
        <v>65.78</v>
      </c>
    </row>
    <row r="25314" spans="1:5" x14ac:dyDescent="0.2">
      <c r="A25314">
        <v>17404</v>
      </c>
      <c r="B25314" t="s">
        <v>44</v>
      </c>
      <c r="C25314">
        <v>17404</v>
      </c>
      <c r="D25314" t="str">
        <f>"17404"</f>
        <v>17404</v>
      </c>
      <c r="E25314">
        <v>69.81</v>
      </c>
    </row>
    <row r="25315" spans="1:5" x14ac:dyDescent="0.2">
      <c r="A25315">
        <v>17406</v>
      </c>
      <c r="B25315" t="s">
        <v>44</v>
      </c>
      <c r="C25315">
        <v>17406</v>
      </c>
      <c r="D25315" t="str">
        <f>"17406"</f>
        <v>17406</v>
      </c>
      <c r="E25315">
        <v>76.12</v>
      </c>
    </row>
    <row r="25316" spans="1:5" x14ac:dyDescent="0.2">
      <c r="A25316">
        <v>17407</v>
      </c>
      <c r="B25316" t="s">
        <v>44</v>
      </c>
      <c r="C25316">
        <v>17407</v>
      </c>
      <c r="D25316" t="str">
        <f>"17407"</f>
        <v>17407</v>
      </c>
      <c r="E25316">
        <v>79.28</v>
      </c>
    </row>
    <row r="25317" spans="1:5" x14ac:dyDescent="0.2">
      <c r="A25317">
        <v>17408</v>
      </c>
      <c r="B25317" t="s">
        <v>44</v>
      </c>
      <c r="C25317">
        <v>17408</v>
      </c>
      <c r="D25317" t="str">
        <f>"17408"</f>
        <v>17408</v>
      </c>
      <c r="E25317">
        <v>76.25</v>
      </c>
    </row>
    <row r="25318" spans="1:5" x14ac:dyDescent="0.2">
      <c r="A25318">
        <v>17501</v>
      </c>
      <c r="B25318" t="s">
        <v>44</v>
      </c>
      <c r="C25318">
        <v>17501</v>
      </c>
      <c r="D25318" t="str">
        <f>"17501"</f>
        <v>17501</v>
      </c>
      <c r="E25318">
        <v>73.25</v>
      </c>
    </row>
    <row r="25319" spans="1:5" x14ac:dyDescent="0.2">
      <c r="A25319">
        <v>17502</v>
      </c>
      <c r="B25319" t="s">
        <v>44</v>
      </c>
      <c r="C25319">
        <v>17502</v>
      </c>
      <c r="D25319" t="str">
        <f>"17502"</f>
        <v>17502</v>
      </c>
      <c r="E25319">
        <v>77.86</v>
      </c>
    </row>
    <row r="25320" spans="1:5" x14ac:dyDescent="0.2">
      <c r="A25320">
        <v>17505</v>
      </c>
      <c r="B25320" t="s">
        <v>44</v>
      </c>
      <c r="C25320">
        <v>17505</v>
      </c>
      <c r="D25320" t="str">
        <f>"17505"</f>
        <v>17505</v>
      </c>
      <c r="E25320">
        <v>67.53</v>
      </c>
    </row>
    <row r="25321" spans="1:5" x14ac:dyDescent="0.2">
      <c r="A25321">
        <v>17508</v>
      </c>
      <c r="B25321" t="s">
        <v>44</v>
      </c>
      <c r="C25321">
        <v>17508</v>
      </c>
      <c r="D25321" t="str">
        <f>"17508"</f>
        <v>17508</v>
      </c>
      <c r="E25321" t="s">
        <v>6</v>
      </c>
    </row>
    <row r="25322" spans="1:5" x14ac:dyDescent="0.2">
      <c r="A25322">
        <v>17509</v>
      </c>
      <c r="B25322" t="s">
        <v>44</v>
      </c>
      <c r="C25322">
        <v>17509</v>
      </c>
      <c r="D25322" t="str">
        <f>"17509"</f>
        <v>17509</v>
      </c>
      <c r="E25322">
        <v>65.83</v>
      </c>
    </row>
    <row r="25323" spans="1:5" x14ac:dyDescent="0.2">
      <c r="A25323">
        <v>17512</v>
      </c>
      <c r="B25323" t="s">
        <v>44</v>
      </c>
      <c r="C25323">
        <v>17512</v>
      </c>
      <c r="D25323" t="str">
        <f>"17512"</f>
        <v>17512</v>
      </c>
      <c r="E25323">
        <v>69.400000000000006</v>
      </c>
    </row>
    <row r="25324" spans="1:5" x14ac:dyDescent="0.2">
      <c r="A25324">
        <v>17516</v>
      </c>
      <c r="B25324" t="s">
        <v>44</v>
      </c>
      <c r="C25324">
        <v>17516</v>
      </c>
      <c r="D25324" t="str">
        <f>"17516"</f>
        <v>17516</v>
      </c>
      <c r="E25324">
        <v>74.34</v>
      </c>
    </row>
    <row r="25325" spans="1:5" x14ac:dyDescent="0.2">
      <c r="A25325">
        <v>17517</v>
      </c>
      <c r="B25325" t="s">
        <v>44</v>
      </c>
      <c r="C25325">
        <v>17517</v>
      </c>
      <c r="D25325" t="str">
        <f>"17517"</f>
        <v>17517</v>
      </c>
      <c r="E25325">
        <v>74.900000000000006</v>
      </c>
    </row>
    <row r="25326" spans="1:5" x14ac:dyDescent="0.2">
      <c r="A25326">
        <v>17518</v>
      </c>
      <c r="B25326" t="s">
        <v>44</v>
      </c>
      <c r="C25326">
        <v>17518</v>
      </c>
      <c r="D25326" t="str">
        <f>"17518"</f>
        <v>17518</v>
      </c>
      <c r="E25326">
        <v>67.92</v>
      </c>
    </row>
    <row r="25327" spans="1:5" x14ac:dyDescent="0.2">
      <c r="A25327">
        <v>17519</v>
      </c>
      <c r="B25327" t="s">
        <v>44</v>
      </c>
      <c r="C25327">
        <v>17519</v>
      </c>
      <c r="D25327" t="str">
        <f>"17519"</f>
        <v>17519</v>
      </c>
      <c r="E25327">
        <v>72.040000000000006</v>
      </c>
    </row>
    <row r="25328" spans="1:5" x14ac:dyDescent="0.2">
      <c r="A25328">
        <v>17520</v>
      </c>
      <c r="B25328" t="s">
        <v>44</v>
      </c>
      <c r="C25328">
        <v>17520</v>
      </c>
      <c r="D25328" t="str">
        <f>"17520"</f>
        <v>17520</v>
      </c>
      <c r="E25328">
        <v>75.98</v>
      </c>
    </row>
    <row r="25329" spans="1:5" x14ac:dyDescent="0.2">
      <c r="A25329">
        <v>17522</v>
      </c>
      <c r="B25329" t="s">
        <v>44</v>
      </c>
      <c r="C25329">
        <v>17522</v>
      </c>
      <c r="D25329" t="str">
        <f>"17522"</f>
        <v>17522</v>
      </c>
      <c r="E25329">
        <v>73.98</v>
      </c>
    </row>
    <row r="25330" spans="1:5" x14ac:dyDescent="0.2">
      <c r="A25330">
        <v>17527</v>
      </c>
      <c r="B25330" t="s">
        <v>44</v>
      </c>
      <c r="C25330">
        <v>17527</v>
      </c>
      <c r="D25330" t="str">
        <f>"17527"</f>
        <v>17527</v>
      </c>
      <c r="E25330">
        <v>72.7</v>
      </c>
    </row>
    <row r="25331" spans="1:5" x14ac:dyDescent="0.2">
      <c r="A25331">
        <v>17529</v>
      </c>
      <c r="B25331" t="s">
        <v>44</v>
      </c>
      <c r="C25331">
        <v>17529</v>
      </c>
      <c r="D25331" t="str">
        <f>"17529"</f>
        <v>17529</v>
      </c>
      <c r="E25331">
        <v>68.39</v>
      </c>
    </row>
    <row r="25332" spans="1:5" x14ac:dyDescent="0.2">
      <c r="A25332">
        <v>17532</v>
      </c>
      <c r="B25332" t="s">
        <v>44</v>
      </c>
      <c r="C25332">
        <v>17532</v>
      </c>
      <c r="D25332" t="str">
        <f>"17532"</f>
        <v>17532</v>
      </c>
      <c r="E25332">
        <v>75.319999999999993</v>
      </c>
    </row>
    <row r="25333" spans="1:5" x14ac:dyDescent="0.2">
      <c r="A25333">
        <v>17535</v>
      </c>
      <c r="B25333" t="s">
        <v>44</v>
      </c>
      <c r="C25333">
        <v>17535</v>
      </c>
      <c r="D25333" t="str">
        <f>"17535"</f>
        <v>17535</v>
      </c>
      <c r="E25333">
        <v>64.41</v>
      </c>
    </row>
    <row r="25334" spans="1:5" x14ac:dyDescent="0.2">
      <c r="A25334">
        <v>17536</v>
      </c>
      <c r="B25334" t="s">
        <v>44</v>
      </c>
      <c r="C25334">
        <v>17536</v>
      </c>
      <c r="D25334" t="str">
        <f>"17536"</f>
        <v>17536</v>
      </c>
      <c r="E25334">
        <v>65.290000000000006</v>
      </c>
    </row>
    <row r="25335" spans="1:5" x14ac:dyDescent="0.2">
      <c r="A25335">
        <v>17538</v>
      </c>
      <c r="B25335" t="s">
        <v>44</v>
      </c>
      <c r="C25335">
        <v>17538</v>
      </c>
      <c r="D25335" t="str">
        <f>"17538"</f>
        <v>17538</v>
      </c>
      <c r="E25335">
        <v>78.790000000000006</v>
      </c>
    </row>
    <row r="25336" spans="1:5" x14ac:dyDescent="0.2">
      <c r="A25336">
        <v>17540</v>
      </c>
      <c r="B25336" t="s">
        <v>44</v>
      </c>
      <c r="C25336">
        <v>17540</v>
      </c>
      <c r="D25336" t="str">
        <f>"17540"</f>
        <v>17540</v>
      </c>
      <c r="E25336">
        <v>72.48</v>
      </c>
    </row>
    <row r="25337" spans="1:5" x14ac:dyDescent="0.2">
      <c r="A25337">
        <v>17543</v>
      </c>
      <c r="B25337" t="s">
        <v>44</v>
      </c>
      <c r="C25337">
        <v>17543</v>
      </c>
      <c r="D25337" t="str">
        <f>"17543"</f>
        <v>17543</v>
      </c>
      <c r="E25337">
        <v>76.069999999999993</v>
      </c>
    </row>
    <row r="25338" spans="1:5" x14ac:dyDescent="0.2">
      <c r="A25338">
        <v>17545</v>
      </c>
      <c r="B25338" t="s">
        <v>44</v>
      </c>
      <c r="C25338">
        <v>17545</v>
      </c>
      <c r="D25338" t="str">
        <f>"17545"</f>
        <v>17545</v>
      </c>
      <c r="E25338">
        <v>74.819999999999993</v>
      </c>
    </row>
    <row r="25339" spans="1:5" x14ac:dyDescent="0.2">
      <c r="A25339">
        <v>17547</v>
      </c>
      <c r="B25339" t="s">
        <v>44</v>
      </c>
      <c r="C25339">
        <v>17547</v>
      </c>
      <c r="D25339" t="str">
        <f>"17547"</f>
        <v>17547</v>
      </c>
      <c r="E25339">
        <v>76.14</v>
      </c>
    </row>
    <row r="25340" spans="1:5" x14ac:dyDescent="0.2">
      <c r="A25340">
        <v>17550</v>
      </c>
      <c r="B25340" t="s">
        <v>44</v>
      </c>
      <c r="C25340">
        <v>17550</v>
      </c>
      <c r="D25340" t="str">
        <f>"17550"</f>
        <v>17550</v>
      </c>
      <c r="E25340" t="s">
        <v>6</v>
      </c>
    </row>
    <row r="25341" spans="1:5" x14ac:dyDescent="0.2">
      <c r="A25341">
        <v>17551</v>
      </c>
      <c r="B25341" t="s">
        <v>44</v>
      </c>
      <c r="C25341">
        <v>17551</v>
      </c>
      <c r="D25341" t="str">
        <f>"17551"</f>
        <v>17551</v>
      </c>
      <c r="E25341">
        <v>74.64</v>
      </c>
    </row>
    <row r="25342" spans="1:5" x14ac:dyDescent="0.2">
      <c r="A25342">
        <v>17552</v>
      </c>
      <c r="B25342" t="s">
        <v>44</v>
      </c>
      <c r="C25342">
        <v>17552</v>
      </c>
      <c r="D25342" t="str">
        <f>"17552"</f>
        <v>17552</v>
      </c>
      <c r="E25342">
        <v>78.5</v>
      </c>
    </row>
    <row r="25343" spans="1:5" x14ac:dyDescent="0.2">
      <c r="A25343">
        <v>17554</v>
      </c>
      <c r="B25343" t="s">
        <v>44</v>
      </c>
      <c r="C25343">
        <v>17554</v>
      </c>
      <c r="D25343" t="str">
        <f>"17554"</f>
        <v>17554</v>
      </c>
      <c r="E25343">
        <v>75.5</v>
      </c>
    </row>
    <row r="25344" spans="1:5" x14ac:dyDescent="0.2">
      <c r="A25344">
        <v>17555</v>
      </c>
      <c r="B25344" t="s">
        <v>44</v>
      </c>
      <c r="C25344">
        <v>17555</v>
      </c>
      <c r="D25344" t="str">
        <f>"17555"</f>
        <v>17555</v>
      </c>
      <c r="E25344">
        <v>70.61</v>
      </c>
    </row>
    <row r="25345" spans="1:5" x14ac:dyDescent="0.2">
      <c r="A25345">
        <v>17557</v>
      </c>
      <c r="B25345" t="s">
        <v>44</v>
      </c>
      <c r="C25345">
        <v>17557</v>
      </c>
      <c r="D25345" t="str">
        <f>"17557"</f>
        <v>17557</v>
      </c>
      <c r="E25345">
        <v>72.14</v>
      </c>
    </row>
    <row r="25346" spans="1:5" x14ac:dyDescent="0.2">
      <c r="A25346">
        <v>17560</v>
      </c>
      <c r="B25346" t="s">
        <v>44</v>
      </c>
      <c r="C25346">
        <v>17560</v>
      </c>
      <c r="D25346" t="str">
        <f>"17560"</f>
        <v>17560</v>
      </c>
      <c r="E25346">
        <v>70.95</v>
      </c>
    </row>
    <row r="25347" spans="1:5" x14ac:dyDescent="0.2">
      <c r="A25347">
        <v>17562</v>
      </c>
      <c r="B25347" t="s">
        <v>44</v>
      </c>
      <c r="C25347">
        <v>17562</v>
      </c>
      <c r="D25347" t="str">
        <f>"17562"</f>
        <v>17562</v>
      </c>
      <c r="E25347">
        <v>69.040000000000006</v>
      </c>
    </row>
    <row r="25348" spans="1:5" x14ac:dyDescent="0.2">
      <c r="A25348">
        <v>17563</v>
      </c>
      <c r="B25348" t="s">
        <v>44</v>
      </c>
      <c r="C25348">
        <v>17563</v>
      </c>
      <c r="D25348" t="str">
        <f>"17563"</f>
        <v>17563</v>
      </c>
      <c r="E25348">
        <v>67.48</v>
      </c>
    </row>
    <row r="25349" spans="1:5" x14ac:dyDescent="0.2">
      <c r="A25349">
        <v>17565</v>
      </c>
      <c r="B25349" t="s">
        <v>44</v>
      </c>
      <c r="C25349">
        <v>17565</v>
      </c>
      <c r="D25349" t="str">
        <f>"17565"</f>
        <v>17565</v>
      </c>
      <c r="E25349">
        <v>73.64</v>
      </c>
    </row>
    <row r="25350" spans="1:5" x14ac:dyDescent="0.2">
      <c r="A25350">
        <v>17566</v>
      </c>
      <c r="B25350" t="s">
        <v>44</v>
      </c>
      <c r="C25350">
        <v>17566</v>
      </c>
      <c r="D25350" t="str">
        <f>"17566"</f>
        <v>17566</v>
      </c>
      <c r="E25350">
        <v>68.59</v>
      </c>
    </row>
    <row r="25351" spans="1:5" x14ac:dyDescent="0.2">
      <c r="A25351">
        <v>17569</v>
      </c>
      <c r="B25351" t="s">
        <v>44</v>
      </c>
      <c r="C25351">
        <v>17569</v>
      </c>
      <c r="D25351" t="str">
        <f>"17569"</f>
        <v>17569</v>
      </c>
      <c r="E25351">
        <v>76.87</v>
      </c>
    </row>
    <row r="25352" spans="1:5" x14ac:dyDescent="0.2">
      <c r="A25352">
        <v>17572</v>
      </c>
      <c r="B25352" t="s">
        <v>44</v>
      </c>
      <c r="C25352">
        <v>17572</v>
      </c>
      <c r="D25352" t="str">
        <f>"17572"</f>
        <v>17572</v>
      </c>
      <c r="E25352">
        <v>68.45</v>
      </c>
    </row>
    <row r="25353" spans="1:5" x14ac:dyDescent="0.2">
      <c r="A25353">
        <v>17576</v>
      </c>
      <c r="B25353" t="s">
        <v>44</v>
      </c>
      <c r="C25353">
        <v>17576</v>
      </c>
      <c r="D25353" t="str">
        <f>"17576"</f>
        <v>17576</v>
      </c>
      <c r="E25353">
        <v>71.430000000000007</v>
      </c>
    </row>
    <row r="25354" spans="1:5" x14ac:dyDescent="0.2">
      <c r="A25354">
        <v>17578</v>
      </c>
      <c r="B25354" t="s">
        <v>44</v>
      </c>
      <c r="C25354">
        <v>17578</v>
      </c>
      <c r="D25354" t="str">
        <f>"17578"</f>
        <v>17578</v>
      </c>
      <c r="E25354">
        <v>74.2</v>
      </c>
    </row>
    <row r="25355" spans="1:5" x14ac:dyDescent="0.2">
      <c r="A25355">
        <v>17579</v>
      </c>
      <c r="B25355" t="s">
        <v>44</v>
      </c>
      <c r="C25355">
        <v>17579</v>
      </c>
      <c r="D25355" t="str">
        <f>"17579"</f>
        <v>17579</v>
      </c>
      <c r="E25355">
        <v>72.260000000000005</v>
      </c>
    </row>
    <row r="25356" spans="1:5" x14ac:dyDescent="0.2">
      <c r="A25356">
        <v>17581</v>
      </c>
      <c r="B25356" t="s">
        <v>44</v>
      </c>
      <c r="C25356">
        <v>17581</v>
      </c>
      <c r="D25356" t="str">
        <f>"17581"</f>
        <v>17581</v>
      </c>
      <c r="E25356">
        <v>71.930000000000007</v>
      </c>
    </row>
    <row r="25357" spans="1:5" x14ac:dyDescent="0.2">
      <c r="A25357">
        <v>17582</v>
      </c>
      <c r="B25357" t="s">
        <v>44</v>
      </c>
      <c r="C25357">
        <v>17582</v>
      </c>
      <c r="D25357" t="str">
        <f>"17582"</f>
        <v>17582</v>
      </c>
      <c r="E25357">
        <v>75.489999999999995</v>
      </c>
    </row>
    <row r="25358" spans="1:5" x14ac:dyDescent="0.2">
      <c r="A25358">
        <v>17584</v>
      </c>
      <c r="B25358" t="s">
        <v>44</v>
      </c>
      <c r="C25358">
        <v>17584</v>
      </c>
      <c r="D25358" t="str">
        <f>"17584"</f>
        <v>17584</v>
      </c>
      <c r="E25358">
        <v>74.41</v>
      </c>
    </row>
    <row r="25359" spans="1:5" x14ac:dyDescent="0.2">
      <c r="A25359">
        <v>17601</v>
      </c>
      <c r="B25359" t="s">
        <v>44</v>
      </c>
      <c r="C25359">
        <v>17601</v>
      </c>
      <c r="D25359" t="str">
        <f>"17601"</f>
        <v>17601</v>
      </c>
      <c r="E25359">
        <v>75.930000000000007</v>
      </c>
    </row>
    <row r="25360" spans="1:5" x14ac:dyDescent="0.2">
      <c r="A25360">
        <v>17602</v>
      </c>
      <c r="B25360" t="s">
        <v>44</v>
      </c>
      <c r="C25360">
        <v>17602</v>
      </c>
      <c r="D25360" t="str">
        <f>"17602"</f>
        <v>17602</v>
      </c>
      <c r="E25360">
        <v>66.2</v>
      </c>
    </row>
    <row r="25361" spans="1:5" x14ac:dyDescent="0.2">
      <c r="A25361">
        <v>17603</v>
      </c>
      <c r="B25361" t="s">
        <v>44</v>
      </c>
      <c r="C25361">
        <v>17603</v>
      </c>
      <c r="D25361" t="str">
        <f>"17603"</f>
        <v>17603</v>
      </c>
      <c r="E25361">
        <v>68.44</v>
      </c>
    </row>
    <row r="25362" spans="1:5" x14ac:dyDescent="0.2">
      <c r="A25362">
        <v>17701</v>
      </c>
      <c r="B25362" t="s">
        <v>44</v>
      </c>
      <c r="C25362">
        <v>17701</v>
      </c>
      <c r="D25362" t="str">
        <f>"17701"</f>
        <v>17701</v>
      </c>
      <c r="E25362">
        <v>65.569999999999993</v>
      </c>
    </row>
    <row r="25363" spans="1:5" x14ac:dyDescent="0.2">
      <c r="A25363">
        <v>17702</v>
      </c>
      <c r="B25363" t="s">
        <v>44</v>
      </c>
      <c r="C25363">
        <v>17702</v>
      </c>
      <c r="D25363" t="str">
        <f>"17702"</f>
        <v>17702</v>
      </c>
      <c r="E25363">
        <v>71.91</v>
      </c>
    </row>
    <row r="25364" spans="1:5" x14ac:dyDescent="0.2">
      <c r="A25364">
        <v>17720</v>
      </c>
      <c r="B25364" t="s">
        <v>44</v>
      </c>
      <c r="C25364">
        <v>17720</v>
      </c>
      <c r="D25364" t="str">
        <f>"17720"</f>
        <v>17720</v>
      </c>
      <c r="E25364" t="s">
        <v>6</v>
      </c>
    </row>
    <row r="25365" spans="1:5" x14ac:dyDescent="0.2">
      <c r="A25365">
        <v>17721</v>
      </c>
      <c r="B25365" t="s">
        <v>44</v>
      </c>
      <c r="C25365">
        <v>17721</v>
      </c>
      <c r="D25365" t="str">
        <f>"17721"</f>
        <v>17721</v>
      </c>
      <c r="E25365" t="s">
        <v>6</v>
      </c>
    </row>
    <row r="25366" spans="1:5" x14ac:dyDescent="0.2">
      <c r="A25366">
        <v>17723</v>
      </c>
      <c r="B25366" t="s">
        <v>44</v>
      </c>
      <c r="C25366">
        <v>17723</v>
      </c>
      <c r="D25366" t="str">
        <f>"17723"</f>
        <v>17723</v>
      </c>
      <c r="E25366" t="s">
        <v>6</v>
      </c>
    </row>
    <row r="25367" spans="1:5" x14ac:dyDescent="0.2">
      <c r="A25367">
        <v>17724</v>
      </c>
      <c r="B25367" t="s">
        <v>44</v>
      </c>
      <c r="C25367">
        <v>17724</v>
      </c>
      <c r="D25367" t="str">
        <f>"17724"</f>
        <v>17724</v>
      </c>
      <c r="E25367">
        <v>67.959999999999994</v>
      </c>
    </row>
    <row r="25368" spans="1:5" x14ac:dyDescent="0.2">
      <c r="A25368">
        <v>17727</v>
      </c>
      <c r="B25368" t="s">
        <v>44</v>
      </c>
      <c r="C25368">
        <v>17727</v>
      </c>
      <c r="D25368" t="str">
        <f>"17727"</f>
        <v>17727</v>
      </c>
      <c r="E25368" t="s">
        <v>6</v>
      </c>
    </row>
    <row r="25369" spans="1:5" x14ac:dyDescent="0.2">
      <c r="A25369">
        <v>17728</v>
      </c>
      <c r="B25369" t="s">
        <v>44</v>
      </c>
      <c r="C25369">
        <v>17728</v>
      </c>
      <c r="D25369" t="str">
        <f>"17728"</f>
        <v>17728</v>
      </c>
      <c r="E25369">
        <v>73.709999999999994</v>
      </c>
    </row>
    <row r="25370" spans="1:5" x14ac:dyDescent="0.2">
      <c r="A25370">
        <v>17729</v>
      </c>
      <c r="B25370" t="s">
        <v>44</v>
      </c>
      <c r="C25370">
        <v>17729</v>
      </c>
      <c r="D25370" t="str">
        <f>"17729"</f>
        <v>17729</v>
      </c>
      <c r="E25370" t="s">
        <v>6</v>
      </c>
    </row>
    <row r="25371" spans="1:5" x14ac:dyDescent="0.2">
      <c r="A25371">
        <v>17730</v>
      </c>
      <c r="B25371" t="s">
        <v>44</v>
      </c>
      <c r="C25371">
        <v>17730</v>
      </c>
      <c r="D25371" t="str">
        <f>"17730"</f>
        <v>17730</v>
      </c>
      <c r="E25371" t="s">
        <v>6</v>
      </c>
    </row>
    <row r="25372" spans="1:5" x14ac:dyDescent="0.2">
      <c r="A25372">
        <v>17731</v>
      </c>
      <c r="B25372" t="s">
        <v>44</v>
      </c>
      <c r="C25372">
        <v>17731</v>
      </c>
      <c r="D25372" t="str">
        <f>"17731"</f>
        <v>17731</v>
      </c>
      <c r="E25372" t="s">
        <v>6</v>
      </c>
    </row>
    <row r="25373" spans="1:5" x14ac:dyDescent="0.2">
      <c r="A25373">
        <v>17737</v>
      </c>
      <c r="B25373" t="s">
        <v>44</v>
      </c>
      <c r="C25373">
        <v>17737</v>
      </c>
      <c r="D25373" t="str">
        <f>"17737"</f>
        <v>17737</v>
      </c>
      <c r="E25373">
        <v>71.56</v>
      </c>
    </row>
    <row r="25374" spans="1:5" x14ac:dyDescent="0.2">
      <c r="A25374">
        <v>17739</v>
      </c>
      <c r="B25374" t="s">
        <v>44</v>
      </c>
      <c r="C25374">
        <v>17739</v>
      </c>
      <c r="D25374" t="str">
        <f>"17739"</f>
        <v>17739</v>
      </c>
      <c r="E25374" t="s">
        <v>6</v>
      </c>
    </row>
    <row r="25375" spans="1:5" x14ac:dyDescent="0.2">
      <c r="A25375">
        <v>17740</v>
      </c>
      <c r="B25375" t="s">
        <v>44</v>
      </c>
      <c r="C25375">
        <v>17740</v>
      </c>
      <c r="D25375" t="str">
        <f>"17740"</f>
        <v>17740</v>
      </c>
      <c r="E25375">
        <v>70.3</v>
      </c>
    </row>
    <row r="25376" spans="1:5" x14ac:dyDescent="0.2">
      <c r="A25376">
        <v>17742</v>
      </c>
      <c r="B25376" t="s">
        <v>44</v>
      </c>
      <c r="C25376">
        <v>17742</v>
      </c>
      <c r="D25376" t="str">
        <f>"17742"</f>
        <v>17742</v>
      </c>
      <c r="E25376" t="s">
        <v>6</v>
      </c>
    </row>
    <row r="25377" spans="1:5" x14ac:dyDescent="0.2">
      <c r="A25377">
        <v>17744</v>
      </c>
      <c r="B25377" t="s">
        <v>44</v>
      </c>
      <c r="C25377">
        <v>17744</v>
      </c>
      <c r="D25377" t="str">
        <f>"17744"</f>
        <v>17744</v>
      </c>
      <c r="E25377">
        <v>71.33</v>
      </c>
    </row>
    <row r="25378" spans="1:5" x14ac:dyDescent="0.2">
      <c r="A25378">
        <v>17745</v>
      </c>
      <c r="B25378" t="s">
        <v>44</v>
      </c>
      <c r="C25378">
        <v>17745</v>
      </c>
      <c r="D25378" t="str">
        <f>"17745"</f>
        <v>17745</v>
      </c>
      <c r="E25378">
        <v>69.8</v>
      </c>
    </row>
    <row r="25379" spans="1:5" x14ac:dyDescent="0.2">
      <c r="A25379">
        <v>17747</v>
      </c>
      <c r="B25379" t="s">
        <v>44</v>
      </c>
      <c r="C25379">
        <v>17747</v>
      </c>
      <c r="D25379" t="str">
        <f>"17747"</f>
        <v>17747</v>
      </c>
      <c r="E25379">
        <v>66.41</v>
      </c>
    </row>
    <row r="25380" spans="1:5" x14ac:dyDescent="0.2">
      <c r="A25380">
        <v>17749</v>
      </c>
      <c r="B25380" t="s">
        <v>44</v>
      </c>
      <c r="C25380">
        <v>17749</v>
      </c>
      <c r="D25380" t="str">
        <f>"17749"</f>
        <v>17749</v>
      </c>
      <c r="E25380" t="s">
        <v>6</v>
      </c>
    </row>
    <row r="25381" spans="1:5" x14ac:dyDescent="0.2">
      <c r="A25381">
        <v>17751</v>
      </c>
      <c r="B25381" t="s">
        <v>44</v>
      </c>
      <c r="C25381">
        <v>17751</v>
      </c>
      <c r="D25381" t="str">
        <f>"17751"</f>
        <v>17751</v>
      </c>
      <c r="E25381">
        <v>72.459999999999994</v>
      </c>
    </row>
    <row r="25382" spans="1:5" x14ac:dyDescent="0.2">
      <c r="A25382">
        <v>17752</v>
      </c>
      <c r="B25382" t="s">
        <v>44</v>
      </c>
      <c r="C25382">
        <v>17752</v>
      </c>
      <c r="D25382" t="str">
        <f>"17752"</f>
        <v>17752</v>
      </c>
      <c r="E25382">
        <v>70</v>
      </c>
    </row>
    <row r="25383" spans="1:5" x14ac:dyDescent="0.2">
      <c r="A25383">
        <v>17754</v>
      </c>
      <c r="B25383" t="s">
        <v>44</v>
      </c>
      <c r="C25383">
        <v>17754</v>
      </c>
      <c r="D25383" t="str">
        <f>"17754"</f>
        <v>17754</v>
      </c>
      <c r="E25383">
        <v>74.52</v>
      </c>
    </row>
    <row r="25384" spans="1:5" x14ac:dyDescent="0.2">
      <c r="A25384">
        <v>17756</v>
      </c>
      <c r="B25384" t="s">
        <v>44</v>
      </c>
      <c r="C25384">
        <v>17756</v>
      </c>
      <c r="D25384" t="str">
        <f>"17756"</f>
        <v>17756</v>
      </c>
      <c r="E25384">
        <v>71.66</v>
      </c>
    </row>
    <row r="25385" spans="1:5" x14ac:dyDescent="0.2">
      <c r="A25385">
        <v>17758</v>
      </c>
      <c r="B25385" t="s">
        <v>44</v>
      </c>
      <c r="C25385">
        <v>17758</v>
      </c>
      <c r="D25385" t="str">
        <f>"17758"</f>
        <v>17758</v>
      </c>
      <c r="E25385">
        <v>68.63</v>
      </c>
    </row>
    <row r="25386" spans="1:5" x14ac:dyDescent="0.2">
      <c r="A25386">
        <v>17760</v>
      </c>
      <c r="B25386" t="s">
        <v>44</v>
      </c>
      <c r="C25386">
        <v>17760</v>
      </c>
      <c r="D25386" t="str">
        <f>"17760"</f>
        <v>17760</v>
      </c>
      <c r="E25386">
        <v>76</v>
      </c>
    </row>
    <row r="25387" spans="1:5" x14ac:dyDescent="0.2">
      <c r="A25387">
        <v>17763</v>
      </c>
      <c r="B25387" t="s">
        <v>44</v>
      </c>
      <c r="C25387">
        <v>17763</v>
      </c>
      <c r="D25387" t="str">
        <f>"17763"</f>
        <v>17763</v>
      </c>
      <c r="E25387" t="s">
        <v>6</v>
      </c>
    </row>
    <row r="25388" spans="1:5" x14ac:dyDescent="0.2">
      <c r="A25388">
        <v>17764</v>
      </c>
      <c r="B25388" t="s">
        <v>44</v>
      </c>
      <c r="C25388">
        <v>17764</v>
      </c>
      <c r="D25388" t="str">
        <f>"17764"</f>
        <v>17764</v>
      </c>
      <c r="E25388">
        <v>62.64</v>
      </c>
    </row>
    <row r="25389" spans="1:5" x14ac:dyDescent="0.2">
      <c r="A25389">
        <v>17765</v>
      </c>
      <c r="B25389" t="s">
        <v>44</v>
      </c>
      <c r="C25389">
        <v>17765</v>
      </c>
      <c r="D25389" t="str">
        <f>"17765"</f>
        <v>17765</v>
      </c>
      <c r="E25389">
        <v>73.58</v>
      </c>
    </row>
    <row r="25390" spans="1:5" x14ac:dyDescent="0.2">
      <c r="A25390">
        <v>17768</v>
      </c>
      <c r="B25390" t="s">
        <v>44</v>
      </c>
      <c r="C25390">
        <v>17768</v>
      </c>
      <c r="D25390" t="str">
        <f>"17768"</f>
        <v>17768</v>
      </c>
      <c r="E25390">
        <v>71.430000000000007</v>
      </c>
    </row>
    <row r="25391" spans="1:5" x14ac:dyDescent="0.2">
      <c r="A25391">
        <v>17769</v>
      </c>
      <c r="B25391" t="s">
        <v>44</v>
      </c>
      <c r="C25391">
        <v>17769</v>
      </c>
      <c r="D25391" t="str">
        <f>"17769"</f>
        <v>17769</v>
      </c>
      <c r="E25391" t="s">
        <v>6</v>
      </c>
    </row>
    <row r="25392" spans="1:5" x14ac:dyDescent="0.2">
      <c r="A25392">
        <v>17771</v>
      </c>
      <c r="B25392" t="s">
        <v>44</v>
      </c>
      <c r="C25392">
        <v>17771</v>
      </c>
      <c r="D25392" t="str">
        <f>"17771"</f>
        <v>17771</v>
      </c>
      <c r="E25392">
        <v>71.81</v>
      </c>
    </row>
    <row r="25393" spans="1:5" x14ac:dyDescent="0.2">
      <c r="A25393">
        <v>17772</v>
      </c>
      <c r="B25393" t="s">
        <v>44</v>
      </c>
      <c r="C25393">
        <v>17772</v>
      </c>
      <c r="D25393" t="str">
        <f>"17772"</f>
        <v>17772</v>
      </c>
      <c r="E25393">
        <v>73.209999999999994</v>
      </c>
    </row>
    <row r="25394" spans="1:5" x14ac:dyDescent="0.2">
      <c r="A25394">
        <v>17774</v>
      </c>
      <c r="B25394" t="s">
        <v>44</v>
      </c>
      <c r="C25394">
        <v>17774</v>
      </c>
      <c r="D25394" t="str">
        <f>"17774"</f>
        <v>17774</v>
      </c>
      <c r="E25394">
        <v>70</v>
      </c>
    </row>
    <row r="25395" spans="1:5" x14ac:dyDescent="0.2">
      <c r="A25395">
        <v>17776</v>
      </c>
      <c r="B25395" t="s">
        <v>44</v>
      </c>
      <c r="C25395">
        <v>17776</v>
      </c>
      <c r="D25395" t="str">
        <f>"17776"</f>
        <v>17776</v>
      </c>
      <c r="E25395">
        <v>72.73</v>
      </c>
    </row>
    <row r="25396" spans="1:5" x14ac:dyDescent="0.2">
      <c r="A25396">
        <v>17777</v>
      </c>
      <c r="B25396" t="s">
        <v>44</v>
      </c>
      <c r="C25396">
        <v>17777</v>
      </c>
      <c r="D25396" t="str">
        <f>"17777"</f>
        <v>17777</v>
      </c>
      <c r="E25396">
        <v>72</v>
      </c>
    </row>
    <row r="25397" spans="1:5" x14ac:dyDescent="0.2">
      <c r="A25397">
        <v>17778</v>
      </c>
      <c r="B25397" t="s">
        <v>44</v>
      </c>
      <c r="C25397">
        <v>17778</v>
      </c>
      <c r="D25397" t="str">
        <f>"17778"</f>
        <v>17778</v>
      </c>
      <c r="E25397" t="s">
        <v>6</v>
      </c>
    </row>
    <row r="25398" spans="1:5" x14ac:dyDescent="0.2">
      <c r="A25398">
        <v>17801</v>
      </c>
      <c r="B25398" t="s">
        <v>44</v>
      </c>
      <c r="C25398">
        <v>17801</v>
      </c>
      <c r="D25398" t="str">
        <f>"17801"</f>
        <v>17801</v>
      </c>
      <c r="E25398">
        <v>66.67</v>
      </c>
    </row>
    <row r="25399" spans="1:5" x14ac:dyDescent="0.2">
      <c r="A25399">
        <v>17810</v>
      </c>
      <c r="B25399" t="s">
        <v>44</v>
      </c>
      <c r="C25399">
        <v>17810</v>
      </c>
      <c r="D25399" t="str">
        <f>"17810"</f>
        <v>17810</v>
      </c>
      <c r="E25399">
        <v>71.91</v>
      </c>
    </row>
    <row r="25400" spans="1:5" x14ac:dyDescent="0.2">
      <c r="A25400">
        <v>17812</v>
      </c>
      <c r="B25400" t="s">
        <v>44</v>
      </c>
      <c r="C25400">
        <v>17812</v>
      </c>
      <c r="D25400" t="str">
        <f>"17812"</f>
        <v>17812</v>
      </c>
      <c r="E25400">
        <v>66.67</v>
      </c>
    </row>
    <row r="25401" spans="1:5" x14ac:dyDescent="0.2">
      <c r="A25401">
        <v>17813</v>
      </c>
      <c r="B25401" t="s">
        <v>44</v>
      </c>
      <c r="C25401">
        <v>17813</v>
      </c>
      <c r="D25401" t="str">
        <f>"17813"</f>
        <v>17813</v>
      </c>
      <c r="E25401">
        <v>68.040000000000006</v>
      </c>
    </row>
    <row r="25402" spans="1:5" x14ac:dyDescent="0.2">
      <c r="A25402">
        <v>17814</v>
      </c>
      <c r="B25402" t="s">
        <v>44</v>
      </c>
      <c r="C25402">
        <v>17814</v>
      </c>
      <c r="D25402" t="str">
        <f>"17814"</f>
        <v>17814</v>
      </c>
      <c r="E25402">
        <v>69.55</v>
      </c>
    </row>
    <row r="25403" spans="1:5" x14ac:dyDescent="0.2">
      <c r="A25403">
        <v>17815</v>
      </c>
      <c r="B25403" t="s">
        <v>44</v>
      </c>
      <c r="C25403">
        <v>17815</v>
      </c>
      <c r="D25403" t="str">
        <f>"17815"</f>
        <v>17815</v>
      </c>
      <c r="E25403">
        <v>73.45</v>
      </c>
    </row>
    <row r="25404" spans="1:5" x14ac:dyDescent="0.2">
      <c r="A25404">
        <v>17820</v>
      </c>
      <c r="B25404" t="s">
        <v>44</v>
      </c>
      <c r="C25404">
        <v>17820</v>
      </c>
      <c r="D25404" t="str">
        <f>"17820"</f>
        <v>17820</v>
      </c>
      <c r="E25404">
        <v>72.86</v>
      </c>
    </row>
    <row r="25405" spans="1:5" x14ac:dyDescent="0.2">
      <c r="A25405">
        <v>17821</v>
      </c>
      <c r="B25405" t="s">
        <v>44</v>
      </c>
      <c r="C25405">
        <v>17821</v>
      </c>
      <c r="D25405" t="str">
        <f>"17821"</f>
        <v>17821</v>
      </c>
      <c r="E25405">
        <v>74.84</v>
      </c>
    </row>
    <row r="25406" spans="1:5" x14ac:dyDescent="0.2">
      <c r="A25406">
        <v>17822</v>
      </c>
      <c r="B25406" t="s">
        <v>44</v>
      </c>
      <c r="C25406">
        <v>17822</v>
      </c>
      <c r="D25406" t="str">
        <f>"17822"</f>
        <v>17822</v>
      </c>
      <c r="E25406" t="s">
        <v>6</v>
      </c>
    </row>
    <row r="25407" spans="1:5" x14ac:dyDescent="0.2">
      <c r="A25407">
        <v>17823</v>
      </c>
      <c r="B25407" t="s">
        <v>44</v>
      </c>
      <c r="C25407">
        <v>17823</v>
      </c>
      <c r="D25407" t="str">
        <f>"17823"</f>
        <v>17823</v>
      </c>
      <c r="E25407">
        <v>71.67</v>
      </c>
    </row>
    <row r="25408" spans="1:5" x14ac:dyDescent="0.2">
      <c r="A25408">
        <v>17824</v>
      </c>
      <c r="B25408" t="s">
        <v>44</v>
      </c>
      <c r="C25408">
        <v>17824</v>
      </c>
      <c r="D25408" t="str">
        <f>"17824"</f>
        <v>17824</v>
      </c>
      <c r="E25408">
        <v>74.53</v>
      </c>
    </row>
    <row r="25409" spans="1:5" x14ac:dyDescent="0.2">
      <c r="A25409">
        <v>17827</v>
      </c>
      <c r="B25409" t="s">
        <v>44</v>
      </c>
      <c r="C25409">
        <v>17827</v>
      </c>
      <c r="D25409" t="str">
        <f>"17827"</f>
        <v>17827</v>
      </c>
      <c r="E25409">
        <v>71.430000000000007</v>
      </c>
    </row>
    <row r="25410" spans="1:5" x14ac:dyDescent="0.2">
      <c r="A25410">
        <v>17829</v>
      </c>
      <c r="B25410" t="s">
        <v>44</v>
      </c>
      <c r="C25410">
        <v>17829</v>
      </c>
      <c r="D25410" t="str">
        <f>"17829"</f>
        <v>17829</v>
      </c>
      <c r="E25410" t="s">
        <v>6</v>
      </c>
    </row>
    <row r="25411" spans="1:5" x14ac:dyDescent="0.2">
      <c r="A25411">
        <v>17830</v>
      </c>
      <c r="B25411" t="s">
        <v>44</v>
      </c>
      <c r="C25411">
        <v>17830</v>
      </c>
      <c r="D25411" t="str">
        <f>"17830"</f>
        <v>17830</v>
      </c>
      <c r="E25411">
        <v>71.290000000000006</v>
      </c>
    </row>
    <row r="25412" spans="1:5" x14ac:dyDescent="0.2">
      <c r="A25412">
        <v>17832</v>
      </c>
      <c r="B25412" t="s">
        <v>44</v>
      </c>
      <c r="C25412">
        <v>17832</v>
      </c>
      <c r="D25412" t="str">
        <f>"17832"</f>
        <v>17832</v>
      </c>
      <c r="E25412" t="s">
        <v>6</v>
      </c>
    </row>
    <row r="25413" spans="1:5" x14ac:dyDescent="0.2">
      <c r="A25413">
        <v>17834</v>
      </c>
      <c r="B25413" t="s">
        <v>44</v>
      </c>
      <c r="C25413">
        <v>17834</v>
      </c>
      <c r="D25413" t="str">
        <f>"17834"</f>
        <v>17834</v>
      </c>
      <c r="E25413">
        <v>70.66</v>
      </c>
    </row>
    <row r="25414" spans="1:5" x14ac:dyDescent="0.2">
      <c r="A25414">
        <v>17836</v>
      </c>
      <c r="B25414" t="s">
        <v>44</v>
      </c>
      <c r="C25414">
        <v>17836</v>
      </c>
      <c r="D25414" t="str">
        <f>"17836"</f>
        <v>17836</v>
      </c>
      <c r="E25414" t="s">
        <v>6</v>
      </c>
    </row>
    <row r="25415" spans="1:5" x14ac:dyDescent="0.2">
      <c r="A25415">
        <v>17837</v>
      </c>
      <c r="B25415" t="s">
        <v>44</v>
      </c>
      <c r="C25415">
        <v>17837</v>
      </c>
      <c r="D25415" t="str">
        <f>"17837"</f>
        <v>17837</v>
      </c>
      <c r="E25415">
        <v>73.8</v>
      </c>
    </row>
    <row r="25416" spans="1:5" x14ac:dyDescent="0.2">
      <c r="A25416">
        <v>17840</v>
      </c>
      <c r="B25416" t="s">
        <v>44</v>
      </c>
      <c r="C25416">
        <v>17840</v>
      </c>
      <c r="D25416" t="str">
        <f>"17840"</f>
        <v>17840</v>
      </c>
      <c r="E25416">
        <v>69.23</v>
      </c>
    </row>
    <row r="25417" spans="1:5" x14ac:dyDescent="0.2">
      <c r="A25417">
        <v>17841</v>
      </c>
      <c r="B25417" t="s">
        <v>44</v>
      </c>
      <c r="C25417">
        <v>17841</v>
      </c>
      <c r="D25417" t="str">
        <f>"17841"</f>
        <v>17841</v>
      </c>
      <c r="E25417">
        <v>66.67</v>
      </c>
    </row>
    <row r="25418" spans="1:5" x14ac:dyDescent="0.2">
      <c r="A25418">
        <v>17842</v>
      </c>
      <c r="B25418" t="s">
        <v>44</v>
      </c>
      <c r="C25418">
        <v>17842</v>
      </c>
      <c r="D25418" t="str">
        <f>"17842"</f>
        <v>17842</v>
      </c>
      <c r="E25418">
        <v>69.83</v>
      </c>
    </row>
    <row r="25419" spans="1:5" x14ac:dyDescent="0.2">
      <c r="A25419">
        <v>17844</v>
      </c>
      <c r="B25419" t="s">
        <v>44</v>
      </c>
      <c r="C25419">
        <v>17844</v>
      </c>
      <c r="D25419" t="str">
        <f>"17844"</f>
        <v>17844</v>
      </c>
      <c r="E25419">
        <v>70.17</v>
      </c>
    </row>
    <row r="25420" spans="1:5" x14ac:dyDescent="0.2">
      <c r="A25420">
        <v>17845</v>
      </c>
      <c r="B25420" t="s">
        <v>44</v>
      </c>
      <c r="C25420">
        <v>17845</v>
      </c>
      <c r="D25420" t="str">
        <f>"17845"</f>
        <v>17845</v>
      </c>
      <c r="E25420">
        <v>68.180000000000007</v>
      </c>
    </row>
    <row r="25421" spans="1:5" x14ac:dyDescent="0.2">
      <c r="A25421">
        <v>17846</v>
      </c>
      <c r="B25421" t="s">
        <v>44</v>
      </c>
      <c r="C25421">
        <v>17846</v>
      </c>
      <c r="D25421" t="str">
        <f>"17846"</f>
        <v>17846</v>
      </c>
      <c r="E25421">
        <v>73.260000000000005</v>
      </c>
    </row>
    <row r="25422" spans="1:5" x14ac:dyDescent="0.2">
      <c r="A25422">
        <v>17847</v>
      </c>
      <c r="B25422" t="s">
        <v>44</v>
      </c>
      <c r="C25422">
        <v>17847</v>
      </c>
      <c r="D25422" t="str">
        <f>"17847"</f>
        <v>17847</v>
      </c>
      <c r="E25422">
        <v>70.099999999999994</v>
      </c>
    </row>
    <row r="25423" spans="1:5" x14ac:dyDescent="0.2">
      <c r="A25423">
        <v>17850</v>
      </c>
      <c r="B25423" t="s">
        <v>44</v>
      </c>
      <c r="C25423">
        <v>17850</v>
      </c>
      <c r="D25423" t="str">
        <f>"17850"</f>
        <v>17850</v>
      </c>
      <c r="E25423" t="s">
        <v>6</v>
      </c>
    </row>
    <row r="25424" spans="1:5" x14ac:dyDescent="0.2">
      <c r="A25424">
        <v>17851</v>
      </c>
      <c r="B25424" t="s">
        <v>44</v>
      </c>
      <c r="C25424">
        <v>17851</v>
      </c>
      <c r="D25424" t="str">
        <f>"17851"</f>
        <v>17851</v>
      </c>
      <c r="E25424">
        <v>65.95</v>
      </c>
    </row>
    <row r="25425" spans="1:5" x14ac:dyDescent="0.2">
      <c r="A25425">
        <v>17853</v>
      </c>
      <c r="B25425" t="s">
        <v>44</v>
      </c>
      <c r="C25425">
        <v>17853</v>
      </c>
      <c r="D25425" t="str">
        <f>"17853"</f>
        <v>17853</v>
      </c>
      <c r="E25425">
        <v>70.83</v>
      </c>
    </row>
    <row r="25426" spans="1:5" x14ac:dyDescent="0.2">
      <c r="A25426">
        <v>17855</v>
      </c>
      <c r="B25426" t="s">
        <v>44</v>
      </c>
      <c r="C25426">
        <v>17855</v>
      </c>
      <c r="D25426" t="str">
        <f>"17855"</f>
        <v>17855</v>
      </c>
      <c r="E25426">
        <v>76</v>
      </c>
    </row>
    <row r="25427" spans="1:5" x14ac:dyDescent="0.2">
      <c r="A25427">
        <v>17856</v>
      </c>
      <c r="B25427" t="s">
        <v>44</v>
      </c>
      <c r="C25427">
        <v>17856</v>
      </c>
      <c r="D25427" t="str">
        <f>"17856"</f>
        <v>17856</v>
      </c>
      <c r="E25427">
        <v>73.53</v>
      </c>
    </row>
    <row r="25428" spans="1:5" x14ac:dyDescent="0.2">
      <c r="A25428">
        <v>17857</v>
      </c>
      <c r="B25428" t="s">
        <v>44</v>
      </c>
      <c r="C25428">
        <v>17857</v>
      </c>
      <c r="D25428" t="str">
        <f>"17857"</f>
        <v>17857</v>
      </c>
      <c r="E25428">
        <v>73.099999999999994</v>
      </c>
    </row>
    <row r="25429" spans="1:5" x14ac:dyDescent="0.2">
      <c r="A25429">
        <v>17859</v>
      </c>
      <c r="B25429" t="s">
        <v>44</v>
      </c>
      <c r="C25429">
        <v>17859</v>
      </c>
      <c r="D25429" t="str">
        <f>"17859"</f>
        <v>17859</v>
      </c>
      <c r="E25429">
        <v>73.099999999999994</v>
      </c>
    </row>
    <row r="25430" spans="1:5" x14ac:dyDescent="0.2">
      <c r="A25430">
        <v>17860</v>
      </c>
      <c r="B25430" t="s">
        <v>44</v>
      </c>
      <c r="C25430">
        <v>17860</v>
      </c>
      <c r="D25430" t="str">
        <f>"17860"</f>
        <v>17860</v>
      </c>
      <c r="E25430">
        <v>74.510000000000005</v>
      </c>
    </row>
    <row r="25431" spans="1:5" x14ac:dyDescent="0.2">
      <c r="A25431">
        <v>17861</v>
      </c>
      <c r="B25431" t="s">
        <v>44</v>
      </c>
      <c r="C25431">
        <v>17861</v>
      </c>
      <c r="D25431" t="str">
        <f>"17861"</f>
        <v>17861</v>
      </c>
      <c r="E25431" t="s">
        <v>6</v>
      </c>
    </row>
    <row r="25432" spans="1:5" x14ac:dyDescent="0.2">
      <c r="A25432">
        <v>17864</v>
      </c>
      <c r="B25432" t="s">
        <v>44</v>
      </c>
      <c r="C25432">
        <v>17864</v>
      </c>
      <c r="D25432" t="str">
        <f>"17864"</f>
        <v>17864</v>
      </c>
      <c r="E25432">
        <v>68.22</v>
      </c>
    </row>
    <row r="25433" spans="1:5" x14ac:dyDescent="0.2">
      <c r="A25433">
        <v>17866</v>
      </c>
      <c r="B25433" t="s">
        <v>44</v>
      </c>
      <c r="C25433">
        <v>17866</v>
      </c>
      <c r="D25433" t="str">
        <f>"17866"</f>
        <v>17866</v>
      </c>
      <c r="E25433">
        <v>68.73</v>
      </c>
    </row>
    <row r="25434" spans="1:5" x14ac:dyDescent="0.2">
      <c r="A25434">
        <v>17867</v>
      </c>
      <c r="B25434" t="s">
        <v>44</v>
      </c>
      <c r="C25434">
        <v>17867</v>
      </c>
      <c r="D25434" t="str">
        <f>"17867"</f>
        <v>17867</v>
      </c>
      <c r="E25434" t="s">
        <v>6</v>
      </c>
    </row>
    <row r="25435" spans="1:5" x14ac:dyDescent="0.2">
      <c r="A25435">
        <v>17868</v>
      </c>
      <c r="B25435" t="s">
        <v>44</v>
      </c>
      <c r="C25435">
        <v>17868</v>
      </c>
      <c r="D25435" t="str">
        <f>"17868"</f>
        <v>17868</v>
      </c>
      <c r="E25435" t="s">
        <v>6</v>
      </c>
    </row>
    <row r="25436" spans="1:5" x14ac:dyDescent="0.2">
      <c r="A25436">
        <v>17870</v>
      </c>
      <c r="B25436" t="s">
        <v>44</v>
      </c>
      <c r="C25436">
        <v>17870</v>
      </c>
      <c r="D25436" t="str">
        <f>"17870"</f>
        <v>17870</v>
      </c>
      <c r="E25436">
        <v>72.959999999999994</v>
      </c>
    </row>
    <row r="25437" spans="1:5" x14ac:dyDescent="0.2">
      <c r="A25437">
        <v>17872</v>
      </c>
      <c r="B25437" t="s">
        <v>44</v>
      </c>
      <c r="C25437">
        <v>17872</v>
      </c>
      <c r="D25437" t="str">
        <f>"17872"</f>
        <v>17872</v>
      </c>
      <c r="E25437">
        <v>61.76</v>
      </c>
    </row>
    <row r="25438" spans="1:5" x14ac:dyDescent="0.2">
      <c r="A25438">
        <v>17876</v>
      </c>
      <c r="B25438" t="s">
        <v>44</v>
      </c>
      <c r="C25438">
        <v>17876</v>
      </c>
      <c r="D25438" t="str">
        <f>"17876"</f>
        <v>17876</v>
      </c>
      <c r="E25438">
        <v>75.86</v>
      </c>
    </row>
    <row r="25439" spans="1:5" x14ac:dyDescent="0.2">
      <c r="A25439">
        <v>17878</v>
      </c>
      <c r="B25439" t="s">
        <v>44</v>
      </c>
      <c r="C25439">
        <v>17878</v>
      </c>
      <c r="D25439" t="str">
        <f>"17878"</f>
        <v>17878</v>
      </c>
      <c r="E25439">
        <v>70.83</v>
      </c>
    </row>
    <row r="25440" spans="1:5" x14ac:dyDescent="0.2">
      <c r="A25440">
        <v>17881</v>
      </c>
      <c r="B25440" t="s">
        <v>44</v>
      </c>
      <c r="C25440">
        <v>17881</v>
      </c>
      <c r="D25440" t="str">
        <f>"17881"</f>
        <v>17881</v>
      </c>
      <c r="E25440">
        <v>70.77</v>
      </c>
    </row>
    <row r="25441" spans="1:5" x14ac:dyDescent="0.2">
      <c r="A25441">
        <v>17884</v>
      </c>
      <c r="B25441" t="s">
        <v>44</v>
      </c>
      <c r="C25441">
        <v>17884</v>
      </c>
      <c r="D25441" t="str">
        <f>"17884"</f>
        <v>17884</v>
      </c>
      <c r="E25441" t="s">
        <v>6</v>
      </c>
    </row>
    <row r="25442" spans="1:5" x14ac:dyDescent="0.2">
      <c r="A25442">
        <v>17885</v>
      </c>
      <c r="B25442" t="s">
        <v>44</v>
      </c>
      <c r="C25442">
        <v>17885</v>
      </c>
      <c r="D25442" t="str">
        <f>"17885"</f>
        <v>17885</v>
      </c>
      <c r="E25442" t="s">
        <v>6</v>
      </c>
    </row>
    <row r="25443" spans="1:5" x14ac:dyDescent="0.2">
      <c r="A25443">
        <v>17886</v>
      </c>
      <c r="B25443" t="s">
        <v>44</v>
      </c>
      <c r="C25443">
        <v>17886</v>
      </c>
      <c r="D25443" t="str">
        <f>"17886"</f>
        <v>17886</v>
      </c>
      <c r="E25443">
        <v>70.73</v>
      </c>
    </row>
    <row r="25444" spans="1:5" x14ac:dyDescent="0.2">
      <c r="A25444">
        <v>17887</v>
      </c>
      <c r="B25444" t="s">
        <v>44</v>
      </c>
      <c r="C25444">
        <v>17887</v>
      </c>
      <c r="D25444" t="str">
        <f>"17887"</f>
        <v>17887</v>
      </c>
      <c r="E25444" t="s">
        <v>6</v>
      </c>
    </row>
    <row r="25445" spans="1:5" x14ac:dyDescent="0.2">
      <c r="A25445">
        <v>17888</v>
      </c>
      <c r="B25445" t="s">
        <v>44</v>
      </c>
      <c r="C25445">
        <v>17888</v>
      </c>
      <c r="D25445" t="str">
        <f>"17888"</f>
        <v>17888</v>
      </c>
      <c r="E25445">
        <v>68.75</v>
      </c>
    </row>
    <row r="25446" spans="1:5" x14ac:dyDescent="0.2">
      <c r="A25446">
        <v>17889</v>
      </c>
      <c r="B25446" t="s">
        <v>44</v>
      </c>
      <c r="C25446">
        <v>17889</v>
      </c>
      <c r="D25446" t="str">
        <f>"17889"</f>
        <v>17889</v>
      </c>
      <c r="E25446">
        <v>71.739999999999995</v>
      </c>
    </row>
    <row r="25447" spans="1:5" x14ac:dyDescent="0.2">
      <c r="A25447">
        <v>17901</v>
      </c>
      <c r="B25447" t="s">
        <v>44</v>
      </c>
      <c r="C25447">
        <v>17901</v>
      </c>
      <c r="D25447" t="str">
        <f>"17901"</f>
        <v>17901</v>
      </c>
      <c r="E25447">
        <v>69.37</v>
      </c>
    </row>
    <row r="25448" spans="1:5" x14ac:dyDescent="0.2">
      <c r="A25448">
        <v>17920</v>
      </c>
      <c r="B25448" t="s">
        <v>44</v>
      </c>
      <c r="C25448">
        <v>17920</v>
      </c>
      <c r="D25448" t="str">
        <f>"17920"</f>
        <v>17920</v>
      </c>
      <c r="E25448" t="s">
        <v>6</v>
      </c>
    </row>
    <row r="25449" spans="1:5" x14ac:dyDescent="0.2">
      <c r="A25449">
        <v>17921</v>
      </c>
      <c r="B25449" t="s">
        <v>44</v>
      </c>
      <c r="C25449">
        <v>17921</v>
      </c>
      <c r="D25449" t="str">
        <f>"17921"</f>
        <v>17921</v>
      </c>
      <c r="E25449">
        <v>73.94</v>
      </c>
    </row>
    <row r="25450" spans="1:5" x14ac:dyDescent="0.2">
      <c r="A25450">
        <v>17922</v>
      </c>
      <c r="B25450" t="s">
        <v>44</v>
      </c>
      <c r="C25450">
        <v>17922</v>
      </c>
      <c r="D25450" t="str">
        <f>"17922"</f>
        <v>17922</v>
      </c>
      <c r="E25450">
        <v>77.12</v>
      </c>
    </row>
    <row r="25451" spans="1:5" x14ac:dyDescent="0.2">
      <c r="A25451">
        <v>17923</v>
      </c>
      <c r="B25451" t="s">
        <v>44</v>
      </c>
      <c r="C25451">
        <v>17923</v>
      </c>
      <c r="D25451" t="str">
        <f>"17923"</f>
        <v>17923</v>
      </c>
      <c r="E25451" t="s">
        <v>6</v>
      </c>
    </row>
    <row r="25452" spans="1:5" x14ac:dyDescent="0.2">
      <c r="A25452">
        <v>17925</v>
      </c>
      <c r="B25452" t="s">
        <v>44</v>
      </c>
      <c r="C25452">
        <v>17925</v>
      </c>
      <c r="D25452" t="str">
        <f>"17925"</f>
        <v>17925</v>
      </c>
      <c r="E25452">
        <v>72.22</v>
      </c>
    </row>
    <row r="25453" spans="1:5" x14ac:dyDescent="0.2">
      <c r="A25453">
        <v>17929</v>
      </c>
      <c r="B25453" t="s">
        <v>44</v>
      </c>
      <c r="C25453">
        <v>17929</v>
      </c>
      <c r="D25453" t="str">
        <f>"17929"</f>
        <v>17929</v>
      </c>
      <c r="E25453">
        <v>70.37</v>
      </c>
    </row>
    <row r="25454" spans="1:5" x14ac:dyDescent="0.2">
      <c r="A25454">
        <v>17930</v>
      </c>
      <c r="B25454" t="s">
        <v>44</v>
      </c>
      <c r="C25454">
        <v>17930</v>
      </c>
      <c r="D25454" t="str">
        <f>"17930"</f>
        <v>17930</v>
      </c>
      <c r="E25454" t="s">
        <v>6</v>
      </c>
    </row>
    <row r="25455" spans="1:5" x14ac:dyDescent="0.2">
      <c r="A25455">
        <v>17931</v>
      </c>
      <c r="B25455" t="s">
        <v>44</v>
      </c>
      <c r="C25455">
        <v>17931</v>
      </c>
      <c r="D25455" t="str">
        <f>"17931"</f>
        <v>17931</v>
      </c>
      <c r="E25455">
        <v>73.12</v>
      </c>
    </row>
    <row r="25456" spans="1:5" x14ac:dyDescent="0.2">
      <c r="A25456">
        <v>17933</v>
      </c>
      <c r="B25456" t="s">
        <v>44</v>
      </c>
      <c r="C25456">
        <v>17933</v>
      </c>
      <c r="D25456" t="str">
        <f>"17933"</f>
        <v>17933</v>
      </c>
      <c r="E25456" t="s">
        <v>6</v>
      </c>
    </row>
    <row r="25457" spans="1:5" x14ac:dyDescent="0.2">
      <c r="A25457">
        <v>17934</v>
      </c>
      <c r="B25457" t="s">
        <v>44</v>
      </c>
      <c r="C25457">
        <v>17934</v>
      </c>
      <c r="D25457" t="str">
        <f>"17934"</f>
        <v>17934</v>
      </c>
      <c r="E25457">
        <v>64.290000000000006</v>
      </c>
    </row>
    <row r="25458" spans="1:5" x14ac:dyDescent="0.2">
      <c r="A25458">
        <v>17935</v>
      </c>
      <c r="B25458" t="s">
        <v>44</v>
      </c>
      <c r="C25458">
        <v>17935</v>
      </c>
      <c r="D25458" t="str">
        <f>"17935"</f>
        <v>17935</v>
      </c>
      <c r="E25458">
        <v>63.77</v>
      </c>
    </row>
    <row r="25459" spans="1:5" x14ac:dyDescent="0.2">
      <c r="A25459">
        <v>17938</v>
      </c>
      <c r="B25459" t="s">
        <v>44</v>
      </c>
      <c r="C25459">
        <v>17938</v>
      </c>
      <c r="D25459" t="str">
        <f>"17938"</f>
        <v>17938</v>
      </c>
      <c r="E25459">
        <v>75.569999999999993</v>
      </c>
    </row>
    <row r="25460" spans="1:5" x14ac:dyDescent="0.2">
      <c r="A25460">
        <v>17941</v>
      </c>
      <c r="B25460" t="s">
        <v>44</v>
      </c>
      <c r="C25460">
        <v>17941</v>
      </c>
      <c r="D25460" t="str">
        <f>"17941"</f>
        <v>17941</v>
      </c>
      <c r="E25460">
        <v>69.23</v>
      </c>
    </row>
    <row r="25461" spans="1:5" x14ac:dyDescent="0.2">
      <c r="A25461">
        <v>17943</v>
      </c>
      <c r="B25461" t="s">
        <v>44</v>
      </c>
      <c r="C25461">
        <v>17943</v>
      </c>
      <c r="D25461" t="str">
        <f>"17943"</f>
        <v>17943</v>
      </c>
      <c r="E25461" t="s">
        <v>6</v>
      </c>
    </row>
    <row r="25462" spans="1:5" x14ac:dyDescent="0.2">
      <c r="A25462">
        <v>17945</v>
      </c>
      <c r="B25462" t="s">
        <v>44</v>
      </c>
      <c r="C25462">
        <v>17945</v>
      </c>
      <c r="D25462" t="str">
        <f>"17945"</f>
        <v>17945</v>
      </c>
      <c r="E25462" t="s">
        <v>6</v>
      </c>
    </row>
    <row r="25463" spans="1:5" x14ac:dyDescent="0.2">
      <c r="A25463">
        <v>17948</v>
      </c>
      <c r="B25463" t="s">
        <v>44</v>
      </c>
      <c r="C25463">
        <v>17948</v>
      </c>
      <c r="D25463" t="str">
        <f>"17948"</f>
        <v>17948</v>
      </c>
      <c r="E25463">
        <v>62.7</v>
      </c>
    </row>
    <row r="25464" spans="1:5" x14ac:dyDescent="0.2">
      <c r="A25464">
        <v>17949</v>
      </c>
      <c r="B25464" t="s">
        <v>44</v>
      </c>
      <c r="C25464">
        <v>17949</v>
      </c>
      <c r="D25464" t="str">
        <f>"17949"</f>
        <v>17949</v>
      </c>
      <c r="E25464" t="s">
        <v>6</v>
      </c>
    </row>
    <row r="25465" spans="1:5" x14ac:dyDescent="0.2">
      <c r="A25465">
        <v>17951</v>
      </c>
      <c r="B25465" t="s">
        <v>44</v>
      </c>
      <c r="C25465">
        <v>17951</v>
      </c>
      <c r="D25465" t="str">
        <f>"17951"</f>
        <v>17951</v>
      </c>
      <c r="E25465" t="s">
        <v>6</v>
      </c>
    </row>
    <row r="25466" spans="1:5" x14ac:dyDescent="0.2">
      <c r="A25466">
        <v>17952</v>
      </c>
      <c r="B25466" t="s">
        <v>44</v>
      </c>
      <c r="C25466">
        <v>17952</v>
      </c>
      <c r="D25466" t="str">
        <f>"17952"</f>
        <v>17952</v>
      </c>
      <c r="E25466">
        <v>72.73</v>
      </c>
    </row>
    <row r="25467" spans="1:5" x14ac:dyDescent="0.2">
      <c r="A25467">
        <v>17953</v>
      </c>
      <c r="B25467" t="s">
        <v>44</v>
      </c>
      <c r="C25467">
        <v>17953</v>
      </c>
      <c r="D25467" t="str">
        <f>"17953"</f>
        <v>17953</v>
      </c>
      <c r="E25467">
        <v>68.180000000000007</v>
      </c>
    </row>
    <row r="25468" spans="1:5" x14ac:dyDescent="0.2">
      <c r="A25468">
        <v>17954</v>
      </c>
      <c r="B25468" t="s">
        <v>44</v>
      </c>
      <c r="C25468">
        <v>17954</v>
      </c>
      <c r="D25468" t="str">
        <f>"17954"</f>
        <v>17954</v>
      </c>
      <c r="E25468">
        <v>64.95</v>
      </c>
    </row>
    <row r="25469" spans="1:5" x14ac:dyDescent="0.2">
      <c r="A25469">
        <v>17957</v>
      </c>
      <c r="B25469" t="s">
        <v>44</v>
      </c>
      <c r="C25469">
        <v>17957</v>
      </c>
      <c r="D25469" t="str">
        <f>"17957"</f>
        <v>17957</v>
      </c>
      <c r="E25469">
        <v>75</v>
      </c>
    </row>
    <row r="25470" spans="1:5" x14ac:dyDescent="0.2">
      <c r="A25470">
        <v>17959</v>
      </c>
      <c r="B25470" t="s">
        <v>44</v>
      </c>
      <c r="C25470">
        <v>17959</v>
      </c>
      <c r="D25470" t="str">
        <f>"17959"</f>
        <v>17959</v>
      </c>
      <c r="E25470">
        <v>72.58</v>
      </c>
    </row>
    <row r="25471" spans="1:5" x14ac:dyDescent="0.2">
      <c r="A25471">
        <v>17960</v>
      </c>
      <c r="B25471" t="s">
        <v>44</v>
      </c>
      <c r="C25471">
        <v>17960</v>
      </c>
      <c r="D25471" t="str">
        <f>"17960"</f>
        <v>17960</v>
      </c>
      <c r="E25471">
        <v>74.209999999999994</v>
      </c>
    </row>
    <row r="25472" spans="1:5" x14ac:dyDescent="0.2">
      <c r="A25472">
        <v>17961</v>
      </c>
      <c r="B25472" t="s">
        <v>44</v>
      </c>
      <c r="C25472">
        <v>17961</v>
      </c>
      <c r="D25472" t="str">
        <f>"17961"</f>
        <v>17961</v>
      </c>
      <c r="E25472">
        <v>75.45</v>
      </c>
    </row>
    <row r="25473" spans="1:5" x14ac:dyDescent="0.2">
      <c r="A25473">
        <v>17963</v>
      </c>
      <c r="B25473" t="s">
        <v>44</v>
      </c>
      <c r="C25473">
        <v>17963</v>
      </c>
      <c r="D25473" t="str">
        <f>"17963"</f>
        <v>17963</v>
      </c>
      <c r="E25473">
        <v>74.39</v>
      </c>
    </row>
    <row r="25474" spans="1:5" x14ac:dyDescent="0.2">
      <c r="A25474">
        <v>17964</v>
      </c>
      <c r="B25474" t="s">
        <v>44</v>
      </c>
      <c r="C25474">
        <v>17964</v>
      </c>
      <c r="D25474" t="str">
        <f>"17964"</f>
        <v>17964</v>
      </c>
      <c r="E25474">
        <v>72.73</v>
      </c>
    </row>
    <row r="25475" spans="1:5" x14ac:dyDescent="0.2">
      <c r="A25475">
        <v>17965</v>
      </c>
      <c r="B25475" t="s">
        <v>44</v>
      </c>
      <c r="C25475">
        <v>17965</v>
      </c>
      <c r="D25475" t="str">
        <f>"17965"</f>
        <v>17965</v>
      </c>
      <c r="E25475">
        <v>73</v>
      </c>
    </row>
    <row r="25476" spans="1:5" x14ac:dyDescent="0.2">
      <c r="A25476">
        <v>17967</v>
      </c>
      <c r="B25476" t="s">
        <v>44</v>
      </c>
      <c r="C25476">
        <v>17967</v>
      </c>
      <c r="D25476" t="str">
        <f>"17967"</f>
        <v>17967</v>
      </c>
      <c r="E25476">
        <v>72.27</v>
      </c>
    </row>
    <row r="25477" spans="1:5" x14ac:dyDescent="0.2">
      <c r="A25477">
        <v>17968</v>
      </c>
      <c r="B25477" t="s">
        <v>44</v>
      </c>
      <c r="C25477">
        <v>17968</v>
      </c>
      <c r="D25477" t="str">
        <f>"17968"</f>
        <v>17968</v>
      </c>
      <c r="E25477">
        <v>80</v>
      </c>
    </row>
    <row r="25478" spans="1:5" x14ac:dyDescent="0.2">
      <c r="A25478">
        <v>17970</v>
      </c>
      <c r="B25478" t="s">
        <v>44</v>
      </c>
      <c r="C25478">
        <v>17970</v>
      </c>
      <c r="D25478" t="str">
        <f>"17970"</f>
        <v>17970</v>
      </c>
      <c r="E25478">
        <v>69.739999999999995</v>
      </c>
    </row>
    <row r="25479" spans="1:5" x14ac:dyDescent="0.2">
      <c r="A25479">
        <v>17972</v>
      </c>
      <c r="B25479" t="s">
        <v>44</v>
      </c>
      <c r="C25479">
        <v>17972</v>
      </c>
      <c r="D25479" t="str">
        <f>"17972"</f>
        <v>17972</v>
      </c>
      <c r="E25479">
        <v>72.2</v>
      </c>
    </row>
    <row r="25480" spans="1:5" x14ac:dyDescent="0.2">
      <c r="A25480">
        <v>17974</v>
      </c>
      <c r="B25480" t="s">
        <v>44</v>
      </c>
      <c r="C25480">
        <v>17974</v>
      </c>
      <c r="D25480" t="str">
        <f>"17974"</f>
        <v>17974</v>
      </c>
      <c r="E25480" t="s">
        <v>6</v>
      </c>
    </row>
    <row r="25481" spans="1:5" x14ac:dyDescent="0.2">
      <c r="A25481">
        <v>17976</v>
      </c>
      <c r="B25481" t="s">
        <v>44</v>
      </c>
      <c r="C25481">
        <v>17976</v>
      </c>
      <c r="D25481" t="str">
        <f>"17976"</f>
        <v>17976</v>
      </c>
      <c r="E25481">
        <v>59</v>
      </c>
    </row>
    <row r="25482" spans="1:5" x14ac:dyDescent="0.2">
      <c r="A25482">
        <v>17978</v>
      </c>
      <c r="B25482" t="s">
        <v>44</v>
      </c>
      <c r="C25482">
        <v>17978</v>
      </c>
      <c r="D25482" t="str">
        <f>"17978"</f>
        <v>17978</v>
      </c>
      <c r="E25482">
        <v>68.42</v>
      </c>
    </row>
    <row r="25483" spans="1:5" x14ac:dyDescent="0.2">
      <c r="A25483">
        <v>17979</v>
      </c>
      <c r="B25483" t="s">
        <v>44</v>
      </c>
      <c r="C25483">
        <v>17979</v>
      </c>
      <c r="D25483" t="str">
        <f>"17979"</f>
        <v>17979</v>
      </c>
      <c r="E25483" t="s">
        <v>6</v>
      </c>
    </row>
    <row r="25484" spans="1:5" x14ac:dyDescent="0.2">
      <c r="A25484">
        <v>17980</v>
      </c>
      <c r="B25484" t="s">
        <v>44</v>
      </c>
      <c r="C25484">
        <v>17980</v>
      </c>
      <c r="D25484" t="str">
        <f>"17980"</f>
        <v>17980</v>
      </c>
      <c r="E25484">
        <v>74.209999999999994</v>
      </c>
    </row>
    <row r="25485" spans="1:5" x14ac:dyDescent="0.2">
      <c r="A25485">
        <v>17981</v>
      </c>
      <c r="B25485" t="s">
        <v>44</v>
      </c>
      <c r="C25485">
        <v>17981</v>
      </c>
      <c r="D25485" t="str">
        <f>"17981"</f>
        <v>17981</v>
      </c>
      <c r="E25485">
        <v>73.680000000000007</v>
      </c>
    </row>
    <row r="25486" spans="1:5" x14ac:dyDescent="0.2">
      <c r="A25486">
        <v>17982</v>
      </c>
      <c r="B25486" t="s">
        <v>44</v>
      </c>
      <c r="C25486">
        <v>17982</v>
      </c>
      <c r="D25486" t="str">
        <f>"17982"</f>
        <v>17982</v>
      </c>
      <c r="E25486">
        <v>72.22</v>
      </c>
    </row>
    <row r="25487" spans="1:5" x14ac:dyDescent="0.2">
      <c r="A25487">
        <v>17983</v>
      </c>
      <c r="B25487" t="s">
        <v>44</v>
      </c>
      <c r="C25487">
        <v>17983</v>
      </c>
      <c r="D25487" t="str">
        <f>"17983"</f>
        <v>17983</v>
      </c>
      <c r="E25487">
        <v>72.459999999999994</v>
      </c>
    </row>
    <row r="25488" spans="1:5" x14ac:dyDescent="0.2">
      <c r="A25488">
        <v>17985</v>
      </c>
      <c r="B25488" t="s">
        <v>44</v>
      </c>
      <c r="C25488">
        <v>17985</v>
      </c>
      <c r="D25488" t="str">
        <f>"17985"</f>
        <v>17985</v>
      </c>
      <c r="E25488">
        <v>75.41</v>
      </c>
    </row>
    <row r="25489" spans="1:5" x14ac:dyDescent="0.2">
      <c r="A25489">
        <v>18011</v>
      </c>
      <c r="B25489" t="s">
        <v>44</v>
      </c>
      <c r="C25489">
        <v>18011</v>
      </c>
      <c r="D25489" t="str">
        <f>"18011"</f>
        <v>18011</v>
      </c>
      <c r="E25489">
        <v>78.38</v>
      </c>
    </row>
    <row r="25490" spans="1:5" x14ac:dyDescent="0.2">
      <c r="A25490">
        <v>18013</v>
      </c>
      <c r="B25490" t="s">
        <v>44</v>
      </c>
      <c r="C25490">
        <v>18013</v>
      </c>
      <c r="D25490" t="str">
        <f>"18013"</f>
        <v>18013</v>
      </c>
      <c r="E25490">
        <v>75</v>
      </c>
    </row>
    <row r="25491" spans="1:5" x14ac:dyDescent="0.2">
      <c r="A25491">
        <v>18014</v>
      </c>
      <c r="B25491" t="s">
        <v>44</v>
      </c>
      <c r="C25491">
        <v>18014</v>
      </c>
      <c r="D25491" t="str">
        <f>"18014"</f>
        <v>18014</v>
      </c>
      <c r="E25491">
        <v>75.42</v>
      </c>
    </row>
    <row r="25492" spans="1:5" x14ac:dyDescent="0.2">
      <c r="A25492">
        <v>18015</v>
      </c>
      <c r="B25492" t="s">
        <v>44</v>
      </c>
      <c r="C25492">
        <v>18015</v>
      </c>
      <c r="D25492" t="str">
        <f>"18015"</f>
        <v>18015</v>
      </c>
      <c r="E25492">
        <v>67.14</v>
      </c>
    </row>
    <row r="25493" spans="1:5" x14ac:dyDescent="0.2">
      <c r="A25493">
        <v>18017</v>
      </c>
      <c r="B25493" t="s">
        <v>44</v>
      </c>
      <c r="C25493">
        <v>18017</v>
      </c>
      <c r="D25493" t="str">
        <f>"18017"</f>
        <v>18017</v>
      </c>
      <c r="E25493">
        <v>74.28</v>
      </c>
    </row>
    <row r="25494" spans="1:5" x14ac:dyDescent="0.2">
      <c r="A25494">
        <v>18018</v>
      </c>
      <c r="B25494" t="s">
        <v>44</v>
      </c>
      <c r="C25494">
        <v>18018</v>
      </c>
      <c r="D25494" t="str">
        <f>"18018"</f>
        <v>18018</v>
      </c>
      <c r="E25494">
        <v>74.05</v>
      </c>
    </row>
    <row r="25495" spans="1:5" x14ac:dyDescent="0.2">
      <c r="A25495">
        <v>18020</v>
      </c>
      <c r="B25495" t="s">
        <v>44</v>
      </c>
      <c r="C25495">
        <v>18020</v>
      </c>
      <c r="D25495" t="str">
        <f>"18020"</f>
        <v>18020</v>
      </c>
      <c r="E25495">
        <v>77.22</v>
      </c>
    </row>
    <row r="25496" spans="1:5" x14ac:dyDescent="0.2">
      <c r="A25496">
        <v>18030</v>
      </c>
      <c r="B25496" t="s">
        <v>44</v>
      </c>
      <c r="C25496">
        <v>18030</v>
      </c>
      <c r="D25496" t="str">
        <f>"18030"</f>
        <v>18030</v>
      </c>
      <c r="E25496" t="s">
        <v>6</v>
      </c>
    </row>
    <row r="25497" spans="1:5" x14ac:dyDescent="0.2">
      <c r="A25497">
        <v>18031</v>
      </c>
      <c r="B25497" t="s">
        <v>44</v>
      </c>
      <c r="C25497">
        <v>18031</v>
      </c>
      <c r="D25497" t="str">
        <f>"18031"</f>
        <v>18031</v>
      </c>
      <c r="E25497">
        <v>78.36</v>
      </c>
    </row>
    <row r="25498" spans="1:5" x14ac:dyDescent="0.2">
      <c r="A25498">
        <v>18032</v>
      </c>
      <c r="B25498" t="s">
        <v>44</v>
      </c>
      <c r="C25498">
        <v>18032</v>
      </c>
      <c r="D25498" t="str">
        <f>"18032"</f>
        <v>18032</v>
      </c>
      <c r="E25498">
        <v>71.88</v>
      </c>
    </row>
    <row r="25499" spans="1:5" x14ac:dyDescent="0.2">
      <c r="A25499">
        <v>18034</v>
      </c>
      <c r="B25499" t="s">
        <v>44</v>
      </c>
      <c r="C25499">
        <v>18034</v>
      </c>
      <c r="D25499" t="str">
        <f>"18034"</f>
        <v>18034</v>
      </c>
      <c r="E25499">
        <v>79.05</v>
      </c>
    </row>
    <row r="25500" spans="1:5" x14ac:dyDescent="0.2">
      <c r="A25500">
        <v>18035</v>
      </c>
      <c r="B25500" t="s">
        <v>44</v>
      </c>
      <c r="C25500">
        <v>18035</v>
      </c>
      <c r="D25500" t="str">
        <f>"18035"</f>
        <v>18035</v>
      </c>
      <c r="E25500">
        <v>75</v>
      </c>
    </row>
    <row r="25501" spans="1:5" x14ac:dyDescent="0.2">
      <c r="A25501">
        <v>18036</v>
      </c>
      <c r="B25501" t="s">
        <v>44</v>
      </c>
      <c r="C25501">
        <v>18036</v>
      </c>
      <c r="D25501" t="str">
        <f>"18036"</f>
        <v>18036</v>
      </c>
      <c r="E25501">
        <v>78.44</v>
      </c>
    </row>
    <row r="25502" spans="1:5" x14ac:dyDescent="0.2">
      <c r="A25502">
        <v>18037</v>
      </c>
      <c r="B25502" t="s">
        <v>44</v>
      </c>
      <c r="C25502">
        <v>18037</v>
      </c>
      <c r="D25502" t="str">
        <f>"18037"</f>
        <v>18037</v>
      </c>
      <c r="E25502">
        <v>76.03</v>
      </c>
    </row>
    <row r="25503" spans="1:5" x14ac:dyDescent="0.2">
      <c r="A25503">
        <v>18038</v>
      </c>
      <c r="B25503" t="s">
        <v>44</v>
      </c>
      <c r="C25503">
        <v>18038</v>
      </c>
      <c r="D25503" t="str">
        <f>"18038"</f>
        <v>18038</v>
      </c>
      <c r="E25503">
        <v>78.75</v>
      </c>
    </row>
    <row r="25504" spans="1:5" x14ac:dyDescent="0.2">
      <c r="A25504">
        <v>18040</v>
      </c>
      <c r="B25504" t="s">
        <v>44</v>
      </c>
      <c r="C25504">
        <v>18040</v>
      </c>
      <c r="D25504" t="str">
        <f>"18040"</f>
        <v>18040</v>
      </c>
      <c r="E25504">
        <v>77.92</v>
      </c>
    </row>
    <row r="25505" spans="1:5" x14ac:dyDescent="0.2">
      <c r="A25505">
        <v>18041</v>
      </c>
      <c r="B25505" t="s">
        <v>44</v>
      </c>
      <c r="C25505">
        <v>18041</v>
      </c>
      <c r="D25505" t="str">
        <f>"18041"</f>
        <v>18041</v>
      </c>
      <c r="E25505">
        <v>75.959999999999994</v>
      </c>
    </row>
    <row r="25506" spans="1:5" x14ac:dyDescent="0.2">
      <c r="A25506">
        <v>18042</v>
      </c>
      <c r="B25506" t="s">
        <v>44</v>
      </c>
      <c r="C25506">
        <v>18042</v>
      </c>
      <c r="D25506" t="str">
        <f>"18042"</f>
        <v>18042</v>
      </c>
      <c r="E25506">
        <v>68.34</v>
      </c>
    </row>
    <row r="25507" spans="1:5" x14ac:dyDescent="0.2">
      <c r="A25507">
        <v>18045</v>
      </c>
      <c r="B25507" t="s">
        <v>44</v>
      </c>
      <c r="C25507">
        <v>18045</v>
      </c>
      <c r="D25507" t="str">
        <f>"18045"</f>
        <v>18045</v>
      </c>
      <c r="E25507">
        <v>79.31</v>
      </c>
    </row>
    <row r="25508" spans="1:5" x14ac:dyDescent="0.2">
      <c r="A25508">
        <v>18049</v>
      </c>
      <c r="B25508" t="s">
        <v>44</v>
      </c>
      <c r="C25508">
        <v>18049</v>
      </c>
      <c r="D25508" t="str">
        <f>"18049"</f>
        <v>18049</v>
      </c>
      <c r="E25508">
        <v>77.44</v>
      </c>
    </row>
    <row r="25509" spans="1:5" x14ac:dyDescent="0.2">
      <c r="A25509">
        <v>18051</v>
      </c>
      <c r="B25509" t="s">
        <v>44</v>
      </c>
      <c r="C25509">
        <v>18051</v>
      </c>
      <c r="D25509" t="str">
        <f>"18051"</f>
        <v>18051</v>
      </c>
      <c r="E25509">
        <v>80.11</v>
      </c>
    </row>
    <row r="25510" spans="1:5" x14ac:dyDescent="0.2">
      <c r="A25510">
        <v>18052</v>
      </c>
      <c r="B25510" t="s">
        <v>44</v>
      </c>
      <c r="C25510">
        <v>18052</v>
      </c>
      <c r="D25510" t="str">
        <f>"18052"</f>
        <v>18052</v>
      </c>
      <c r="E25510">
        <v>71.63</v>
      </c>
    </row>
    <row r="25511" spans="1:5" x14ac:dyDescent="0.2">
      <c r="A25511">
        <v>18053</v>
      </c>
      <c r="B25511" t="s">
        <v>44</v>
      </c>
      <c r="C25511">
        <v>18053</v>
      </c>
      <c r="D25511" t="str">
        <f>"18053"</f>
        <v>18053</v>
      </c>
      <c r="E25511">
        <v>76.67</v>
      </c>
    </row>
    <row r="25512" spans="1:5" x14ac:dyDescent="0.2">
      <c r="A25512">
        <v>18054</v>
      </c>
      <c r="B25512" t="s">
        <v>44</v>
      </c>
      <c r="C25512">
        <v>18054</v>
      </c>
      <c r="D25512" t="str">
        <f>"18054"</f>
        <v>18054</v>
      </c>
      <c r="E25512">
        <v>79.91</v>
      </c>
    </row>
    <row r="25513" spans="1:5" x14ac:dyDescent="0.2">
      <c r="A25513">
        <v>18055</v>
      </c>
      <c r="B25513" t="s">
        <v>44</v>
      </c>
      <c r="C25513">
        <v>18055</v>
      </c>
      <c r="D25513" t="str">
        <f>"18055"</f>
        <v>18055</v>
      </c>
      <c r="E25513">
        <v>76.33</v>
      </c>
    </row>
    <row r="25514" spans="1:5" x14ac:dyDescent="0.2">
      <c r="A25514">
        <v>18056</v>
      </c>
      <c r="B25514" t="s">
        <v>44</v>
      </c>
      <c r="C25514">
        <v>18056</v>
      </c>
      <c r="D25514" t="str">
        <f>"18056"</f>
        <v>18056</v>
      </c>
      <c r="E25514">
        <v>70.209999999999994</v>
      </c>
    </row>
    <row r="25515" spans="1:5" x14ac:dyDescent="0.2">
      <c r="A25515">
        <v>18058</v>
      </c>
      <c r="B25515" t="s">
        <v>44</v>
      </c>
      <c r="C25515">
        <v>18058</v>
      </c>
      <c r="D25515" t="str">
        <f>"18058"</f>
        <v>18058</v>
      </c>
      <c r="E25515">
        <v>73.02</v>
      </c>
    </row>
    <row r="25516" spans="1:5" x14ac:dyDescent="0.2">
      <c r="A25516">
        <v>18059</v>
      </c>
      <c r="B25516" t="s">
        <v>44</v>
      </c>
      <c r="C25516">
        <v>18059</v>
      </c>
      <c r="D25516" t="str">
        <f>"18059"</f>
        <v>18059</v>
      </c>
      <c r="E25516">
        <v>75</v>
      </c>
    </row>
    <row r="25517" spans="1:5" x14ac:dyDescent="0.2">
      <c r="A25517">
        <v>18062</v>
      </c>
      <c r="B25517" t="s">
        <v>44</v>
      </c>
      <c r="C25517">
        <v>18062</v>
      </c>
      <c r="D25517" t="str">
        <f>"18062"</f>
        <v>18062</v>
      </c>
      <c r="E25517">
        <v>78.61</v>
      </c>
    </row>
    <row r="25518" spans="1:5" x14ac:dyDescent="0.2">
      <c r="A25518">
        <v>18063</v>
      </c>
      <c r="B25518" t="s">
        <v>44</v>
      </c>
      <c r="C25518">
        <v>18063</v>
      </c>
      <c r="D25518" t="str">
        <f>"18063"</f>
        <v>18063</v>
      </c>
      <c r="E25518" t="s">
        <v>6</v>
      </c>
    </row>
    <row r="25519" spans="1:5" x14ac:dyDescent="0.2">
      <c r="A25519">
        <v>18064</v>
      </c>
      <c r="B25519" t="s">
        <v>44</v>
      </c>
      <c r="C25519">
        <v>18064</v>
      </c>
      <c r="D25519" t="str">
        <f>"18064"</f>
        <v>18064</v>
      </c>
      <c r="E25519">
        <v>77.55</v>
      </c>
    </row>
    <row r="25520" spans="1:5" x14ac:dyDescent="0.2">
      <c r="A25520">
        <v>18065</v>
      </c>
      <c r="B25520" t="s">
        <v>44</v>
      </c>
      <c r="C25520">
        <v>18065</v>
      </c>
      <c r="D25520" t="str">
        <f>"18065"</f>
        <v>18065</v>
      </c>
      <c r="E25520" t="s">
        <v>6</v>
      </c>
    </row>
    <row r="25521" spans="1:5" x14ac:dyDescent="0.2">
      <c r="A25521">
        <v>18066</v>
      </c>
      <c r="B25521" t="s">
        <v>44</v>
      </c>
      <c r="C25521">
        <v>18066</v>
      </c>
      <c r="D25521" t="str">
        <f>"18066"</f>
        <v>18066</v>
      </c>
      <c r="E25521">
        <v>78.36</v>
      </c>
    </row>
    <row r="25522" spans="1:5" x14ac:dyDescent="0.2">
      <c r="A25522">
        <v>18067</v>
      </c>
      <c r="B25522" t="s">
        <v>44</v>
      </c>
      <c r="C25522">
        <v>18067</v>
      </c>
      <c r="D25522" t="str">
        <f>"18067"</f>
        <v>18067</v>
      </c>
      <c r="E25522">
        <v>76.53</v>
      </c>
    </row>
    <row r="25523" spans="1:5" x14ac:dyDescent="0.2">
      <c r="A25523">
        <v>18069</v>
      </c>
      <c r="B25523" t="s">
        <v>44</v>
      </c>
      <c r="C25523">
        <v>18069</v>
      </c>
      <c r="D25523" t="str">
        <f>"18069"</f>
        <v>18069</v>
      </c>
      <c r="E25523">
        <v>77.94</v>
      </c>
    </row>
    <row r="25524" spans="1:5" x14ac:dyDescent="0.2">
      <c r="A25524">
        <v>18070</v>
      </c>
      <c r="B25524" t="s">
        <v>44</v>
      </c>
      <c r="C25524">
        <v>18070</v>
      </c>
      <c r="D25524" t="str">
        <f>"18070"</f>
        <v>18070</v>
      </c>
      <c r="E25524">
        <v>76.09</v>
      </c>
    </row>
    <row r="25525" spans="1:5" x14ac:dyDescent="0.2">
      <c r="A25525">
        <v>18071</v>
      </c>
      <c r="B25525" t="s">
        <v>44</v>
      </c>
      <c r="C25525">
        <v>18071</v>
      </c>
      <c r="D25525" t="str">
        <f>"18071"</f>
        <v>18071</v>
      </c>
      <c r="E25525">
        <v>75.569999999999993</v>
      </c>
    </row>
    <row r="25526" spans="1:5" x14ac:dyDescent="0.2">
      <c r="A25526">
        <v>18072</v>
      </c>
      <c r="B25526" t="s">
        <v>44</v>
      </c>
      <c r="C25526">
        <v>18072</v>
      </c>
      <c r="D25526" t="str">
        <f>"18072"</f>
        <v>18072</v>
      </c>
      <c r="E25526">
        <v>73.59</v>
      </c>
    </row>
    <row r="25527" spans="1:5" x14ac:dyDescent="0.2">
      <c r="A25527">
        <v>18073</v>
      </c>
      <c r="B25527" t="s">
        <v>44</v>
      </c>
      <c r="C25527">
        <v>18073</v>
      </c>
      <c r="D25527" t="str">
        <f>"18073"</f>
        <v>18073</v>
      </c>
      <c r="E25527">
        <v>79.48</v>
      </c>
    </row>
    <row r="25528" spans="1:5" x14ac:dyDescent="0.2">
      <c r="A25528">
        <v>18074</v>
      </c>
      <c r="B25528" t="s">
        <v>44</v>
      </c>
      <c r="C25528">
        <v>18074</v>
      </c>
      <c r="D25528" t="str">
        <f>"18074"</f>
        <v>18074</v>
      </c>
      <c r="E25528">
        <v>80.92</v>
      </c>
    </row>
    <row r="25529" spans="1:5" x14ac:dyDescent="0.2">
      <c r="A25529">
        <v>18076</v>
      </c>
      <c r="B25529" t="s">
        <v>44</v>
      </c>
      <c r="C25529">
        <v>18076</v>
      </c>
      <c r="D25529" t="str">
        <f>"18076"</f>
        <v>18076</v>
      </c>
      <c r="E25529">
        <v>73.83</v>
      </c>
    </row>
    <row r="25530" spans="1:5" x14ac:dyDescent="0.2">
      <c r="A25530">
        <v>18077</v>
      </c>
      <c r="B25530" t="s">
        <v>44</v>
      </c>
      <c r="C25530">
        <v>18077</v>
      </c>
      <c r="D25530" t="str">
        <f>"18077"</f>
        <v>18077</v>
      </c>
      <c r="E25530">
        <v>81.42</v>
      </c>
    </row>
    <row r="25531" spans="1:5" x14ac:dyDescent="0.2">
      <c r="A25531">
        <v>18078</v>
      </c>
      <c r="B25531" t="s">
        <v>44</v>
      </c>
      <c r="C25531">
        <v>18078</v>
      </c>
      <c r="D25531" t="str">
        <f>"18078"</f>
        <v>18078</v>
      </c>
      <c r="E25531">
        <v>79.36</v>
      </c>
    </row>
    <row r="25532" spans="1:5" x14ac:dyDescent="0.2">
      <c r="A25532">
        <v>18079</v>
      </c>
      <c r="B25532" t="s">
        <v>44</v>
      </c>
      <c r="C25532">
        <v>18079</v>
      </c>
      <c r="D25532" t="str">
        <f>"18079"</f>
        <v>18079</v>
      </c>
      <c r="E25532" t="s">
        <v>6</v>
      </c>
    </row>
    <row r="25533" spans="1:5" x14ac:dyDescent="0.2">
      <c r="A25533">
        <v>18080</v>
      </c>
      <c r="B25533" t="s">
        <v>44</v>
      </c>
      <c r="C25533">
        <v>18080</v>
      </c>
      <c r="D25533" t="str">
        <f>"18080"</f>
        <v>18080</v>
      </c>
      <c r="E25533">
        <v>75.680000000000007</v>
      </c>
    </row>
    <row r="25534" spans="1:5" x14ac:dyDescent="0.2">
      <c r="A25534">
        <v>18083</v>
      </c>
      <c r="B25534" t="s">
        <v>44</v>
      </c>
      <c r="C25534">
        <v>18083</v>
      </c>
      <c r="D25534" t="str">
        <f>"18083"</f>
        <v>18083</v>
      </c>
      <c r="E25534" t="s">
        <v>6</v>
      </c>
    </row>
    <row r="25535" spans="1:5" x14ac:dyDescent="0.2">
      <c r="A25535">
        <v>18085</v>
      </c>
      <c r="B25535" t="s">
        <v>44</v>
      </c>
      <c r="C25535">
        <v>18085</v>
      </c>
      <c r="D25535" t="str">
        <f>"18085"</f>
        <v>18085</v>
      </c>
      <c r="E25535" t="s">
        <v>6</v>
      </c>
    </row>
    <row r="25536" spans="1:5" x14ac:dyDescent="0.2">
      <c r="A25536">
        <v>18087</v>
      </c>
      <c r="B25536" t="s">
        <v>44</v>
      </c>
      <c r="C25536">
        <v>18087</v>
      </c>
      <c r="D25536" t="str">
        <f>"18087"</f>
        <v>18087</v>
      </c>
      <c r="E25536">
        <v>72.34</v>
      </c>
    </row>
    <row r="25537" spans="1:5" x14ac:dyDescent="0.2">
      <c r="A25537">
        <v>18088</v>
      </c>
      <c r="B25537" t="s">
        <v>44</v>
      </c>
      <c r="C25537">
        <v>18088</v>
      </c>
      <c r="D25537" t="str">
        <f>"18088"</f>
        <v>18088</v>
      </c>
      <c r="E25537">
        <v>76.77</v>
      </c>
    </row>
    <row r="25538" spans="1:5" x14ac:dyDescent="0.2">
      <c r="A25538">
        <v>18091</v>
      </c>
      <c r="B25538" t="s">
        <v>44</v>
      </c>
      <c r="C25538">
        <v>18091</v>
      </c>
      <c r="D25538" t="str">
        <f>"18091"</f>
        <v>18091</v>
      </c>
      <c r="E25538">
        <v>75.41</v>
      </c>
    </row>
    <row r="25539" spans="1:5" x14ac:dyDescent="0.2">
      <c r="A25539">
        <v>18092</v>
      </c>
      <c r="B25539" t="s">
        <v>44</v>
      </c>
      <c r="C25539">
        <v>18092</v>
      </c>
      <c r="D25539" t="str">
        <f>"18092"</f>
        <v>18092</v>
      </c>
      <c r="E25539">
        <v>78.88</v>
      </c>
    </row>
    <row r="25540" spans="1:5" x14ac:dyDescent="0.2">
      <c r="A25540">
        <v>18101</v>
      </c>
      <c r="B25540" t="s">
        <v>44</v>
      </c>
      <c r="C25540">
        <v>18101</v>
      </c>
      <c r="D25540" t="str">
        <f>"18101"</f>
        <v>18101</v>
      </c>
      <c r="E25540">
        <v>49.44</v>
      </c>
    </row>
    <row r="25541" spans="1:5" x14ac:dyDescent="0.2">
      <c r="A25541">
        <v>18102</v>
      </c>
      <c r="B25541" t="s">
        <v>44</v>
      </c>
      <c r="C25541">
        <v>18102</v>
      </c>
      <c r="D25541" t="str">
        <f>"18102"</f>
        <v>18102</v>
      </c>
      <c r="E25541">
        <v>47.52</v>
      </c>
    </row>
    <row r="25542" spans="1:5" x14ac:dyDescent="0.2">
      <c r="A25542">
        <v>18103</v>
      </c>
      <c r="B25542" t="s">
        <v>44</v>
      </c>
      <c r="C25542">
        <v>18103</v>
      </c>
      <c r="D25542" t="str">
        <f>"18103"</f>
        <v>18103</v>
      </c>
      <c r="E25542">
        <v>68.040000000000006</v>
      </c>
    </row>
    <row r="25543" spans="1:5" x14ac:dyDescent="0.2">
      <c r="A25543">
        <v>18104</v>
      </c>
      <c r="B25543" t="s">
        <v>44</v>
      </c>
      <c r="C25543">
        <v>18104</v>
      </c>
      <c r="D25543" t="str">
        <f>"18104"</f>
        <v>18104</v>
      </c>
      <c r="E25543">
        <v>75.66</v>
      </c>
    </row>
    <row r="25544" spans="1:5" x14ac:dyDescent="0.2">
      <c r="A25544">
        <v>18106</v>
      </c>
      <c r="B25544" t="s">
        <v>44</v>
      </c>
      <c r="C25544">
        <v>18106</v>
      </c>
      <c r="D25544" t="str">
        <f>"18106"</f>
        <v>18106</v>
      </c>
      <c r="E25544">
        <v>76.5</v>
      </c>
    </row>
    <row r="25545" spans="1:5" x14ac:dyDescent="0.2">
      <c r="A25545">
        <v>18109</v>
      </c>
      <c r="B25545" t="s">
        <v>44</v>
      </c>
      <c r="C25545">
        <v>18109</v>
      </c>
      <c r="D25545" t="str">
        <f>"18109"</f>
        <v>18109</v>
      </c>
      <c r="E25545">
        <v>61.53</v>
      </c>
    </row>
    <row r="25546" spans="1:5" x14ac:dyDescent="0.2">
      <c r="A25546">
        <v>18201</v>
      </c>
      <c r="B25546" t="s">
        <v>44</v>
      </c>
      <c r="C25546">
        <v>18201</v>
      </c>
      <c r="D25546" t="str">
        <f>"18201"</f>
        <v>18201</v>
      </c>
      <c r="E25546">
        <v>52.09</v>
      </c>
    </row>
    <row r="25547" spans="1:5" x14ac:dyDescent="0.2">
      <c r="A25547">
        <v>18202</v>
      </c>
      <c r="B25547" t="s">
        <v>44</v>
      </c>
      <c r="C25547">
        <v>18202</v>
      </c>
      <c r="D25547" t="str">
        <f>"18202"</f>
        <v>18202</v>
      </c>
      <c r="E25547">
        <v>62.87</v>
      </c>
    </row>
    <row r="25548" spans="1:5" x14ac:dyDescent="0.2">
      <c r="A25548">
        <v>18210</v>
      </c>
      <c r="B25548" t="s">
        <v>44</v>
      </c>
      <c r="C25548">
        <v>18210</v>
      </c>
      <c r="D25548" t="str">
        <f>"18210"</f>
        <v>18210</v>
      </c>
      <c r="E25548">
        <v>71.13</v>
      </c>
    </row>
    <row r="25549" spans="1:5" x14ac:dyDescent="0.2">
      <c r="A25549">
        <v>18211</v>
      </c>
      <c r="B25549" t="s">
        <v>44</v>
      </c>
      <c r="C25549">
        <v>18211</v>
      </c>
      <c r="D25549" t="str">
        <f>"18211"</f>
        <v>18211</v>
      </c>
      <c r="E25549">
        <v>76.39</v>
      </c>
    </row>
    <row r="25550" spans="1:5" x14ac:dyDescent="0.2">
      <c r="A25550">
        <v>18214</v>
      </c>
      <c r="B25550" t="s">
        <v>44</v>
      </c>
      <c r="C25550">
        <v>18214</v>
      </c>
      <c r="D25550" t="str">
        <f>"18214"</f>
        <v>18214</v>
      </c>
      <c r="E25550">
        <v>75.89</v>
      </c>
    </row>
    <row r="25551" spans="1:5" x14ac:dyDescent="0.2">
      <c r="A25551">
        <v>18216</v>
      </c>
      <c r="B25551" t="s">
        <v>44</v>
      </c>
      <c r="C25551">
        <v>18216</v>
      </c>
      <c r="D25551" t="str">
        <f>"18216"</f>
        <v>18216</v>
      </c>
      <c r="E25551">
        <v>67.14</v>
      </c>
    </row>
    <row r="25552" spans="1:5" x14ac:dyDescent="0.2">
      <c r="A25552">
        <v>18218</v>
      </c>
      <c r="B25552" t="s">
        <v>44</v>
      </c>
      <c r="C25552">
        <v>18218</v>
      </c>
      <c r="D25552" t="str">
        <f>"18218"</f>
        <v>18218</v>
      </c>
      <c r="E25552">
        <v>65.98</v>
      </c>
    </row>
    <row r="25553" spans="1:5" x14ac:dyDescent="0.2">
      <c r="A25553">
        <v>18220</v>
      </c>
      <c r="B25553" t="s">
        <v>44</v>
      </c>
      <c r="C25553">
        <v>18220</v>
      </c>
      <c r="D25553" t="str">
        <f>"18220"</f>
        <v>18220</v>
      </c>
      <c r="E25553" t="s">
        <v>6</v>
      </c>
    </row>
    <row r="25554" spans="1:5" x14ac:dyDescent="0.2">
      <c r="A25554">
        <v>18222</v>
      </c>
      <c r="B25554" t="s">
        <v>44</v>
      </c>
      <c r="C25554">
        <v>18222</v>
      </c>
      <c r="D25554" t="str">
        <f>"18222"</f>
        <v>18222</v>
      </c>
      <c r="E25554">
        <v>77.069999999999993</v>
      </c>
    </row>
    <row r="25555" spans="1:5" x14ac:dyDescent="0.2">
      <c r="A25555">
        <v>18224</v>
      </c>
      <c r="B25555" t="s">
        <v>44</v>
      </c>
      <c r="C25555">
        <v>18224</v>
      </c>
      <c r="D25555" t="str">
        <f>"18224"</f>
        <v>18224</v>
      </c>
      <c r="E25555">
        <v>65.12</v>
      </c>
    </row>
    <row r="25556" spans="1:5" x14ac:dyDescent="0.2">
      <c r="A25556">
        <v>18229</v>
      </c>
      <c r="B25556" t="s">
        <v>44</v>
      </c>
      <c r="C25556">
        <v>18229</v>
      </c>
      <c r="D25556" t="str">
        <f>"18229"</f>
        <v>18229</v>
      </c>
      <c r="E25556">
        <v>73.48</v>
      </c>
    </row>
    <row r="25557" spans="1:5" x14ac:dyDescent="0.2">
      <c r="A25557">
        <v>18230</v>
      </c>
      <c r="B25557" t="s">
        <v>44</v>
      </c>
      <c r="C25557">
        <v>18230</v>
      </c>
      <c r="D25557" t="str">
        <f>"18230"</f>
        <v>18230</v>
      </c>
      <c r="E25557" t="s">
        <v>6</v>
      </c>
    </row>
    <row r="25558" spans="1:5" x14ac:dyDescent="0.2">
      <c r="A25558">
        <v>18231</v>
      </c>
      <c r="B25558" t="s">
        <v>44</v>
      </c>
      <c r="C25558">
        <v>18231</v>
      </c>
      <c r="D25558" t="str">
        <f>"18231"</f>
        <v>18231</v>
      </c>
      <c r="E25558" t="s">
        <v>6</v>
      </c>
    </row>
    <row r="25559" spans="1:5" x14ac:dyDescent="0.2">
      <c r="A25559">
        <v>18232</v>
      </c>
      <c r="B25559" t="s">
        <v>44</v>
      </c>
      <c r="C25559">
        <v>18232</v>
      </c>
      <c r="D25559" t="str">
        <f>"18232"</f>
        <v>18232</v>
      </c>
      <c r="E25559">
        <v>59.76</v>
      </c>
    </row>
    <row r="25560" spans="1:5" x14ac:dyDescent="0.2">
      <c r="A25560">
        <v>18235</v>
      </c>
      <c r="B25560" t="s">
        <v>44</v>
      </c>
      <c r="C25560">
        <v>18235</v>
      </c>
      <c r="D25560" t="str">
        <f>"18235"</f>
        <v>18235</v>
      </c>
      <c r="E25560">
        <v>72.91</v>
      </c>
    </row>
    <row r="25561" spans="1:5" x14ac:dyDescent="0.2">
      <c r="A25561">
        <v>18237</v>
      </c>
      <c r="B25561" t="s">
        <v>44</v>
      </c>
      <c r="C25561">
        <v>18237</v>
      </c>
      <c r="D25561" t="str">
        <f>"18237"</f>
        <v>18237</v>
      </c>
      <c r="E25561">
        <v>64.290000000000006</v>
      </c>
    </row>
    <row r="25562" spans="1:5" x14ac:dyDescent="0.2">
      <c r="A25562">
        <v>18240</v>
      </c>
      <c r="B25562" t="s">
        <v>44</v>
      </c>
      <c r="C25562">
        <v>18240</v>
      </c>
      <c r="D25562" t="str">
        <f>"18240"</f>
        <v>18240</v>
      </c>
      <c r="E25562">
        <v>71.19</v>
      </c>
    </row>
    <row r="25563" spans="1:5" x14ac:dyDescent="0.2">
      <c r="A25563">
        <v>18241</v>
      </c>
      <c r="B25563" t="s">
        <v>44</v>
      </c>
      <c r="C25563">
        <v>18241</v>
      </c>
      <c r="D25563" t="str">
        <f>"18241"</f>
        <v>18241</v>
      </c>
      <c r="E25563">
        <v>67.86</v>
      </c>
    </row>
    <row r="25564" spans="1:5" x14ac:dyDescent="0.2">
      <c r="A25564">
        <v>18242</v>
      </c>
      <c r="B25564" t="s">
        <v>44</v>
      </c>
      <c r="C25564">
        <v>18242</v>
      </c>
      <c r="D25564" t="str">
        <f>"18242"</f>
        <v>18242</v>
      </c>
      <c r="E25564" t="s">
        <v>6</v>
      </c>
    </row>
    <row r="25565" spans="1:5" x14ac:dyDescent="0.2">
      <c r="A25565">
        <v>18244</v>
      </c>
      <c r="B25565" t="s">
        <v>44</v>
      </c>
      <c r="C25565">
        <v>18244</v>
      </c>
      <c r="D25565" t="str">
        <f>"18244"</f>
        <v>18244</v>
      </c>
      <c r="E25565" t="s">
        <v>6</v>
      </c>
    </row>
    <row r="25566" spans="1:5" x14ac:dyDescent="0.2">
      <c r="A25566">
        <v>18245</v>
      </c>
      <c r="B25566" t="s">
        <v>44</v>
      </c>
      <c r="C25566">
        <v>18245</v>
      </c>
      <c r="D25566" t="str">
        <f>"18245"</f>
        <v>18245</v>
      </c>
      <c r="E25566" t="s">
        <v>6</v>
      </c>
    </row>
    <row r="25567" spans="1:5" x14ac:dyDescent="0.2">
      <c r="A25567">
        <v>18248</v>
      </c>
      <c r="B25567" t="s">
        <v>44</v>
      </c>
      <c r="C25567">
        <v>18248</v>
      </c>
      <c r="D25567" t="str">
        <f>"18248"</f>
        <v>18248</v>
      </c>
      <c r="E25567" t="s">
        <v>6</v>
      </c>
    </row>
    <row r="25568" spans="1:5" x14ac:dyDescent="0.2">
      <c r="A25568">
        <v>18249</v>
      </c>
      <c r="B25568" t="s">
        <v>44</v>
      </c>
      <c r="C25568">
        <v>18249</v>
      </c>
      <c r="D25568" t="str">
        <f>"18249"</f>
        <v>18249</v>
      </c>
      <c r="E25568">
        <v>76.099999999999994</v>
      </c>
    </row>
    <row r="25569" spans="1:5" x14ac:dyDescent="0.2">
      <c r="A25569">
        <v>18250</v>
      </c>
      <c r="B25569" t="s">
        <v>44</v>
      </c>
      <c r="C25569">
        <v>18250</v>
      </c>
      <c r="D25569" t="str">
        <f>"18250"</f>
        <v>18250</v>
      </c>
      <c r="E25569">
        <v>69.72</v>
      </c>
    </row>
    <row r="25570" spans="1:5" x14ac:dyDescent="0.2">
      <c r="A25570">
        <v>18252</v>
      </c>
      <c r="B25570" t="s">
        <v>44</v>
      </c>
      <c r="C25570">
        <v>18252</v>
      </c>
      <c r="D25570" t="str">
        <f>"18252"</f>
        <v>18252</v>
      </c>
      <c r="E25570">
        <v>68.31</v>
      </c>
    </row>
    <row r="25571" spans="1:5" x14ac:dyDescent="0.2">
      <c r="A25571">
        <v>18254</v>
      </c>
      <c r="B25571" t="s">
        <v>44</v>
      </c>
      <c r="C25571">
        <v>18254</v>
      </c>
      <c r="D25571" t="str">
        <f>"18254"</f>
        <v>18254</v>
      </c>
      <c r="E25571" t="s">
        <v>6</v>
      </c>
    </row>
    <row r="25572" spans="1:5" x14ac:dyDescent="0.2">
      <c r="A25572">
        <v>18255</v>
      </c>
      <c r="B25572" t="s">
        <v>44</v>
      </c>
      <c r="C25572">
        <v>18255</v>
      </c>
      <c r="D25572" t="str">
        <f>"18255"</f>
        <v>18255</v>
      </c>
      <c r="E25572">
        <v>71.77</v>
      </c>
    </row>
    <row r="25573" spans="1:5" x14ac:dyDescent="0.2">
      <c r="A25573">
        <v>18301</v>
      </c>
      <c r="B25573" t="s">
        <v>44</v>
      </c>
      <c r="C25573">
        <v>18301</v>
      </c>
      <c r="D25573" t="str">
        <f>"18301"</f>
        <v>18301</v>
      </c>
      <c r="E25573">
        <v>69.58</v>
      </c>
    </row>
    <row r="25574" spans="1:5" x14ac:dyDescent="0.2">
      <c r="A25574">
        <v>18302</v>
      </c>
      <c r="B25574" t="s">
        <v>44</v>
      </c>
      <c r="C25574">
        <v>18302</v>
      </c>
      <c r="D25574" t="str">
        <f>"18302"</f>
        <v>18302</v>
      </c>
      <c r="E25574">
        <v>71.59</v>
      </c>
    </row>
    <row r="25575" spans="1:5" x14ac:dyDescent="0.2">
      <c r="A25575">
        <v>18320</v>
      </c>
      <c r="B25575" t="s">
        <v>44</v>
      </c>
      <c r="C25575">
        <v>18320</v>
      </c>
      <c r="D25575" t="str">
        <f>"18320"</f>
        <v>18320</v>
      </c>
      <c r="E25575" t="s">
        <v>6</v>
      </c>
    </row>
    <row r="25576" spans="1:5" x14ac:dyDescent="0.2">
      <c r="A25576">
        <v>18321</v>
      </c>
      <c r="B25576" t="s">
        <v>44</v>
      </c>
      <c r="C25576">
        <v>18321</v>
      </c>
      <c r="D25576" t="str">
        <f>"18321"</f>
        <v>18321</v>
      </c>
      <c r="E25576">
        <v>74.260000000000005</v>
      </c>
    </row>
    <row r="25577" spans="1:5" x14ac:dyDescent="0.2">
      <c r="A25577">
        <v>18322</v>
      </c>
      <c r="B25577" t="s">
        <v>44</v>
      </c>
      <c r="C25577">
        <v>18322</v>
      </c>
      <c r="D25577" t="str">
        <f>"18322"</f>
        <v>18322</v>
      </c>
      <c r="E25577">
        <v>72.39</v>
      </c>
    </row>
    <row r="25578" spans="1:5" x14ac:dyDescent="0.2">
      <c r="A25578">
        <v>18323</v>
      </c>
      <c r="B25578" t="s">
        <v>44</v>
      </c>
      <c r="C25578">
        <v>18323</v>
      </c>
      <c r="D25578" t="str">
        <f>"18323"</f>
        <v>18323</v>
      </c>
      <c r="E25578" t="s">
        <v>6</v>
      </c>
    </row>
    <row r="25579" spans="1:5" x14ac:dyDescent="0.2">
      <c r="A25579">
        <v>18324</v>
      </c>
      <c r="B25579" t="s">
        <v>44</v>
      </c>
      <c r="C25579">
        <v>18324</v>
      </c>
      <c r="D25579" t="str">
        <f>"18324"</f>
        <v>18324</v>
      </c>
      <c r="E25579">
        <v>67.58</v>
      </c>
    </row>
    <row r="25580" spans="1:5" x14ac:dyDescent="0.2">
      <c r="A25580">
        <v>18325</v>
      </c>
      <c r="B25580" t="s">
        <v>44</v>
      </c>
      <c r="C25580">
        <v>18325</v>
      </c>
      <c r="D25580" t="str">
        <f>"18325"</f>
        <v>18325</v>
      </c>
      <c r="E25580">
        <v>74.11</v>
      </c>
    </row>
    <row r="25581" spans="1:5" x14ac:dyDescent="0.2">
      <c r="A25581">
        <v>18326</v>
      </c>
      <c r="B25581" t="s">
        <v>44</v>
      </c>
      <c r="C25581">
        <v>18326</v>
      </c>
      <c r="D25581" t="str">
        <f>"18326"</f>
        <v>18326</v>
      </c>
      <c r="E25581">
        <v>70.48</v>
      </c>
    </row>
    <row r="25582" spans="1:5" x14ac:dyDescent="0.2">
      <c r="A25582">
        <v>18327</v>
      </c>
      <c r="B25582" t="s">
        <v>44</v>
      </c>
      <c r="C25582">
        <v>18327</v>
      </c>
      <c r="D25582" t="str">
        <f>"18327"</f>
        <v>18327</v>
      </c>
      <c r="E25582" t="s">
        <v>6</v>
      </c>
    </row>
    <row r="25583" spans="1:5" x14ac:dyDescent="0.2">
      <c r="A25583">
        <v>18328</v>
      </c>
      <c r="B25583" t="s">
        <v>44</v>
      </c>
      <c r="C25583">
        <v>18328</v>
      </c>
      <c r="D25583" t="str">
        <f>"18328"</f>
        <v>18328</v>
      </c>
      <c r="E25583">
        <v>73.5</v>
      </c>
    </row>
    <row r="25584" spans="1:5" x14ac:dyDescent="0.2">
      <c r="A25584">
        <v>18330</v>
      </c>
      <c r="B25584" t="s">
        <v>44</v>
      </c>
      <c r="C25584">
        <v>18330</v>
      </c>
      <c r="D25584" t="str">
        <f>"18330"</f>
        <v>18330</v>
      </c>
      <c r="E25584">
        <v>71.739999999999995</v>
      </c>
    </row>
    <row r="25585" spans="1:5" x14ac:dyDescent="0.2">
      <c r="A25585">
        <v>18331</v>
      </c>
      <c r="B25585" t="s">
        <v>44</v>
      </c>
      <c r="C25585">
        <v>18331</v>
      </c>
      <c r="D25585" t="str">
        <f>"18331"</f>
        <v>18331</v>
      </c>
      <c r="E25585">
        <v>68.290000000000006</v>
      </c>
    </row>
    <row r="25586" spans="1:5" x14ac:dyDescent="0.2">
      <c r="A25586">
        <v>18332</v>
      </c>
      <c r="B25586" t="s">
        <v>44</v>
      </c>
      <c r="C25586">
        <v>18332</v>
      </c>
      <c r="D25586" t="str">
        <f>"18332"</f>
        <v>18332</v>
      </c>
      <c r="E25586">
        <v>72.790000000000006</v>
      </c>
    </row>
    <row r="25587" spans="1:5" x14ac:dyDescent="0.2">
      <c r="A25587">
        <v>18333</v>
      </c>
      <c r="B25587" t="s">
        <v>44</v>
      </c>
      <c r="C25587">
        <v>18333</v>
      </c>
      <c r="D25587" t="str">
        <f>"18333"</f>
        <v>18333</v>
      </c>
      <c r="E25587">
        <v>68.75</v>
      </c>
    </row>
    <row r="25588" spans="1:5" x14ac:dyDescent="0.2">
      <c r="A25588">
        <v>18334</v>
      </c>
      <c r="B25588" t="s">
        <v>44</v>
      </c>
      <c r="C25588">
        <v>18334</v>
      </c>
      <c r="D25588" t="str">
        <f>"18334"</f>
        <v>18334</v>
      </c>
      <c r="E25588">
        <v>69.23</v>
      </c>
    </row>
    <row r="25589" spans="1:5" x14ac:dyDescent="0.2">
      <c r="A25589">
        <v>18336</v>
      </c>
      <c r="B25589" t="s">
        <v>44</v>
      </c>
      <c r="C25589">
        <v>18336</v>
      </c>
      <c r="D25589" t="str">
        <f>"18336"</f>
        <v>18336</v>
      </c>
      <c r="E25589">
        <v>71.75</v>
      </c>
    </row>
    <row r="25590" spans="1:5" x14ac:dyDescent="0.2">
      <c r="A25590">
        <v>18337</v>
      </c>
      <c r="B25590" t="s">
        <v>44</v>
      </c>
      <c r="C25590">
        <v>18337</v>
      </c>
      <c r="D25590" t="str">
        <f>"18337"</f>
        <v>18337</v>
      </c>
      <c r="E25590">
        <v>75.739999999999995</v>
      </c>
    </row>
    <row r="25591" spans="1:5" x14ac:dyDescent="0.2">
      <c r="A25591">
        <v>18340</v>
      </c>
      <c r="B25591" t="s">
        <v>44</v>
      </c>
      <c r="C25591">
        <v>18340</v>
      </c>
      <c r="D25591" t="str">
        <f>"18340"</f>
        <v>18340</v>
      </c>
      <c r="E25591" t="s">
        <v>6</v>
      </c>
    </row>
    <row r="25592" spans="1:5" x14ac:dyDescent="0.2">
      <c r="A25592">
        <v>18343</v>
      </c>
      <c r="B25592" t="s">
        <v>44</v>
      </c>
      <c r="C25592">
        <v>18343</v>
      </c>
      <c r="D25592" t="str">
        <f>"18343"</f>
        <v>18343</v>
      </c>
      <c r="E25592">
        <v>76.14</v>
      </c>
    </row>
    <row r="25593" spans="1:5" x14ac:dyDescent="0.2">
      <c r="A25593">
        <v>18344</v>
      </c>
      <c r="B25593" t="s">
        <v>44</v>
      </c>
      <c r="C25593">
        <v>18344</v>
      </c>
      <c r="D25593" t="str">
        <f>"18344"</f>
        <v>18344</v>
      </c>
      <c r="E25593">
        <v>66.13</v>
      </c>
    </row>
    <row r="25594" spans="1:5" x14ac:dyDescent="0.2">
      <c r="A25594">
        <v>18346</v>
      </c>
      <c r="B25594" t="s">
        <v>44</v>
      </c>
      <c r="C25594">
        <v>18346</v>
      </c>
      <c r="D25594" t="str">
        <f>"18346"</f>
        <v>18346</v>
      </c>
      <c r="E25594">
        <v>68.67</v>
      </c>
    </row>
    <row r="25595" spans="1:5" x14ac:dyDescent="0.2">
      <c r="A25595">
        <v>18347</v>
      </c>
      <c r="B25595" t="s">
        <v>44</v>
      </c>
      <c r="C25595">
        <v>18347</v>
      </c>
      <c r="D25595" t="str">
        <f>"18347"</f>
        <v>18347</v>
      </c>
      <c r="E25595">
        <v>73.760000000000005</v>
      </c>
    </row>
    <row r="25596" spans="1:5" x14ac:dyDescent="0.2">
      <c r="A25596">
        <v>18349</v>
      </c>
      <c r="B25596" t="s">
        <v>44</v>
      </c>
      <c r="C25596">
        <v>18349</v>
      </c>
      <c r="D25596" t="str">
        <f>"18349"</f>
        <v>18349</v>
      </c>
      <c r="E25596" t="s">
        <v>6</v>
      </c>
    </row>
    <row r="25597" spans="1:5" x14ac:dyDescent="0.2">
      <c r="A25597">
        <v>18350</v>
      </c>
      <c r="B25597" t="s">
        <v>44</v>
      </c>
      <c r="C25597">
        <v>18350</v>
      </c>
      <c r="D25597" t="str">
        <f>"18350"</f>
        <v>18350</v>
      </c>
      <c r="E25597">
        <v>78.48</v>
      </c>
    </row>
    <row r="25598" spans="1:5" x14ac:dyDescent="0.2">
      <c r="A25598">
        <v>18351</v>
      </c>
      <c r="B25598" t="s">
        <v>44</v>
      </c>
      <c r="C25598">
        <v>18351</v>
      </c>
      <c r="D25598" t="str">
        <f>"18351"</f>
        <v>18351</v>
      </c>
      <c r="E25598" t="s">
        <v>6</v>
      </c>
    </row>
    <row r="25599" spans="1:5" x14ac:dyDescent="0.2">
      <c r="A25599">
        <v>18352</v>
      </c>
      <c r="B25599" t="s">
        <v>44</v>
      </c>
      <c r="C25599">
        <v>18352</v>
      </c>
      <c r="D25599" t="str">
        <f>"18352"</f>
        <v>18352</v>
      </c>
      <c r="E25599">
        <v>72.41</v>
      </c>
    </row>
    <row r="25600" spans="1:5" x14ac:dyDescent="0.2">
      <c r="A25600">
        <v>18353</v>
      </c>
      <c r="B25600" t="s">
        <v>44</v>
      </c>
      <c r="C25600">
        <v>18353</v>
      </c>
      <c r="D25600" t="str">
        <f>"18353"</f>
        <v>18353</v>
      </c>
      <c r="E25600">
        <v>74.37</v>
      </c>
    </row>
    <row r="25601" spans="1:5" x14ac:dyDescent="0.2">
      <c r="A25601">
        <v>18354</v>
      </c>
      <c r="B25601" t="s">
        <v>44</v>
      </c>
      <c r="C25601">
        <v>18354</v>
      </c>
      <c r="D25601" t="str">
        <f>"18354"</f>
        <v>18354</v>
      </c>
      <c r="E25601">
        <v>75</v>
      </c>
    </row>
    <row r="25602" spans="1:5" x14ac:dyDescent="0.2">
      <c r="A25602">
        <v>18355</v>
      </c>
      <c r="B25602" t="s">
        <v>44</v>
      </c>
      <c r="C25602">
        <v>18355</v>
      </c>
      <c r="D25602" t="str">
        <f>"18355"</f>
        <v>18355</v>
      </c>
      <c r="E25602">
        <v>76.19</v>
      </c>
    </row>
    <row r="25603" spans="1:5" x14ac:dyDescent="0.2">
      <c r="A25603">
        <v>18356</v>
      </c>
      <c r="B25603" t="s">
        <v>44</v>
      </c>
      <c r="C25603">
        <v>18356</v>
      </c>
      <c r="D25603" t="str">
        <f>"18356"</f>
        <v>18356</v>
      </c>
      <c r="E25603" t="s">
        <v>6</v>
      </c>
    </row>
    <row r="25604" spans="1:5" x14ac:dyDescent="0.2">
      <c r="A25604">
        <v>18357</v>
      </c>
      <c r="B25604" t="s">
        <v>44</v>
      </c>
      <c r="C25604">
        <v>18357</v>
      </c>
      <c r="D25604" t="str">
        <f>"18357"</f>
        <v>18357</v>
      </c>
      <c r="E25604" t="s">
        <v>6</v>
      </c>
    </row>
    <row r="25605" spans="1:5" x14ac:dyDescent="0.2">
      <c r="A25605">
        <v>18360</v>
      </c>
      <c r="B25605" t="s">
        <v>44</v>
      </c>
      <c r="C25605">
        <v>18360</v>
      </c>
      <c r="D25605" t="str">
        <f>"18360"</f>
        <v>18360</v>
      </c>
      <c r="E25605">
        <v>70.23</v>
      </c>
    </row>
    <row r="25606" spans="1:5" x14ac:dyDescent="0.2">
      <c r="A25606">
        <v>18370</v>
      </c>
      <c r="B25606" t="s">
        <v>44</v>
      </c>
      <c r="C25606">
        <v>18370</v>
      </c>
      <c r="D25606" t="str">
        <f>"18370"</f>
        <v>18370</v>
      </c>
      <c r="E25606">
        <v>76.790000000000006</v>
      </c>
    </row>
    <row r="25607" spans="1:5" x14ac:dyDescent="0.2">
      <c r="A25607">
        <v>18371</v>
      </c>
      <c r="B25607" t="s">
        <v>44</v>
      </c>
      <c r="C25607">
        <v>18371</v>
      </c>
      <c r="D25607" t="str">
        <f>"18371"</f>
        <v>18371</v>
      </c>
      <c r="E25607">
        <v>72.97</v>
      </c>
    </row>
    <row r="25608" spans="1:5" x14ac:dyDescent="0.2">
      <c r="A25608">
        <v>18372</v>
      </c>
      <c r="B25608" t="s">
        <v>44</v>
      </c>
      <c r="C25608">
        <v>18372</v>
      </c>
      <c r="D25608" t="str">
        <f>"18372"</f>
        <v>18372</v>
      </c>
      <c r="E25608">
        <v>73.33</v>
      </c>
    </row>
    <row r="25609" spans="1:5" x14ac:dyDescent="0.2">
      <c r="A25609">
        <v>18403</v>
      </c>
      <c r="B25609" t="s">
        <v>44</v>
      </c>
      <c r="C25609">
        <v>18403</v>
      </c>
      <c r="D25609" t="str">
        <f>"18403"</f>
        <v>18403</v>
      </c>
      <c r="E25609">
        <v>75.58</v>
      </c>
    </row>
    <row r="25610" spans="1:5" x14ac:dyDescent="0.2">
      <c r="A25610">
        <v>18405</v>
      </c>
      <c r="B25610" t="s">
        <v>44</v>
      </c>
      <c r="C25610">
        <v>18405</v>
      </c>
      <c r="D25610" t="str">
        <f>"18405"</f>
        <v>18405</v>
      </c>
      <c r="E25610">
        <v>69.569999999999993</v>
      </c>
    </row>
    <row r="25611" spans="1:5" x14ac:dyDescent="0.2">
      <c r="A25611">
        <v>18407</v>
      </c>
      <c r="B25611" t="s">
        <v>44</v>
      </c>
      <c r="C25611">
        <v>18407</v>
      </c>
      <c r="D25611" t="str">
        <f>"18407"</f>
        <v>18407</v>
      </c>
      <c r="E25611">
        <v>65.959999999999994</v>
      </c>
    </row>
    <row r="25612" spans="1:5" x14ac:dyDescent="0.2">
      <c r="A25612">
        <v>18411</v>
      </c>
      <c r="B25612" t="s">
        <v>44</v>
      </c>
      <c r="C25612">
        <v>18411</v>
      </c>
      <c r="D25612" t="str">
        <f>"18411"</f>
        <v>18411</v>
      </c>
      <c r="E25612">
        <v>75.69</v>
      </c>
    </row>
    <row r="25613" spans="1:5" x14ac:dyDescent="0.2">
      <c r="A25613">
        <v>18413</v>
      </c>
      <c r="B25613" t="s">
        <v>44</v>
      </c>
      <c r="C25613">
        <v>18413</v>
      </c>
      <c r="D25613" t="str">
        <f>"18413"</f>
        <v>18413</v>
      </c>
      <c r="E25613" t="s">
        <v>6</v>
      </c>
    </row>
    <row r="25614" spans="1:5" x14ac:dyDescent="0.2">
      <c r="A25614">
        <v>18414</v>
      </c>
      <c r="B25614" t="s">
        <v>44</v>
      </c>
      <c r="C25614">
        <v>18414</v>
      </c>
      <c r="D25614" t="str">
        <f>"18414"</f>
        <v>18414</v>
      </c>
      <c r="E25614">
        <v>75.459999999999994</v>
      </c>
    </row>
    <row r="25615" spans="1:5" x14ac:dyDescent="0.2">
      <c r="A25615">
        <v>18415</v>
      </c>
      <c r="B25615" t="s">
        <v>44</v>
      </c>
      <c r="C25615">
        <v>18415</v>
      </c>
      <c r="D25615" t="str">
        <f>"18415"</f>
        <v>18415</v>
      </c>
      <c r="E25615">
        <v>68.97</v>
      </c>
    </row>
    <row r="25616" spans="1:5" x14ac:dyDescent="0.2">
      <c r="A25616">
        <v>18416</v>
      </c>
      <c r="B25616" t="s">
        <v>44</v>
      </c>
      <c r="C25616">
        <v>18416</v>
      </c>
      <c r="D25616" t="str">
        <f>"18416"</f>
        <v>18416</v>
      </c>
      <c r="E25616" t="s">
        <v>6</v>
      </c>
    </row>
    <row r="25617" spans="1:5" x14ac:dyDescent="0.2">
      <c r="A25617">
        <v>18417</v>
      </c>
      <c r="B25617" t="s">
        <v>44</v>
      </c>
      <c r="C25617">
        <v>18417</v>
      </c>
      <c r="D25617" t="str">
        <f>"18417"</f>
        <v>18417</v>
      </c>
      <c r="E25617">
        <v>68</v>
      </c>
    </row>
    <row r="25618" spans="1:5" x14ac:dyDescent="0.2">
      <c r="A25618">
        <v>18419</v>
      </c>
      <c r="B25618" t="s">
        <v>44</v>
      </c>
      <c r="C25618">
        <v>18419</v>
      </c>
      <c r="D25618" t="str">
        <f>"18419"</f>
        <v>18419</v>
      </c>
      <c r="E25618">
        <v>74.02</v>
      </c>
    </row>
    <row r="25619" spans="1:5" x14ac:dyDescent="0.2">
      <c r="A25619">
        <v>18420</v>
      </c>
      <c r="B25619" t="s">
        <v>44</v>
      </c>
      <c r="C25619">
        <v>18420</v>
      </c>
      <c r="D25619" t="str">
        <f>"18420"</f>
        <v>18420</v>
      </c>
      <c r="E25619" t="s">
        <v>6</v>
      </c>
    </row>
    <row r="25620" spans="1:5" x14ac:dyDescent="0.2">
      <c r="A25620">
        <v>18421</v>
      </c>
      <c r="B25620" t="s">
        <v>44</v>
      </c>
      <c r="C25620">
        <v>18421</v>
      </c>
      <c r="D25620" t="str">
        <f>"18421"</f>
        <v>18421</v>
      </c>
      <c r="E25620">
        <v>70.48</v>
      </c>
    </row>
    <row r="25621" spans="1:5" x14ac:dyDescent="0.2">
      <c r="A25621">
        <v>18424</v>
      </c>
      <c r="B25621" t="s">
        <v>44</v>
      </c>
      <c r="C25621">
        <v>18424</v>
      </c>
      <c r="D25621" t="str">
        <f>"18424"</f>
        <v>18424</v>
      </c>
      <c r="E25621">
        <v>72.3</v>
      </c>
    </row>
    <row r="25622" spans="1:5" x14ac:dyDescent="0.2">
      <c r="A25622">
        <v>18425</v>
      </c>
      <c r="B25622" t="s">
        <v>44</v>
      </c>
      <c r="C25622">
        <v>18425</v>
      </c>
      <c r="D25622" t="str">
        <f>"18425"</f>
        <v>18425</v>
      </c>
      <c r="E25622">
        <v>69.489999999999995</v>
      </c>
    </row>
    <row r="25623" spans="1:5" x14ac:dyDescent="0.2">
      <c r="A25623">
        <v>18426</v>
      </c>
      <c r="B25623" t="s">
        <v>44</v>
      </c>
      <c r="C25623">
        <v>18426</v>
      </c>
      <c r="D25623" t="str">
        <f>"18426"</f>
        <v>18426</v>
      </c>
      <c r="E25623">
        <v>68.69</v>
      </c>
    </row>
    <row r="25624" spans="1:5" x14ac:dyDescent="0.2">
      <c r="A25624">
        <v>18428</v>
      </c>
      <c r="B25624" t="s">
        <v>44</v>
      </c>
      <c r="C25624">
        <v>18428</v>
      </c>
      <c r="D25624" t="str">
        <f>"18428"</f>
        <v>18428</v>
      </c>
      <c r="E25624">
        <v>72.150000000000006</v>
      </c>
    </row>
    <row r="25625" spans="1:5" x14ac:dyDescent="0.2">
      <c r="A25625">
        <v>18430</v>
      </c>
      <c r="B25625" t="s">
        <v>44</v>
      </c>
      <c r="C25625">
        <v>18430</v>
      </c>
      <c r="D25625" t="str">
        <f>"18430"</f>
        <v>18430</v>
      </c>
      <c r="E25625" t="s">
        <v>6</v>
      </c>
    </row>
    <row r="25626" spans="1:5" x14ac:dyDescent="0.2">
      <c r="A25626">
        <v>18431</v>
      </c>
      <c r="B25626" t="s">
        <v>44</v>
      </c>
      <c r="C25626">
        <v>18431</v>
      </c>
      <c r="D25626" t="str">
        <f>"18431"</f>
        <v>18431</v>
      </c>
      <c r="E25626">
        <v>69.569999999999993</v>
      </c>
    </row>
    <row r="25627" spans="1:5" x14ac:dyDescent="0.2">
      <c r="A25627">
        <v>18433</v>
      </c>
      <c r="B25627" t="s">
        <v>44</v>
      </c>
      <c r="C25627">
        <v>18433</v>
      </c>
      <c r="D25627" t="str">
        <f>"18433"</f>
        <v>18433</v>
      </c>
      <c r="E25627">
        <v>74.260000000000005</v>
      </c>
    </row>
    <row r="25628" spans="1:5" x14ac:dyDescent="0.2">
      <c r="A25628">
        <v>18434</v>
      </c>
      <c r="B25628" t="s">
        <v>44</v>
      </c>
      <c r="C25628">
        <v>18434</v>
      </c>
      <c r="D25628" t="str">
        <f>"18434"</f>
        <v>18434</v>
      </c>
      <c r="E25628">
        <v>72.48</v>
      </c>
    </row>
    <row r="25629" spans="1:5" x14ac:dyDescent="0.2">
      <c r="A25629">
        <v>18435</v>
      </c>
      <c r="B25629" t="s">
        <v>44</v>
      </c>
      <c r="C25629">
        <v>18435</v>
      </c>
      <c r="D25629" t="str">
        <f>"18435"</f>
        <v>18435</v>
      </c>
      <c r="E25629">
        <v>73.47</v>
      </c>
    </row>
    <row r="25630" spans="1:5" x14ac:dyDescent="0.2">
      <c r="A25630">
        <v>18436</v>
      </c>
      <c r="B25630" t="s">
        <v>44</v>
      </c>
      <c r="C25630">
        <v>18436</v>
      </c>
      <c r="D25630" t="str">
        <f>"18436"</f>
        <v>18436</v>
      </c>
      <c r="E25630">
        <v>72.59</v>
      </c>
    </row>
    <row r="25631" spans="1:5" x14ac:dyDescent="0.2">
      <c r="A25631">
        <v>18437</v>
      </c>
      <c r="B25631" t="s">
        <v>44</v>
      </c>
      <c r="C25631">
        <v>18437</v>
      </c>
      <c r="D25631" t="str">
        <f>"18437"</f>
        <v>18437</v>
      </c>
      <c r="E25631" t="s">
        <v>6</v>
      </c>
    </row>
    <row r="25632" spans="1:5" x14ac:dyDescent="0.2">
      <c r="A25632">
        <v>18438</v>
      </c>
      <c r="B25632" t="s">
        <v>44</v>
      </c>
      <c r="C25632">
        <v>18438</v>
      </c>
      <c r="D25632" t="str">
        <f>"18438"</f>
        <v>18438</v>
      </c>
      <c r="E25632">
        <v>74.069999999999993</v>
      </c>
    </row>
    <row r="25633" spans="1:5" x14ac:dyDescent="0.2">
      <c r="A25633">
        <v>18439</v>
      </c>
      <c r="B25633" t="s">
        <v>44</v>
      </c>
      <c r="C25633">
        <v>18439</v>
      </c>
      <c r="D25633" t="str">
        <f>"18439"</f>
        <v>18439</v>
      </c>
      <c r="E25633">
        <v>75</v>
      </c>
    </row>
    <row r="25634" spans="1:5" x14ac:dyDescent="0.2">
      <c r="A25634">
        <v>18440</v>
      </c>
      <c r="B25634" t="s">
        <v>44</v>
      </c>
      <c r="C25634">
        <v>18440</v>
      </c>
      <c r="D25634" t="str">
        <f>"18440"</f>
        <v>18440</v>
      </c>
      <c r="E25634" t="s">
        <v>6</v>
      </c>
    </row>
    <row r="25635" spans="1:5" x14ac:dyDescent="0.2">
      <c r="A25635">
        <v>18441</v>
      </c>
      <c r="B25635" t="s">
        <v>44</v>
      </c>
      <c r="C25635">
        <v>18441</v>
      </c>
      <c r="D25635" t="str">
        <f>"18441"</f>
        <v>18441</v>
      </c>
      <c r="E25635" t="s">
        <v>6</v>
      </c>
    </row>
    <row r="25636" spans="1:5" x14ac:dyDescent="0.2">
      <c r="A25636">
        <v>18443</v>
      </c>
      <c r="B25636" t="s">
        <v>44</v>
      </c>
      <c r="C25636">
        <v>18443</v>
      </c>
      <c r="D25636" t="str">
        <f>"18443"</f>
        <v>18443</v>
      </c>
      <c r="E25636">
        <v>65.22</v>
      </c>
    </row>
    <row r="25637" spans="1:5" x14ac:dyDescent="0.2">
      <c r="A25637">
        <v>18444</v>
      </c>
      <c r="B25637" t="s">
        <v>44</v>
      </c>
      <c r="C25637">
        <v>18444</v>
      </c>
      <c r="D25637" t="str">
        <f>"18444"</f>
        <v>18444</v>
      </c>
      <c r="E25637">
        <v>74.959999999999994</v>
      </c>
    </row>
    <row r="25638" spans="1:5" x14ac:dyDescent="0.2">
      <c r="A25638">
        <v>18445</v>
      </c>
      <c r="B25638" t="s">
        <v>44</v>
      </c>
      <c r="C25638">
        <v>18445</v>
      </c>
      <c r="D25638" t="str">
        <f>"18445"</f>
        <v>18445</v>
      </c>
      <c r="E25638">
        <v>68.27</v>
      </c>
    </row>
    <row r="25639" spans="1:5" x14ac:dyDescent="0.2">
      <c r="A25639">
        <v>18446</v>
      </c>
      <c r="B25639" t="s">
        <v>44</v>
      </c>
      <c r="C25639">
        <v>18446</v>
      </c>
      <c r="D25639" t="str">
        <f>"18446"</f>
        <v>18446</v>
      </c>
      <c r="E25639">
        <v>72.78</v>
      </c>
    </row>
    <row r="25640" spans="1:5" x14ac:dyDescent="0.2">
      <c r="A25640">
        <v>18447</v>
      </c>
      <c r="B25640" t="s">
        <v>44</v>
      </c>
      <c r="C25640">
        <v>18447</v>
      </c>
      <c r="D25640" t="str">
        <f>"18447"</f>
        <v>18447</v>
      </c>
      <c r="E25640">
        <v>73.37</v>
      </c>
    </row>
    <row r="25641" spans="1:5" x14ac:dyDescent="0.2">
      <c r="A25641">
        <v>18451</v>
      </c>
      <c r="B25641" t="s">
        <v>44</v>
      </c>
      <c r="C25641">
        <v>18451</v>
      </c>
      <c r="D25641" t="str">
        <f>"18451"</f>
        <v>18451</v>
      </c>
      <c r="E25641">
        <v>72</v>
      </c>
    </row>
    <row r="25642" spans="1:5" x14ac:dyDescent="0.2">
      <c r="A25642">
        <v>18452</v>
      </c>
      <c r="B25642" t="s">
        <v>44</v>
      </c>
      <c r="C25642">
        <v>18452</v>
      </c>
      <c r="D25642" t="str">
        <f>"18452"</f>
        <v>18452</v>
      </c>
      <c r="E25642">
        <v>74.39</v>
      </c>
    </row>
    <row r="25643" spans="1:5" x14ac:dyDescent="0.2">
      <c r="A25643">
        <v>18453</v>
      </c>
      <c r="B25643" t="s">
        <v>44</v>
      </c>
      <c r="C25643">
        <v>18453</v>
      </c>
      <c r="D25643" t="str">
        <f>"18453"</f>
        <v>18453</v>
      </c>
      <c r="E25643">
        <v>72.34</v>
      </c>
    </row>
    <row r="25644" spans="1:5" x14ac:dyDescent="0.2">
      <c r="A25644">
        <v>18454</v>
      </c>
      <c r="B25644" t="s">
        <v>44</v>
      </c>
      <c r="C25644">
        <v>18454</v>
      </c>
      <c r="D25644" t="str">
        <f>"18454"</f>
        <v>18454</v>
      </c>
      <c r="E25644" t="s">
        <v>6</v>
      </c>
    </row>
    <row r="25645" spans="1:5" x14ac:dyDescent="0.2">
      <c r="A25645">
        <v>18455</v>
      </c>
      <c r="B25645" t="s">
        <v>44</v>
      </c>
      <c r="C25645">
        <v>18455</v>
      </c>
      <c r="D25645" t="str">
        <f>"18455"</f>
        <v>18455</v>
      </c>
      <c r="E25645" t="s">
        <v>6</v>
      </c>
    </row>
    <row r="25646" spans="1:5" x14ac:dyDescent="0.2">
      <c r="A25646">
        <v>18456</v>
      </c>
      <c r="B25646" t="s">
        <v>44</v>
      </c>
      <c r="C25646">
        <v>18456</v>
      </c>
      <c r="D25646" t="str">
        <f>"18456"</f>
        <v>18456</v>
      </c>
      <c r="E25646">
        <v>70</v>
      </c>
    </row>
    <row r="25647" spans="1:5" x14ac:dyDescent="0.2">
      <c r="A25647">
        <v>18458</v>
      </c>
      <c r="B25647" t="s">
        <v>44</v>
      </c>
      <c r="C25647">
        <v>18458</v>
      </c>
      <c r="D25647" t="str">
        <f>"18458"</f>
        <v>18458</v>
      </c>
      <c r="E25647">
        <v>76.430000000000007</v>
      </c>
    </row>
    <row r="25648" spans="1:5" x14ac:dyDescent="0.2">
      <c r="A25648">
        <v>18460</v>
      </c>
      <c r="B25648" t="s">
        <v>44</v>
      </c>
      <c r="C25648">
        <v>18460</v>
      </c>
      <c r="D25648" t="str">
        <f>"18460"</f>
        <v>18460</v>
      </c>
      <c r="E25648" t="s">
        <v>6</v>
      </c>
    </row>
    <row r="25649" spans="1:5" x14ac:dyDescent="0.2">
      <c r="A25649">
        <v>18461</v>
      </c>
      <c r="B25649" t="s">
        <v>44</v>
      </c>
      <c r="C25649">
        <v>18461</v>
      </c>
      <c r="D25649" t="str">
        <f>"18461"</f>
        <v>18461</v>
      </c>
      <c r="E25649">
        <v>61.54</v>
      </c>
    </row>
    <row r="25650" spans="1:5" x14ac:dyDescent="0.2">
      <c r="A25650">
        <v>18462</v>
      </c>
      <c r="B25650" t="s">
        <v>44</v>
      </c>
      <c r="C25650">
        <v>18462</v>
      </c>
      <c r="D25650" t="str">
        <f>"18462"</f>
        <v>18462</v>
      </c>
      <c r="E25650">
        <v>63.16</v>
      </c>
    </row>
    <row r="25651" spans="1:5" x14ac:dyDescent="0.2">
      <c r="A25651">
        <v>18463</v>
      </c>
      <c r="B25651" t="s">
        <v>44</v>
      </c>
      <c r="C25651">
        <v>18463</v>
      </c>
      <c r="D25651" t="str">
        <f>"18463"</f>
        <v>18463</v>
      </c>
      <c r="E25651">
        <v>63.64</v>
      </c>
    </row>
    <row r="25652" spans="1:5" x14ac:dyDescent="0.2">
      <c r="A25652">
        <v>18464</v>
      </c>
      <c r="B25652" t="s">
        <v>44</v>
      </c>
      <c r="C25652">
        <v>18464</v>
      </c>
      <c r="D25652" t="str">
        <f>"18464"</f>
        <v>18464</v>
      </c>
      <c r="E25652">
        <v>71.430000000000007</v>
      </c>
    </row>
    <row r="25653" spans="1:5" x14ac:dyDescent="0.2">
      <c r="A25653">
        <v>18465</v>
      </c>
      <c r="B25653" t="s">
        <v>44</v>
      </c>
      <c r="C25653">
        <v>18465</v>
      </c>
      <c r="D25653" t="str">
        <f>"18465"</f>
        <v>18465</v>
      </c>
      <c r="E25653">
        <v>70.77</v>
      </c>
    </row>
    <row r="25654" spans="1:5" x14ac:dyDescent="0.2">
      <c r="A25654">
        <v>18466</v>
      </c>
      <c r="B25654" t="s">
        <v>44</v>
      </c>
      <c r="C25654">
        <v>18466</v>
      </c>
      <c r="D25654" t="str">
        <f>"18466"</f>
        <v>18466</v>
      </c>
      <c r="E25654">
        <v>63.03</v>
      </c>
    </row>
    <row r="25655" spans="1:5" x14ac:dyDescent="0.2">
      <c r="A25655">
        <v>18469</v>
      </c>
      <c r="B25655" t="s">
        <v>44</v>
      </c>
      <c r="C25655">
        <v>18469</v>
      </c>
      <c r="D25655" t="str">
        <f>"18469"</f>
        <v>18469</v>
      </c>
      <c r="E25655">
        <v>68.42</v>
      </c>
    </row>
    <row r="25656" spans="1:5" x14ac:dyDescent="0.2">
      <c r="A25656">
        <v>18470</v>
      </c>
      <c r="B25656" t="s">
        <v>44</v>
      </c>
      <c r="C25656">
        <v>18470</v>
      </c>
      <c r="D25656" t="str">
        <f>"18470"</f>
        <v>18470</v>
      </c>
      <c r="E25656">
        <v>71.56</v>
      </c>
    </row>
    <row r="25657" spans="1:5" x14ac:dyDescent="0.2">
      <c r="A25657">
        <v>18471</v>
      </c>
      <c r="B25657" t="s">
        <v>44</v>
      </c>
      <c r="C25657">
        <v>18471</v>
      </c>
      <c r="D25657" t="str">
        <f>"18471"</f>
        <v>18471</v>
      </c>
      <c r="E25657" t="s">
        <v>6</v>
      </c>
    </row>
    <row r="25658" spans="1:5" x14ac:dyDescent="0.2">
      <c r="A25658">
        <v>18472</v>
      </c>
      <c r="B25658" t="s">
        <v>44</v>
      </c>
      <c r="C25658">
        <v>18472</v>
      </c>
      <c r="D25658" t="str">
        <f>"18472"</f>
        <v>18472</v>
      </c>
      <c r="E25658">
        <v>71.709999999999994</v>
      </c>
    </row>
    <row r="25659" spans="1:5" x14ac:dyDescent="0.2">
      <c r="A25659">
        <v>18473</v>
      </c>
      <c r="B25659" t="s">
        <v>44</v>
      </c>
      <c r="C25659">
        <v>18473</v>
      </c>
      <c r="D25659" t="str">
        <f>"18473"</f>
        <v>18473</v>
      </c>
      <c r="E25659" t="s">
        <v>6</v>
      </c>
    </row>
    <row r="25660" spans="1:5" x14ac:dyDescent="0.2">
      <c r="A25660">
        <v>18503</v>
      </c>
      <c r="B25660" t="s">
        <v>44</v>
      </c>
      <c r="C25660">
        <v>18503</v>
      </c>
      <c r="D25660" t="str">
        <f>"18503"</f>
        <v>18503</v>
      </c>
      <c r="E25660">
        <v>60.98</v>
      </c>
    </row>
    <row r="25661" spans="1:5" x14ac:dyDescent="0.2">
      <c r="A25661">
        <v>18504</v>
      </c>
      <c r="B25661" t="s">
        <v>44</v>
      </c>
      <c r="C25661">
        <v>18504</v>
      </c>
      <c r="D25661" t="str">
        <f>"18504"</f>
        <v>18504</v>
      </c>
      <c r="E25661">
        <v>64.680000000000007</v>
      </c>
    </row>
    <row r="25662" spans="1:5" x14ac:dyDescent="0.2">
      <c r="A25662">
        <v>18505</v>
      </c>
      <c r="B25662" t="s">
        <v>44</v>
      </c>
      <c r="C25662">
        <v>18505</v>
      </c>
      <c r="D25662" t="str">
        <f>"18505"</f>
        <v>18505</v>
      </c>
      <c r="E25662">
        <v>62.49</v>
      </c>
    </row>
    <row r="25663" spans="1:5" x14ac:dyDescent="0.2">
      <c r="A25663">
        <v>18507</v>
      </c>
      <c r="B25663" t="s">
        <v>44</v>
      </c>
      <c r="C25663">
        <v>18507</v>
      </c>
      <c r="D25663" t="str">
        <f>"18507"</f>
        <v>18507</v>
      </c>
      <c r="E25663">
        <v>74.349999999999994</v>
      </c>
    </row>
    <row r="25664" spans="1:5" x14ac:dyDescent="0.2">
      <c r="A25664">
        <v>18508</v>
      </c>
      <c r="B25664" t="s">
        <v>44</v>
      </c>
      <c r="C25664">
        <v>18508</v>
      </c>
      <c r="D25664" t="str">
        <f>"18508"</f>
        <v>18508</v>
      </c>
      <c r="E25664">
        <v>61</v>
      </c>
    </row>
    <row r="25665" spans="1:5" x14ac:dyDescent="0.2">
      <c r="A25665">
        <v>18509</v>
      </c>
      <c r="B25665" t="s">
        <v>44</v>
      </c>
      <c r="C25665">
        <v>18509</v>
      </c>
      <c r="D25665" t="str">
        <f>"18509"</f>
        <v>18509</v>
      </c>
      <c r="E25665">
        <v>67.319999999999993</v>
      </c>
    </row>
    <row r="25666" spans="1:5" x14ac:dyDescent="0.2">
      <c r="A25666">
        <v>18510</v>
      </c>
      <c r="B25666" t="s">
        <v>44</v>
      </c>
      <c r="C25666">
        <v>18510</v>
      </c>
      <c r="D25666" t="str">
        <f>"18510"</f>
        <v>18510</v>
      </c>
      <c r="E25666">
        <v>62.74</v>
      </c>
    </row>
    <row r="25667" spans="1:5" x14ac:dyDescent="0.2">
      <c r="A25667">
        <v>18512</v>
      </c>
      <c r="B25667" t="s">
        <v>44</v>
      </c>
      <c r="C25667">
        <v>18512</v>
      </c>
      <c r="D25667" t="str">
        <f>"18512"</f>
        <v>18512</v>
      </c>
      <c r="E25667">
        <v>73.77</v>
      </c>
    </row>
    <row r="25668" spans="1:5" x14ac:dyDescent="0.2">
      <c r="A25668">
        <v>18515</v>
      </c>
      <c r="B25668" t="s">
        <v>44</v>
      </c>
      <c r="C25668">
        <v>18515</v>
      </c>
      <c r="D25668" t="str">
        <f>"18515"</f>
        <v>18515</v>
      </c>
      <c r="E25668" t="s">
        <v>6</v>
      </c>
    </row>
    <row r="25669" spans="1:5" x14ac:dyDescent="0.2">
      <c r="A25669">
        <v>18517</v>
      </c>
      <c r="B25669" t="s">
        <v>44</v>
      </c>
      <c r="C25669">
        <v>18517</v>
      </c>
      <c r="D25669" t="str">
        <f>"18517"</f>
        <v>18517</v>
      </c>
      <c r="E25669">
        <v>68.44</v>
      </c>
    </row>
    <row r="25670" spans="1:5" x14ac:dyDescent="0.2">
      <c r="A25670">
        <v>18518</v>
      </c>
      <c r="B25670" t="s">
        <v>44</v>
      </c>
      <c r="C25670">
        <v>18518</v>
      </c>
      <c r="D25670" t="str">
        <f>"18518"</f>
        <v>18518</v>
      </c>
      <c r="E25670">
        <v>72.34</v>
      </c>
    </row>
    <row r="25671" spans="1:5" x14ac:dyDescent="0.2">
      <c r="A25671">
        <v>18519</v>
      </c>
      <c r="B25671" t="s">
        <v>44</v>
      </c>
      <c r="C25671">
        <v>18519</v>
      </c>
      <c r="D25671" t="str">
        <f>"18519"</f>
        <v>18519</v>
      </c>
      <c r="E25671">
        <v>70</v>
      </c>
    </row>
    <row r="25672" spans="1:5" x14ac:dyDescent="0.2">
      <c r="A25672">
        <v>18602</v>
      </c>
      <c r="B25672" t="s">
        <v>44</v>
      </c>
      <c r="C25672">
        <v>18602</v>
      </c>
      <c r="D25672" t="str">
        <f>"18602"</f>
        <v>18602</v>
      </c>
      <c r="E25672" t="s">
        <v>6</v>
      </c>
    </row>
    <row r="25673" spans="1:5" x14ac:dyDescent="0.2">
      <c r="A25673">
        <v>18603</v>
      </c>
      <c r="B25673" t="s">
        <v>44</v>
      </c>
      <c r="C25673">
        <v>18603</v>
      </c>
      <c r="D25673" t="str">
        <f>"18603"</f>
        <v>18603</v>
      </c>
      <c r="E25673">
        <v>69.540000000000006</v>
      </c>
    </row>
    <row r="25674" spans="1:5" x14ac:dyDescent="0.2">
      <c r="A25674">
        <v>18610</v>
      </c>
      <c r="B25674" t="s">
        <v>44</v>
      </c>
      <c r="C25674">
        <v>18610</v>
      </c>
      <c r="D25674" t="str">
        <f>"18610"</f>
        <v>18610</v>
      </c>
      <c r="E25674">
        <v>72.239999999999995</v>
      </c>
    </row>
    <row r="25675" spans="1:5" x14ac:dyDescent="0.2">
      <c r="A25675">
        <v>18612</v>
      </c>
      <c r="B25675" t="s">
        <v>44</v>
      </c>
      <c r="C25675">
        <v>18612</v>
      </c>
      <c r="D25675" t="str">
        <f>"18612"</f>
        <v>18612</v>
      </c>
      <c r="E25675">
        <v>76.48</v>
      </c>
    </row>
    <row r="25676" spans="1:5" x14ac:dyDescent="0.2">
      <c r="A25676">
        <v>18614</v>
      </c>
      <c r="B25676" t="s">
        <v>44</v>
      </c>
      <c r="C25676">
        <v>18614</v>
      </c>
      <c r="D25676" t="str">
        <f>"18614"</f>
        <v>18614</v>
      </c>
      <c r="E25676">
        <v>70.8</v>
      </c>
    </row>
    <row r="25677" spans="1:5" x14ac:dyDescent="0.2">
      <c r="A25677">
        <v>18615</v>
      </c>
      <c r="B25677" t="s">
        <v>44</v>
      </c>
      <c r="C25677">
        <v>18615</v>
      </c>
      <c r="D25677" t="str">
        <f>"18615"</f>
        <v>18615</v>
      </c>
      <c r="E25677">
        <v>74.44</v>
      </c>
    </row>
    <row r="25678" spans="1:5" x14ac:dyDescent="0.2">
      <c r="A25678">
        <v>18616</v>
      </c>
      <c r="B25678" t="s">
        <v>44</v>
      </c>
      <c r="C25678">
        <v>18616</v>
      </c>
      <c r="D25678" t="str">
        <f>"18616"</f>
        <v>18616</v>
      </c>
      <c r="E25678">
        <v>71.88</v>
      </c>
    </row>
    <row r="25679" spans="1:5" x14ac:dyDescent="0.2">
      <c r="A25679">
        <v>18617</v>
      </c>
      <c r="B25679" t="s">
        <v>44</v>
      </c>
      <c r="C25679">
        <v>18617</v>
      </c>
      <c r="D25679" t="str">
        <f>"18617"</f>
        <v>18617</v>
      </c>
      <c r="E25679">
        <v>64.2</v>
      </c>
    </row>
    <row r="25680" spans="1:5" x14ac:dyDescent="0.2">
      <c r="A25680">
        <v>18618</v>
      </c>
      <c r="B25680" t="s">
        <v>44</v>
      </c>
      <c r="C25680">
        <v>18618</v>
      </c>
      <c r="D25680" t="str">
        <f>"18618"</f>
        <v>18618</v>
      </c>
      <c r="E25680">
        <v>77.37</v>
      </c>
    </row>
    <row r="25681" spans="1:5" x14ac:dyDescent="0.2">
      <c r="A25681">
        <v>18619</v>
      </c>
      <c r="B25681" t="s">
        <v>44</v>
      </c>
      <c r="C25681">
        <v>18619</v>
      </c>
      <c r="D25681" t="str">
        <f>"18619"</f>
        <v>18619</v>
      </c>
      <c r="E25681">
        <v>70</v>
      </c>
    </row>
    <row r="25682" spans="1:5" x14ac:dyDescent="0.2">
      <c r="A25682">
        <v>18621</v>
      </c>
      <c r="B25682" t="s">
        <v>44</v>
      </c>
      <c r="C25682">
        <v>18621</v>
      </c>
      <c r="D25682" t="str">
        <f>"18621"</f>
        <v>18621</v>
      </c>
      <c r="E25682">
        <v>74.58</v>
      </c>
    </row>
    <row r="25683" spans="1:5" x14ac:dyDescent="0.2">
      <c r="A25683">
        <v>18622</v>
      </c>
      <c r="B25683" t="s">
        <v>44</v>
      </c>
      <c r="C25683">
        <v>18622</v>
      </c>
      <c r="D25683" t="str">
        <f>"18622"</f>
        <v>18622</v>
      </c>
      <c r="E25683">
        <v>76.92</v>
      </c>
    </row>
    <row r="25684" spans="1:5" x14ac:dyDescent="0.2">
      <c r="A25684">
        <v>18623</v>
      </c>
      <c r="B25684" t="s">
        <v>44</v>
      </c>
      <c r="C25684">
        <v>18623</v>
      </c>
      <c r="D25684" t="str">
        <f>"18623"</f>
        <v>18623</v>
      </c>
      <c r="E25684">
        <v>71.069999999999993</v>
      </c>
    </row>
    <row r="25685" spans="1:5" x14ac:dyDescent="0.2">
      <c r="A25685">
        <v>18624</v>
      </c>
      <c r="B25685" t="s">
        <v>44</v>
      </c>
      <c r="C25685">
        <v>18624</v>
      </c>
      <c r="D25685" t="str">
        <f>"18624"</f>
        <v>18624</v>
      </c>
      <c r="E25685" t="s">
        <v>6</v>
      </c>
    </row>
    <row r="25686" spans="1:5" x14ac:dyDescent="0.2">
      <c r="A25686">
        <v>18626</v>
      </c>
      <c r="B25686" t="s">
        <v>44</v>
      </c>
      <c r="C25686">
        <v>18626</v>
      </c>
      <c r="D25686" t="str">
        <f>"18626"</f>
        <v>18626</v>
      </c>
      <c r="E25686" t="s">
        <v>6</v>
      </c>
    </row>
    <row r="25687" spans="1:5" x14ac:dyDescent="0.2">
      <c r="A25687">
        <v>18628</v>
      </c>
      <c r="B25687" t="s">
        <v>44</v>
      </c>
      <c r="C25687">
        <v>18628</v>
      </c>
      <c r="D25687" t="str">
        <f>"18628"</f>
        <v>18628</v>
      </c>
      <c r="E25687">
        <v>72.73</v>
      </c>
    </row>
    <row r="25688" spans="1:5" x14ac:dyDescent="0.2">
      <c r="A25688">
        <v>18629</v>
      </c>
      <c r="B25688" t="s">
        <v>44</v>
      </c>
      <c r="C25688">
        <v>18629</v>
      </c>
      <c r="D25688" t="str">
        <f>"18629"</f>
        <v>18629</v>
      </c>
      <c r="E25688">
        <v>71.430000000000007</v>
      </c>
    </row>
    <row r="25689" spans="1:5" x14ac:dyDescent="0.2">
      <c r="A25689">
        <v>18630</v>
      </c>
      <c r="B25689" t="s">
        <v>44</v>
      </c>
      <c r="C25689">
        <v>18630</v>
      </c>
      <c r="D25689" t="str">
        <f>"18630"</f>
        <v>18630</v>
      </c>
      <c r="E25689">
        <v>71.81</v>
      </c>
    </row>
    <row r="25690" spans="1:5" x14ac:dyDescent="0.2">
      <c r="A25690">
        <v>18631</v>
      </c>
      <c r="B25690" t="s">
        <v>44</v>
      </c>
      <c r="C25690">
        <v>18631</v>
      </c>
      <c r="D25690" t="str">
        <f>"18631"</f>
        <v>18631</v>
      </c>
      <c r="E25690" t="s">
        <v>6</v>
      </c>
    </row>
    <row r="25691" spans="1:5" x14ac:dyDescent="0.2">
      <c r="A25691">
        <v>18632</v>
      </c>
      <c r="B25691" t="s">
        <v>44</v>
      </c>
      <c r="C25691">
        <v>18632</v>
      </c>
      <c r="D25691" t="str">
        <f>"18632"</f>
        <v>18632</v>
      </c>
      <c r="E25691">
        <v>60</v>
      </c>
    </row>
    <row r="25692" spans="1:5" x14ac:dyDescent="0.2">
      <c r="A25692">
        <v>18634</v>
      </c>
      <c r="B25692" t="s">
        <v>44</v>
      </c>
      <c r="C25692">
        <v>18634</v>
      </c>
      <c r="D25692" t="str">
        <f>"18634"</f>
        <v>18634</v>
      </c>
      <c r="E25692">
        <v>69.540000000000006</v>
      </c>
    </row>
    <row r="25693" spans="1:5" x14ac:dyDescent="0.2">
      <c r="A25693">
        <v>18635</v>
      </c>
      <c r="B25693" t="s">
        <v>44</v>
      </c>
      <c r="C25693">
        <v>18635</v>
      </c>
      <c r="D25693" t="str">
        <f>"18635"</f>
        <v>18635</v>
      </c>
      <c r="E25693">
        <v>73.599999999999994</v>
      </c>
    </row>
    <row r="25694" spans="1:5" x14ac:dyDescent="0.2">
      <c r="A25694">
        <v>18636</v>
      </c>
      <c r="B25694" t="s">
        <v>44</v>
      </c>
      <c r="C25694">
        <v>18636</v>
      </c>
      <c r="D25694" t="str">
        <f>"18636"</f>
        <v>18636</v>
      </c>
      <c r="E25694">
        <v>71.209999999999994</v>
      </c>
    </row>
    <row r="25695" spans="1:5" x14ac:dyDescent="0.2">
      <c r="A25695">
        <v>18640</v>
      </c>
      <c r="B25695" t="s">
        <v>44</v>
      </c>
      <c r="C25695">
        <v>18640</v>
      </c>
      <c r="D25695" t="str">
        <f>"18640"</f>
        <v>18640</v>
      </c>
      <c r="E25695">
        <v>72.099999999999994</v>
      </c>
    </row>
    <row r="25696" spans="1:5" x14ac:dyDescent="0.2">
      <c r="A25696">
        <v>18641</v>
      </c>
      <c r="B25696" t="s">
        <v>44</v>
      </c>
      <c r="C25696">
        <v>18641</v>
      </c>
      <c r="D25696" t="str">
        <f>"18641"</f>
        <v>18641</v>
      </c>
      <c r="E25696">
        <v>74.13</v>
      </c>
    </row>
    <row r="25697" spans="1:5" x14ac:dyDescent="0.2">
      <c r="A25697">
        <v>18642</v>
      </c>
      <c r="B25697" t="s">
        <v>44</v>
      </c>
      <c r="C25697">
        <v>18642</v>
      </c>
      <c r="D25697" t="str">
        <f>"18642"</f>
        <v>18642</v>
      </c>
      <c r="E25697">
        <v>73.930000000000007</v>
      </c>
    </row>
    <row r="25698" spans="1:5" x14ac:dyDescent="0.2">
      <c r="A25698">
        <v>18643</v>
      </c>
      <c r="B25698" t="s">
        <v>44</v>
      </c>
      <c r="C25698">
        <v>18643</v>
      </c>
      <c r="D25698" t="str">
        <f>"18643"</f>
        <v>18643</v>
      </c>
      <c r="E25698">
        <v>72.87</v>
      </c>
    </row>
    <row r="25699" spans="1:5" x14ac:dyDescent="0.2">
      <c r="A25699">
        <v>18644</v>
      </c>
      <c r="B25699" t="s">
        <v>44</v>
      </c>
      <c r="C25699">
        <v>18644</v>
      </c>
      <c r="D25699" t="str">
        <f>"18644"</f>
        <v>18644</v>
      </c>
      <c r="E25699">
        <v>74.75</v>
      </c>
    </row>
    <row r="25700" spans="1:5" x14ac:dyDescent="0.2">
      <c r="A25700">
        <v>18651</v>
      </c>
      <c r="B25700" t="s">
        <v>44</v>
      </c>
      <c r="C25700">
        <v>18651</v>
      </c>
      <c r="D25700" t="str">
        <f>"18651"</f>
        <v>18651</v>
      </c>
      <c r="E25700">
        <v>63.36</v>
      </c>
    </row>
    <row r="25701" spans="1:5" x14ac:dyDescent="0.2">
      <c r="A25701">
        <v>18655</v>
      </c>
      <c r="B25701" t="s">
        <v>44</v>
      </c>
      <c r="C25701">
        <v>18655</v>
      </c>
      <c r="D25701" t="str">
        <f>"18655"</f>
        <v>18655</v>
      </c>
      <c r="E25701">
        <v>73.61</v>
      </c>
    </row>
    <row r="25702" spans="1:5" x14ac:dyDescent="0.2">
      <c r="A25702">
        <v>18656</v>
      </c>
      <c r="B25702" t="s">
        <v>44</v>
      </c>
      <c r="C25702">
        <v>18656</v>
      </c>
      <c r="D25702" t="str">
        <f>"18656"</f>
        <v>18656</v>
      </c>
      <c r="E25702">
        <v>73.39</v>
      </c>
    </row>
    <row r="25703" spans="1:5" x14ac:dyDescent="0.2">
      <c r="A25703">
        <v>18657</v>
      </c>
      <c r="B25703" t="s">
        <v>44</v>
      </c>
      <c r="C25703">
        <v>18657</v>
      </c>
      <c r="D25703" t="str">
        <f>"18657"</f>
        <v>18657</v>
      </c>
      <c r="E25703">
        <v>74.819999999999993</v>
      </c>
    </row>
    <row r="25704" spans="1:5" x14ac:dyDescent="0.2">
      <c r="A25704">
        <v>18660</v>
      </c>
      <c r="B25704" t="s">
        <v>44</v>
      </c>
      <c r="C25704">
        <v>18660</v>
      </c>
      <c r="D25704" t="str">
        <f>"18660"</f>
        <v>18660</v>
      </c>
      <c r="E25704">
        <v>77.47</v>
      </c>
    </row>
    <row r="25705" spans="1:5" x14ac:dyDescent="0.2">
      <c r="A25705">
        <v>18661</v>
      </c>
      <c r="B25705" t="s">
        <v>44</v>
      </c>
      <c r="C25705">
        <v>18661</v>
      </c>
      <c r="D25705" t="str">
        <f>"18661"</f>
        <v>18661</v>
      </c>
      <c r="E25705">
        <v>73.16</v>
      </c>
    </row>
    <row r="25706" spans="1:5" x14ac:dyDescent="0.2">
      <c r="A25706">
        <v>18701</v>
      </c>
      <c r="B25706" t="s">
        <v>44</v>
      </c>
      <c r="C25706">
        <v>18701</v>
      </c>
      <c r="D25706" t="str">
        <f>"18701"</f>
        <v>18701</v>
      </c>
      <c r="E25706">
        <v>60.81</v>
      </c>
    </row>
    <row r="25707" spans="1:5" x14ac:dyDescent="0.2">
      <c r="A25707">
        <v>18702</v>
      </c>
      <c r="B25707" t="s">
        <v>44</v>
      </c>
      <c r="C25707">
        <v>18702</v>
      </c>
      <c r="D25707" t="str">
        <f>"18702"</f>
        <v>18702</v>
      </c>
      <c r="E25707">
        <v>62.8</v>
      </c>
    </row>
    <row r="25708" spans="1:5" x14ac:dyDescent="0.2">
      <c r="A25708">
        <v>18704</v>
      </c>
      <c r="B25708" t="s">
        <v>44</v>
      </c>
      <c r="C25708">
        <v>18704</v>
      </c>
      <c r="D25708" t="str">
        <f>"18704"</f>
        <v>18704</v>
      </c>
      <c r="E25708">
        <v>71.5</v>
      </c>
    </row>
    <row r="25709" spans="1:5" x14ac:dyDescent="0.2">
      <c r="A25709">
        <v>18705</v>
      </c>
      <c r="B25709" t="s">
        <v>44</v>
      </c>
      <c r="C25709">
        <v>18705</v>
      </c>
      <c r="D25709" t="str">
        <f>"18705"</f>
        <v>18705</v>
      </c>
      <c r="E25709">
        <v>69</v>
      </c>
    </row>
    <row r="25710" spans="1:5" x14ac:dyDescent="0.2">
      <c r="A25710">
        <v>18706</v>
      </c>
      <c r="B25710" t="s">
        <v>44</v>
      </c>
      <c r="C25710">
        <v>18706</v>
      </c>
      <c r="D25710" t="str">
        <f>"18706"</f>
        <v>18706</v>
      </c>
      <c r="E25710">
        <v>68.59</v>
      </c>
    </row>
    <row r="25711" spans="1:5" x14ac:dyDescent="0.2">
      <c r="A25711">
        <v>18707</v>
      </c>
      <c r="B25711" t="s">
        <v>44</v>
      </c>
      <c r="C25711">
        <v>18707</v>
      </c>
      <c r="D25711" t="str">
        <f>"18707"</f>
        <v>18707</v>
      </c>
      <c r="E25711">
        <v>77.81</v>
      </c>
    </row>
    <row r="25712" spans="1:5" x14ac:dyDescent="0.2">
      <c r="A25712">
        <v>18708</v>
      </c>
      <c r="B25712" t="s">
        <v>44</v>
      </c>
      <c r="C25712">
        <v>18708</v>
      </c>
      <c r="D25712" t="str">
        <f>"18708"</f>
        <v>18708</v>
      </c>
      <c r="E25712">
        <v>76.81</v>
      </c>
    </row>
    <row r="25713" spans="1:5" x14ac:dyDescent="0.2">
      <c r="A25713">
        <v>18709</v>
      </c>
      <c r="B25713" t="s">
        <v>44</v>
      </c>
      <c r="C25713">
        <v>18709</v>
      </c>
      <c r="D25713" t="str">
        <f>"18709"</f>
        <v>18709</v>
      </c>
      <c r="E25713">
        <v>69.930000000000007</v>
      </c>
    </row>
    <row r="25714" spans="1:5" x14ac:dyDescent="0.2">
      <c r="A25714">
        <v>18711</v>
      </c>
      <c r="B25714" t="s">
        <v>44</v>
      </c>
      <c r="C25714">
        <v>18711</v>
      </c>
      <c r="D25714" t="str">
        <f>"18711"</f>
        <v>18711</v>
      </c>
      <c r="E25714" t="s">
        <v>6</v>
      </c>
    </row>
    <row r="25715" spans="1:5" x14ac:dyDescent="0.2">
      <c r="A25715">
        <v>18765</v>
      </c>
      <c r="B25715" t="s">
        <v>44</v>
      </c>
      <c r="C25715">
        <v>18765</v>
      </c>
      <c r="D25715" t="str">
        <f>"18765"</f>
        <v>18765</v>
      </c>
      <c r="E25715" t="s">
        <v>6</v>
      </c>
    </row>
    <row r="25716" spans="1:5" x14ac:dyDescent="0.2">
      <c r="A25716">
        <v>18801</v>
      </c>
      <c r="B25716" t="s">
        <v>44</v>
      </c>
      <c r="C25716">
        <v>18801</v>
      </c>
      <c r="D25716" t="str">
        <f>"18801"</f>
        <v>18801</v>
      </c>
      <c r="E25716">
        <v>71.819999999999993</v>
      </c>
    </row>
    <row r="25717" spans="1:5" x14ac:dyDescent="0.2">
      <c r="A25717">
        <v>18810</v>
      </c>
      <c r="B25717" t="s">
        <v>44</v>
      </c>
      <c r="C25717">
        <v>18810</v>
      </c>
      <c r="D25717" t="str">
        <f>"18810"</f>
        <v>18810</v>
      </c>
      <c r="E25717">
        <v>69.849999999999994</v>
      </c>
    </row>
    <row r="25718" spans="1:5" x14ac:dyDescent="0.2">
      <c r="A25718">
        <v>18812</v>
      </c>
      <c r="B25718" t="s">
        <v>44</v>
      </c>
      <c r="C25718">
        <v>18812</v>
      </c>
      <c r="D25718" t="str">
        <f>"18812"</f>
        <v>18812</v>
      </c>
      <c r="E25718">
        <v>77.92</v>
      </c>
    </row>
    <row r="25719" spans="1:5" x14ac:dyDescent="0.2">
      <c r="A25719">
        <v>18814</v>
      </c>
      <c r="B25719" t="s">
        <v>44</v>
      </c>
      <c r="C25719">
        <v>18814</v>
      </c>
      <c r="D25719" t="str">
        <f>"18814"</f>
        <v>18814</v>
      </c>
      <c r="E25719" t="s">
        <v>6</v>
      </c>
    </row>
    <row r="25720" spans="1:5" x14ac:dyDescent="0.2">
      <c r="A25720">
        <v>18817</v>
      </c>
      <c r="B25720" t="s">
        <v>44</v>
      </c>
      <c r="C25720">
        <v>18817</v>
      </c>
      <c r="D25720" t="str">
        <f>"18817"</f>
        <v>18817</v>
      </c>
      <c r="E25720" t="s">
        <v>6</v>
      </c>
    </row>
    <row r="25721" spans="1:5" x14ac:dyDescent="0.2">
      <c r="A25721">
        <v>18818</v>
      </c>
      <c r="B25721" t="s">
        <v>44</v>
      </c>
      <c r="C25721">
        <v>18818</v>
      </c>
      <c r="D25721" t="str">
        <f>"18818"</f>
        <v>18818</v>
      </c>
      <c r="E25721">
        <v>76.27</v>
      </c>
    </row>
    <row r="25722" spans="1:5" x14ac:dyDescent="0.2">
      <c r="A25722">
        <v>18821</v>
      </c>
      <c r="B25722" t="s">
        <v>44</v>
      </c>
      <c r="C25722">
        <v>18821</v>
      </c>
      <c r="D25722" t="str">
        <f>"18821"</f>
        <v>18821</v>
      </c>
      <c r="E25722">
        <v>74.510000000000005</v>
      </c>
    </row>
    <row r="25723" spans="1:5" x14ac:dyDescent="0.2">
      <c r="A25723">
        <v>18822</v>
      </c>
      <c r="B25723" t="s">
        <v>44</v>
      </c>
      <c r="C25723">
        <v>18822</v>
      </c>
      <c r="D25723" t="str">
        <f>"18822"</f>
        <v>18822</v>
      </c>
      <c r="E25723">
        <v>67.09</v>
      </c>
    </row>
    <row r="25724" spans="1:5" x14ac:dyDescent="0.2">
      <c r="A25724">
        <v>18823</v>
      </c>
      <c r="B25724" t="s">
        <v>44</v>
      </c>
      <c r="C25724">
        <v>18823</v>
      </c>
      <c r="D25724" t="str">
        <f>"18823"</f>
        <v>18823</v>
      </c>
      <c r="E25724">
        <v>70</v>
      </c>
    </row>
    <row r="25725" spans="1:5" x14ac:dyDescent="0.2">
      <c r="A25725">
        <v>18824</v>
      </c>
      <c r="B25725" t="s">
        <v>44</v>
      </c>
      <c r="C25725">
        <v>18824</v>
      </c>
      <c r="D25725" t="str">
        <f>"18824"</f>
        <v>18824</v>
      </c>
      <c r="E25725">
        <v>76.27</v>
      </c>
    </row>
    <row r="25726" spans="1:5" x14ac:dyDescent="0.2">
      <c r="A25726">
        <v>18825</v>
      </c>
      <c r="B25726" t="s">
        <v>44</v>
      </c>
      <c r="C25726">
        <v>18825</v>
      </c>
      <c r="D25726" t="str">
        <f>"18825"</f>
        <v>18825</v>
      </c>
      <c r="E25726" t="s">
        <v>6</v>
      </c>
    </row>
    <row r="25727" spans="1:5" x14ac:dyDescent="0.2">
      <c r="A25727">
        <v>18826</v>
      </c>
      <c r="B25727" t="s">
        <v>44</v>
      </c>
      <c r="C25727">
        <v>18826</v>
      </c>
      <c r="D25727" t="str">
        <f>"18826"</f>
        <v>18826</v>
      </c>
      <c r="E25727">
        <v>73.260000000000005</v>
      </c>
    </row>
    <row r="25728" spans="1:5" x14ac:dyDescent="0.2">
      <c r="A25728">
        <v>18828</v>
      </c>
      <c r="B25728" t="s">
        <v>44</v>
      </c>
      <c r="C25728">
        <v>18828</v>
      </c>
      <c r="D25728" t="str">
        <f>"18828"</f>
        <v>18828</v>
      </c>
      <c r="E25728">
        <v>71.430000000000007</v>
      </c>
    </row>
    <row r="25729" spans="1:5" x14ac:dyDescent="0.2">
      <c r="A25729">
        <v>18829</v>
      </c>
      <c r="B25729" t="s">
        <v>44</v>
      </c>
      <c r="C25729">
        <v>18829</v>
      </c>
      <c r="D25729" t="str">
        <f>"18829"</f>
        <v>18829</v>
      </c>
      <c r="E25729">
        <v>76.92</v>
      </c>
    </row>
    <row r="25730" spans="1:5" x14ac:dyDescent="0.2">
      <c r="A25730">
        <v>18830</v>
      </c>
      <c r="B25730" t="s">
        <v>44</v>
      </c>
      <c r="C25730">
        <v>18830</v>
      </c>
      <c r="D25730" t="str">
        <f>"18830"</f>
        <v>18830</v>
      </c>
      <c r="E25730">
        <v>80</v>
      </c>
    </row>
    <row r="25731" spans="1:5" x14ac:dyDescent="0.2">
      <c r="A25731">
        <v>18831</v>
      </c>
      <c r="B25731" t="s">
        <v>44</v>
      </c>
      <c r="C25731">
        <v>18831</v>
      </c>
      <c r="D25731" t="str">
        <f>"18831"</f>
        <v>18831</v>
      </c>
      <c r="E25731">
        <v>72.41</v>
      </c>
    </row>
    <row r="25732" spans="1:5" x14ac:dyDescent="0.2">
      <c r="A25732">
        <v>18832</v>
      </c>
      <c r="B25732" t="s">
        <v>44</v>
      </c>
      <c r="C25732">
        <v>18832</v>
      </c>
      <c r="D25732" t="str">
        <f>"18832"</f>
        <v>18832</v>
      </c>
      <c r="E25732">
        <v>70.89</v>
      </c>
    </row>
    <row r="25733" spans="1:5" x14ac:dyDescent="0.2">
      <c r="A25733">
        <v>18833</v>
      </c>
      <c r="B25733" t="s">
        <v>44</v>
      </c>
      <c r="C25733">
        <v>18833</v>
      </c>
      <c r="D25733" t="str">
        <f>"18833"</f>
        <v>18833</v>
      </c>
      <c r="E25733">
        <v>70.33</v>
      </c>
    </row>
    <row r="25734" spans="1:5" x14ac:dyDescent="0.2">
      <c r="A25734">
        <v>18834</v>
      </c>
      <c r="B25734" t="s">
        <v>44</v>
      </c>
      <c r="C25734">
        <v>18834</v>
      </c>
      <c r="D25734" t="str">
        <f>"18834"</f>
        <v>18834</v>
      </c>
      <c r="E25734">
        <v>72.89</v>
      </c>
    </row>
    <row r="25735" spans="1:5" x14ac:dyDescent="0.2">
      <c r="A25735">
        <v>18837</v>
      </c>
      <c r="B25735" t="s">
        <v>44</v>
      </c>
      <c r="C25735">
        <v>18837</v>
      </c>
      <c r="D25735" t="str">
        <f>"18837"</f>
        <v>18837</v>
      </c>
      <c r="E25735">
        <v>68.89</v>
      </c>
    </row>
    <row r="25736" spans="1:5" x14ac:dyDescent="0.2">
      <c r="A25736">
        <v>18840</v>
      </c>
      <c r="B25736" t="s">
        <v>44</v>
      </c>
      <c r="C25736">
        <v>18840</v>
      </c>
      <c r="D25736" t="str">
        <f>"18840"</f>
        <v>18840</v>
      </c>
      <c r="E25736">
        <v>72.819999999999993</v>
      </c>
    </row>
    <row r="25737" spans="1:5" x14ac:dyDescent="0.2">
      <c r="A25737">
        <v>18842</v>
      </c>
      <c r="B25737" t="s">
        <v>44</v>
      </c>
      <c r="C25737">
        <v>18842</v>
      </c>
      <c r="D25737" t="str">
        <f>"18842"</f>
        <v>18842</v>
      </c>
      <c r="E25737">
        <v>78.569999999999993</v>
      </c>
    </row>
    <row r="25738" spans="1:5" x14ac:dyDescent="0.2">
      <c r="A25738">
        <v>18844</v>
      </c>
      <c r="B25738" t="s">
        <v>44</v>
      </c>
      <c r="C25738">
        <v>18844</v>
      </c>
      <c r="D25738" t="str">
        <f>"18844"</f>
        <v>18844</v>
      </c>
      <c r="E25738">
        <v>72.84</v>
      </c>
    </row>
    <row r="25739" spans="1:5" x14ac:dyDescent="0.2">
      <c r="A25739">
        <v>18845</v>
      </c>
      <c r="B25739" t="s">
        <v>44</v>
      </c>
      <c r="C25739">
        <v>18845</v>
      </c>
      <c r="D25739" t="str">
        <f>"18845"</f>
        <v>18845</v>
      </c>
      <c r="E25739">
        <v>80</v>
      </c>
    </row>
    <row r="25740" spans="1:5" x14ac:dyDescent="0.2">
      <c r="A25740">
        <v>18846</v>
      </c>
      <c r="B25740" t="s">
        <v>44</v>
      </c>
      <c r="C25740">
        <v>18846</v>
      </c>
      <c r="D25740" t="str">
        <f>"18846"</f>
        <v>18846</v>
      </c>
      <c r="E25740">
        <v>76.319999999999993</v>
      </c>
    </row>
    <row r="25741" spans="1:5" x14ac:dyDescent="0.2">
      <c r="A25741">
        <v>18847</v>
      </c>
      <c r="B25741" t="s">
        <v>44</v>
      </c>
      <c r="C25741">
        <v>18847</v>
      </c>
      <c r="D25741" t="str">
        <f>"18847"</f>
        <v>18847</v>
      </c>
      <c r="E25741">
        <v>69.790000000000006</v>
      </c>
    </row>
    <row r="25742" spans="1:5" x14ac:dyDescent="0.2">
      <c r="A25742">
        <v>18848</v>
      </c>
      <c r="B25742" t="s">
        <v>44</v>
      </c>
      <c r="C25742">
        <v>18848</v>
      </c>
      <c r="D25742" t="str">
        <f>"18848"</f>
        <v>18848</v>
      </c>
      <c r="E25742">
        <v>71.39</v>
      </c>
    </row>
    <row r="25743" spans="1:5" x14ac:dyDescent="0.2">
      <c r="A25743">
        <v>18850</v>
      </c>
      <c r="B25743" t="s">
        <v>44</v>
      </c>
      <c r="C25743">
        <v>18850</v>
      </c>
      <c r="D25743" t="str">
        <f>"18850"</f>
        <v>18850</v>
      </c>
      <c r="E25743">
        <v>72.17</v>
      </c>
    </row>
    <row r="25744" spans="1:5" x14ac:dyDescent="0.2">
      <c r="A25744">
        <v>18851</v>
      </c>
      <c r="B25744" t="s">
        <v>44</v>
      </c>
      <c r="C25744">
        <v>18851</v>
      </c>
      <c r="D25744" t="str">
        <f>"18851"</f>
        <v>18851</v>
      </c>
      <c r="E25744">
        <v>68.569999999999993</v>
      </c>
    </row>
    <row r="25745" spans="1:5" x14ac:dyDescent="0.2">
      <c r="A25745">
        <v>18853</v>
      </c>
      <c r="B25745" t="s">
        <v>44</v>
      </c>
      <c r="C25745">
        <v>18853</v>
      </c>
      <c r="D25745" t="str">
        <f>"18853"</f>
        <v>18853</v>
      </c>
      <c r="E25745">
        <v>73.680000000000007</v>
      </c>
    </row>
    <row r="25746" spans="1:5" x14ac:dyDescent="0.2">
      <c r="A25746">
        <v>18854</v>
      </c>
      <c r="B25746" t="s">
        <v>44</v>
      </c>
      <c r="C25746">
        <v>18854</v>
      </c>
      <c r="D25746" t="str">
        <f>"18854"</f>
        <v>18854</v>
      </c>
      <c r="E25746">
        <v>70.83</v>
      </c>
    </row>
    <row r="25747" spans="1:5" x14ac:dyDescent="0.2">
      <c r="A25747">
        <v>18901</v>
      </c>
      <c r="B25747" t="s">
        <v>44</v>
      </c>
      <c r="C25747">
        <v>18901</v>
      </c>
      <c r="D25747" t="str">
        <f>"18901"</f>
        <v>18901</v>
      </c>
      <c r="E25747">
        <v>79.7</v>
      </c>
    </row>
    <row r="25748" spans="1:5" x14ac:dyDescent="0.2">
      <c r="A25748">
        <v>18902</v>
      </c>
      <c r="B25748" t="s">
        <v>44</v>
      </c>
      <c r="C25748">
        <v>18902</v>
      </c>
      <c r="D25748" t="str">
        <f>"18902"</f>
        <v>18902</v>
      </c>
      <c r="E25748">
        <v>79.010000000000005</v>
      </c>
    </row>
    <row r="25749" spans="1:5" x14ac:dyDescent="0.2">
      <c r="A25749">
        <v>18912</v>
      </c>
      <c r="B25749" t="s">
        <v>44</v>
      </c>
      <c r="C25749">
        <v>18912</v>
      </c>
      <c r="D25749" t="str">
        <f>"18912"</f>
        <v>18912</v>
      </c>
      <c r="E25749" t="s">
        <v>6</v>
      </c>
    </row>
    <row r="25750" spans="1:5" x14ac:dyDescent="0.2">
      <c r="A25750">
        <v>18913</v>
      </c>
      <c r="B25750" t="s">
        <v>44</v>
      </c>
      <c r="C25750">
        <v>18913</v>
      </c>
      <c r="D25750" t="str">
        <f>"18913"</f>
        <v>18913</v>
      </c>
      <c r="E25750">
        <v>76.19</v>
      </c>
    </row>
    <row r="25751" spans="1:5" x14ac:dyDescent="0.2">
      <c r="A25751">
        <v>18914</v>
      </c>
      <c r="B25751" t="s">
        <v>44</v>
      </c>
      <c r="C25751">
        <v>18914</v>
      </c>
      <c r="D25751" t="str">
        <f>"18914"</f>
        <v>18914</v>
      </c>
      <c r="E25751">
        <v>79.78</v>
      </c>
    </row>
    <row r="25752" spans="1:5" x14ac:dyDescent="0.2">
      <c r="A25752">
        <v>18915</v>
      </c>
      <c r="B25752" t="s">
        <v>44</v>
      </c>
      <c r="C25752">
        <v>18915</v>
      </c>
      <c r="D25752" t="str">
        <f>"18915"</f>
        <v>18915</v>
      </c>
      <c r="E25752">
        <v>83.33</v>
      </c>
    </row>
    <row r="25753" spans="1:5" x14ac:dyDescent="0.2">
      <c r="A25753">
        <v>18917</v>
      </c>
      <c r="B25753" t="s">
        <v>44</v>
      </c>
      <c r="C25753">
        <v>18917</v>
      </c>
      <c r="D25753" t="str">
        <f>"18917"</f>
        <v>18917</v>
      </c>
      <c r="E25753">
        <v>74.069999999999993</v>
      </c>
    </row>
    <row r="25754" spans="1:5" x14ac:dyDescent="0.2">
      <c r="A25754">
        <v>18920</v>
      </c>
      <c r="B25754" t="s">
        <v>44</v>
      </c>
      <c r="C25754">
        <v>18920</v>
      </c>
      <c r="D25754" t="str">
        <f>"18920"</f>
        <v>18920</v>
      </c>
      <c r="E25754">
        <v>81.819999999999993</v>
      </c>
    </row>
    <row r="25755" spans="1:5" x14ac:dyDescent="0.2">
      <c r="A25755">
        <v>18923</v>
      </c>
      <c r="B25755" t="s">
        <v>44</v>
      </c>
      <c r="C25755">
        <v>18923</v>
      </c>
      <c r="D25755" t="str">
        <f>"18923"</f>
        <v>18923</v>
      </c>
      <c r="E25755">
        <v>77.78</v>
      </c>
    </row>
    <row r="25756" spans="1:5" x14ac:dyDescent="0.2">
      <c r="A25756">
        <v>18925</v>
      </c>
      <c r="B25756" t="s">
        <v>44</v>
      </c>
      <c r="C25756">
        <v>18925</v>
      </c>
      <c r="D25756" t="str">
        <f>"18925"</f>
        <v>18925</v>
      </c>
      <c r="E25756">
        <v>81.14</v>
      </c>
    </row>
    <row r="25757" spans="1:5" x14ac:dyDescent="0.2">
      <c r="A25757">
        <v>18927</v>
      </c>
      <c r="B25757" t="s">
        <v>44</v>
      </c>
      <c r="C25757">
        <v>18927</v>
      </c>
      <c r="D25757" t="str">
        <f>"18927"</f>
        <v>18927</v>
      </c>
      <c r="E25757" t="s">
        <v>6</v>
      </c>
    </row>
    <row r="25758" spans="1:5" x14ac:dyDescent="0.2">
      <c r="A25758">
        <v>18929</v>
      </c>
      <c r="B25758" t="s">
        <v>44</v>
      </c>
      <c r="C25758">
        <v>18929</v>
      </c>
      <c r="D25758" t="str">
        <f>"18929"</f>
        <v>18929</v>
      </c>
      <c r="E25758">
        <v>79.69</v>
      </c>
    </row>
    <row r="25759" spans="1:5" x14ac:dyDescent="0.2">
      <c r="A25759">
        <v>18930</v>
      </c>
      <c r="B25759" t="s">
        <v>44</v>
      </c>
      <c r="C25759">
        <v>18930</v>
      </c>
      <c r="D25759" t="str">
        <f>"18930"</f>
        <v>18930</v>
      </c>
      <c r="E25759">
        <v>78.739999999999995</v>
      </c>
    </row>
    <row r="25760" spans="1:5" x14ac:dyDescent="0.2">
      <c r="A25760">
        <v>18931</v>
      </c>
      <c r="B25760" t="s">
        <v>44</v>
      </c>
      <c r="C25760">
        <v>18931</v>
      </c>
      <c r="D25760" t="str">
        <f>"18931"</f>
        <v>18931</v>
      </c>
      <c r="E25760" t="s">
        <v>6</v>
      </c>
    </row>
    <row r="25761" spans="1:5" x14ac:dyDescent="0.2">
      <c r="A25761">
        <v>18932</v>
      </c>
      <c r="B25761" t="s">
        <v>44</v>
      </c>
      <c r="C25761">
        <v>18932</v>
      </c>
      <c r="D25761" t="str">
        <f>"18932"</f>
        <v>18932</v>
      </c>
      <c r="E25761">
        <v>73.33</v>
      </c>
    </row>
    <row r="25762" spans="1:5" x14ac:dyDescent="0.2">
      <c r="A25762">
        <v>18933</v>
      </c>
      <c r="B25762" t="s">
        <v>44</v>
      </c>
      <c r="C25762">
        <v>18933</v>
      </c>
      <c r="D25762" t="str">
        <f>"18933"</f>
        <v>18933</v>
      </c>
      <c r="E25762" t="s">
        <v>6</v>
      </c>
    </row>
    <row r="25763" spans="1:5" x14ac:dyDescent="0.2">
      <c r="A25763">
        <v>18936</v>
      </c>
      <c r="B25763" t="s">
        <v>44</v>
      </c>
      <c r="C25763">
        <v>18936</v>
      </c>
      <c r="D25763" t="str">
        <f>"18936"</f>
        <v>18936</v>
      </c>
      <c r="E25763">
        <v>73.680000000000007</v>
      </c>
    </row>
    <row r="25764" spans="1:5" x14ac:dyDescent="0.2">
      <c r="A25764">
        <v>18938</v>
      </c>
      <c r="B25764" t="s">
        <v>44</v>
      </c>
      <c r="C25764">
        <v>18938</v>
      </c>
      <c r="D25764" t="str">
        <f>"18938"</f>
        <v>18938</v>
      </c>
      <c r="E25764">
        <v>79.63</v>
      </c>
    </row>
    <row r="25765" spans="1:5" x14ac:dyDescent="0.2">
      <c r="A25765">
        <v>18940</v>
      </c>
      <c r="B25765" t="s">
        <v>44</v>
      </c>
      <c r="C25765">
        <v>18940</v>
      </c>
      <c r="D25765" t="str">
        <f>"18940"</f>
        <v>18940</v>
      </c>
      <c r="E25765">
        <v>81.319999999999993</v>
      </c>
    </row>
    <row r="25766" spans="1:5" x14ac:dyDescent="0.2">
      <c r="A25766">
        <v>18942</v>
      </c>
      <c r="B25766" t="s">
        <v>44</v>
      </c>
      <c r="C25766">
        <v>18942</v>
      </c>
      <c r="D25766" t="str">
        <f>"18942"</f>
        <v>18942</v>
      </c>
      <c r="E25766">
        <v>75.78</v>
      </c>
    </row>
    <row r="25767" spans="1:5" x14ac:dyDescent="0.2">
      <c r="A25767">
        <v>18944</v>
      </c>
      <c r="B25767" t="s">
        <v>44</v>
      </c>
      <c r="C25767">
        <v>18944</v>
      </c>
      <c r="D25767" t="str">
        <f>"18944"</f>
        <v>18944</v>
      </c>
      <c r="E25767">
        <v>79.81</v>
      </c>
    </row>
    <row r="25768" spans="1:5" x14ac:dyDescent="0.2">
      <c r="A25768">
        <v>18946</v>
      </c>
      <c r="B25768" t="s">
        <v>44</v>
      </c>
      <c r="C25768">
        <v>18946</v>
      </c>
      <c r="D25768" t="str">
        <f>"18946"</f>
        <v>18946</v>
      </c>
      <c r="E25768" t="s">
        <v>6</v>
      </c>
    </row>
    <row r="25769" spans="1:5" x14ac:dyDescent="0.2">
      <c r="A25769">
        <v>18947</v>
      </c>
      <c r="B25769" t="s">
        <v>44</v>
      </c>
      <c r="C25769">
        <v>18947</v>
      </c>
      <c r="D25769" t="str">
        <f>"18947"</f>
        <v>18947</v>
      </c>
      <c r="E25769">
        <v>75.75</v>
      </c>
    </row>
    <row r="25770" spans="1:5" x14ac:dyDescent="0.2">
      <c r="A25770">
        <v>18950</v>
      </c>
      <c r="B25770" t="s">
        <v>44</v>
      </c>
      <c r="C25770">
        <v>18950</v>
      </c>
      <c r="D25770" t="str">
        <f>"18950"</f>
        <v>18950</v>
      </c>
      <c r="E25770" t="s">
        <v>6</v>
      </c>
    </row>
    <row r="25771" spans="1:5" x14ac:dyDescent="0.2">
      <c r="A25771">
        <v>18951</v>
      </c>
      <c r="B25771" t="s">
        <v>44</v>
      </c>
      <c r="C25771">
        <v>18951</v>
      </c>
      <c r="D25771" t="str">
        <f>"18951"</f>
        <v>18951</v>
      </c>
      <c r="E25771">
        <v>76.930000000000007</v>
      </c>
    </row>
    <row r="25772" spans="1:5" x14ac:dyDescent="0.2">
      <c r="A25772">
        <v>18954</v>
      </c>
      <c r="B25772" t="s">
        <v>44</v>
      </c>
      <c r="C25772">
        <v>18954</v>
      </c>
      <c r="D25772" t="str">
        <f>"18954"</f>
        <v>18954</v>
      </c>
      <c r="E25772">
        <v>80.2</v>
      </c>
    </row>
    <row r="25773" spans="1:5" x14ac:dyDescent="0.2">
      <c r="A25773">
        <v>18955</v>
      </c>
      <c r="B25773" t="s">
        <v>44</v>
      </c>
      <c r="C25773">
        <v>18955</v>
      </c>
      <c r="D25773" t="str">
        <f>"18955"</f>
        <v>18955</v>
      </c>
      <c r="E25773">
        <v>73.75</v>
      </c>
    </row>
    <row r="25774" spans="1:5" x14ac:dyDescent="0.2">
      <c r="A25774">
        <v>18960</v>
      </c>
      <c r="B25774" t="s">
        <v>44</v>
      </c>
      <c r="C25774">
        <v>18960</v>
      </c>
      <c r="D25774" t="str">
        <f>"18960"</f>
        <v>18960</v>
      </c>
      <c r="E25774">
        <v>77.17</v>
      </c>
    </row>
    <row r="25775" spans="1:5" x14ac:dyDescent="0.2">
      <c r="A25775">
        <v>18964</v>
      </c>
      <c r="B25775" t="s">
        <v>44</v>
      </c>
      <c r="C25775">
        <v>18964</v>
      </c>
      <c r="D25775" t="str">
        <f>"18964"</f>
        <v>18964</v>
      </c>
      <c r="E25775">
        <v>74.03</v>
      </c>
    </row>
    <row r="25776" spans="1:5" x14ac:dyDescent="0.2">
      <c r="A25776">
        <v>18966</v>
      </c>
      <c r="B25776" t="s">
        <v>44</v>
      </c>
      <c r="C25776">
        <v>18966</v>
      </c>
      <c r="D25776" t="str">
        <f>"18966"</f>
        <v>18966</v>
      </c>
      <c r="E25776">
        <v>80.3</v>
      </c>
    </row>
    <row r="25777" spans="1:5" x14ac:dyDescent="0.2">
      <c r="A25777">
        <v>18969</v>
      </c>
      <c r="B25777" t="s">
        <v>44</v>
      </c>
      <c r="C25777">
        <v>18969</v>
      </c>
      <c r="D25777" t="str">
        <f>"18969"</f>
        <v>18969</v>
      </c>
      <c r="E25777">
        <v>76.58</v>
      </c>
    </row>
    <row r="25778" spans="1:5" x14ac:dyDescent="0.2">
      <c r="A25778">
        <v>18970</v>
      </c>
      <c r="B25778" t="s">
        <v>44</v>
      </c>
      <c r="C25778">
        <v>18970</v>
      </c>
      <c r="D25778" t="str">
        <f>"18970"</f>
        <v>18970</v>
      </c>
      <c r="E25778" t="s">
        <v>6</v>
      </c>
    </row>
    <row r="25779" spans="1:5" x14ac:dyDescent="0.2">
      <c r="A25779">
        <v>18972</v>
      </c>
      <c r="B25779" t="s">
        <v>44</v>
      </c>
      <c r="C25779">
        <v>18972</v>
      </c>
      <c r="D25779" t="str">
        <f>"18972"</f>
        <v>18972</v>
      </c>
      <c r="E25779">
        <v>77.989999999999995</v>
      </c>
    </row>
    <row r="25780" spans="1:5" x14ac:dyDescent="0.2">
      <c r="A25780">
        <v>18974</v>
      </c>
      <c r="B25780" t="s">
        <v>44</v>
      </c>
      <c r="C25780">
        <v>18974</v>
      </c>
      <c r="D25780" t="str">
        <f>"18974"</f>
        <v>18974</v>
      </c>
      <c r="E25780">
        <v>78.37</v>
      </c>
    </row>
    <row r="25781" spans="1:5" x14ac:dyDescent="0.2">
      <c r="A25781">
        <v>18976</v>
      </c>
      <c r="B25781" t="s">
        <v>44</v>
      </c>
      <c r="C25781">
        <v>18976</v>
      </c>
      <c r="D25781" t="str">
        <f>"18976"</f>
        <v>18976</v>
      </c>
      <c r="E25781">
        <v>79.33</v>
      </c>
    </row>
    <row r="25782" spans="1:5" x14ac:dyDescent="0.2">
      <c r="A25782">
        <v>18977</v>
      </c>
      <c r="B25782" t="s">
        <v>44</v>
      </c>
      <c r="C25782">
        <v>18977</v>
      </c>
      <c r="D25782" t="str">
        <f>"18977"</f>
        <v>18977</v>
      </c>
      <c r="E25782">
        <v>83.41</v>
      </c>
    </row>
    <row r="25783" spans="1:5" x14ac:dyDescent="0.2">
      <c r="A25783">
        <v>19001</v>
      </c>
      <c r="B25783" t="s">
        <v>44</v>
      </c>
      <c r="C25783">
        <v>19001</v>
      </c>
      <c r="D25783" t="str">
        <f>"19001"</f>
        <v>19001</v>
      </c>
      <c r="E25783">
        <v>78.78</v>
      </c>
    </row>
    <row r="25784" spans="1:5" x14ac:dyDescent="0.2">
      <c r="A25784">
        <v>19002</v>
      </c>
      <c r="B25784" t="s">
        <v>44</v>
      </c>
      <c r="C25784">
        <v>19002</v>
      </c>
      <c r="D25784" t="str">
        <f>"19002"</f>
        <v>19002</v>
      </c>
      <c r="E25784">
        <v>78.709999999999994</v>
      </c>
    </row>
    <row r="25785" spans="1:5" x14ac:dyDescent="0.2">
      <c r="A25785">
        <v>19003</v>
      </c>
      <c r="B25785" t="s">
        <v>44</v>
      </c>
      <c r="C25785">
        <v>19003</v>
      </c>
      <c r="D25785" t="str">
        <f>"19003"</f>
        <v>19003</v>
      </c>
      <c r="E25785">
        <v>81.290000000000006</v>
      </c>
    </row>
    <row r="25786" spans="1:5" x14ac:dyDescent="0.2">
      <c r="A25786">
        <v>19004</v>
      </c>
      <c r="B25786" t="s">
        <v>44</v>
      </c>
      <c r="C25786">
        <v>19004</v>
      </c>
      <c r="D25786" t="str">
        <f>"19004"</f>
        <v>19004</v>
      </c>
      <c r="E25786">
        <v>81.08</v>
      </c>
    </row>
    <row r="25787" spans="1:5" x14ac:dyDescent="0.2">
      <c r="A25787">
        <v>19006</v>
      </c>
      <c r="B25787" t="s">
        <v>44</v>
      </c>
      <c r="C25787">
        <v>19006</v>
      </c>
      <c r="D25787" t="str">
        <f>"19006"</f>
        <v>19006</v>
      </c>
      <c r="E25787">
        <v>78.31</v>
      </c>
    </row>
    <row r="25788" spans="1:5" x14ac:dyDescent="0.2">
      <c r="A25788">
        <v>19007</v>
      </c>
      <c r="B25788" t="s">
        <v>44</v>
      </c>
      <c r="C25788">
        <v>19007</v>
      </c>
      <c r="D25788" t="str">
        <f>"19007"</f>
        <v>19007</v>
      </c>
      <c r="E25788">
        <v>69.88</v>
      </c>
    </row>
    <row r="25789" spans="1:5" x14ac:dyDescent="0.2">
      <c r="A25789">
        <v>19008</v>
      </c>
      <c r="B25789" t="s">
        <v>44</v>
      </c>
      <c r="C25789">
        <v>19008</v>
      </c>
      <c r="D25789" t="str">
        <f>"19008"</f>
        <v>19008</v>
      </c>
      <c r="E25789">
        <v>79.14</v>
      </c>
    </row>
    <row r="25790" spans="1:5" x14ac:dyDescent="0.2">
      <c r="A25790">
        <v>19009</v>
      </c>
      <c r="B25790" t="s">
        <v>44</v>
      </c>
      <c r="C25790">
        <v>19009</v>
      </c>
      <c r="D25790" t="str">
        <f>"19009"</f>
        <v>19009</v>
      </c>
      <c r="E25790" t="s">
        <v>6</v>
      </c>
    </row>
    <row r="25791" spans="1:5" x14ac:dyDescent="0.2">
      <c r="A25791">
        <v>19010</v>
      </c>
      <c r="B25791" t="s">
        <v>44</v>
      </c>
      <c r="C25791">
        <v>19010</v>
      </c>
      <c r="D25791" t="str">
        <f>"19010"</f>
        <v>19010</v>
      </c>
      <c r="E25791">
        <v>80.67</v>
      </c>
    </row>
    <row r="25792" spans="1:5" x14ac:dyDescent="0.2">
      <c r="A25792">
        <v>19012</v>
      </c>
      <c r="B25792" t="s">
        <v>44</v>
      </c>
      <c r="C25792">
        <v>19012</v>
      </c>
      <c r="D25792" t="str">
        <f>"19012"</f>
        <v>19012</v>
      </c>
      <c r="E25792">
        <v>77.680000000000007</v>
      </c>
    </row>
    <row r="25793" spans="1:5" x14ac:dyDescent="0.2">
      <c r="A25793">
        <v>19013</v>
      </c>
      <c r="B25793" t="s">
        <v>44</v>
      </c>
      <c r="C25793">
        <v>19013</v>
      </c>
      <c r="D25793" t="str">
        <f>"19013"</f>
        <v>19013</v>
      </c>
      <c r="E25793">
        <v>49.4</v>
      </c>
    </row>
    <row r="25794" spans="1:5" x14ac:dyDescent="0.2">
      <c r="A25794">
        <v>19014</v>
      </c>
      <c r="B25794" t="s">
        <v>44</v>
      </c>
      <c r="C25794">
        <v>19014</v>
      </c>
      <c r="D25794" t="str">
        <f>"19014"</f>
        <v>19014</v>
      </c>
      <c r="E25794">
        <v>79.739999999999995</v>
      </c>
    </row>
    <row r="25795" spans="1:5" x14ac:dyDescent="0.2">
      <c r="A25795">
        <v>19015</v>
      </c>
      <c r="B25795" t="s">
        <v>44</v>
      </c>
      <c r="C25795">
        <v>19015</v>
      </c>
      <c r="D25795" t="str">
        <f>"19015"</f>
        <v>19015</v>
      </c>
      <c r="E25795">
        <v>72.14</v>
      </c>
    </row>
    <row r="25796" spans="1:5" x14ac:dyDescent="0.2">
      <c r="A25796">
        <v>19018</v>
      </c>
      <c r="B25796" t="s">
        <v>44</v>
      </c>
      <c r="C25796">
        <v>19018</v>
      </c>
      <c r="D25796" t="str">
        <f>"19018"</f>
        <v>19018</v>
      </c>
      <c r="E25796">
        <v>75.02</v>
      </c>
    </row>
    <row r="25797" spans="1:5" x14ac:dyDescent="0.2">
      <c r="A25797">
        <v>19020</v>
      </c>
      <c r="B25797" t="s">
        <v>44</v>
      </c>
      <c r="C25797">
        <v>19020</v>
      </c>
      <c r="D25797" t="str">
        <f>"19020"</f>
        <v>19020</v>
      </c>
      <c r="E25797">
        <v>74.739999999999995</v>
      </c>
    </row>
    <row r="25798" spans="1:5" x14ac:dyDescent="0.2">
      <c r="A25798">
        <v>19021</v>
      </c>
      <c r="B25798" t="s">
        <v>44</v>
      </c>
      <c r="C25798">
        <v>19021</v>
      </c>
      <c r="D25798" t="str">
        <f>"19021"</f>
        <v>19021</v>
      </c>
      <c r="E25798">
        <v>73.06</v>
      </c>
    </row>
    <row r="25799" spans="1:5" x14ac:dyDescent="0.2">
      <c r="A25799">
        <v>19022</v>
      </c>
      <c r="B25799" t="s">
        <v>44</v>
      </c>
      <c r="C25799">
        <v>19022</v>
      </c>
      <c r="D25799" t="str">
        <f>"19022"</f>
        <v>19022</v>
      </c>
      <c r="E25799">
        <v>62.35</v>
      </c>
    </row>
    <row r="25800" spans="1:5" x14ac:dyDescent="0.2">
      <c r="A25800">
        <v>19023</v>
      </c>
      <c r="B25800" t="s">
        <v>44</v>
      </c>
      <c r="C25800">
        <v>19023</v>
      </c>
      <c r="D25800" t="str">
        <f>"19023"</f>
        <v>19023</v>
      </c>
      <c r="E25800">
        <v>55.9</v>
      </c>
    </row>
    <row r="25801" spans="1:5" x14ac:dyDescent="0.2">
      <c r="A25801">
        <v>19025</v>
      </c>
      <c r="B25801" t="s">
        <v>44</v>
      </c>
      <c r="C25801">
        <v>19025</v>
      </c>
      <c r="D25801" t="str">
        <f>"19025"</f>
        <v>19025</v>
      </c>
      <c r="E25801">
        <v>80.33</v>
      </c>
    </row>
    <row r="25802" spans="1:5" x14ac:dyDescent="0.2">
      <c r="A25802">
        <v>19026</v>
      </c>
      <c r="B25802" t="s">
        <v>44</v>
      </c>
      <c r="C25802">
        <v>19026</v>
      </c>
      <c r="D25802" t="str">
        <f>"19026"</f>
        <v>19026</v>
      </c>
      <c r="E25802">
        <v>77.22</v>
      </c>
    </row>
    <row r="25803" spans="1:5" x14ac:dyDescent="0.2">
      <c r="A25803">
        <v>19027</v>
      </c>
      <c r="B25803" t="s">
        <v>44</v>
      </c>
      <c r="C25803">
        <v>19027</v>
      </c>
      <c r="D25803" t="str">
        <f>"19027"</f>
        <v>19027</v>
      </c>
      <c r="E25803">
        <v>77.510000000000005</v>
      </c>
    </row>
    <row r="25804" spans="1:5" x14ac:dyDescent="0.2">
      <c r="A25804">
        <v>19029</v>
      </c>
      <c r="B25804" t="s">
        <v>44</v>
      </c>
      <c r="C25804">
        <v>19029</v>
      </c>
      <c r="D25804" t="str">
        <f>"19029"</f>
        <v>19029</v>
      </c>
      <c r="E25804">
        <v>75</v>
      </c>
    </row>
    <row r="25805" spans="1:5" x14ac:dyDescent="0.2">
      <c r="A25805">
        <v>19030</v>
      </c>
      <c r="B25805" t="s">
        <v>44</v>
      </c>
      <c r="C25805">
        <v>19030</v>
      </c>
      <c r="D25805" t="str">
        <f>"19030"</f>
        <v>19030</v>
      </c>
      <c r="E25805">
        <v>77.14</v>
      </c>
    </row>
    <row r="25806" spans="1:5" x14ac:dyDescent="0.2">
      <c r="A25806">
        <v>19031</v>
      </c>
      <c r="B25806" t="s">
        <v>44</v>
      </c>
      <c r="C25806">
        <v>19031</v>
      </c>
      <c r="D25806" t="str">
        <f>"19031"</f>
        <v>19031</v>
      </c>
      <c r="E25806">
        <v>80.819999999999993</v>
      </c>
    </row>
    <row r="25807" spans="1:5" x14ac:dyDescent="0.2">
      <c r="A25807">
        <v>19032</v>
      </c>
      <c r="B25807" t="s">
        <v>44</v>
      </c>
      <c r="C25807">
        <v>19032</v>
      </c>
      <c r="D25807" t="str">
        <f>"19032"</f>
        <v>19032</v>
      </c>
      <c r="E25807">
        <v>65.849999999999994</v>
      </c>
    </row>
    <row r="25808" spans="1:5" x14ac:dyDescent="0.2">
      <c r="A25808">
        <v>19033</v>
      </c>
      <c r="B25808" t="s">
        <v>44</v>
      </c>
      <c r="C25808">
        <v>19033</v>
      </c>
      <c r="D25808" t="str">
        <f>"19033"</f>
        <v>19033</v>
      </c>
      <c r="E25808">
        <v>78.37</v>
      </c>
    </row>
    <row r="25809" spans="1:5" x14ac:dyDescent="0.2">
      <c r="A25809">
        <v>19034</v>
      </c>
      <c r="B25809" t="s">
        <v>44</v>
      </c>
      <c r="C25809">
        <v>19034</v>
      </c>
      <c r="D25809" t="str">
        <f>"19034"</f>
        <v>19034</v>
      </c>
      <c r="E25809">
        <v>79.569999999999993</v>
      </c>
    </row>
    <row r="25810" spans="1:5" x14ac:dyDescent="0.2">
      <c r="A25810">
        <v>19035</v>
      </c>
      <c r="B25810" t="s">
        <v>44</v>
      </c>
      <c r="C25810">
        <v>19035</v>
      </c>
      <c r="D25810" t="str">
        <f>"19035"</f>
        <v>19035</v>
      </c>
      <c r="E25810">
        <v>82.84</v>
      </c>
    </row>
    <row r="25811" spans="1:5" x14ac:dyDescent="0.2">
      <c r="A25811">
        <v>19036</v>
      </c>
      <c r="B25811" t="s">
        <v>44</v>
      </c>
      <c r="C25811">
        <v>19036</v>
      </c>
      <c r="D25811" t="str">
        <f>"19036"</f>
        <v>19036</v>
      </c>
      <c r="E25811">
        <v>74.849999999999994</v>
      </c>
    </row>
    <row r="25812" spans="1:5" x14ac:dyDescent="0.2">
      <c r="A25812">
        <v>19038</v>
      </c>
      <c r="B25812" t="s">
        <v>44</v>
      </c>
      <c r="C25812">
        <v>19038</v>
      </c>
      <c r="D25812" t="str">
        <f>"19038"</f>
        <v>19038</v>
      </c>
      <c r="E25812">
        <v>79.569999999999993</v>
      </c>
    </row>
    <row r="25813" spans="1:5" x14ac:dyDescent="0.2">
      <c r="A25813">
        <v>19040</v>
      </c>
      <c r="B25813" t="s">
        <v>44</v>
      </c>
      <c r="C25813">
        <v>19040</v>
      </c>
      <c r="D25813" t="str">
        <f>"19040"</f>
        <v>19040</v>
      </c>
      <c r="E25813">
        <v>78.709999999999994</v>
      </c>
    </row>
    <row r="25814" spans="1:5" x14ac:dyDescent="0.2">
      <c r="A25814">
        <v>19041</v>
      </c>
      <c r="B25814" t="s">
        <v>44</v>
      </c>
      <c r="C25814">
        <v>19041</v>
      </c>
      <c r="D25814" t="str">
        <f>"19041"</f>
        <v>19041</v>
      </c>
      <c r="E25814">
        <v>82.94</v>
      </c>
    </row>
    <row r="25815" spans="1:5" x14ac:dyDescent="0.2">
      <c r="A25815">
        <v>19043</v>
      </c>
      <c r="B25815" t="s">
        <v>44</v>
      </c>
      <c r="C25815">
        <v>19043</v>
      </c>
      <c r="D25815" t="str">
        <f>"19043"</f>
        <v>19043</v>
      </c>
      <c r="E25815">
        <v>79.02</v>
      </c>
    </row>
    <row r="25816" spans="1:5" x14ac:dyDescent="0.2">
      <c r="A25816">
        <v>19044</v>
      </c>
      <c r="B25816" t="s">
        <v>44</v>
      </c>
      <c r="C25816">
        <v>19044</v>
      </c>
      <c r="D25816" t="str">
        <f>"19044"</f>
        <v>19044</v>
      </c>
      <c r="E25816">
        <v>80.33</v>
      </c>
    </row>
    <row r="25817" spans="1:5" x14ac:dyDescent="0.2">
      <c r="A25817">
        <v>19046</v>
      </c>
      <c r="B25817" t="s">
        <v>44</v>
      </c>
      <c r="C25817">
        <v>19046</v>
      </c>
      <c r="D25817" t="str">
        <f>"19046"</f>
        <v>19046</v>
      </c>
      <c r="E25817">
        <v>79.78</v>
      </c>
    </row>
    <row r="25818" spans="1:5" x14ac:dyDescent="0.2">
      <c r="A25818">
        <v>19047</v>
      </c>
      <c r="B25818" t="s">
        <v>44</v>
      </c>
      <c r="C25818">
        <v>19047</v>
      </c>
      <c r="D25818" t="str">
        <f>"19047"</f>
        <v>19047</v>
      </c>
      <c r="E25818">
        <v>81.150000000000006</v>
      </c>
    </row>
    <row r="25819" spans="1:5" x14ac:dyDescent="0.2">
      <c r="A25819">
        <v>19050</v>
      </c>
      <c r="B25819" t="s">
        <v>44</v>
      </c>
      <c r="C25819">
        <v>19050</v>
      </c>
      <c r="D25819" t="str">
        <f>"19050"</f>
        <v>19050</v>
      </c>
      <c r="E25819">
        <v>69.239999999999995</v>
      </c>
    </row>
    <row r="25820" spans="1:5" x14ac:dyDescent="0.2">
      <c r="A25820">
        <v>19052</v>
      </c>
      <c r="B25820" t="s">
        <v>44</v>
      </c>
      <c r="C25820">
        <v>19052</v>
      </c>
      <c r="D25820" t="str">
        <f>"19052"</f>
        <v>19052</v>
      </c>
      <c r="E25820" t="s">
        <v>6</v>
      </c>
    </row>
    <row r="25821" spans="1:5" x14ac:dyDescent="0.2">
      <c r="A25821">
        <v>19053</v>
      </c>
      <c r="B25821" t="s">
        <v>44</v>
      </c>
      <c r="C25821">
        <v>19053</v>
      </c>
      <c r="D25821" t="str">
        <f>"19053"</f>
        <v>19053</v>
      </c>
      <c r="E25821">
        <v>77.989999999999995</v>
      </c>
    </row>
    <row r="25822" spans="1:5" x14ac:dyDescent="0.2">
      <c r="A25822">
        <v>19054</v>
      </c>
      <c r="B25822" t="s">
        <v>44</v>
      </c>
      <c r="C25822">
        <v>19054</v>
      </c>
      <c r="D25822" t="str">
        <f>"19054"</f>
        <v>19054</v>
      </c>
      <c r="E25822">
        <v>77.34</v>
      </c>
    </row>
    <row r="25823" spans="1:5" x14ac:dyDescent="0.2">
      <c r="A25823">
        <v>19055</v>
      </c>
      <c r="B25823" t="s">
        <v>44</v>
      </c>
      <c r="C25823">
        <v>19055</v>
      </c>
      <c r="D25823" t="str">
        <f>"19055"</f>
        <v>19055</v>
      </c>
      <c r="E25823">
        <v>73.97</v>
      </c>
    </row>
    <row r="25824" spans="1:5" x14ac:dyDescent="0.2">
      <c r="A25824">
        <v>19056</v>
      </c>
      <c r="B25824" t="s">
        <v>44</v>
      </c>
      <c r="C25824">
        <v>19056</v>
      </c>
      <c r="D25824" t="str">
        <f>"19056"</f>
        <v>19056</v>
      </c>
      <c r="E25824">
        <v>77.22</v>
      </c>
    </row>
    <row r="25825" spans="1:5" x14ac:dyDescent="0.2">
      <c r="A25825">
        <v>19057</v>
      </c>
      <c r="B25825" t="s">
        <v>44</v>
      </c>
      <c r="C25825">
        <v>19057</v>
      </c>
      <c r="D25825" t="str">
        <f>"19057"</f>
        <v>19057</v>
      </c>
      <c r="E25825">
        <v>75.23</v>
      </c>
    </row>
    <row r="25826" spans="1:5" x14ac:dyDescent="0.2">
      <c r="A25826">
        <v>19060</v>
      </c>
      <c r="B25826" t="s">
        <v>44</v>
      </c>
      <c r="C25826">
        <v>19060</v>
      </c>
      <c r="D25826" t="str">
        <f>"19060"</f>
        <v>19060</v>
      </c>
      <c r="E25826">
        <v>81.239999999999995</v>
      </c>
    </row>
    <row r="25827" spans="1:5" x14ac:dyDescent="0.2">
      <c r="A25827">
        <v>19061</v>
      </c>
      <c r="B25827" t="s">
        <v>44</v>
      </c>
      <c r="C25827">
        <v>19061</v>
      </c>
      <c r="D25827" t="str">
        <f>"19061"</f>
        <v>19061</v>
      </c>
      <c r="E25827">
        <v>72.09</v>
      </c>
    </row>
    <row r="25828" spans="1:5" x14ac:dyDescent="0.2">
      <c r="A25828">
        <v>19063</v>
      </c>
      <c r="B25828" t="s">
        <v>44</v>
      </c>
      <c r="C25828">
        <v>19063</v>
      </c>
      <c r="D25828" t="str">
        <f>"19063"</f>
        <v>19063</v>
      </c>
      <c r="E25828">
        <v>81.55</v>
      </c>
    </row>
    <row r="25829" spans="1:5" x14ac:dyDescent="0.2">
      <c r="A25829">
        <v>19064</v>
      </c>
      <c r="B25829" t="s">
        <v>44</v>
      </c>
      <c r="C25829">
        <v>19064</v>
      </c>
      <c r="D25829" t="str">
        <f>"19064"</f>
        <v>19064</v>
      </c>
      <c r="E25829">
        <v>81.040000000000006</v>
      </c>
    </row>
    <row r="25830" spans="1:5" x14ac:dyDescent="0.2">
      <c r="A25830">
        <v>19066</v>
      </c>
      <c r="B25830" t="s">
        <v>44</v>
      </c>
      <c r="C25830">
        <v>19066</v>
      </c>
      <c r="D25830" t="str">
        <f>"19066"</f>
        <v>19066</v>
      </c>
      <c r="E25830">
        <v>83</v>
      </c>
    </row>
    <row r="25831" spans="1:5" x14ac:dyDescent="0.2">
      <c r="A25831">
        <v>19067</v>
      </c>
      <c r="B25831" t="s">
        <v>44</v>
      </c>
      <c r="C25831">
        <v>19067</v>
      </c>
      <c r="D25831" t="str">
        <f>"19067"</f>
        <v>19067</v>
      </c>
      <c r="E25831">
        <v>79.849999999999994</v>
      </c>
    </row>
    <row r="25832" spans="1:5" x14ac:dyDescent="0.2">
      <c r="A25832">
        <v>19070</v>
      </c>
      <c r="B25832" t="s">
        <v>44</v>
      </c>
      <c r="C25832">
        <v>19070</v>
      </c>
      <c r="D25832" t="str">
        <f>"19070"</f>
        <v>19070</v>
      </c>
      <c r="E25832">
        <v>77.89</v>
      </c>
    </row>
    <row r="25833" spans="1:5" x14ac:dyDescent="0.2">
      <c r="A25833">
        <v>19072</v>
      </c>
      <c r="B25833" t="s">
        <v>44</v>
      </c>
      <c r="C25833">
        <v>19072</v>
      </c>
      <c r="D25833" t="str">
        <f>"19072"</f>
        <v>19072</v>
      </c>
      <c r="E25833">
        <v>82.76</v>
      </c>
    </row>
    <row r="25834" spans="1:5" x14ac:dyDescent="0.2">
      <c r="A25834">
        <v>19073</v>
      </c>
      <c r="B25834" t="s">
        <v>44</v>
      </c>
      <c r="C25834">
        <v>19073</v>
      </c>
      <c r="D25834" t="str">
        <f>"19073"</f>
        <v>19073</v>
      </c>
      <c r="E25834">
        <v>81.78</v>
      </c>
    </row>
    <row r="25835" spans="1:5" x14ac:dyDescent="0.2">
      <c r="A25835">
        <v>19074</v>
      </c>
      <c r="B25835" t="s">
        <v>44</v>
      </c>
      <c r="C25835">
        <v>19074</v>
      </c>
      <c r="D25835" t="str">
        <f>"19074"</f>
        <v>19074</v>
      </c>
      <c r="E25835">
        <v>75.59</v>
      </c>
    </row>
    <row r="25836" spans="1:5" x14ac:dyDescent="0.2">
      <c r="A25836">
        <v>19075</v>
      </c>
      <c r="B25836" t="s">
        <v>44</v>
      </c>
      <c r="C25836">
        <v>19075</v>
      </c>
      <c r="D25836" t="str">
        <f>"19075"</f>
        <v>19075</v>
      </c>
      <c r="E25836">
        <v>81.94</v>
      </c>
    </row>
    <row r="25837" spans="1:5" x14ac:dyDescent="0.2">
      <c r="A25837">
        <v>19076</v>
      </c>
      <c r="B25837" t="s">
        <v>44</v>
      </c>
      <c r="C25837">
        <v>19076</v>
      </c>
      <c r="D25837" t="str">
        <f>"19076"</f>
        <v>19076</v>
      </c>
      <c r="E25837">
        <v>77.23</v>
      </c>
    </row>
    <row r="25838" spans="1:5" x14ac:dyDescent="0.2">
      <c r="A25838">
        <v>19078</v>
      </c>
      <c r="B25838" t="s">
        <v>44</v>
      </c>
      <c r="C25838">
        <v>19078</v>
      </c>
      <c r="D25838" t="str">
        <f>"19078"</f>
        <v>19078</v>
      </c>
      <c r="E25838">
        <v>80.61</v>
      </c>
    </row>
    <row r="25839" spans="1:5" x14ac:dyDescent="0.2">
      <c r="A25839">
        <v>19079</v>
      </c>
      <c r="B25839" t="s">
        <v>44</v>
      </c>
      <c r="C25839">
        <v>19079</v>
      </c>
      <c r="D25839" t="str">
        <f>"19079"</f>
        <v>19079</v>
      </c>
      <c r="E25839">
        <v>59.64</v>
      </c>
    </row>
    <row r="25840" spans="1:5" x14ac:dyDescent="0.2">
      <c r="A25840">
        <v>19081</v>
      </c>
      <c r="B25840" t="s">
        <v>44</v>
      </c>
      <c r="C25840">
        <v>19081</v>
      </c>
      <c r="D25840" t="str">
        <f>"19081"</f>
        <v>19081</v>
      </c>
      <c r="E25840">
        <v>81.430000000000007</v>
      </c>
    </row>
    <row r="25841" spans="1:5" x14ac:dyDescent="0.2">
      <c r="A25841">
        <v>19082</v>
      </c>
      <c r="B25841" t="s">
        <v>44</v>
      </c>
      <c r="C25841">
        <v>19082</v>
      </c>
      <c r="D25841" t="str">
        <f>"19082"</f>
        <v>19082</v>
      </c>
      <c r="E25841">
        <v>56.03</v>
      </c>
    </row>
    <row r="25842" spans="1:5" x14ac:dyDescent="0.2">
      <c r="A25842">
        <v>19083</v>
      </c>
      <c r="B25842" t="s">
        <v>44</v>
      </c>
      <c r="C25842">
        <v>19083</v>
      </c>
      <c r="D25842" t="str">
        <f>"19083"</f>
        <v>19083</v>
      </c>
      <c r="E25842">
        <v>80.28</v>
      </c>
    </row>
    <row r="25843" spans="1:5" x14ac:dyDescent="0.2">
      <c r="A25843">
        <v>19085</v>
      </c>
      <c r="B25843" t="s">
        <v>44</v>
      </c>
      <c r="C25843">
        <v>19085</v>
      </c>
      <c r="D25843" t="str">
        <f>"19085"</f>
        <v>19085</v>
      </c>
      <c r="E25843">
        <v>80.84</v>
      </c>
    </row>
    <row r="25844" spans="1:5" x14ac:dyDescent="0.2">
      <c r="A25844">
        <v>19086</v>
      </c>
      <c r="B25844" t="s">
        <v>44</v>
      </c>
      <c r="C25844">
        <v>19086</v>
      </c>
      <c r="D25844" t="str">
        <f>"19086"</f>
        <v>19086</v>
      </c>
      <c r="E25844">
        <v>80.91</v>
      </c>
    </row>
    <row r="25845" spans="1:5" x14ac:dyDescent="0.2">
      <c r="A25845">
        <v>19087</v>
      </c>
      <c r="B25845" t="s">
        <v>44</v>
      </c>
      <c r="C25845">
        <v>19087</v>
      </c>
      <c r="D25845" t="str">
        <f>"19087"</f>
        <v>19087</v>
      </c>
      <c r="E25845">
        <v>82</v>
      </c>
    </row>
    <row r="25846" spans="1:5" x14ac:dyDescent="0.2">
      <c r="A25846">
        <v>19090</v>
      </c>
      <c r="B25846" t="s">
        <v>44</v>
      </c>
      <c r="C25846">
        <v>19090</v>
      </c>
      <c r="D25846" t="str">
        <f>"19090"</f>
        <v>19090</v>
      </c>
      <c r="E25846">
        <v>77.23</v>
      </c>
    </row>
    <row r="25847" spans="1:5" x14ac:dyDescent="0.2">
      <c r="A25847">
        <v>19094</v>
      </c>
      <c r="B25847" t="s">
        <v>44</v>
      </c>
      <c r="C25847">
        <v>19094</v>
      </c>
      <c r="D25847" t="str">
        <f>"19094"</f>
        <v>19094</v>
      </c>
      <c r="E25847">
        <v>71.099999999999994</v>
      </c>
    </row>
    <row r="25848" spans="1:5" x14ac:dyDescent="0.2">
      <c r="A25848">
        <v>19095</v>
      </c>
      <c r="B25848" t="s">
        <v>44</v>
      </c>
      <c r="C25848">
        <v>19095</v>
      </c>
      <c r="D25848" t="str">
        <f>"19095"</f>
        <v>19095</v>
      </c>
      <c r="E25848">
        <v>77.62</v>
      </c>
    </row>
    <row r="25849" spans="1:5" x14ac:dyDescent="0.2">
      <c r="A25849">
        <v>19096</v>
      </c>
      <c r="B25849" t="s">
        <v>44</v>
      </c>
      <c r="C25849">
        <v>19096</v>
      </c>
      <c r="D25849" t="str">
        <f>"19096"</f>
        <v>19096</v>
      </c>
      <c r="E25849">
        <v>82.15</v>
      </c>
    </row>
    <row r="25850" spans="1:5" x14ac:dyDescent="0.2">
      <c r="A25850">
        <v>19102</v>
      </c>
      <c r="B25850" t="s">
        <v>44</v>
      </c>
      <c r="C25850">
        <v>19102</v>
      </c>
      <c r="D25850" t="str">
        <f>"19102"</f>
        <v>19102</v>
      </c>
      <c r="E25850">
        <v>90.27</v>
      </c>
    </row>
    <row r="25851" spans="1:5" x14ac:dyDescent="0.2">
      <c r="A25851">
        <v>19103</v>
      </c>
      <c r="B25851" t="s">
        <v>44</v>
      </c>
      <c r="C25851">
        <v>19103</v>
      </c>
      <c r="D25851" t="str">
        <f>"19103"</f>
        <v>19103</v>
      </c>
      <c r="E25851">
        <v>87.92</v>
      </c>
    </row>
    <row r="25852" spans="1:5" x14ac:dyDescent="0.2">
      <c r="A25852">
        <v>19104</v>
      </c>
      <c r="B25852" t="s">
        <v>44</v>
      </c>
      <c r="C25852">
        <v>19104</v>
      </c>
      <c r="D25852" t="str">
        <f>"19104"</f>
        <v>19104</v>
      </c>
      <c r="E25852">
        <v>61.64</v>
      </c>
    </row>
    <row r="25853" spans="1:5" x14ac:dyDescent="0.2">
      <c r="A25853">
        <v>19106</v>
      </c>
      <c r="B25853" t="s">
        <v>44</v>
      </c>
      <c r="C25853">
        <v>19106</v>
      </c>
      <c r="D25853" t="str">
        <f>"19106"</f>
        <v>19106</v>
      </c>
      <c r="E25853">
        <v>89.09</v>
      </c>
    </row>
    <row r="25854" spans="1:5" x14ac:dyDescent="0.2">
      <c r="A25854">
        <v>19107</v>
      </c>
      <c r="B25854" t="s">
        <v>44</v>
      </c>
      <c r="C25854">
        <v>19107</v>
      </c>
      <c r="D25854" t="str">
        <f>"19107"</f>
        <v>19107</v>
      </c>
      <c r="E25854">
        <v>79.03</v>
      </c>
    </row>
    <row r="25855" spans="1:5" x14ac:dyDescent="0.2">
      <c r="A25855">
        <v>19108</v>
      </c>
      <c r="B25855" t="s">
        <v>44</v>
      </c>
      <c r="C25855">
        <v>19108</v>
      </c>
      <c r="D25855" t="str">
        <f>"19108"</f>
        <v>19108</v>
      </c>
      <c r="E25855" t="s">
        <v>6</v>
      </c>
    </row>
    <row r="25856" spans="1:5" x14ac:dyDescent="0.2">
      <c r="A25856">
        <v>19109</v>
      </c>
      <c r="B25856" t="s">
        <v>44</v>
      </c>
      <c r="C25856">
        <v>19109</v>
      </c>
      <c r="D25856" t="str">
        <f>"19109"</f>
        <v>19109</v>
      </c>
      <c r="E25856" t="s">
        <v>6</v>
      </c>
    </row>
    <row r="25857" spans="1:5" x14ac:dyDescent="0.2">
      <c r="A25857">
        <v>19111</v>
      </c>
      <c r="B25857" t="s">
        <v>44</v>
      </c>
      <c r="C25857">
        <v>19111</v>
      </c>
      <c r="D25857" t="str">
        <f>"19111"</f>
        <v>19111</v>
      </c>
      <c r="E25857">
        <v>65</v>
      </c>
    </row>
    <row r="25858" spans="1:5" x14ac:dyDescent="0.2">
      <c r="A25858">
        <v>19112</v>
      </c>
      <c r="B25858" t="s">
        <v>44</v>
      </c>
      <c r="C25858">
        <v>19112</v>
      </c>
      <c r="D25858" t="str">
        <f>"19112"</f>
        <v>19112</v>
      </c>
      <c r="E25858" t="s">
        <v>6</v>
      </c>
    </row>
    <row r="25859" spans="1:5" x14ac:dyDescent="0.2">
      <c r="A25859">
        <v>19113</v>
      </c>
      <c r="B25859" t="s">
        <v>44</v>
      </c>
      <c r="C25859">
        <v>19113</v>
      </c>
      <c r="D25859" t="str">
        <f>"19113"</f>
        <v>19113</v>
      </c>
      <c r="E25859" t="s">
        <v>6</v>
      </c>
    </row>
    <row r="25860" spans="1:5" x14ac:dyDescent="0.2">
      <c r="A25860">
        <v>19114</v>
      </c>
      <c r="B25860" t="s">
        <v>44</v>
      </c>
      <c r="C25860">
        <v>19114</v>
      </c>
      <c r="D25860" t="str">
        <f>"19114"</f>
        <v>19114</v>
      </c>
      <c r="E25860">
        <v>75.53</v>
      </c>
    </row>
    <row r="25861" spans="1:5" x14ac:dyDescent="0.2">
      <c r="A25861">
        <v>19115</v>
      </c>
      <c r="B25861" t="s">
        <v>44</v>
      </c>
      <c r="C25861">
        <v>19115</v>
      </c>
      <c r="D25861" t="str">
        <f>"19115"</f>
        <v>19115</v>
      </c>
      <c r="E25861">
        <v>71.7</v>
      </c>
    </row>
    <row r="25862" spans="1:5" x14ac:dyDescent="0.2">
      <c r="A25862">
        <v>19116</v>
      </c>
      <c r="B25862" t="s">
        <v>44</v>
      </c>
      <c r="C25862">
        <v>19116</v>
      </c>
      <c r="D25862" t="str">
        <f>"19116"</f>
        <v>19116</v>
      </c>
      <c r="E25862">
        <v>71.75</v>
      </c>
    </row>
    <row r="25863" spans="1:5" x14ac:dyDescent="0.2">
      <c r="A25863">
        <v>19118</v>
      </c>
      <c r="B25863" t="s">
        <v>44</v>
      </c>
      <c r="C25863">
        <v>19118</v>
      </c>
      <c r="D25863" t="str">
        <f>"19118"</f>
        <v>19118</v>
      </c>
      <c r="E25863">
        <v>82.22</v>
      </c>
    </row>
    <row r="25864" spans="1:5" x14ac:dyDescent="0.2">
      <c r="A25864">
        <v>19119</v>
      </c>
      <c r="B25864" t="s">
        <v>44</v>
      </c>
      <c r="C25864">
        <v>19119</v>
      </c>
      <c r="D25864" t="str">
        <f>"19119"</f>
        <v>19119</v>
      </c>
      <c r="E25864">
        <v>76.92</v>
      </c>
    </row>
    <row r="25865" spans="1:5" x14ac:dyDescent="0.2">
      <c r="A25865">
        <v>19120</v>
      </c>
      <c r="B25865" t="s">
        <v>44</v>
      </c>
      <c r="C25865">
        <v>19120</v>
      </c>
      <c r="D25865" t="str">
        <f>"19120"</f>
        <v>19120</v>
      </c>
      <c r="E25865">
        <v>53.56</v>
      </c>
    </row>
    <row r="25866" spans="1:5" x14ac:dyDescent="0.2">
      <c r="A25866">
        <v>19121</v>
      </c>
      <c r="B25866" t="s">
        <v>44</v>
      </c>
      <c r="C25866">
        <v>19121</v>
      </c>
      <c r="D25866" t="str">
        <f>"19121"</f>
        <v>19121</v>
      </c>
      <c r="E25866">
        <v>51.1</v>
      </c>
    </row>
    <row r="25867" spans="1:5" x14ac:dyDescent="0.2">
      <c r="A25867">
        <v>19122</v>
      </c>
      <c r="B25867" t="s">
        <v>44</v>
      </c>
      <c r="C25867">
        <v>19122</v>
      </c>
      <c r="D25867" t="str">
        <f>"19122"</f>
        <v>19122</v>
      </c>
      <c r="E25867">
        <v>66.400000000000006</v>
      </c>
    </row>
    <row r="25868" spans="1:5" x14ac:dyDescent="0.2">
      <c r="A25868">
        <v>19123</v>
      </c>
      <c r="B25868" t="s">
        <v>44</v>
      </c>
      <c r="C25868">
        <v>19123</v>
      </c>
      <c r="D25868" t="str">
        <f>"19123"</f>
        <v>19123</v>
      </c>
      <c r="E25868">
        <v>80.47</v>
      </c>
    </row>
    <row r="25869" spans="1:5" x14ac:dyDescent="0.2">
      <c r="A25869">
        <v>19124</v>
      </c>
      <c r="B25869" t="s">
        <v>44</v>
      </c>
      <c r="C25869">
        <v>19124</v>
      </c>
      <c r="D25869" t="str">
        <f>"19124"</f>
        <v>19124</v>
      </c>
      <c r="E25869">
        <v>49.58</v>
      </c>
    </row>
    <row r="25870" spans="1:5" x14ac:dyDescent="0.2">
      <c r="A25870">
        <v>19125</v>
      </c>
      <c r="B25870" t="s">
        <v>44</v>
      </c>
      <c r="C25870">
        <v>19125</v>
      </c>
      <c r="D25870" t="str">
        <f>"19125"</f>
        <v>19125</v>
      </c>
      <c r="E25870">
        <v>81.040000000000006</v>
      </c>
    </row>
    <row r="25871" spans="1:5" x14ac:dyDescent="0.2">
      <c r="A25871">
        <v>19126</v>
      </c>
      <c r="B25871" t="s">
        <v>44</v>
      </c>
      <c r="C25871">
        <v>19126</v>
      </c>
      <c r="D25871" t="str">
        <f>"19126"</f>
        <v>19126</v>
      </c>
      <c r="E25871">
        <v>65.569999999999993</v>
      </c>
    </row>
    <row r="25872" spans="1:5" x14ac:dyDescent="0.2">
      <c r="A25872">
        <v>19127</v>
      </c>
      <c r="B25872" t="s">
        <v>44</v>
      </c>
      <c r="C25872">
        <v>19127</v>
      </c>
      <c r="D25872" t="str">
        <f>"19127"</f>
        <v>19127</v>
      </c>
      <c r="E25872">
        <v>86.88</v>
      </c>
    </row>
    <row r="25873" spans="1:5" x14ac:dyDescent="0.2">
      <c r="A25873">
        <v>19128</v>
      </c>
      <c r="B25873" t="s">
        <v>44</v>
      </c>
      <c r="C25873">
        <v>19128</v>
      </c>
      <c r="D25873" t="str">
        <f>"19128"</f>
        <v>19128</v>
      </c>
      <c r="E25873">
        <v>83.7</v>
      </c>
    </row>
    <row r="25874" spans="1:5" x14ac:dyDescent="0.2">
      <c r="A25874">
        <v>19129</v>
      </c>
      <c r="B25874" t="s">
        <v>44</v>
      </c>
      <c r="C25874">
        <v>19129</v>
      </c>
      <c r="D25874" t="str">
        <f>"19129"</f>
        <v>19129</v>
      </c>
      <c r="E25874">
        <v>78.540000000000006</v>
      </c>
    </row>
    <row r="25875" spans="1:5" x14ac:dyDescent="0.2">
      <c r="A25875">
        <v>19130</v>
      </c>
      <c r="B25875" t="s">
        <v>44</v>
      </c>
      <c r="C25875">
        <v>19130</v>
      </c>
      <c r="D25875" t="str">
        <f>"19130"</f>
        <v>19130</v>
      </c>
      <c r="E25875">
        <v>86.26</v>
      </c>
    </row>
    <row r="25876" spans="1:5" x14ac:dyDescent="0.2">
      <c r="A25876">
        <v>19131</v>
      </c>
      <c r="B25876" t="s">
        <v>44</v>
      </c>
      <c r="C25876">
        <v>19131</v>
      </c>
      <c r="D25876" t="str">
        <f>"19131"</f>
        <v>19131</v>
      </c>
      <c r="E25876">
        <v>62.63</v>
      </c>
    </row>
    <row r="25877" spans="1:5" x14ac:dyDescent="0.2">
      <c r="A25877">
        <v>19132</v>
      </c>
      <c r="B25877" t="s">
        <v>44</v>
      </c>
      <c r="C25877">
        <v>19132</v>
      </c>
      <c r="D25877" t="str">
        <f>"19132"</f>
        <v>19132</v>
      </c>
      <c r="E25877">
        <v>48.65</v>
      </c>
    </row>
    <row r="25878" spans="1:5" x14ac:dyDescent="0.2">
      <c r="A25878">
        <v>19133</v>
      </c>
      <c r="B25878" t="s">
        <v>44</v>
      </c>
      <c r="C25878">
        <v>19133</v>
      </c>
      <c r="D25878" t="str">
        <f>"19133"</f>
        <v>19133</v>
      </c>
      <c r="E25878">
        <v>41.2</v>
      </c>
    </row>
    <row r="25879" spans="1:5" x14ac:dyDescent="0.2">
      <c r="A25879">
        <v>19134</v>
      </c>
      <c r="B25879" t="s">
        <v>44</v>
      </c>
      <c r="C25879">
        <v>19134</v>
      </c>
      <c r="D25879" t="str">
        <f>"19134"</f>
        <v>19134</v>
      </c>
      <c r="E25879">
        <v>49.68</v>
      </c>
    </row>
    <row r="25880" spans="1:5" x14ac:dyDescent="0.2">
      <c r="A25880">
        <v>19135</v>
      </c>
      <c r="B25880" t="s">
        <v>44</v>
      </c>
      <c r="C25880">
        <v>19135</v>
      </c>
      <c r="D25880" t="str">
        <f>"19135"</f>
        <v>19135</v>
      </c>
      <c r="E25880">
        <v>58.76</v>
      </c>
    </row>
    <row r="25881" spans="1:5" x14ac:dyDescent="0.2">
      <c r="A25881">
        <v>19136</v>
      </c>
      <c r="B25881" t="s">
        <v>44</v>
      </c>
      <c r="C25881">
        <v>19136</v>
      </c>
      <c r="D25881" t="str">
        <f>"19136"</f>
        <v>19136</v>
      </c>
      <c r="E25881">
        <v>67.75</v>
      </c>
    </row>
    <row r="25882" spans="1:5" x14ac:dyDescent="0.2">
      <c r="A25882">
        <v>19137</v>
      </c>
      <c r="B25882" t="s">
        <v>44</v>
      </c>
      <c r="C25882">
        <v>19137</v>
      </c>
      <c r="D25882" t="str">
        <f>"19137"</f>
        <v>19137</v>
      </c>
      <c r="E25882">
        <v>70.650000000000006</v>
      </c>
    </row>
    <row r="25883" spans="1:5" x14ac:dyDescent="0.2">
      <c r="A25883">
        <v>19138</v>
      </c>
      <c r="B25883" t="s">
        <v>44</v>
      </c>
      <c r="C25883">
        <v>19138</v>
      </c>
      <c r="D25883" t="str">
        <f>"19138"</f>
        <v>19138</v>
      </c>
      <c r="E25883">
        <v>59.67</v>
      </c>
    </row>
    <row r="25884" spans="1:5" x14ac:dyDescent="0.2">
      <c r="A25884">
        <v>19139</v>
      </c>
      <c r="B25884" t="s">
        <v>44</v>
      </c>
      <c r="C25884">
        <v>19139</v>
      </c>
      <c r="D25884" t="str">
        <f>"19139"</f>
        <v>19139</v>
      </c>
      <c r="E25884">
        <v>53.12</v>
      </c>
    </row>
    <row r="25885" spans="1:5" x14ac:dyDescent="0.2">
      <c r="A25885">
        <v>19140</v>
      </c>
      <c r="B25885" t="s">
        <v>44</v>
      </c>
      <c r="C25885">
        <v>19140</v>
      </c>
      <c r="D25885" t="str">
        <f>"19140"</f>
        <v>19140</v>
      </c>
      <c r="E25885">
        <v>45.61</v>
      </c>
    </row>
    <row r="25886" spans="1:5" x14ac:dyDescent="0.2">
      <c r="A25886">
        <v>19141</v>
      </c>
      <c r="B25886" t="s">
        <v>44</v>
      </c>
      <c r="C25886">
        <v>19141</v>
      </c>
      <c r="D25886" t="str">
        <f>"19141"</f>
        <v>19141</v>
      </c>
      <c r="E25886">
        <v>58.04</v>
      </c>
    </row>
    <row r="25887" spans="1:5" x14ac:dyDescent="0.2">
      <c r="A25887">
        <v>19142</v>
      </c>
      <c r="B25887" t="s">
        <v>44</v>
      </c>
      <c r="C25887">
        <v>19142</v>
      </c>
      <c r="D25887" t="str">
        <f>"19142"</f>
        <v>19142</v>
      </c>
      <c r="E25887">
        <v>48.34</v>
      </c>
    </row>
    <row r="25888" spans="1:5" x14ac:dyDescent="0.2">
      <c r="A25888">
        <v>19143</v>
      </c>
      <c r="B25888" t="s">
        <v>44</v>
      </c>
      <c r="C25888">
        <v>19143</v>
      </c>
      <c r="D25888" t="str">
        <f>"19143"</f>
        <v>19143</v>
      </c>
      <c r="E25888">
        <v>58.76</v>
      </c>
    </row>
    <row r="25889" spans="1:5" x14ac:dyDescent="0.2">
      <c r="A25889">
        <v>19144</v>
      </c>
      <c r="B25889" t="s">
        <v>44</v>
      </c>
      <c r="C25889">
        <v>19144</v>
      </c>
      <c r="D25889" t="str">
        <f>"19144"</f>
        <v>19144</v>
      </c>
      <c r="E25889">
        <v>61.68</v>
      </c>
    </row>
    <row r="25890" spans="1:5" x14ac:dyDescent="0.2">
      <c r="A25890">
        <v>19145</v>
      </c>
      <c r="B25890" t="s">
        <v>44</v>
      </c>
      <c r="C25890">
        <v>19145</v>
      </c>
      <c r="D25890" t="str">
        <f>"19145"</f>
        <v>19145</v>
      </c>
      <c r="E25890">
        <v>67.72</v>
      </c>
    </row>
    <row r="25891" spans="1:5" x14ac:dyDescent="0.2">
      <c r="A25891">
        <v>19146</v>
      </c>
      <c r="B25891" t="s">
        <v>44</v>
      </c>
      <c r="C25891">
        <v>19146</v>
      </c>
      <c r="D25891" t="str">
        <f>"19146"</f>
        <v>19146</v>
      </c>
      <c r="E25891">
        <v>78.8</v>
      </c>
    </row>
    <row r="25892" spans="1:5" x14ac:dyDescent="0.2">
      <c r="A25892">
        <v>19147</v>
      </c>
      <c r="B25892" t="s">
        <v>44</v>
      </c>
      <c r="C25892">
        <v>19147</v>
      </c>
      <c r="D25892" t="str">
        <f>"19147"</f>
        <v>19147</v>
      </c>
      <c r="E25892">
        <v>82.34</v>
      </c>
    </row>
    <row r="25893" spans="1:5" x14ac:dyDescent="0.2">
      <c r="A25893">
        <v>19148</v>
      </c>
      <c r="B25893" t="s">
        <v>44</v>
      </c>
      <c r="C25893">
        <v>19148</v>
      </c>
      <c r="D25893" t="str">
        <f>"19148"</f>
        <v>19148</v>
      </c>
      <c r="E25893">
        <v>69.47</v>
      </c>
    </row>
    <row r="25894" spans="1:5" x14ac:dyDescent="0.2">
      <c r="A25894">
        <v>19149</v>
      </c>
      <c r="B25894" t="s">
        <v>44</v>
      </c>
      <c r="C25894">
        <v>19149</v>
      </c>
      <c r="D25894" t="str">
        <f>"19149"</f>
        <v>19149</v>
      </c>
      <c r="E25894">
        <v>54.51</v>
      </c>
    </row>
    <row r="25895" spans="1:5" x14ac:dyDescent="0.2">
      <c r="A25895">
        <v>19150</v>
      </c>
      <c r="B25895" t="s">
        <v>44</v>
      </c>
      <c r="C25895">
        <v>19150</v>
      </c>
      <c r="D25895" t="str">
        <f>"19150"</f>
        <v>19150</v>
      </c>
      <c r="E25895">
        <v>71</v>
      </c>
    </row>
    <row r="25896" spans="1:5" x14ac:dyDescent="0.2">
      <c r="A25896">
        <v>19151</v>
      </c>
      <c r="B25896" t="s">
        <v>44</v>
      </c>
      <c r="C25896">
        <v>19151</v>
      </c>
      <c r="D25896" t="str">
        <f>"19151"</f>
        <v>19151</v>
      </c>
      <c r="E25896">
        <v>63.94</v>
      </c>
    </row>
    <row r="25897" spans="1:5" x14ac:dyDescent="0.2">
      <c r="A25897">
        <v>19152</v>
      </c>
      <c r="B25897" t="s">
        <v>44</v>
      </c>
      <c r="C25897">
        <v>19152</v>
      </c>
      <c r="D25897" t="str">
        <f>"19152"</f>
        <v>19152</v>
      </c>
      <c r="E25897">
        <v>66.099999999999994</v>
      </c>
    </row>
    <row r="25898" spans="1:5" x14ac:dyDescent="0.2">
      <c r="A25898">
        <v>19153</v>
      </c>
      <c r="B25898" t="s">
        <v>44</v>
      </c>
      <c r="C25898">
        <v>19153</v>
      </c>
      <c r="D25898" t="str">
        <f>"19153"</f>
        <v>19153</v>
      </c>
      <c r="E25898">
        <v>66.33</v>
      </c>
    </row>
    <row r="25899" spans="1:5" x14ac:dyDescent="0.2">
      <c r="A25899">
        <v>19154</v>
      </c>
      <c r="B25899" t="s">
        <v>44</v>
      </c>
      <c r="C25899">
        <v>19154</v>
      </c>
      <c r="D25899" t="str">
        <f>"19154"</f>
        <v>19154</v>
      </c>
      <c r="E25899">
        <v>76.59</v>
      </c>
    </row>
    <row r="25900" spans="1:5" x14ac:dyDescent="0.2">
      <c r="A25900">
        <v>19176</v>
      </c>
      <c r="B25900" t="s">
        <v>44</v>
      </c>
      <c r="C25900">
        <v>19176</v>
      </c>
      <c r="D25900" t="str">
        <f>"19176"</f>
        <v>19176</v>
      </c>
      <c r="E25900" t="s">
        <v>6</v>
      </c>
    </row>
    <row r="25901" spans="1:5" x14ac:dyDescent="0.2">
      <c r="A25901">
        <v>19301</v>
      </c>
      <c r="B25901" t="s">
        <v>44</v>
      </c>
      <c r="C25901">
        <v>19301</v>
      </c>
      <c r="D25901" t="str">
        <f>"19301"</f>
        <v>19301</v>
      </c>
      <c r="E25901">
        <v>81.99</v>
      </c>
    </row>
    <row r="25902" spans="1:5" x14ac:dyDescent="0.2">
      <c r="A25902">
        <v>19310</v>
      </c>
      <c r="B25902" t="s">
        <v>44</v>
      </c>
      <c r="C25902">
        <v>19310</v>
      </c>
      <c r="D25902" t="str">
        <f>"19310"</f>
        <v>19310</v>
      </c>
      <c r="E25902">
        <v>72.260000000000005</v>
      </c>
    </row>
    <row r="25903" spans="1:5" x14ac:dyDescent="0.2">
      <c r="A25903">
        <v>19311</v>
      </c>
      <c r="B25903" t="s">
        <v>44</v>
      </c>
      <c r="C25903">
        <v>19311</v>
      </c>
      <c r="D25903" t="str">
        <f>"19311"</f>
        <v>19311</v>
      </c>
      <c r="E25903">
        <v>76.98</v>
      </c>
    </row>
    <row r="25904" spans="1:5" x14ac:dyDescent="0.2">
      <c r="A25904">
        <v>19312</v>
      </c>
      <c r="B25904" t="s">
        <v>44</v>
      </c>
      <c r="C25904">
        <v>19312</v>
      </c>
      <c r="D25904" t="str">
        <f>"19312"</f>
        <v>19312</v>
      </c>
      <c r="E25904">
        <v>80.84</v>
      </c>
    </row>
    <row r="25905" spans="1:5" x14ac:dyDescent="0.2">
      <c r="A25905">
        <v>19317</v>
      </c>
      <c r="B25905" t="s">
        <v>44</v>
      </c>
      <c r="C25905">
        <v>19317</v>
      </c>
      <c r="D25905" t="str">
        <f>"19317"</f>
        <v>19317</v>
      </c>
      <c r="E25905">
        <v>82.36</v>
      </c>
    </row>
    <row r="25906" spans="1:5" x14ac:dyDescent="0.2">
      <c r="A25906">
        <v>19319</v>
      </c>
      <c r="B25906" t="s">
        <v>44</v>
      </c>
      <c r="C25906">
        <v>19319</v>
      </c>
      <c r="D25906" t="str">
        <f>"19319"</f>
        <v>19319</v>
      </c>
      <c r="E25906">
        <v>64.709999999999994</v>
      </c>
    </row>
    <row r="25907" spans="1:5" x14ac:dyDescent="0.2">
      <c r="A25907">
        <v>19320</v>
      </c>
      <c r="B25907" t="s">
        <v>44</v>
      </c>
      <c r="C25907">
        <v>19320</v>
      </c>
      <c r="D25907" t="str">
        <f>"19320"</f>
        <v>19320</v>
      </c>
      <c r="E25907">
        <v>72.91</v>
      </c>
    </row>
    <row r="25908" spans="1:5" x14ac:dyDescent="0.2">
      <c r="A25908">
        <v>19330</v>
      </c>
      <c r="B25908" t="s">
        <v>44</v>
      </c>
      <c r="C25908">
        <v>19330</v>
      </c>
      <c r="D25908" t="str">
        <f>"19330"</f>
        <v>19330</v>
      </c>
      <c r="E25908">
        <v>75.650000000000006</v>
      </c>
    </row>
    <row r="25909" spans="1:5" x14ac:dyDescent="0.2">
      <c r="A25909">
        <v>19333</v>
      </c>
      <c r="B25909" t="s">
        <v>44</v>
      </c>
      <c r="C25909">
        <v>19333</v>
      </c>
      <c r="D25909" t="str">
        <f>"19333"</f>
        <v>19333</v>
      </c>
      <c r="E25909">
        <v>84.47</v>
      </c>
    </row>
    <row r="25910" spans="1:5" x14ac:dyDescent="0.2">
      <c r="A25910">
        <v>19335</v>
      </c>
      <c r="B25910" t="s">
        <v>44</v>
      </c>
      <c r="C25910">
        <v>19335</v>
      </c>
      <c r="D25910" t="str">
        <f>"19335"</f>
        <v>19335</v>
      </c>
      <c r="E25910">
        <v>80.88</v>
      </c>
    </row>
    <row r="25911" spans="1:5" x14ac:dyDescent="0.2">
      <c r="A25911">
        <v>19341</v>
      </c>
      <c r="B25911" t="s">
        <v>44</v>
      </c>
      <c r="C25911">
        <v>19341</v>
      </c>
      <c r="D25911" t="str">
        <f>"19341"</f>
        <v>19341</v>
      </c>
      <c r="E25911">
        <v>81.900000000000006</v>
      </c>
    </row>
    <row r="25912" spans="1:5" x14ac:dyDescent="0.2">
      <c r="A25912">
        <v>19342</v>
      </c>
      <c r="B25912" t="s">
        <v>44</v>
      </c>
      <c r="C25912">
        <v>19342</v>
      </c>
      <c r="D25912" t="str">
        <f>"19342"</f>
        <v>19342</v>
      </c>
      <c r="E25912">
        <v>82.93</v>
      </c>
    </row>
    <row r="25913" spans="1:5" x14ac:dyDescent="0.2">
      <c r="A25913">
        <v>19343</v>
      </c>
      <c r="B25913" t="s">
        <v>44</v>
      </c>
      <c r="C25913">
        <v>19343</v>
      </c>
      <c r="D25913" t="str">
        <f>"19343"</f>
        <v>19343</v>
      </c>
      <c r="E25913">
        <v>78.78</v>
      </c>
    </row>
    <row r="25914" spans="1:5" x14ac:dyDescent="0.2">
      <c r="A25914">
        <v>19344</v>
      </c>
      <c r="B25914" t="s">
        <v>44</v>
      </c>
      <c r="C25914">
        <v>19344</v>
      </c>
      <c r="D25914" t="str">
        <f>"19344"</f>
        <v>19344</v>
      </c>
      <c r="E25914">
        <v>72.86</v>
      </c>
    </row>
    <row r="25915" spans="1:5" x14ac:dyDescent="0.2">
      <c r="A25915">
        <v>19345</v>
      </c>
      <c r="B25915" t="s">
        <v>44</v>
      </c>
      <c r="C25915">
        <v>19345</v>
      </c>
      <c r="D25915" t="str">
        <f>"19345"</f>
        <v>19345</v>
      </c>
      <c r="E25915" t="s">
        <v>6</v>
      </c>
    </row>
    <row r="25916" spans="1:5" x14ac:dyDescent="0.2">
      <c r="A25916">
        <v>19348</v>
      </c>
      <c r="B25916" t="s">
        <v>44</v>
      </c>
      <c r="C25916">
        <v>19348</v>
      </c>
      <c r="D25916" t="str">
        <f>"19348"</f>
        <v>19348</v>
      </c>
      <c r="E25916">
        <v>77.239999999999995</v>
      </c>
    </row>
    <row r="25917" spans="1:5" x14ac:dyDescent="0.2">
      <c r="A25917">
        <v>19350</v>
      </c>
      <c r="B25917" t="s">
        <v>44</v>
      </c>
      <c r="C25917">
        <v>19350</v>
      </c>
      <c r="D25917" t="str">
        <f>"19350"</f>
        <v>19350</v>
      </c>
      <c r="E25917">
        <v>82.14</v>
      </c>
    </row>
    <row r="25918" spans="1:5" x14ac:dyDescent="0.2">
      <c r="A25918">
        <v>19352</v>
      </c>
      <c r="B25918" t="s">
        <v>44</v>
      </c>
      <c r="C25918">
        <v>19352</v>
      </c>
      <c r="D25918" t="str">
        <f>"19352"</f>
        <v>19352</v>
      </c>
      <c r="E25918">
        <v>77.209999999999994</v>
      </c>
    </row>
    <row r="25919" spans="1:5" x14ac:dyDescent="0.2">
      <c r="A25919">
        <v>19355</v>
      </c>
      <c r="B25919" t="s">
        <v>44</v>
      </c>
      <c r="C25919">
        <v>19355</v>
      </c>
      <c r="D25919" t="str">
        <f>"19355"</f>
        <v>19355</v>
      </c>
      <c r="E25919">
        <v>81.7</v>
      </c>
    </row>
    <row r="25920" spans="1:5" x14ac:dyDescent="0.2">
      <c r="A25920">
        <v>19362</v>
      </c>
      <c r="B25920" t="s">
        <v>44</v>
      </c>
      <c r="C25920">
        <v>19362</v>
      </c>
      <c r="D25920" t="str">
        <f>"19362"</f>
        <v>19362</v>
      </c>
      <c r="E25920">
        <v>74.260000000000005</v>
      </c>
    </row>
    <row r="25921" spans="1:5" x14ac:dyDescent="0.2">
      <c r="A25921">
        <v>19363</v>
      </c>
      <c r="B25921" t="s">
        <v>44</v>
      </c>
      <c r="C25921">
        <v>19363</v>
      </c>
      <c r="D25921" t="str">
        <f>"19363"</f>
        <v>19363</v>
      </c>
      <c r="E25921">
        <v>73.540000000000006</v>
      </c>
    </row>
    <row r="25922" spans="1:5" x14ac:dyDescent="0.2">
      <c r="A25922">
        <v>19365</v>
      </c>
      <c r="B25922" t="s">
        <v>44</v>
      </c>
      <c r="C25922">
        <v>19365</v>
      </c>
      <c r="D25922" t="str">
        <f>"19365"</f>
        <v>19365</v>
      </c>
      <c r="E25922">
        <v>73.28</v>
      </c>
    </row>
    <row r="25923" spans="1:5" x14ac:dyDescent="0.2">
      <c r="A25923">
        <v>19372</v>
      </c>
      <c r="B25923" t="s">
        <v>44</v>
      </c>
      <c r="C25923">
        <v>19372</v>
      </c>
      <c r="D25923" t="str">
        <f>"19372"</f>
        <v>19372</v>
      </c>
      <c r="E25923">
        <v>80.3</v>
      </c>
    </row>
    <row r="25924" spans="1:5" x14ac:dyDescent="0.2">
      <c r="A25924">
        <v>19373</v>
      </c>
      <c r="B25924" t="s">
        <v>44</v>
      </c>
      <c r="C25924">
        <v>19373</v>
      </c>
      <c r="D25924" t="str">
        <f>"19373"</f>
        <v>19373</v>
      </c>
      <c r="E25924">
        <v>81.819999999999993</v>
      </c>
    </row>
    <row r="25925" spans="1:5" x14ac:dyDescent="0.2">
      <c r="A25925">
        <v>19374</v>
      </c>
      <c r="B25925" t="s">
        <v>44</v>
      </c>
      <c r="C25925">
        <v>19374</v>
      </c>
      <c r="D25925" t="str">
        <f>"19374"</f>
        <v>19374</v>
      </c>
      <c r="E25925">
        <v>63.64</v>
      </c>
    </row>
    <row r="25926" spans="1:5" x14ac:dyDescent="0.2">
      <c r="A25926">
        <v>19380</v>
      </c>
      <c r="B25926" t="s">
        <v>44</v>
      </c>
      <c r="C25926">
        <v>19380</v>
      </c>
      <c r="D25926" t="str">
        <f>"19380"</f>
        <v>19380</v>
      </c>
      <c r="E25926">
        <v>81.36</v>
      </c>
    </row>
    <row r="25927" spans="1:5" x14ac:dyDescent="0.2">
      <c r="A25927">
        <v>19382</v>
      </c>
      <c r="B25927" t="s">
        <v>44</v>
      </c>
      <c r="C25927">
        <v>19382</v>
      </c>
      <c r="D25927" t="str">
        <f>"19382"</f>
        <v>19382</v>
      </c>
      <c r="E25927">
        <v>81.8</v>
      </c>
    </row>
    <row r="25928" spans="1:5" x14ac:dyDescent="0.2">
      <c r="A25928">
        <v>19383</v>
      </c>
      <c r="B25928" t="s">
        <v>44</v>
      </c>
      <c r="C25928">
        <v>19383</v>
      </c>
      <c r="D25928" t="str">
        <f>"19383"</f>
        <v>19383</v>
      </c>
      <c r="E25928" t="s">
        <v>6</v>
      </c>
    </row>
    <row r="25929" spans="1:5" x14ac:dyDescent="0.2">
      <c r="A25929">
        <v>19390</v>
      </c>
      <c r="B25929" t="s">
        <v>44</v>
      </c>
      <c r="C25929">
        <v>19390</v>
      </c>
      <c r="D25929" t="str">
        <f>"19390"</f>
        <v>19390</v>
      </c>
      <c r="E25929">
        <v>76.319999999999993</v>
      </c>
    </row>
    <row r="25930" spans="1:5" x14ac:dyDescent="0.2">
      <c r="A25930">
        <v>19401</v>
      </c>
      <c r="B25930" t="s">
        <v>44</v>
      </c>
      <c r="C25930">
        <v>19401</v>
      </c>
      <c r="D25930" t="str">
        <f>"19401"</f>
        <v>19401</v>
      </c>
      <c r="E25930">
        <v>64.55</v>
      </c>
    </row>
    <row r="25931" spans="1:5" x14ac:dyDescent="0.2">
      <c r="A25931">
        <v>19403</v>
      </c>
      <c r="B25931" t="s">
        <v>44</v>
      </c>
      <c r="C25931">
        <v>19403</v>
      </c>
      <c r="D25931" t="str">
        <f>"19403"</f>
        <v>19403</v>
      </c>
      <c r="E25931">
        <v>81.709999999999994</v>
      </c>
    </row>
    <row r="25932" spans="1:5" x14ac:dyDescent="0.2">
      <c r="A25932">
        <v>19405</v>
      </c>
      <c r="B25932" t="s">
        <v>44</v>
      </c>
      <c r="C25932">
        <v>19405</v>
      </c>
      <c r="D25932" t="str">
        <f>"19405"</f>
        <v>19405</v>
      </c>
      <c r="E25932">
        <v>72.12</v>
      </c>
    </row>
    <row r="25933" spans="1:5" x14ac:dyDescent="0.2">
      <c r="A25933">
        <v>19406</v>
      </c>
      <c r="B25933" t="s">
        <v>44</v>
      </c>
      <c r="C25933">
        <v>19406</v>
      </c>
      <c r="D25933" t="str">
        <f>"19406"</f>
        <v>19406</v>
      </c>
      <c r="E25933">
        <v>82.89</v>
      </c>
    </row>
    <row r="25934" spans="1:5" x14ac:dyDescent="0.2">
      <c r="A25934">
        <v>19422</v>
      </c>
      <c r="B25934" t="s">
        <v>44</v>
      </c>
      <c r="C25934">
        <v>19422</v>
      </c>
      <c r="D25934" t="str">
        <f>"19422"</f>
        <v>19422</v>
      </c>
      <c r="E25934">
        <v>81.31</v>
      </c>
    </row>
    <row r="25935" spans="1:5" x14ac:dyDescent="0.2">
      <c r="A25935">
        <v>19425</v>
      </c>
      <c r="B25935" t="s">
        <v>44</v>
      </c>
      <c r="C25935">
        <v>19425</v>
      </c>
      <c r="D25935" t="str">
        <f>"19425"</f>
        <v>19425</v>
      </c>
      <c r="E25935">
        <v>82.17</v>
      </c>
    </row>
    <row r="25936" spans="1:5" x14ac:dyDescent="0.2">
      <c r="A25936">
        <v>19426</v>
      </c>
      <c r="B25936" t="s">
        <v>44</v>
      </c>
      <c r="C25936">
        <v>19426</v>
      </c>
      <c r="D25936" t="str">
        <f>"19426"</f>
        <v>19426</v>
      </c>
      <c r="E25936">
        <v>80.37</v>
      </c>
    </row>
    <row r="25937" spans="1:5" x14ac:dyDescent="0.2">
      <c r="A25937">
        <v>19428</v>
      </c>
      <c r="B25937" t="s">
        <v>44</v>
      </c>
      <c r="C25937">
        <v>19428</v>
      </c>
      <c r="D25937" t="str">
        <f>"19428"</f>
        <v>19428</v>
      </c>
      <c r="E25937">
        <v>84.56</v>
      </c>
    </row>
    <row r="25938" spans="1:5" x14ac:dyDescent="0.2">
      <c r="A25938">
        <v>19435</v>
      </c>
      <c r="B25938" t="s">
        <v>44</v>
      </c>
      <c r="C25938">
        <v>19435</v>
      </c>
      <c r="D25938" t="str">
        <f>"19435"</f>
        <v>19435</v>
      </c>
      <c r="E25938">
        <v>69.7</v>
      </c>
    </row>
    <row r="25939" spans="1:5" x14ac:dyDescent="0.2">
      <c r="A25939">
        <v>19436</v>
      </c>
      <c r="B25939" t="s">
        <v>44</v>
      </c>
      <c r="C25939">
        <v>19436</v>
      </c>
      <c r="D25939" t="str">
        <f>"19436"</f>
        <v>19436</v>
      </c>
      <c r="E25939">
        <v>77.14</v>
      </c>
    </row>
    <row r="25940" spans="1:5" x14ac:dyDescent="0.2">
      <c r="A25940">
        <v>19437</v>
      </c>
      <c r="B25940" t="s">
        <v>44</v>
      </c>
      <c r="C25940">
        <v>19437</v>
      </c>
      <c r="D25940" t="str">
        <f>"19437"</f>
        <v>19437</v>
      </c>
      <c r="E25940" t="s">
        <v>6</v>
      </c>
    </row>
    <row r="25941" spans="1:5" x14ac:dyDescent="0.2">
      <c r="A25941">
        <v>19438</v>
      </c>
      <c r="B25941" t="s">
        <v>44</v>
      </c>
      <c r="C25941">
        <v>19438</v>
      </c>
      <c r="D25941" t="str">
        <f>"19438"</f>
        <v>19438</v>
      </c>
      <c r="E25941">
        <v>79.180000000000007</v>
      </c>
    </row>
    <row r="25942" spans="1:5" x14ac:dyDescent="0.2">
      <c r="A25942">
        <v>19440</v>
      </c>
      <c r="B25942" t="s">
        <v>44</v>
      </c>
      <c r="C25942">
        <v>19440</v>
      </c>
      <c r="D25942" t="str">
        <f>"19440"</f>
        <v>19440</v>
      </c>
      <c r="E25942">
        <v>75.819999999999993</v>
      </c>
    </row>
    <row r="25943" spans="1:5" x14ac:dyDescent="0.2">
      <c r="A25943">
        <v>19444</v>
      </c>
      <c r="B25943" t="s">
        <v>44</v>
      </c>
      <c r="C25943">
        <v>19444</v>
      </c>
      <c r="D25943" t="str">
        <f>"19444"</f>
        <v>19444</v>
      </c>
      <c r="E25943">
        <v>82.83</v>
      </c>
    </row>
    <row r="25944" spans="1:5" x14ac:dyDescent="0.2">
      <c r="A25944">
        <v>19446</v>
      </c>
      <c r="B25944" t="s">
        <v>44</v>
      </c>
      <c r="C25944">
        <v>19446</v>
      </c>
      <c r="D25944" t="str">
        <f>"19446"</f>
        <v>19446</v>
      </c>
      <c r="E25944">
        <v>77.930000000000007</v>
      </c>
    </row>
    <row r="25945" spans="1:5" x14ac:dyDescent="0.2">
      <c r="A25945">
        <v>19453</v>
      </c>
      <c r="B25945" t="s">
        <v>44</v>
      </c>
      <c r="C25945">
        <v>19453</v>
      </c>
      <c r="D25945" t="str">
        <f>"19453"</f>
        <v>19453</v>
      </c>
      <c r="E25945">
        <v>82.89</v>
      </c>
    </row>
    <row r="25946" spans="1:5" x14ac:dyDescent="0.2">
      <c r="A25946">
        <v>19454</v>
      </c>
      <c r="B25946" t="s">
        <v>44</v>
      </c>
      <c r="C25946">
        <v>19454</v>
      </c>
      <c r="D25946" t="str">
        <f>"19454"</f>
        <v>19454</v>
      </c>
      <c r="E25946">
        <v>79.239999999999995</v>
      </c>
    </row>
    <row r="25947" spans="1:5" x14ac:dyDescent="0.2">
      <c r="A25947">
        <v>19457</v>
      </c>
      <c r="B25947" t="s">
        <v>44</v>
      </c>
      <c r="C25947">
        <v>19457</v>
      </c>
      <c r="D25947" t="str">
        <f>"19457"</f>
        <v>19457</v>
      </c>
      <c r="E25947" t="s">
        <v>6</v>
      </c>
    </row>
    <row r="25948" spans="1:5" x14ac:dyDescent="0.2">
      <c r="A25948">
        <v>19460</v>
      </c>
      <c r="B25948" t="s">
        <v>44</v>
      </c>
      <c r="C25948">
        <v>19460</v>
      </c>
      <c r="D25948" t="str">
        <f>"19460"</f>
        <v>19460</v>
      </c>
      <c r="E25948">
        <v>80.95</v>
      </c>
    </row>
    <row r="25949" spans="1:5" x14ac:dyDescent="0.2">
      <c r="A25949">
        <v>19462</v>
      </c>
      <c r="B25949" t="s">
        <v>44</v>
      </c>
      <c r="C25949">
        <v>19462</v>
      </c>
      <c r="D25949" t="str">
        <f>"19462"</f>
        <v>19462</v>
      </c>
      <c r="E25949">
        <v>80.39</v>
      </c>
    </row>
    <row r="25950" spans="1:5" x14ac:dyDescent="0.2">
      <c r="A25950">
        <v>19464</v>
      </c>
      <c r="B25950" t="s">
        <v>44</v>
      </c>
      <c r="C25950">
        <v>19464</v>
      </c>
      <c r="D25950" t="str">
        <f>"19464"</f>
        <v>19464</v>
      </c>
      <c r="E25950">
        <v>71.900000000000006</v>
      </c>
    </row>
    <row r="25951" spans="1:5" x14ac:dyDescent="0.2">
      <c r="A25951">
        <v>19465</v>
      </c>
      <c r="B25951" t="s">
        <v>44</v>
      </c>
      <c r="C25951">
        <v>19465</v>
      </c>
      <c r="D25951" t="str">
        <f>"19465"</f>
        <v>19465</v>
      </c>
      <c r="E25951">
        <v>79.77</v>
      </c>
    </row>
    <row r="25952" spans="1:5" x14ac:dyDescent="0.2">
      <c r="A25952">
        <v>19468</v>
      </c>
      <c r="B25952" t="s">
        <v>44</v>
      </c>
      <c r="C25952">
        <v>19468</v>
      </c>
      <c r="D25952" t="str">
        <f>"19468"</f>
        <v>19468</v>
      </c>
      <c r="E25952">
        <v>80.27</v>
      </c>
    </row>
    <row r="25953" spans="1:5" x14ac:dyDescent="0.2">
      <c r="A25953">
        <v>19473</v>
      </c>
      <c r="B25953" t="s">
        <v>44</v>
      </c>
      <c r="C25953">
        <v>19473</v>
      </c>
      <c r="D25953" t="str">
        <f>"19473"</f>
        <v>19473</v>
      </c>
      <c r="E25953">
        <v>80.13</v>
      </c>
    </row>
    <row r="25954" spans="1:5" x14ac:dyDescent="0.2">
      <c r="A25954">
        <v>19475</v>
      </c>
      <c r="B25954" t="s">
        <v>44</v>
      </c>
      <c r="C25954">
        <v>19475</v>
      </c>
      <c r="D25954" t="str">
        <f>"19475"</f>
        <v>19475</v>
      </c>
      <c r="E25954">
        <v>76.48</v>
      </c>
    </row>
    <row r="25955" spans="1:5" x14ac:dyDescent="0.2">
      <c r="A25955">
        <v>19477</v>
      </c>
      <c r="B25955" t="s">
        <v>44</v>
      </c>
      <c r="C25955">
        <v>19477</v>
      </c>
      <c r="D25955" t="str">
        <f>"19477"</f>
        <v>19477</v>
      </c>
      <c r="E25955">
        <v>83.33</v>
      </c>
    </row>
    <row r="25956" spans="1:5" x14ac:dyDescent="0.2">
      <c r="A25956">
        <v>19492</v>
      </c>
      <c r="B25956" t="s">
        <v>44</v>
      </c>
      <c r="C25956">
        <v>19492</v>
      </c>
      <c r="D25956" t="str">
        <f>"19492"</f>
        <v>19492</v>
      </c>
      <c r="E25956">
        <v>82.14</v>
      </c>
    </row>
    <row r="25957" spans="1:5" x14ac:dyDescent="0.2">
      <c r="A25957">
        <v>19501</v>
      </c>
      <c r="B25957" t="s">
        <v>44</v>
      </c>
      <c r="C25957">
        <v>19501</v>
      </c>
      <c r="D25957" t="str">
        <f>"19501"</f>
        <v>19501</v>
      </c>
      <c r="E25957" t="s">
        <v>6</v>
      </c>
    </row>
    <row r="25958" spans="1:5" x14ac:dyDescent="0.2">
      <c r="A25958">
        <v>19503</v>
      </c>
      <c r="B25958" t="s">
        <v>44</v>
      </c>
      <c r="C25958">
        <v>19503</v>
      </c>
      <c r="D25958" t="str">
        <f>"19503"</f>
        <v>19503</v>
      </c>
      <c r="E25958">
        <v>72.459999999999994</v>
      </c>
    </row>
    <row r="25959" spans="1:5" x14ac:dyDescent="0.2">
      <c r="A25959">
        <v>19504</v>
      </c>
      <c r="B25959" t="s">
        <v>44</v>
      </c>
      <c r="C25959">
        <v>19504</v>
      </c>
      <c r="D25959" t="str">
        <f>"19504"</f>
        <v>19504</v>
      </c>
      <c r="E25959">
        <v>79.7</v>
      </c>
    </row>
    <row r="25960" spans="1:5" x14ac:dyDescent="0.2">
      <c r="A25960">
        <v>19505</v>
      </c>
      <c r="B25960" t="s">
        <v>44</v>
      </c>
      <c r="C25960">
        <v>19505</v>
      </c>
      <c r="D25960" t="str">
        <f>"19505"</f>
        <v>19505</v>
      </c>
      <c r="E25960">
        <v>77.349999999999994</v>
      </c>
    </row>
    <row r="25961" spans="1:5" x14ac:dyDescent="0.2">
      <c r="A25961">
        <v>19506</v>
      </c>
      <c r="B25961" t="s">
        <v>44</v>
      </c>
      <c r="C25961">
        <v>19506</v>
      </c>
      <c r="D25961" t="str">
        <f>"19506"</f>
        <v>19506</v>
      </c>
      <c r="E25961">
        <v>74.8</v>
      </c>
    </row>
    <row r="25962" spans="1:5" x14ac:dyDescent="0.2">
      <c r="A25962">
        <v>19507</v>
      </c>
      <c r="B25962" t="s">
        <v>44</v>
      </c>
      <c r="C25962">
        <v>19507</v>
      </c>
      <c r="D25962" t="str">
        <f>"19507"</f>
        <v>19507</v>
      </c>
      <c r="E25962">
        <v>72.19</v>
      </c>
    </row>
    <row r="25963" spans="1:5" x14ac:dyDescent="0.2">
      <c r="A25963">
        <v>19508</v>
      </c>
      <c r="B25963" t="s">
        <v>44</v>
      </c>
      <c r="C25963">
        <v>19508</v>
      </c>
      <c r="D25963" t="str">
        <f>"19508"</f>
        <v>19508</v>
      </c>
      <c r="E25963">
        <v>76.97</v>
      </c>
    </row>
    <row r="25964" spans="1:5" x14ac:dyDescent="0.2">
      <c r="A25964">
        <v>19510</v>
      </c>
      <c r="B25964" t="s">
        <v>44</v>
      </c>
      <c r="C25964">
        <v>19510</v>
      </c>
      <c r="D25964" t="str">
        <f>"19510"</f>
        <v>19510</v>
      </c>
      <c r="E25964">
        <v>78.03</v>
      </c>
    </row>
    <row r="25965" spans="1:5" x14ac:dyDescent="0.2">
      <c r="A25965">
        <v>19512</v>
      </c>
      <c r="B25965" t="s">
        <v>44</v>
      </c>
      <c r="C25965">
        <v>19512</v>
      </c>
      <c r="D25965" t="str">
        <f>"19512"</f>
        <v>19512</v>
      </c>
      <c r="E25965">
        <v>75.66</v>
      </c>
    </row>
    <row r="25966" spans="1:5" x14ac:dyDescent="0.2">
      <c r="A25966">
        <v>19518</v>
      </c>
      <c r="B25966" t="s">
        <v>44</v>
      </c>
      <c r="C25966">
        <v>19518</v>
      </c>
      <c r="D25966" t="str">
        <f>"19518"</f>
        <v>19518</v>
      </c>
      <c r="E25966">
        <v>77.25</v>
      </c>
    </row>
    <row r="25967" spans="1:5" x14ac:dyDescent="0.2">
      <c r="A25967">
        <v>19520</v>
      </c>
      <c r="B25967" t="s">
        <v>44</v>
      </c>
      <c r="C25967">
        <v>19520</v>
      </c>
      <c r="D25967" t="str">
        <f>"19520"</f>
        <v>19520</v>
      </c>
      <c r="E25967">
        <v>79.05</v>
      </c>
    </row>
    <row r="25968" spans="1:5" x14ac:dyDescent="0.2">
      <c r="A25968">
        <v>19522</v>
      </c>
      <c r="B25968" t="s">
        <v>44</v>
      </c>
      <c r="C25968">
        <v>19522</v>
      </c>
      <c r="D25968" t="str">
        <f>"19522"</f>
        <v>19522</v>
      </c>
      <c r="E25968">
        <v>78.099999999999994</v>
      </c>
    </row>
    <row r="25969" spans="1:5" x14ac:dyDescent="0.2">
      <c r="A25969">
        <v>19525</v>
      </c>
      <c r="B25969" t="s">
        <v>44</v>
      </c>
      <c r="C25969">
        <v>19525</v>
      </c>
      <c r="D25969" t="str">
        <f>"19525"</f>
        <v>19525</v>
      </c>
      <c r="E25969">
        <v>81.03</v>
      </c>
    </row>
    <row r="25970" spans="1:5" x14ac:dyDescent="0.2">
      <c r="A25970">
        <v>19526</v>
      </c>
      <c r="B25970" t="s">
        <v>44</v>
      </c>
      <c r="C25970">
        <v>19526</v>
      </c>
      <c r="D25970" t="str">
        <f>"19526"</f>
        <v>19526</v>
      </c>
      <c r="E25970">
        <v>76.05</v>
      </c>
    </row>
    <row r="25971" spans="1:5" x14ac:dyDescent="0.2">
      <c r="A25971">
        <v>19529</v>
      </c>
      <c r="B25971" t="s">
        <v>44</v>
      </c>
      <c r="C25971">
        <v>19529</v>
      </c>
      <c r="D25971" t="str">
        <f>"19529"</f>
        <v>19529</v>
      </c>
      <c r="E25971">
        <v>76.510000000000005</v>
      </c>
    </row>
    <row r="25972" spans="1:5" x14ac:dyDescent="0.2">
      <c r="A25972">
        <v>19530</v>
      </c>
      <c r="B25972" t="s">
        <v>44</v>
      </c>
      <c r="C25972">
        <v>19530</v>
      </c>
      <c r="D25972" t="str">
        <f>"19530"</f>
        <v>19530</v>
      </c>
      <c r="E25972">
        <v>75.23</v>
      </c>
    </row>
    <row r="25973" spans="1:5" x14ac:dyDescent="0.2">
      <c r="A25973">
        <v>19533</v>
      </c>
      <c r="B25973" t="s">
        <v>44</v>
      </c>
      <c r="C25973">
        <v>19533</v>
      </c>
      <c r="D25973" t="str">
        <f>"19533"</f>
        <v>19533</v>
      </c>
      <c r="E25973">
        <v>75.84</v>
      </c>
    </row>
    <row r="25974" spans="1:5" x14ac:dyDescent="0.2">
      <c r="A25974">
        <v>19534</v>
      </c>
      <c r="B25974" t="s">
        <v>44</v>
      </c>
      <c r="C25974">
        <v>19534</v>
      </c>
      <c r="D25974" t="str">
        <f>"19534"</f>
        <v>19534</v>
      </c>
      <c r="E25974">
        <v>73.33</v>
      </c>
    </row>
    <row r="25975" spans="1:5" x14ac:dyDescent="0.2">
      <c r="A25975">
        <v>19536</v>
      </c>
      <c r="B25975" t="s">
        <v>44</v>
      </c>
      <c r="C25975">
        <v>19536</v>
      </c>
      <c r="D25975" t="str">
        <f>"19536"</f>
        <v>19536</v>
      </c>
      <c r="E25975" t="s">
        <v>6</v>
      </c>
    </row>
    <row r="25976" spans="1:5" x14ac:dyDescent="0.2">
      <c r="A25976">
        <v>19539</v>
      </c>
      <c r="B25976" t="s">
        <v>44</v>
      </c>
      <c r="C25976">
        <v>19539</v>
      </c>
      <c r="D25976" t="str">
        <f>"19539"</f>
        <v>19539</v>
      </c>
      <c r="E25976">
        <v>76.89</v>
      </c>
    </row>
    <row r="25977" spans="1:5" x14ac:dyDescent="0.2">
      <c r="A25977">
        <v>19540</v>
      </c>
      <c r="B25977" t="s">
        <v>44</v>
      </c>
      <c r="C25977">
        <v>19540</v>
      </c>
      <c r="D25977" t="str">
        <f>"19540"</f>
        <v>19540</v>
      </c>
      <c r="E25977">
        <v>77.33</v>
      </c>
    </row>
    <row r="25978" spans="1:5" x14ac:dyDescent="0.2">
      <c r="A25978">
        <v>19541</v>
      </c>
      <c r="B25978" t="s">
        <v>44</v>
      </c>
      <c r="C25978">
        <v>19541</v>
      </c>
      <c r="D25978" t="str">
        <f>"19541"</f>
        <v>19541</v>
      </c>
      <c r="E25978">
        <v>78.069999999999993</v>
      </c>
    </row>
    <row r="25979" spans="1:5" x14ac:dyDescent="0.2">
      <c r="A25979">
        <v>19543</v>
      </c>
      <c r="B25979" t="s">
        <v>44</v>
      </c>
      <c r="C25979">
        <v>19543</v>
      </c>
      <c r="D25979" t="str">
        <f>"19543"</f>
        <v>19543</v>
      </c>
      <c r="E25979">
        <v>76.510000000000005</v>
      </c>
    </row>
    <row r="25980" spans="1:5" x14ac:dyDescent="0.2">
      <c r="A25980">
        <v>19547</v>
      </c>
      <c r="B25980" t="s">
        <v>44</v>
      </c>
      <c r="C25980">
        <v>19547</v>
      </c>
      <c r="D25980" t="str">
        <f>"19547"</f>
        <v>19547</v>
      </c>
      <c r="E25980">
        <v>77.64</v>
      </c>
    </row>
    <row r="25981" spans="1:5" x14ac:dyDescent="0.2">
      <c r="A25981">
        <v>19549</v>
      </c>
      <c r="B25981" t="s">
        <v>44</v>
      </c>
      <c r="C25981">
        <v>19549</v>
      </c>
      <c r="D25981" t="str">
        <f>"19549"</f>
        <v>19549</v>
      </c>
      <c r="E25981" t="s">
        <v>6</v>
      </c>
    </row>
    <row r="25982" spans="1:5" x14ac:dyDescent="0.2">
      <c r="A25982">
        <v>19550</v>
      </c>
      <c r="B25982" t="s">
        <v>44</v>
      </c>
      <c r="C25982">
        <v>19550</v>
      </c>
      <c r="D25982" t="str">
        <f>"19550"</f>
        <v>19550</v>
      </c>
      <c r="E25982" t="s">
        <v>6</v>
      </c>
    </row>
    <row r="25983" spans="1:5" x14ac:dyDescent="0.2">
      <c r="A25983">
        <v>19551</v>
      </c>
      <c r="B25983" t="s">
        <v>44</v>
      </c>
      <c r="C25983">
        <v>19551</v>
      </c>
      <c r="D25983" t="str">
        <f>"19551"</f>
        <v>19551</v>
      </c>
      <c r="E25983">
        <v>75.86</v>
      </c>
    </row>
    <row r="25984" spans="1:5" x14ac:dyDescent="0.2">
      <c r="A25984">
        <v>19554</v>
      </c>
      <c r="B25984" t="s">
        <v>44</v>
      </c>
      <c r="C25984">
        <v>19554</v>
      </c>
      <c r="D25984" t="str">
        <f>"19554"</f>
        <v>19554</v>
      </c>
      <c r="E25984" t="s">
        <v>6</v>
      </c>
    </row>
    <row r="25985" spans="1:5" x14ac:dyDescent="0.2">
      <c r="A25985">
        <v>19555</v>
      </c>
      <c r="B25985" t="s">
        <v>44</v>
      </c>
      <c r="C25985">
        <v>19555</v>
      </c>
      <c r="D25985" t="str">
        <f>"19555"</f>
        <v>19555</v>
      </c>
      <c r="E25985">
        <v>74.739999999999995</v>
      </c>
    </row>
    <row r="25986" spans="1:5" x14ac:dyDescent="0.2">
      <c r="A25986">
        <v>19559</v>
      </c>
      <c r="B25986" t="s">
        <v>44</v>
      </c>
      <c r="C25986">
        <v>19559</v>
      </c>
      <c r="D25986" t="str">
        <f>"19559"</f>
        <v>19559</v>
      </c>
      <c r="E25986" t="s">
        <v>6</v>
      </c>
    </row>
    <row r="25987" spans="1:5" x14ac:dyDescent="0.2">
      <c r="A25987">
        <v>19560</v>
      </c>
      <c r="B25987" t="s">
        <v>44</v>
      </c>
      <c r="C25987">
        <v>19560</v>
      </c>
      <c r="D25987" t="str">
        <f>"19560"</f>
        <v>19560</v>
      </c>
      <c r="E25987">
        <v>72.09</v>
      </c>
    </row>
    <row r="25988" spans="1:5" x14ac:dyDescent="0.2">
      <c r="A25988">
        <v>19562</v>
      </c>
      <c r="B25988" t="s">
        <v>44</v>
      </c>
      <c r="C25988">
        <v>19562</v>
      </c>
      <c r="D25988" t="str">
        <f>"19562"</f>
        <v>19562</v>
      </c>
      <c r="E25988">
        <v>76.98</v>
      </c>
    </row>
    <row r="25989" spans="1:5" x14ac:dyDescent="0.2">
      <c r="A25989">
        <v>19565</v>
      </c>
      <c r="B25989" t="s">
        <v>44</v>
      </c>
      <c r="C25989">
        <v>19565</v>
      </c>
      <c r="D25989" t="str">
        <f>"19565"</f>
        <v>19565</v>
      </c>
      <c r="E25989">
        <v>74.5</v>
      </c>
    </row>
    <row r="25990" spans="1:5" x14ac:dyDescent="0.2">
      <c r="A25990">
        <v>19567</v>
      </c>
      <c r="B25990" t="s">
        <v>44</v>
      </c>
      <c r="C25990">
        <v>19567</v>
      </c>
      <c r="D25990" t="str">
        <f>"19567"</f>
        <v>19567</v>
      </c>
      <c r="E25990">
        <v>75.81</v>
      </c>
    </row>
    <row r="25991" spans="1:5" x14ac:dyDescent="0.2">
      <c r="A25991">
        <v>19601</v>
      </c>
      <c r="B25991" t="s">
        <v>44</v>
      </c>
      <c r="C25991">
        <v>19601</v>
      </c>
      <c r="D25991" t="str">
        <f>"19601"</f>
        <v>19601</v>
      </c>
      <c r="E25991">
        <v>48.38</v>
      </c>
    </row>
    <row r="25992" spans="1:5" x14ac:dyDescent="0.2">
      <c r="A25992">
        <v>19602</v>
      </c>
      <c r="B25992" t="s">
        <v>44</v>
      </c>
      <c r="C25992">
        <v>19602</v>
      </c>
      <c r="D25992" t="str">
        <f>"19602"</f>
        <v>19602</v>
      </c>
      <c r="E25992">
        <v>43.82</v>
      </c>
    </row>
    <row r="25993" spans="1:5" x14ac:dyDescent="0.2">
      <c r="A25993">
        <v>19604</v>
      </c>
      <c r="B25993" t="s">
        <v>44</v>
      </c>
      <c r="C25993">
        <v>19604</v>
      </c>
      <c r="D25993" t="str">
        <f>"19604"</f>
        <v>19604</v>
      </c>
      <c r="E25993">
        <v>48.45</v>
      </c>
    </row>
    <row r="25994" spans="1:5" x14ac:dyDescent="0.2">
      <c r="A25994">
        <v>19605</v>
      </c>
      <c r="B25994" t="s">
        <v>44</v>
      </c>
      <c r="C25994">
        <v>19605</v>
      </c>
      <c r="D25994" t="str">
        <f>"19605"</f>
        <v>19605</v>
      </c>
      <c r="E25994">
        <v>72.39</v>
      </c>
    </row>
    <row r="25995" spans="1:5" x14ac:dyDescent="0.2">
      <c r="A25995">
        <v>19606</v>
      </c>
      <c r="B25995" t="s">
        <v>44</v>
      </c>
      <c r="C25995">
        <v>19606</v>
      </c>
      <c r="D25995" t="str">
        <f>"19606"</f>
        <v>19606</v>
      </c>
      <c r="E25995">
        <v>74.5</v>
      </c>
    </row>
    <row r="25996" spans="1:5" x14ac:dyDescent="0.2">
      <c r="A25996">
        <v>19607</v>
      </c>
      <c r="B25996" t="s">
        <v>44</v>
      </c>
      <c r="C25996">
        <v>19607</v>
      </c>
      <c r="D25996" t="str">
        <f>"19607"</f>
        <v>19607</v>
      </c>
      <c r="E25996">
        <v>75.150000000000006</v>
      </c>
    </row>
    <row r="25997" spans="1:5" x14ac:dyDescent="0.2">
      <c r="A25997">
        <v>19608</v>
      </c>
      <c r="B25997" t="s">
        <v>44</v>
      </c>
      <c r="C25997">
        <v>19608</v>
      </c>
      <c r="D25997" t="str">
        <f>"19608"</f>
        <v>19608</v>
      </c>
      <c r="E25997">
        <v>76.930000000000007</v>
      </c>
    </row>
    <row r="25998" spans="1:5" x14ac:dyDescent="0.2">
      <c r="A25998">
        <v>19609</v>
      </c>
      <c r="B25998" t="s">
        <v>44</v>
      </c>
      <c r="C25998">
        <v>19609</v>
      </c>
      <c r="D25998" t="str">
        <f>"19609"</f>
        <v>19609</v>
      </c>
      <c r="E25998">
        <v>75.09</v>
      </c>
    </row>
    <row r="25999" spans="1:5" x14ac:dyDescent="0.2">
      <c r="A25999">
        <v>19610</v>
      </c>
      <c r="B25999" t="s">
        <v>44</v>
      </c>
      <c r="C25999">
        <v>19610</v>
      </c>
      <c r="D25999" t="str">
        <f>"19610"</f>
        <v>19610</v>
      </c>
      <c r="E25999">
        <v>78.55</v>
      </c>
    </row>
    <row r="26000" spans="1:5" x14ac:dyDescent="0.2">
      <c r="A26000">
        <v>19611</v>
      </c>
      <c r="B26000" t="s">
        <v>44</v>
      </c>
      <c r="C26000">
        <v>19611</v>
      </c>
      <c r="D26000" t="str">
        <f>"19611"</f>
        <v>19611</v>
      </c>
      <c r="E26000">
        <v>62.24</v>
      </c>
    </row>
    <row r="26001" spans="1:5" x14ac:dyDescent="0.2">
      <c r="A26001" t="str">
        <f>"00601"</f>
        <v>00601</v>
      </c>
      <c r="B26001" t="s">
        <v>45</v>
      </c>
      <c r="C26001">
        <v>601</v>
      </c>
      <c r="D26001" t="str">
        <f>"00601"</f>
        <v>00601</v>
      </c>
      <c r="E26001" t="s">
        <v>6</v>
      </c>
    </row>
    <row r="26002" spans="1:5" x14ac:dyDescent="0.2">
      <c r="A26002" t="str">
        <f>"00602"</f>
        <v>00602</v>
      </c>
      <c r="B26002" t="s">
        <v>45</v>
      </c>
      <c r="C26002">
        <v>602</v>
      </c>
      <c r="D26002" t="str">
        <f>"00602"</f>
        <v>00602</v>
      </c>
      <c r="E26002" t="s">
        <v>6</v>
      </c>
    </row>
    <row r="26003" spans="1:5" x14ac:dyDescent="0.2">
      <c r="A26003" t="str">
        <f>"00603"</f>
        <v>00603</v>
      </c>
      <c r="B26003" t="s">
        <v>45</v>
      </c>
      <c r="C26003">
        <v>603</v>
      </c>
      <c r="D26003" t="str">
        <f>"00603"</f>
        <v>00603</v>
      </c>
      <c r="E26003" t="s">
        <v>6</v>
      </c>
    </row>
    <row r="26004" spans="1:5" x14ac:dyDescent="0.2">
      <c r="A26004" t="str">
        <f>"00605"</f>
        <v>00605</v>
      </c>
      <c r="B26004" t="s">
        <v>45</v>
      </c>
      <c r="C26004">
        <v>605</v>
      </c>
      <c r="D26004" t="str">
        <f>"00605"</f>
        <v>00605</v>
      </c>
      <c r="E26004" t="s">
        <v>6</v>
      </c>
    </row>
    <row r="26005" spans="1:5" x14ac:dyDescent="0.2">
      <c r="A26005" t="str">
        <f>"00606"</f>
        <v>00606</v>
      </c>
      <c r="B26005" t="s">
        <v>45</v>
      </c>
      <c r="C26005">
        <v>606</v>
      </c>
      <c r="D26005" t="str">
        <f>"00606"</f>
        <v>00606</v>
      </c>
      <c r="E26005" t="s">
        <v>6</v>
      </c>
    </row>
    <row r="26006" spans="1:5" x14ac:dyDescent="0.2">
      <c r="A26006" t="str">
        <f>"00610"</f>
        <v>00610</v>
      </c>
      <c r="B26006" t="s">
        <v>45</v>
      </c>
      <c r="C26006">
        <v>610</v>
      </c>
      <c r="D26006" t="str">
        <f>"00610"</f>
        <v>00610</v>
      </c>
      <c r="E26006" t="s">
        <v>6</v>
      </c>
    </row>
    <row r="26007" spans="1:5" x14ac:dyDescent="0.2">
      <c r="A26007" t="str">
        <f>"00611"</f>
        <v>00611</v>
      </c>
      <c r="B26007" t="s">
        <v>45</v>
      </c>
      <c r="C26007">
        <v>611</v>
      </c>
      <c r="D26007" t="str">
        <f>"00611"</f>
        <v>00611</v>
      </c>
      <c r="E26007" t="s">
        <v>6</v>
      </c>
    </row>
    <row r="26008" spans="1:5" x14ac:dyDescent="0.2">
      <c r="A26008" t="str">
        <f>"00612"</f>
        <v>00612</v>
      </c>
      <c r="B26008" t="s">
        <v>45</v>
      </c>
      <c r="C26008">
        <v>612</v>
      </c>
      <c r="D26008" t="str">
        <f>"00612"</f>
        <v>00612</v>
      </c>
      <c r="E26008" t="s">
        <v>6</v>
      </c>
    </row>
    <row r="26009" spans="1:5" x14ac:dyDescent="0.2">
      <c r="A26009" t="str">
        <f>"00616"</f>
        <v>00616</v>
      </c>
      <c r="B26009" t="s">
        <v>45</v>
      </c>
      <c r="C26009">
        <v>616</v>
      </c>
      <c r="D26009" t="str">
        <f>"00616"</f>
        <v>00616</v>
      </c>
      <c r="E26009" t="s">
        <v>6</v>
      </c>
    </row>
    <row r="26010" spans="1:5" x14ac:dyDescent="0.2">
      <c r="A26010" t="str">
        <f>"00617"</f>
        <v>00617</v>
      </c>
      <c r="B26010" t="s">
        <v>45</v>
      </c>
      <c r="C26010">
        <v>617</v>
      </c>
      <c r="D26010" t="str">
        <f>"00617"</f>
        <v>00617</v>
      </c>
      <c r="E26010" t="s">
        <v>6</v>
      </c>
    </row>
    <row r="26011" spans="1:5" x14ac:dyDescent="0.2">
      <c r="A26011" t="str">
        <f>"00622"</f>
        <v>00622</v>
      </c>
      <c r="B26011" t="s">
        <v>45</v>
      </c>
      <c r="C26011">
        <v>622</v>
      </c>
      <c r="D26011" t="str">
        <f>"00622"</f>
        <v>00622</v>
      </c>
      <c r="E26011" t="s">
        <v>6</v>
      </c>
    </row>
    <row r="26012" spans="1:5" x14ac:dyDescent="0.2">
      <c r="A26012" t="str">
        <f>"00623"</f>
        <v>00623</v>
      </c>
      <c r="B26012" t="s">
        <v>45</v>
      </c>
      <c r="C26012">
        <v>623</v>
      </c>
      <c r="D26012" t="str">
        <f>"00623"</f>
        <v>00623</v>
      </c>
      <c r="E26012" t="s">
        <v>6</v>
      </c>
    </row>
    <row r="26013" spans="1:5" x14ac:dyDescent="0.2">
      <c r="A26013" t="str">
        <f>"00624"</f>
        <v>00624</v>
      </c>
      <c r="B26013" t="s">
        <v>45</v>
      </c>
      <c r="C26013">
        <v>624</v>
      </c>
      <c r="D26013" t="str">
        <f>"00624"</f>
        <v>00624</v>
      </c>
      <c r="E26013" t="s">
        <v>6</v>
      </c>
    </row>
    <row r="26014" spans="1:5" x14ac:dyDescent="0.2">
      <c r="A26014" t="str">
        <f>"00627"</f>
        <v>00627</v>
      </c>
      <c r="B26014" t="s">
        <v>45</v>
      </c>
      <c r="C26014">
        <v>627</v>
      </c>
      <c r="D26014" t="str">
        <f>"00627"</f>
        <v>00627</v>
      </c>
      <c r="E26014" t="s">
        <v>6</v>
      </c>
    </row>
    <row r="26015" spans="1:5" x14ac:dyDescent="0.2">
      <c r="A26015" t="str">
        <f>"00631"</f>
        <v>00631</v>
      </c>
      <c r="B26015" t="s">
        <v>45</v>
      </c>
      <c r="C26015">
        <v>631</v>
      </c>
      <c r="D26015" t="str">
        <f>"00631"</f>
        <v>00631</v>
      </c>
      <c r="E26015" t="s">
        <v>6</v>
      </c>
    </row>
    <row r="26016" spans="1:5" x14ac:dyDescent="0.2">
      <c r="A26016" t="str">
        <f>"00637"</f>
        <v>00637</v>
      </c>
      <c r="B26016" t="s">
        <v>45</v>
      </c>
      <c r="C26016">
        <v>637</v>
      </c>
      <c r="D26016" t="str">
        <f>"00637"</f>
        <v>00637</v>
      </c>
      <c r="E26016" t="s">
        <v>6</v>
      </c>
    </row>
    <row r="26017" spans="1:5" x14ac:dyDescent="0.2">
      <c r="A26017" t="str">
        <f>"00638"</f>
        <v>00638</v>
      </c>
      <c r="B26017" t="s">
        <v>45</v>
      </c>
      <c r="C26017">
        <v>638</v>
      </c>
      <c r="D26017" t="str">
        <f>"00638"</f>
        <v>00638</v>
      </c>
      <c r="E26017" t="s">
        <v>6</v>
      </c>
    </row>
    <row r="26018" spans="1:5" x14ac:dyDescent="0.2">
      <c r="A26018" t="str">
        <f>"00641"</f>
        <v>00641</v>
      </c>
      <c r="B26018" t="s">
        <v>45</v>
      </c>
      <c r="C26018">
        <v>641</v>
      </c>
      <c r="D26018" t="str">
        <f>"00641"</f>
        <v>00641</v>
      </c>
      <c r="E26018" t="s">
        <v>6</v>
      </c>
    </row>
    <row r="26019" spans="1:5" x14ac:dyDescent="0.2">
      <c r="A26019" t="str">
        <f>"00646"</f>
        <v>00646</v>
      </c>
      <c r="B26019" t="s">
        <v>45</v>
      </c>
      <c r="C26019">
        <v>646</v>
      </c>
      <c r="D26019" t="str">
        <f>"00646"</f>
        <v>00646</v>
      </c>
      <c r="E26019" t="s">
        <v>6</v>
      </c>
    </row>
    <row r="26020" spans="1:5" x14ac:dyDescent="0.2">
      <c r="A26020" t="str">
        <f>"00647"</f>
        <v>00647</v>
      </c>
      <c r="B26020" t="s">
        <v>45</v>
      </c>
      <c r="C26020">
        <v>647</v>
      </c>
      <c r="D26020" t="str">
        <f>"00647"</f>
        <v>00647</v>
      </c>
      <c r="E26020" t="s">
        <v>6</v>
      </c>
    </row>
    <row r="26021" spans="1:5" x14ac:dyDescent="0.2">
      <c r="A26021" t="str">
        <f>"00650"</f>
        <v>00650</v>
      </c>
      <c r="B26021" t="s">
        <v>45</v>
      </c>
      <c r="C26021">
        <v>650</v>
      </c>
      <c r="D26021" t="str">
        <f>"00650"</f>
        <v>00650</v>
      </c>
      <c r="E26021" t="s">
        <v>6</v>
      </c>
    </row>
    <row r="26022" spans="1:5" x14ac:dyDescent="0.2">
      <c r="A26022" t="str">
        <f>"00652"</f>
        <v>00652</v>
      </c>
      <c r="B26022" t="s">
        <v>45</v>
      </c>
      <c r="C26022">
        <v>652</v>
      </c>
      <c r="D26022" t="str">
        <f>"00652"</f>
        <v>00652</v>
      </c>
      <c r="E26022" t="s">
        <v>6</v>
      </c>
    </row>
    <row r="26023" spans="1:5" x14ac:dyDescent="0.2">
      <c r="A26023" t="str">
        <f>"00653"</f>
        <v>00653</v>
      </c>
      <c r="B26023" t="s">
        <v>45</v>
      </c>
      <c r="C26023">
        <v>653</v>
      </c>
      <c r="D26023" t="str">
        <f>"00653"</f>
        <v>00653</v>
      </c>
      <c r="E26023" t="s">
        <v>6</v>
      </c>
    </row>
    <row r="26024" spans="1:5" x14ac:dyDescent="0.2">
      <c r="A26024" t="str">
        <f>"00656"</f>
        <v>00656</v>
      </c>
      <c r="B26024" t="s">
        <v>45</v>
      </c>
      <c r="C26024">
        <v>656</v>
      </c>
      <c r="D26024" t="str">
        <f>"00656"</f>
        <v>00656</v>
      </c>
      <c r="E26024" t="s">
        <v>6</v>
      </c>
    </row>
    <row r="26025" spans="1:5" x14ac:dyDescent="0.2">
      <c r="A26025" t="str">
        <f>"00659"</f>
        <v>00659</v>
      </c>
      <c r="B26025" t="s">
        <v>45</v>
      </c>
      <c r="C26025">
        <v>659</v>
      </c>
      <c r="D26025" t="str">
        <f>"00659"</f>
        <v>00659</v>
      </c>
      <c r="E26025" t="s">
        <v>6</v>
      </c>
    </row>
    <row r="26026" spans="1:5" x14ac:dyDescent="0.2">
      <c r="A26026" t="str">
        <f>"00660"</f>
        <v>00660</v>
      </c>
      <c r="B26026" t="s">
        <v>45</v>
      </c>
      <c r="C26026">
        <v>660</v>
      </c>
      <c r="D26026" t="str">
        <f>"00660"</f>
        <v>00660</v>
      </c>
      <c r="E26026" t="s">
        <v>6</v>
      </c>
    </row>
    <row r="26027" spans="1:5" x14ac:dyDescent="0.2">
      <c r="A26027" t="str">
        <f>"00662"</f>
        <v>00662</v>
      </c>
      <c r="B26027" t="s">
        <v>45</v>
      </c>
      <c r="C26027">
        <v>662</v>
      </c>
      <c r="D26027" t="str">
        <f>"00662"</f>
        <v>00662</v>
      </c>
      <c r="E26027" t="s">
        <v>6</v>
      </c>
    </row>
    <row r="26028" spans="1:5" x14ac:dyDescent="0.2">
      <c r="A26028" t="str">
        <f>"00664"</f>
        <v>00664</v>
      </c>
      <c r="B26028" t="s">
        <v>45</v>
      </c>
      <c r="C26028">
        <v>664</v>
      </c>
      <c r="D26028" t="str">
        <f>"00664"</f>
        <v>00664</v>
      </c>
      <c r="E26028" t="s">
        <v>6</v>
      </c>
    </row>
    <row r="26029" spans="1:5" x14ac:dyDescent="0.2">
      <c r="A26029" t="str">
        <f>"00667"</f>
        <v>00667</v>
      </c>
      <c r="B26029" t="s">
        <v>45</v>
      </c>
      <c r="C26029">
        <v>667</v>
      </c>
      <c r="D26029" t="str">
        <f>"00667"</f>
        <v>00667</v>
      </c>
      <c r="E26029" t="s">
        <v>6</v>
      </c>
    </row>
    <row r="26030" spans="1:5" x14ac:dyDescent="0.2">
      <c r="A26030" t="str">
        <f>"00669"</f>
        <v>00669</v>
      </c>
      <c r="B26030" t="s">
        <v>45</v>
      </c>
      <c r="C26030">
        <v>669</v>
      </c>
      <c r="D26030" t="str">
        <f>"00669"</f>
        <v>00669</v>
      </c>
      <c r="E26030" t="s">
        <v>6</v>
      </c>
    </row>
    <row r="26031" spans="1:5" x14ac:dyDescent="0.2">
      <c r="A26031" t="str">
        <f>"00670"</f>
        <v>00670</v>
      </c>
      <c r="B26031" t="s">
        <v>45</v>
      </c>
      <c r="C26031">
        <v>670</v>
      </c>
      <c r="D26031" t="str">
        <f>"00670"</f>
        <v>00670</v>
      </c>
      <c r="E26031" t="s">
        <v>6</v>
      </c>
    </row>
    <row r="26032" spans="1:5" x14ac:dyDescent="0.2">
      <c r="A26032" t="str">
        <f>"00674"</f>
        <v>00674</v>
      </c>
      <c r="B26032" t="s">
        <v>45</v>
      </c>
      <c r="C26032">
        <v>674</v>
      </c>
      <c r="D26032" t="str">
        <f>"00674"</f>
        <v>00674</v>
      </c>
      <c r="E26032" t="s">
        <v>6</v>
      </c>
    </row>
    <row r="26033" spans="1:5" x14ac:dyDescent="0.2">
      <c r="A26033" t="str">
        <f>"00676"</f>
        <v>00676</v>
      </c>
      <c r="B26033" t="s">
        <v>45</v>
      </c>
      <c r="C26033">
        <v>676</v>
      </c>
      <c r="D26033" t="str">
        <f>"00676"</f>
        <v>00676</v>
      </c>
      <c r="E26033" t="s">
        <v>6</v>
      </c>
    </row>
    <row r="26034" spans="1:5" x14ac:dyDescent="0.2">
      <c r="A26034" t="str">
        <f>"00677"</f>
        <v>00677</v>
      </c>
      <c r="B26034" t="s">
        <v>45</v>
      </c>
      <c r="C26034">
        <v>677</v>
      </c>
      <c r="D26034" t="str">
        <f>"00677"</f>
        <v>00677</v>
      </c>
      <c r="E26034" t="s">
        <v>6</v>
      </c>
    </row>
    <row r="26035" spans="1:5" x14ac:dyDescent="0.2">
      <c r="A26035" t="str">
        <f>"00678"</f>
        <v>00678</v>
      </c>
      <c r="B26035" t="s">
        <v>45</v>
      </c>
      <c r="C26035">
        <v>678</v>
      </c>
      <c r="D26035" t="str">
        <f>"00678"</f>
        <v>00678</v>
      </c>
      <c r="E26035" t="s">
        <v>6</v>
      </c>
    </row>
    <row r="26036" spans="1:5" x14ac:dyDescent="0.2">
      <c r="A26036" t="str">
        <f>"00680"</f>
        <v>00680</v>
      </c>
      <c r="B26036" t="s">
        <v>45</v>
      </c>
      <c r="C26036">
        <v>680</v>
      </c>
      <c r="D26036" t="str">
        <f>"00680"</f>
        <v>00680</v>
      </c>
      <c r="E26036" t="s">
        <v>6</v>
      </c>
    </row>
    <row r="26037" spans="1:5" x14ac:dyDescent="0.2">
      <c r="A26037" t="str">
        <f>"00681"</f>
        <v>00681</v>
      </c>
      <c r="B26037" t="s">
        <v>45</v>
      </c>
      <c r="C26037">
        <v>681</v>
      </c>
      <c r="D26037" t="str">
        <f>"00681"</f>
        <v>00681</v>
      </c>
      <c r="E26037" t="s">
        <v>6</v>
      </c>
    </row>
    <row r="26038" spans="1:5" x14ac:dyDescent="0.2">
      <c r="A26038" t="str">
        <f>"00682"</f>
        <v>00682</v>
      </c>
      <c r="B26038" t="s">
        <v>45</v>
      </c>
      <c r="C26038">
        <v>682</v>
      </c>
      <c r="D26038" t="str">
        <f>"00682"</f>
        <v>00682</v>
      </c>
      <c r="E26038" t="s">
        <v>6</v>
      </c>
    </row>
    <row r="26039" spans="1:5" x14ac:dyDescent="0.2">
      <c r="A26039" t="str">
        <f>"00683"</f>
        <v>00683</v>
      </c>
      <c r="B26039" t="s">
        <v>45</v>
      </c>
      <c r="C26039">
        <v>683</v>
      </c>
      <c r="D26039" t="str">
        <f>"00683"</f>
        <v>00683</v>
      </c>
      <c r="E26039" t="s">
        <v>6</v>
      </c>
    </row>
    <row r="26040" spans="1:5" x14ac:dyDescent="0.2">
      <c r="A26040" t="str">
        <f>"00685"</f>
        <v>00685</v>
      </c>
      <c r="B26040" t="s">
        <v>45</v>
      </c>
      <c r="C26040">
        <v>685</v>
      </c>
      <c r="D26040" t="str">
        <f>"00685"</f>
        <v>00685</v>
      </c>
      <c r="E26040" t="s">
        <v>6</v>
      </c>
    </row>
    <row r="26041" spans="1:5" x14ac:dyDescent="0.2">
      <c r="A26041" t="str">
        <f>"00687"</f>
        <v>00687</v>
      </c>
      <c r="B26041" t="s">
        <v>45</v>
      </c>
      <c r="C26041">
        <v>687</v>
      </c>
      <c r="D26041" t="str">
        <f>"00687"</f>
        <v>00687</v>
      </c>
      <c r="E26041" t="s">
        <v>6</v>
      </c>
    </row>
    <row r="26042" spans="1:5" x14ac:dyDescent="0.2">
      <c r="A26042" t="str">
        <f>"00688"</f>
        <v>00688</v>
      </c>
      <c r="B26042" t="s">
        <v>45</v>
      </c>
      <c r="C26042">
        <v>688</v>
      </c>
      <c r="D26042" t="str">
        <f>"00688"</f>
        <v>00688</v>
      </c>
      <c r="E26042" t="s">
        <v>6</v>
      </c>
    </row>
    <row r="26043" spans="1:5" x14ac:dyDescent="0.2">
      <c r="A26043" t="str">
        <f>"00690"</f>
        <v>00690</v>
      </c>
      <c r="B26043" t="s">
        <v>45</v>
      </c>
      <c r="C26043">
        <v>690</v>
      </c>
      <c r="D26043" t="str">
        <f>"00690"</f>
        <v>00690</v>
      </c>
      <c r="E26043" t="s">
        <v>6</v>
      </c>
    </row>
    <row r="26044" spans="1:5" x14ac:dyDescent="0.2">
      <c r="A26044" t="str">
        <f>"00692"</f>
        <v>00692</v>
      </c>
      <c r="B26044" t="s">
        <v>45</v>
      </c>
      <c r="C26044">
        <v>692</v>
      </c>
      <c r="D26044" t="str">
        <f>"00692"</f>
        <v>00692</v>
      </c>
      <c r="E26044" t="s">
        <v>6</v>
      </c>
    </row>
    <row r="26045" spans="1:5" x14ac:dyDescent="0.2">
      <c r="A26045" t="str">
        <f>"00693"</f>
        <v>00693</v>
      </c>
      <c r="B26045" t="s">
        <v>45</v>
      </c>
      <c r="C26045">
        <v>693</v>
      </c>
      <c r="D26045" t="str">
        <f>"00693"</f>
        <v>00693</v>
      </c>
      <c r="E26045" t="s">
        <v>6</v>
      </c>
    </row>
    <row r="26046" spans="1:5" x14ac:dyDescent="0.2">
      <c r="A26046" t="str">
        <f>"00698"</f>
        <v>00698</v>
      </c>
      <c r="B26046" t="s">
        <v>45</v>
      </c>
      <c r="C26046">
        <v>698</v>
      </c>
      <c r="D26046" t="str">
        <f>"00698"</f>
        <v>00698</v>
      </c>
      <c r="E26046" t="s">
        <v>6</v>
      </c>
    </row>
    <row r="26047" spans="1:5" x14ac:dyDescent="0.2">
      <c r="A26047" t="str">
        <f>"00703"</f>
        <v>00703</v>
      </c>
      <c r="B26047" t="s">
        <v>45</v>
      </c>
      <c r="C26047">
        <v>703</v>
      </c>
      <c r="D26047" t="str">
        <f>"00703"</f>
        <v>00703</v>
      </c>
      <c r="E26047" t="s">
        <v>6</v>
      </c>
    </row>
    <row r="26048" spans="1:5" x14ac:dyDescent="0.2">
      <c r="A26048" t="str">
        <f>"00704"</f>
        <v>00704</v>
      </c>
      <c r="B26048" t="s">
        <v>45</v>
      </c>
      <c r="C26048">
        <v>704</v>
      </c>
      <c r="D26048" t="str">
        <f>"00704"</f>
        <v>00704</v>
      </c>
      <c r="E26048" t="s">
        <v>6</v>
      </c>
    </row>
    <row r="26049" spans="1:5" x14ac:dyDescent="0.2">
      <c r="A26049" t="str">
        <f>"00705"</f>
        <v>00705</v>
      </c>
      <c r="B26049" t="s">
        <v>45</v>
      </c>
      <c r="C26049">
        <v>705</v>
      </c>
      <c r="D26049" t="str">
        <f>"00705"</f>
        <v>00705</v>
      </c>
      <c r="E26049" t="s">
        <v>6</v>
      </c>
    </row>
    <row r="26050" spans="1:5" x14ac:dyDescent="0.2">
      <c r="A26050" t="str">
        <f>"00707"</f>
        <v>00707</v>
      </c>
      <c r="B26050" t="s">
        <v>45</v>
      </c>
      <c r="C26050">
        <v>707</v>
      </c>
      <c r="D26050" t="str">
        <f>"00707"</f>
        <v>00707</v>
      </c>
      <c r="E26050" t="s">
        <v>6</v>
      </c>
    </row>
    <row r="26051" spans="1:5" x14ac:dyDescent="0.2">
      <c r="A26051" t="str">
        <f>"00714"</f>
        <v>00714</v>
      </c>
      <c r="B26051" t="s">
        <v>45</v>
      </c>
      <c r="C26051">
        <v>714</v>
      </c>
      <c r="D26051" t="str">
        <f>"00714"</f>
        <v>00714</v>
      </c>
      <c r="E26051" t="s">
        <v>6</v>
      </c>
    </row>
    <row r="26052" spans="1:5" x14ac:dyDescent="0.2">
      <c r="A26052" t="str">
        <f>"00715"</f>
        <v>00715</v>
      </c>
      <c r="B26052" t="s">
        <v>45</v>
      </c>
      <c r="C26052">
        <v>715</v>
      </c>
      <c r="D26052" t="str">
        <f>"00715"</f>
        <v>00715</v>
      </c>
      <c r="E26052" t="s">
        <v>6</v>
      </c>
    </row>
    <row r="26053" spans="1:5" x14ac:dyDescent="0.2">
      <c r="A26053" t="str">
        <f>"00716"</f>
        <v>00716</v>
      </c>
      <c r="B26053" t="s">
        <v>45</v>
      </c>
      <c r="C26053">
        <v>716</v>
      </c>
      <c r="D26053" t="str">
        <f>"00716"</f>
        <v>00716</v>
      </c>
      <c r="E26053" t="s">
        <v>6</v>
      </c>
    </row>
    <row r="26054" spans="1:5" x14ac:dyDescent="0.2">
      <c r="A26054" t="str">
        <f>"00717"</f>
        <v>00717</v>
      </c>
      <c r="B26054" t="s">
        <v>45</v>
      </c>
      <c r="C26054">
        <v>717</v>
      </c>
      <c r="D26054" t="str">
        <f>"00717"</f>
        <v>00717</v>
      </c>
      <c r="E26054" t="s">
        <v>6</v>
      </c>
    </row>
    <row r="26055" spans="1:5" x14ac:dyDescent="0.2">
      <c r="A26055" t="str">
        <f>"00718"</f>
        <v>00718</v>
      </c>
      <c r="B26055" t="s">
        <v>45</v>
      </c>
      <c r="C26055">
        <v>718</v>
      </c>
      <c r="D26055" t="str">
        <f>"00718"</f>
        <v>00718</v>
      </c>
      <c r="E26055" t="s">
        <v>6</v>
      </c>
    </row>
    <row r="26056" spans="1:5" x14ac:dyDescent="0.2">
      <c r="A26056" t="str">
        <f>"00719"</f>
        <v>00719</v>
      </c>
      <c r="B26056" t="s">
        <v>45</v>
      </c>
      <c r="C26056">
        <v>719</v>
      </c>
      <c r="D26056" t="str">
        <f>"00719"</f>
        <v>00719</v>
      </c>
      <c r="E26056" t="s">
        <v>6</v>
      </c>
    </row>
    <row r="26057" spans="1:5" x14ac:dyDescent="0.2">
      <c r="A26057" t="str">
        <f>"00720"</f>
        <v>00720</v>
      </c>
      <c r="B26057" t="s">
        <v>45</v>
      </c>
      <c r="C26057">
        <v>720</v>
      </c>
      <c r="D26057" t="str">
        <f>"00720"</f>
        <v>00720</v>
      </c>
      <c r="E26057" t="s">
        <v>6</v>
      </c>
    </row>
    <row r="26058" spans="1:5" x14ac:dyDescent="0.2">
      <c r="A26058" t="str">
        <f>"00721"</f>
        <v>00721</v>
      </c>
      <c r="B26058" t="s">
        <v>45</v>
      </c>
      <c r="C26058">
        <v>721</v>
      </c>
      <c r="D26058" t="str">
        <f>"00721"</f>
        <v>00721</v>
      </c>
      <c r="E26058" t="s">
        <v>6</v>
      </c>
    </row>
    <row r="26059" spans="1:5" x14ac:dyDescent="0.2">
      <c r="A26059" t="str">
        <f>"00723"</f>
        <v>00723</v>
      </c>
      <c r="B26059" t="s">
        <v>45</v>
      </c>
      <c r="C26059">
        <v>723</v>
      </c>
      <c r="D26059" t="str">
        <f>"00723"</f>
        <v>00723</v>
      </c>
      <c r="E26059" t="s">
        <v>6</v>
      </c>
    </row>
    <row r="26060" spans="1:5" x14ac:dyDescent="0.2">
      <c r="A26060" t="str">
        <f>"00725"</f>
        <v>00725</v>
      </c>
      <c r="B26060" t="s">
        <v>45</v>
      </c>
      <c r="C26060">
        <v>725</v>
      </c>
      <c r="D26060" t="str">
        <f>"00725"</f>
        <v>00725</v>
      </c>
      <c r="E26060" t="s">
        <v>6</v>
      </c>
    </row>
    <row r="26061" spans="1:5" x14ac:dyDescent="0.2">
      <c r="A26061" t="str">
        <f>"00726"</f>
        <v>00726</v>
      </c>
      <c r="B26061" t="s">
        <v>45</v>
      </c>
      <c r="C26061">
        <v>726</v>
      </c>
      <c r="D26061" t="str">
        <f>"00726"</f>
        <v>00726</v>
      </c>
      <c r="E26061" t="s">
        <v>6</v>
      </c>
    </row>
    <row r="26062" spans="1:5" x14ac:dyDescent="0.2">
      <c r="A26062" t="str">
        <f>"00727"</f>
        <v>00727</v>
      </c>
      <c r="B26062" t="s">
        <v>45</v>
      </c>
      <c r="C26062">
        <v>727</v>
      </c>
      <c r="D26062" t="str">
        <f>"00727"</f>
        <v>00727</v>
      </c>
      <c r="E26062" t="s">
        <v>6</v>
      </c>
    </row>
    <row r="26063" spans="1:5" x14ac:dyDescent="0.2">
      <c r="A26063" t="str">
        <f>"00728"</f>
        <v>00728</v>
      </c>
      <c r="B26063" t="s">
        <v>45</v>
      </c>
      <c r="C26063">
        <v>728</v>
      </c>
      <c r="D26063" t="str">
        <f>"00728"</f>
        <v>00728</v>
      </c>
      <c r="E26063" t="s">
        <v>6</v>
      </c>
    </row>
    <row r="26064" spans="1:5" x14ac:dyDescent="0.2">
      <c r="A26064" t="str">
        <f>"00729"</f>
        <v>00729</v>
      </c>
      <c r="B26064" t="s">
        <v>45</v>
      </c>
      <c r="C26064">
        <v>729</v>
      </c>
      <c r="D26064" t="str">
        <f>"00729"</f>
        <v>00729</v>
      </c>
      <c r="E26064" t="s">
        <v>6</v>
      </c>
    </row>
    <row r="26065" spans="1:5" x14ac:dyDescent="0.2">
      <c r="A26065" t="str">
        <f>"00730"</f>
        <v>00730</v>
      </c>
      <c r="B26065" t="s">
        <v>45</v>
      </c>
      <c r="C26065">
        <v>730</v>
      </c>
      <c r="D26065" t="str">
        <f>"00730"</f>
        <v>00730</v>
      </c>
      <c r="E26065" t="s">
        <v>6</v>
      </c>
    </row>
    <row r="26066" spans="1:5" x14ac:dyDescent="0.2">
      <c r="A26066" t="str">
        <f>"00735"</f>
        <v>00735</v>
      </c>
      <c r="B26066" t="s">
        <v>45</v>
      </c>
      <c r="C26066">
        <v>735</v>
      </c>
      <c r="D26066" t="str">
        <f>"00735"</f>
        <v>00735</v>
      </c>
      <c r="E26066" t="s">
        <v>6</v>
      </c>
    </row>
    <row r="26067" spans="1:5" x14ac:dyDescent="0.2">
      <c r="A26067" t="str">
        <f>"00736"</f>
        <v>00736</v>
      </c>
      <c r="B26067" t="s">
        <v>45</v>
      </c>
      <c r="C26067">
        <v>736</v>
      </c>
      <c r="D26067" t="str">
        <f>"00736"</f>
        <v>00736</v>
      </c>
      <c r="E26067" t="s">
        <v>6</v>
      </c>
    </row>
    <row r="26068" spans="1:5" x14ac:dyDescent="0.2">
      <c r="A26068" t="str">
        <f>"00737"</f>
        <v>00737</v>
      </c>
      <c r="B26068" t="s">
        <v>45</v>
      </c>
      <c r="C26068">
        <v>737</v>
      </c>
      <c r="D26068" t="str">
        <f>"00737"</f>
        <v>00737</v>
      </c>
      <c r="E26068" t="s">
        <v>6</v>
      </c>
    </row>
    <row r="26069" spans="1:5" x14ac:dyDescent="0.2">
      <c r="A26069" t="str">
        <f>"00738"</f>
        <v>00738</v>
      </c>
      <c r="B26069" t="s">
        <v>45</v>
      </c>
      <c r="C26069">
        <v>738</v>
      </c>
      <c r="D26069" t="str">
        <f>"00738"</f>
        <v>00738</v>
      </c>
      <c r="E26069" t="s">
        <v>6</v>
      </c>
    </row>
    <row r="26070" spans="1:5" x14ac:dyDescent="0.2">
      <c r="A26070" t="str">
        <f>"00739"</f>
        <v>00739</v>
      </c>
      <c r="B26070" t="s">
        <v>45</v>
      </c>
      <c r="C26070">
        <v>739</v>
      </c>
      <c r="D26070" t="str">
        <f>"00739"</f>
        <v>00739</v>
      </c>
      <c r="E26070" t="s">
        <v>6</v>
      </c>
    </row>
    <row r="26071" spans="1:5" x14ac:dyDescent="0.2">
      <c r="A26071" t="str">
        <f>"00740"</f>
        <v>00740</v>
      </c>
      <c r="B26071" t="s">
        <v>45</v>
      </c>
      <c r="C26071">
        <v>740</v>
      </c>
      <c r="D26071" t="str">
        <f>"00740"</f>
        <v>00740</v>
      </c>
      <c r="E26071" t="s">
        <v>6</v>
      </c>
    </row>
    <row r="26072" spans="1:5" x14ac:dyDescent="0.2">
      <c r="A26072" t="str">
        <f>"00741"</f>
        <v>00741</v>
      </c>
      <c r="B26072" t="s">
        <v>45</v>
      </c>
      <c r="C26072">
        <v>741</v>
      </c>
      <c r="D26072" t="str">
        <f>"00741"</f>
        <v>00741</v>
      </c>
      <c r="E26072" t="s">
        <v>6</v>
      </c>
    </row>
    <row r="26073" spans="1:5" x14ac:dyDescent="0.2">
      <c r="A26073" t="str">
        <f>"00744"</f>
        <v>00744</v>
      </c>
      <c r="B26073" t="s">
        <v>45</v>
      </c>
      <c r="C26073">
        <v>744</v>
      </c>
      <c r="D26073" t="str">
        <f>"00744"</f>
        <v>00744</v>
      </c>
      <c r="E26073" t="s">
        <v>6</v>
      </c>
    </row>
    <row r="26074" spans="1:5" x14ac:dyDescent="0.2">
      <c r="A26074" t="str">
        <f>"00745"</f>
        <v>00745</v>
      </c>
      <c r="B26074" t="s">
        <v>45</v>
      </c>
      <c r="C26074">
        <v>745</v>
      </c>
      <c r="D26074" t="str">
        <f>"00745"</f>
        <v>00745</v>
      </c>
      <c r="E26074" t="s">
        <v>6</v>
      </c>
    </row>
    <row r="26075" spans="1:5" x14ac:dyDescent="0.2">
      <c r="A26075" t="str">
        <f>"00751"</f>
        <v>00751</v>
      </c>
      <c r="B26075" t="s">
        <v>45</v>
      </c>
      <c r="C26075">
        <v>751</v>
      </c>
      <c r="D26075" t="str">
        <f>"00751"</f>
        <v>00751</v>
      </c>
      <c r="E26075" t="s">
        <v>6</v>
      </c>
    </row>
    <row r="26076" spans="1:5" x14ac:dyDescent="0.2">
      <c r="A26076" t="str">
        <f>"00754"</f>
        <v>00754</v>
      </c>
      <c r="B26076" t="s">
        <v>45</v>
      </c>
      <c r="C26076">
        <v>754</v>
      </c>
      <c r="D26076" t="str">
        <f>"00754"</f>
        <v>00754</v>
      </c>
      <c r="E26076" t="s">
        <v>6</v>
      </c>
    </row>
    <row r="26077" spans="1:5" x14ac:dyDescent="0.2">
      <c r="A26077" t="str">
        <f>"00757"</f>
        <v>00757</v>
      </c>
      <c r="B26077" t="s">
        <v>45</v>
      </c>
      <c r="C26077">
        <v>757</v>
      </c>
      <c r="D26077" t="str">
        <f>"00757"</f>
        <v>00757</v>
      </c>
      <c r="E26077" t="s">
        <v>6</v>
      </c>
    </row>
    <row r="26078" spans="1:5" x14ac:dyDescent="0.2">
      <c r="A26078" t="str">
        <f>"00765"</f>
        <v>00765</v>
      </c>
      <c r="B26078" t="s">
        <v>45</v>
      </c>
      <c r="C26078">
        <v>765</v>
      </c>
      <c r="D26078" t="str">
        <f>"00765"</f>
        <v>00765</v>
      </c>
      <c r="E26078" t="s">
        <v>6</v>
      </c>
    </row>
    <row r="26079" spans="1:5" x14ac:dyDescent="0.2">
      <c r="A26079" t="str">
        <f>"00766"</f>
        <v>00766</v>
      </c>
      <c r="B26079" t="s">
        <v>45</v>
      </c>
      <c r="C26079">
        <v>766</v>
      </c>
      <c r="D26079" t="str">
        <f>"00766"</f>
        <v>00766</v>
      </c>
      <c r="E26079" t="s">
        <v>6</v>
      </c>
    </row>
    <row r="26080" spans="1:5" x14ac:dyDescent="0.2">
      <c r="A26080" t="str">
        <f>"00767"</f>
        <v>00767</v>
      </c>
      <c r="B26080" t="s">
        <v>45</v>
      </c>
      <c r="C26080">
        <v>767</v>
      </c>
      <c r="D26080" t="str">
        <f>"00767"</f>
        <v>00767</v>
      </c>
      <c r="E26080" t="s">
        <v>6</v>
      </c>
    </row>
    <row r="26081" spans="1:5" x14ac:dyDescent="0.2">
      <c r="A26081" t="str">
        <f>"00769"</f>
        <v>00769</v>
      </c>
      <c r="B26081" t="s">
        <v>45</v>
      </c>
      <c r="C26081">
        <v>769</v>
      </c>
      <c r="D26081" t="str">
        <f>"00769"</f>
        <v>00769</v>
      </c>
      <c r="E26081" t="s">
        <v>6</v>
      </c>
    </row>
    <row r="26082" spans="1:5" x14ac:dyDescent="0.2">
      <c r="A26082" t="str">
        <f>"00771"</f>
        <v>00771</v>
      </c>
      <c r="B26082" t="s">
        <v>45</v>
      </c>
      <c r="C26082">
        <v>771</v>
      </c>
      <c r="D26082" t="str">
        <f>"00771"</f>
        <v>00771</v>
      </c>
      <c r="E26082" t="s">
        <v>6</v>
      </c>
    </row>
    <row r="26083" spans="1:5" x14ac:dyDescent="0.2">
      <c r="A26083" t="str">
        <f>"00772"</f>
        <v>00772</v>
      </c>
      <c r="B26083" t="s">
        <v>45</v>
      </c>
      <c r="C26083">
        <v>772</v>
      </c>
      <c r="D26083" t="str">
        <f>"00772"</f>
        <v>00772</v>
      </c>
      <c r="E26083" t="s">
        <v>6</v>
      </c>
    </row>
    <row r="26084" spans="1:5" x14ac:dyDescent="0.2">
      <c r="A26084" t="str">
        <f>"00773"</f>
        <v>00773</v>
      </c>
      <c r="B26084" t="s">
        <v>45</v>
      </c>
      <c r="C26084">
        <v>773</v>
      </c>
      <c r="D26084" t="str">
        <f>"00773"</f>
        <v>00773</v>
      </c>
      <c r="E26084" t="s">
        <v>6</v>
      </c>
    </row>
    <row r="26085" spans="1:5" x14ac:dyDescent="0.2">
      <c r="A26085" t="str">
        <f>"00775"</f>
        <v>00775</v>
      </c>
      <c r="B26085" t="s">
        <v>45</v>
      </c>
      <c r="C26085">
        <v>775</v>
      </c>
      <c r="D26085" t="str">
        <f>"00775"</f>
        <v>00775</v>
      </c>
      <c r="E26085" t="s">
        <v>6</v>
      </c>
    </row>
    <row r="26086" spans="1:5" x14ac:dyDescent="0.2">
      <c r="A26086" t="str">
        <f>"00777"</f>
        <v>00777</v>
      </c>
      <c r="B26086" t="s">
        <v>45</v>
      </c>
      <c r="C26086">
        <v>777</v>
      </c>
      <c r="D26086" t="str">
        <f>"00777"</f>
        <v>00777</v>
      </c>
      <c r="E26086" t="s">
        <v>6</v>
      </c>
    </row>
    <row r="26087" spans="1:5" x14ac:dyDescent="0.2">
      <c r="A26087" t="str">
        <f>"00778"</f>
        <v>00778</v>
      </c>
      <c r="B26087" t="s">
        <v>45</v>
      </c>
      <c r="C26087">
        <v>778</v>
      </c>
      <c r="D26087" t="str">
        <f>"00778"</f>
        <v>00778</v>
      </c>
      <c r="E26087" t="s">
        <v>6</v>
      </c>
    </row>
    <row r="26088" spans="1:5" x14ac:dyDescent="0.2">
      <c r="A26088" t="str">
        <f>"00780"</f>
        <v>00780</v>
      </c>
      <c r="B26088" t="s">
        <v>45</v>
      </c>
      <c r="C26088">
        <v>780</v>
      </c>
      <c r="D26088" t="str">
        <f>"00780"</f>
        <v>00780</v>
      </c>
      <c r="E26088" t="s">
        <v>6</v>
      </c>
    </row>
    <row r="26089" spans="1:5" x14ac:dyDescent="0.2">
      <c r="A26089" t="str">
        <f>"00782"</f>
        <v>00782</v>
      </c>
      <c r="B26089" t="s">
        <v>45</v>
      </c>
      <c r="C26089">
        <v>782</v>
      </c>
      <c r="D26089" t="str">
        <f>"00782"</f>
        <v>00782</v>
      </c>
      <c r="E26089" t="s">
        <v>6</v>
      </c>
    </row>
    <row r="26090" spans="1:5" x14ac:dyDescent="0.2">
      <c r="A26090" t="str">
        <f>"00783"</f>
        <v>00783</v>
      </c>
      <c r="B26090" t="s">
        <v>45</v>
      </c>
      <c r="C26090">
        <v>783</v>
      </c>
      <c r="D26090" t="str">
        <f>"00783"</f>
        <v>00783</v>
      </c>
      <c r="E26090" t="s">
        <v>6</v>
      </c>
    </row>
    <row r="26091" spans="1:5" x14ac:dyDescent="0.2">
      <c r="A26091" t="str">
        <f>"00784"</f>
        <v>00784</v>
      </c>
      <c r="B26091" t="s">
        <v>45</v>
      </c>
      <c r="C26091">
        <v>784</v>
      </c>
      <c r="D26091" t="str">
        <f>"00784"</f>
        <v>00784</v>
      </c>
      <c r="E26091" t="s">
        <v>6</v>
      </c>
    </row>
    <row r="26092" spans="1:5" x14ac:dyDescent="0.2">
      <c r="A26092" t="str">
        <f>"00786"</f>
        <v>00786</v>
      </c>
      <c r="B26092" t="s">
        <v>45</v>
      </c>
      <c r="C26092">
        <v>786</v>
      </c>
      <c r="D26092" t="str">
        <f>"00786"</f>
        <v>00786</v>
      </c>
      <c r="E26092" t="s">
        <v>6</v>
      </c>
    </row>
    <row r="26093" spans="1:5" x14ac:dyDescent="0.2">
      <c r="A26093" t="str">
        <f>"00791"</f>
        <v>00791</v>
      </c>
      <c r="B26093" t="s">
        <v>45</v>
      </c>
      <c r="C26093">
        <v>791</v>
      </c>
      <c r="D26093" t="str">
        <f>"00791"</f>
        <v>00791</v>
      </c>
      <c r="E26093" t="s">
        <v>6</v>
      </c>
    </row>
    <row r="26094" spans="1:5" x14ac:dyDescent="0.2">
      <c r="A26094" t="str">
        <f>"00794"</f>
        <v>00794</v>
      </c>
      <c r="B26094" t="s">
        <v>45</v>
      </c>
      <c r="C26094">
        <v>794</v>
      </c>
      <c r="D26094" t="str">
        <f>"00794"</f>
        <v>00794</v>
      </c>
      <c r="E26094" t="s">
        <v>6</v>
      </c>
    </row>
    <row r="26095" spans="1:5" x14ac:dyDescent="0.2">
      <c r="A26095" t="str">
        <f>"00795"</f>
        <v>00795</v>
      </c>
      <c r="B26095" t="s">
        <v>45</v>
      </c>
      <c r="C26095">
        <v>795</v>
      </c>
      <c r="D26095" t="str">
        <f>"00795"</f>
        <v>00795</v>
      </c>
      <c r="E26095" t="s">
        <v>6</v>
      </c>
    </row>
    <row r="26096" spans="1:5" x14ac:dyDescent="0.2">
      <c r="A26096" t="str">
        <f>"00901"</f>
        <v>00901</v>
      </c>
      <c r="B26096" t="s">
        <v>45</v>
      </c>
      <c r="C26096">
        <v>901</v>
      </c>
      <c r="D26096" t="str">
        <f>"00901"</f>
        <v>00901</v>
      </c>
      <c r="E26096" t="s">
        <v>6</v>
      </c>
    </row>
    <row r="26097" spans="1:5" x14ac:dyDescent="0.2">
      <c r="A26097" t="str">
        <f>"00907"</f>
        <v>00907</v>
      </c>
      <c r="B26097" t="s">
        <v>45</v>
      </c>
      <c r="C26097">
        <v>907</v>
      </c>
      <c r="D26097" t="str">
        <f>"00907"</f>
        <v>00907</v>
      </c>
      <c r="E26097" t="s">
        <v>6</v>
      </c>
    </row>
    <row r="26098" spans="1:5" x14ac:dyDescent="0.2">
      <c r="A26098" t="str">
        <f>"00909"</f>
        <v>00909</v>
      </c>
      <c r="B26098" t="s">
        <v>45</v>
      </c>
      <c r="C26098">
        <v>909</v>
      </c>
      <c r="D26098" t="str">
        <f>"00909"</f>
        <v>00909</v>
      </c>
      <c r="E26098" t="s">
        <v>6</v>
      </c>
    </row>
    <row r="26099" spans="1:5" x14ac:dyDescent="0.2">
      <c r="A26099" t="str">
        <f>"00911"</f>
        <v>00911</v>
      </c>
      <c r="B26099" t="s">
        <v>45</v>
      </c>
      <c r="C26099">
        <v>911</v>
      </c>
      <c r="D26099" t="str">
        <f>"00911"</f>
        <v>00911</v>
      </c>
      <c r="E26099" t="s">
        <v>6</v>
      </c>
    </row>
    <row r="26100" spans="1:5" x14ac:dyDescent="0.2">
      <c r="A26100" t="str">
        <f>"00912"</f>
        <v>00912</v>
      </c>
      <c r="B26100" t="s">
        <v>45</v>
      </c>
      <c r="C26100">
        <v>912</v>
      </c>
      <c r="D26100" t="str">
        <f>"00912"</f>
        <v>00912</v>
      </c>
      <c r="E26100" t="s">
        <v>6</v>
      </c>
    </row>
    <row r="26101" spans="1:5" x14ac:dyDescent="0.2">
      <c r="A26101" t="str">
        <f>"00913"</f>
        <v>00913</v>
      </c>
      <c r="B26101" t="s">
        <v>45</v>
      </c>
      <c r="C26101">
        <v>913</v>
      </c>
      <c r="D26101" t="str">
        <f>"00913"</f>
        <v>00913</v>
      </c>
      <c r="E26101" t="s">
        <v>6</v>
      </c>
    </row>
    <row r="26102" spans="1:5" x14ac:dyDescent="0.2">
      <c r="A26102" t="str">
        <f>"00915"</f>
        <v>00915</v>
      </c>
      <c r="B26102" t="s">
        <v>45</v>
      </c>
      <c r="C26102">
        <v>915</v>
      </c>
      <c r="D26102" t="str">
        <f>"00915"</f>
        <v>00915</v>
      </c>
      <c r="E26102" t="s">
        <v>6</v>
      </c>
    </row>
    <row r="26103" spans="1:5" x14ac:dyDescent="0.2">
      <c r="A26103" t="str">
        <f>"00917"</f>
        <v>00917</v>
      </c>
      <c r="B26103" t="s">
        <v>45</v>
      </c>
      <c r="C26103">
        <v>917</v>
      </c>
      <c r="D26103" t="str">
        <f>"00917"</f>
        <v>00917</v>
      </c>
      <c r="E26103" t="s">
        <v>6</v>
      </c>
    </row>
    <row r="26104" spans="1:5" x14ac:dyDescent="0.2">
      <c r="A26104" t="str">
        <f>"00918"</f>
        <v>00918</v>
      </c>
      <c r="B26104" t="s">
        <v>45</v>
      </c>
      <c r="C26104">
        <v>918</v>
      </c>
      <c r="D26104" t="str">
        <f>"00918"</f>
        <v>00918</v>
      </c>
      <c r="E26104" t="s">
        <v>6</v>
      </c>
    </row>
    <row r="26105" spans="1:5" x14ac:dyDescent="0.2">
      <c r="A26105" t="str">
        <f>"00920"</f>
        <v>00920</v>
      </c>
      <c r="B26105" t="s">
        <v>45</v>
      </c>
      <c r="C26105">
        <v>920</v>
      </c>
      <c r="D26105" t="str">
        <f>"00920"</f>
        <v>00920</v>
      </c>
      <c r="E26105" t="s">
        <v>6</v>
      </c>
    </row>
    <row r="26106" spans="1:5" x14ac:dyDescent="0.2">
      <c r="A26106" t="str">
        <f>"00921"</f>
        <v>00921</v>
      </c>
      <c r="B26106" t="s">
        <v>45</v>
      </c>
      <c r="C26106">
        <v>921</v>
      </c>
      <c r="D26106" t="str">
        <f>"00921"</f>
        <v>00921</v>
      </c>
      <c r="E26106" t="s">
        <v>6</v>
      </c>
    </row>
    <row r="26107" spans="1:5" x14ac:dyDescent="0.2">
      <c r="A26107" t="str">
        <f>"00923"</f>
        <v>00923</v>
      </c>
      <c r="B26107" t="s">
        <v>45</v>
      </c>
      <c r="C26107">
        <v>923</v>
      </c>
      <c r="D26107" t="str">
        <f>"00923"</f>
        <v>00923</v>
      </c>
      <c r="E26107" t="s">
        <v>6</v>
      </c>
    </row>
    <row r="26108" spans="1:5" x14ac:dyDescent="0.2">
      <c r="A26108" t="str">
        <f>"00924"</f>
        <v>00924</v>
      </c>
      <c r="B26108" t="s">
        <v>45</v>
      </c>
      <c r="C26108">
        <v>924</v>
      </c>
      <c r="D26108" t="str">
        <f>"00924"</f>
        <v>00924</v>
      </c>
      <c r="E26108" t="s">
        <v>6</v>
      </c>
    </row>
    <row r="26109" spans="1:5" x14ac:dyDescent="0.2">
      <c r="A26109" t="str">
        <f>"00925"</f>
        <v>00925</v>
      </c>
      <c r="B26109" t="s">
        <v>45</v>
      </c>
      <c r="C26109">
        <v>925</v>
      </c>
      <c r="D26109" t="str">
        <f>"00925"</f>
        <v>00925</v>
      </c>
      <c r="E26109" t="s">
        <v>6</v>
      </c>
    </row>
    <row r="26110" spans="1:5" x14ac:dyDescent="0.2">
      <c r="A26110" t="str">
        <f>"00926"</f>
        <v>00926</v>
      </c>
      <c r="B26110" t="s">
        <v>45</v>
      </c>
      <c r="C26110">
        <v>926</v>
      </c>
      <c r="D26110" t="str">
        <f>"00926"</f>
        <v>00926</v>
      </c>
      <c r="E26110" t="s">
        <v>6</v>
      </c>
    </row>
    <row r="26111" spans="1:5" x14ac:dyDescent="0.2">
      <c r="A26111" t="str">
        <f>"00927"</f>
        <v>00927</v>
      </c>
      <c r="B26111" t="s">
        <v>45</v>
      </c>
      <c r="C26111">
        <v>927</v>
      </c>
      <c r="D26111" t="str">
        <f>"00927"</f>
        <v>00927</v>
      </c>
      <c r="E26111" t="s">
        <v>6</v>
      </c>
    </row>
    <row r="26112" spans="1:5" x14ac:dyDescent="0.2">
      <c r="A26112" t="str">
        <f>"00934"</f>
        <v>00934</v>
      </c>
      <c r="B26112" t="s">
        <v>45</v>
      </c>
      <c r="C26112">
        <v>934</v>
      </c>
      <c r="D26112" t="str">
        <f>"00934"</f>
        <v>00934</v>
      </c>
      <c r="E26112" t="s">
        <v>6</v>
      </c>
    </row>
    <row r="26113" spans="1:5" x14ac:dyDescent="0.2">
      <c r="A26113" t="str">
        <f>"00936"</f>
        <v>00936</v>
      </c>
      <c r="B26113" t="s">
        <v>45</v>
      </c>
      <c r="C26113">
        <v>936</v>
      </c>
      <c r="D26113" t="str">
        <f>"00936"</f>
        <v>00936</v>
      </c>
      <c r="E26113" t="s">
        <v>6</v>
      </c>
    </row>
    <row r="26114" spans="1:5" x14ac:dyDescent="0.2">
      <c r="A26114" t="str">
        <f>"00949"</f>
        <v>00949</v>
      </c>
      <c r="B26114" t="s">
        <v>45</v>
      </c>
      <c r="C26114">
        <v>949</v>
      </c>
      <c r="D26114" t="str">
        <f>"00949"</f>
        <v>00949</v>
      </c>
      <c r="E26114" t="s">
        <v>6</v>
      </c>
    </row>
    <row r="26115" spans="1:5" x14ac:dyDescent="0.2">
      <c r="A26115" t="str">
        <f>"00952"</f>
        <v>00952</v>
      </c>
      <c r="B26115" t="s">
        <v>45</v>
      </c>
      <c r="C26115">
        <v>952</v>
      </c>
      <c r="D26115" t="str">
        <f>"00952"</f>
        <v>00952</v>
      </c>
      <c r="E26115" t="s">
        <v>6</v>
      </c>
    </row>
    <row r="26116" spans="1:5" x14ac:dyDescent="0.2">
      <c r="A26116" t="str">
        <f>"00953"</f>
        <v>00953</v>
      </c>
      <c r="B26116" t="s">
        <v>45</v>
      </c>
      <c r="C26116">
        <v>953</v>
      </c>
      <c r="D26116" t="str">
        <f>"00953"</f>
        <v>00953</v>
      </c>
      <c r="E26116" t="s">
        <v>6</v>
      </c>
    </row>
    <row r="26117" spans="1:5" x14ac:dyDescent="0.2">
      <c r="A26117" t="str">
        <f>"00956"</f>
        <v>00956</v>
      </c>
      <c r="B26117" t="s">
        <v>45</v>
      </c>
      <c r="C26117">
        <v>956</v>
      </c>
      <c r="D26117" t="str">
        <f>"00956"</f>
        <v>00956</v>
      </c>
      <c r="E26117" t="s">
        <v>6</v>
      </c>
    </row>
    <row r="26118" spans="1:5" x14ac:dyDescent="0.2">
      <c r="A26118" t="str">
        <f>"00957"</f>
        <v>00957</v>
      </c>
      <c r="B26118" t="s">
        <v>45</v>
      </c>
      <c r="C26118">
        <v>957</v>
      </c>
      <c r="D26118" t="str">
        <f>"00957"</f>
        <v>00957</v>
      </c>
      <c r="E26118" t="s">
        <v>6</v>
      </c>
    </row>
    <row r="26119" spans="1:5" x14ac:dyDescent="0.2">
      <c r="A26119" t="str">
        <f>"00959"</f>
        <v>00959</v>
      </c>
      <c r="B26119" t="s">
        <v>45</v>
      </c>
      <c r="C26119">
        <v>959</v>
      </c>
      <c r="D26119" t="str">
        <f>"00959"</f>
        <v>00959</v>
      </c>
      <c r="E26119" t="s">
        <v>6</v>
      </c>
    </row>
    <row r="26120" spans="1:5" x14ac:dyDescent="0.2">
      <c r="A26120" t="str">
        <f>"00961"</f>
        <v>00961</v>
      </c>
      <c r="B26120" t="s">
        <v>45</v>
      </c>
      <c r="C26120">
        <v>961</v>
      </c>
      <c r="D26120" t="str">
        <f>"00961"</f>
        <v>00961</v>
      </c>
      <c r="E26120" t="s">
        <v>6</v>
      </c>
    </row>
    <row r="26121" spans="1:5" x14ac:dyDescent="0.2">
      <c r="A26121" t="str">
        <f>"00962"</f>
        <v>00962</v>
      </c>
      <c r="B26121" t="s">
        <v>45</v>
      </c>
      <c r="C26121">
        <v>962</v>
      </c>
      <c r="D26121" t="str">
        <f>"00962"</f>
        <v>00962</v>
      </c>
      <c r="E26121" t="s">
        <v>6</v>
      </c>
    </row>
    <row r="26122" spans="1:5" x14ac:dyDescent="0.2">
      <c r="A26122" t="str">
        <f>"00963"</f>
        <v>00963</v>
      </c>
      <c r="B26122" t="s">
        <v>45</v>
      </c>
      <c r="C26122">
        <v>963</v>
      </c>
      <c r="D26122" t="str">
        <f>"00963"</f>
        <v>00963</v>
      </c>
      <c r="E26122" t="s">
        <v>6</v>
      </c>
    </row>
    <row r="26123" spans="1:5" x14ac:dyDescent="0.2">
      <c r="A26123" t="str">
        <f>"00965"</f>
        <v>00965</v>
      </c>
      <c r="B26123" t="s">
        <v>45</v>
      </c>
      <c r="C26123">
        <v>965</v>
      </c>
      <c r="D26123" t="str">
        <f>"00965"</f>
        <v>00965</v>
      </c>
      <c r="E26123" t="s">
        <v>6</v>
      </c>
    </row>
    <row r="26124" spans="1:5" x14ac:dyDescent="0.2">
      <c r="A26124" t="str">
        <f>"00966"</f>
        <v>00966</v>
      </c>
      <c r="B26124" t="s">
        <v>45</v>
      </c>
      <c r="C26124">
        <v>966</v>
      </c>
      <c r="D26124" t="str">
        <f>"00966"</f>
        <v>00966</v>
      </c>
      <c r="E26124" t="s">
        <v>6</v>
      </c>
    </row>
    <row r="26125" spans="1:5" x14ac:dyDescent="0.2">
      <c r="A26125" t="str">
        <f>"00968"</f>
        <v>00968</v>
      </c>
      <c r="B26125" t="s">
        <v>45</v>
      </c>
      <c r="C26125">
        <v>968</v>
      </c>
      <c r="D26125" t="str">
        <f>"00968"</f>
        <v>00968</v>
      </c>
      <c r="E26125" t="s">
        <v>6</v>
      </c>
    </row>
    <row r="26126" spans="1:5" x14ac:dyDescent="0.2">
      <c r="A26126" t="str">
        <f>"00969"</f>
        <v>00969</v>
      </c>
      <c r="B26126" t="s">
        <v>45</v>
      </c>
      <c r="C26126">
        <v>969</v>
      </c>
      <c r="D26126" t="str">
        <f>"00969"</f>
        <v>00969</v>
      </c>
      <c r="E26126" t="s">
        <v>6</v>
      </c>
    </row>
    <row r="26127" spans="1:5" x14ac:dyDescent="0.2">
      <c r="A26127" t="str">
        <f>"00971"</f>
        <v>00971</v>
      </c>
      <c r="B26127" t="s">
        <v>45</v>
      </c>
      <c r="C26127">
        <v>971</v>
      </c>
      <c r="D26127" t="str">
        <f>"00971"</f>
        <v>00971</v>
      </c>
      <c r="E26127" t="s">
        <v>6</v>
      </c>
    </row>
    <row r="26128" spans="1:5" x14ac:dyDescent="0.2">
      <c r="A26128" t="str">
        <f>"00976"</f>
        <v>00976</v>
      </c>
      <c r="B26128" t="s">
        <v>45</v>
      </c>
      <c r="C26128">
        <v>976</v>
      </c>
      <c r="D26128" t="str">
        <f>"00976"</f>
        <v>00976</v>
      </c>
      <c r="E26128" t="s">
        <v>6</v>
      </c>
    </row>
    <row r="26129" spans="1:5" x14ac:dyDescent="0.2">
      <c r="A26129" t="str">
        <f>"00979"</f>
        <v>00979</v>
      </c>
      <c r="B26129" t="s">
        <v>45</v>
      </c>
      <c r="C26129">
        <v>979</v>
      </c>
      <c r="D26129" t="str">
        <f>"00979"</f>
        <v>00979</v>
      </c>
      <c r="E26129" t="s">
        <v>6</v>
      </c>
    </row>
    <row r="26130" spans="1:5" x14ac:dyDescent="0.2">
      <c r="A26130" t="str">
        <f>"00982"</f>
        <v>00982</v>
      </c>
      <c r="B26130" t="s">
        <v>45</v>
      </c>
      <c r="C26130">
        <v>982</v>
      </c>
      <c r="D26130" t="str">
        <f>"00982"</f>
        <v>00982</v>
      </c>
      <c r="E26130" t="s">
        <v>6</v>
      </c>
    </row>
    <row r="26131" spans="1:5" x14ac:dyDescent="0.2">
      <c r="A26131" t="str">
        <f>"00983"</f>
        <v>00983</v>
      </c>
      <c r="B26131" t="s">
        <v>45</v>
      </c>
      <c r="C26131">
        <v>983</v>
      </c>
      <c r="D26131" t="str">
        <f>"00983"</f>
        <v>00983</v>
      </c>
      <c r="E26131" t="s">
        <v>6</v>
      </c>
    </row>
    <row r="26132" spans="1:5" x14ac:dyDescent="0.2">
      <c r="A26132" t="str">
        <f>"00985"</f>
        <v>00985</v>
      </c>
      <c r="B26132" t="s">
        <v>45</v>
      </c>
      <c r="C26132">
        <v>985</v>
      </c>
      <c r="D26132" t="str">
        <f>"00985"</f>
        <v>00985</v>
      </c>
      <c r="E26132" t="s">
        <v>6</v>
      </c>
    </row>
    <row r="26133" spans="1:5" x14ac:dyDescent="0.2">
      <c r="A26133" t="str">
        <f>"00987"</f>
        <v>00987</v>
      </c>
      <c r="B26133" t="s">
        <v>45</v>
      </c>
      <c r="C26133">
        <v>987</v>
      </c>
      <c r="D26133" t="str">
        <f>"00987"</f>
        <v>00987</v>
      </c>
      <c r="E26133" t="s">
        <v>6</v>
      </c>
    </row>
    <row r="26134" spans="1:5" x14ac:dyDescent="0.2">
      <c r="A26134" t="str">
        <f>"02802"</f>
        <v>02802</v>
      </c>
      <c r="B26134" t="s">
        <v>46</v>
      </c>
      <c r="C26134">
        <v>2802</v>
      </c>
      <c r="D26134" t="str">
        <f>"02802"</f>
        <v>02802</v>
      </c>
      <c r="E26134" t="s">
        <v>6</v>
      </c>
    </row>
    <row r="26135" spans="1:5" x14ac:dyDescent="0.2">
      <c r="A26135" t="str">
        <f>"02804"</f>
        <v>02804</v>
      </c>
      <c r="B26135" t="s">
        <v>46</v>
      </c>
      <c r="C26135">
        <v>2804</v>
      </c>
      <c r="D26135" t="str">
        <f>"02804"</f>
        <v>02804</v>
      </c>
      <c r="E26135">
        <v>77.7</v>
      </c>
    </row>
    <row r="26136" spans="1:5" x14ac:dyDescent="0.2">
      <c r="A26136" t="str">
        <f>"02806"</f>
        <v>02806</v>
      </c>
      <c r="B26136" t="s">
        <v>46</v>
      </c>
      <c r="C26136">
        <v>2806</v>
      </c>
      <c r="D26136" t="str">
        <f>"02806"</f>
        <v>02806</v>
      </c>
      <c r="E26136">
        <v>79.61</v>
      </c>
    </row>
    <row r="26137" spans="1:5" x14ac:dyDescent="0.2">
      <c r="A26137" t="str">
        <f>"02807"</f>
        <v>02807</v>
      </c>
      <c r="B26137" t="s">
        <v>46</v>
      </c>
      <c r="C26137">
        <v>2807</v>
      </c>
      <c r="D26137" t="str">
        <f>"02807"</f>
        <v>02807</v>
      </c>
      <c r="E26137" t="s">
        <v>6</v>
      </c>
    </row>
    <row r="26138" spans="1:5" x14ac:dyDescent="0.2">
      <c r="A26138" t="str">
        <f>"02808"</f>
        <v>02808</v>
      </c>
      <c r="B26138" t="s">
        <v>46</v>
      </c>
      <c r="C26138">
        <v>2808</v>
      </c>
      <c r="D26138" t="str">
        <f>"02808"</f>
        <v>02808</v>
      </c>
      <c r="E26138">
        <v>76.319999999999993</v>
      </c>
    </row>
    <row r="26139" spans="1:5" x14ac:dyDescent="0.2">
      <c r="A26139" t="str">
        <f>"02809"</f>
        <v>02809</v>
      </c>
      <c r="B26139" t="s">
        <v>46</v>
      </c>
      <c r="C26139">
        <v>2809</v>
      </c>
      <c r="D26139" t="str">
        <f>"02809"</f>
        <v>02809</v>
      </c>
      <c r="E26139">
        <v>78.94</v>
      </c>
    </row>
    <row r="26140" spans="1:5" x14ac:dyDescent="0.2">
      <c r="A26140" t="str">
        <f>"02812"</f>
        <v>02812</v>
      </c>
      <c r="B26140" t="s">
        <v>46</v>
      </c>
      <c r="C26140">
        <v>2812</v>
      </c>
      <c r="D26140" t="str">
        <f>"02812"</f>
        <v>02812</v>
      </c>
      <c r="E26140">
        <v>83.82</v>
      </c>
    </row>
    <row r="26141" spans="1:5" x14ac:dyDescent="0.2">
      <c r="A26141" t="str">
        <f>"02813"</f>
        <v>02813</v>
      </c>
      <c r="B26141" t="s">
        <v>46</v>
      </c>
      <c r="C26141">
        <v>2813</v>
      </c>
      <c r="D26141" t="str">
        <f>"02813"</f>
        <v>02813</v>
      </c>
      <c r="E26141">
        <v>78.81</v>
      </c>
    </row>
    <row r="26142" spans="1:5" x14ac:dyDescent="0.2">
      <c r="A26142" t="str">
        <f>"02814"</f>
        <v>02814</v>
      </c>
      <c r="B26142" t="s">
        <v>46</v>
      </c>
      <c r="C26142">
        <v>2814</v>
      </c>
      <c r="D26142" t="str">
        <f>"02814"</f>
        <v>02814</v>
      </c>
      <c r="E26142">
        <v>81.47</v>
      </c>
    </row>
    <row r="26143" spans="1:5" x14ac:dyDescent="0.2">
      <c r="A26143" t="str">
        <f>"02815"</f>
        <v>02815</v>
      </c>
      <c r="B26143" t="s">
        <v>46</v>
      </c>
      <c r="C26143">
        <v>2815</v>
      </c>
      <c r="D26143" t="str">
        <f>"02815"</f>
        <v>02815</v>
      </c>
      <c r="E26143">
        <v>80</v>
      </c>
    </row>
    <row r="26144" spans="1:5" x14ac:dyDescent="0.2">
      <c r="A26144" t="str">
        <f>"02816"</f>
        <v>02816</v>
      </c>
      <c r="B26144" t="s">
        <v>46</v>
      </c>
      <c r="C26144">
        <v>2816</v>
      </c>
      <c r="D26144" t="str">
        <f>"02816"</f>
        <v>02816</v>
      </c>
      <c r="E26144">
        <v>79.58</v>
      </c>
    </row>
    <row r="26145" spans="1:5" x14ac:dyDescent="0.2">
      <c r="A26145" t="str">
        <f>"02817"</f>
        <v>02817</v>
      </c>
      <c r="B26145" t="s">
        <v>46</v>
      </c>
      <c r="C26145">
        <v>2817</v>
      </c>
      <c r="D26145" t="str">
        <f>"02817"</f>
        <v>02817</v>
      </c>
      <c r="E26145">
        <v>81.52</v>
      </c>
    </row>
    <row r="26146" spans="1:5" x14ac:dyDescent="0.2">
      <c r="A26146" t="str">
        <f>"02818"</f>
        <v>02818</v>
      </c>
      <c r="B26146" t="s">
        <v>46</v>
      </c>
      <c r="C26146">
        <v>2818</v>
      </c>
      <c r="D26146" t="str">
        <f>"02818"</f>
        <v>02818</v>
      </c>
      <c r="E26146">
        <v>81.459999999999994</v>
      </c>
    </row>
    <row r="26147" spans="1:5" x14ac:dyDescent="0.2">
      <c r="A26147" t="str">
        <f>"02822"</f>
        <v>02822</v>
      </c>
      <c r="B26147" t="s">
        <v>46</v>
      </c>
      <c r="C26147">
        <v>2822</v>
      </c>
      <c r="D26147" t="str">
        <f>"02822"</f>
        <v>02822</v>
      </c>
      <c r="E26147">
        <v>80.77</v>
      </c>
    </row>
    <row r="26148" spans="1:5" x14ac:dyDescent="0.2">
      <c r="A26148" t="str">
        <f>"02824"</f>
        <v>02824</v>
      </c>
      <c r="B26148" t="s">
        <v>46</v>
      </c>
      <c r="C26148">
        <v>2824</v>
      </c>
      <c r="D26148" t="str">
        <f>"02824"</f>
        <v>02824</v>
      </c>
      <c r="E26148" t="s">
        <v>6</v>
      </c>
    </row>
    <row r="26149" spans="1:5" x14ac:dyDescent="0.2">
      <c r="A26149" t="str">
        <f>"02825"</f>
        <v>02825</v>
      </c>
      <c r="B26149" t="s">
        <v>46</v>
      </c>
      <c r="C26149">
        <v>2825</v>
      </c>
      <c r="D26149" t="str">
        <f>"02825"</f>
        <v>02825</v>
      </c>
      <c r="E26149">
        <v>80.37</v>
      </c>
    </row>
    <row r="26150" spans="1:5" x14ac:dyDescent="0.2">
      <c r="A26150" t="str">
        <f>"02826"</f>
        <v>02826</v>
      </c>
      <c r="B26150" t="s">
        <v>46</v>
      </c>
      <c r="C26150">
        <v>2826</v>
      </c>
      <c r="D26150" t="str">
        <f>"02826"</f>
        <v>02826</v>
      </c>
      <c r="E26150" t="s">
        <v>6</v>
      </c>
    </row>
    <row r="26151" spans="1:5" x14ac:dyDescent="0.2">
      <c r="A26151" t="str">
        <f>"02827"</f>
        <v>02827</v>
      </c>
      <c r="B26151" t="s">
        <v>46</v>
      </c>
      <c r="C26151">
        <v>2827</v>
      </c>
      <c r="D26151" t="str">
        <f>"02827"</f>
        <v>02827</v>
      </c>
      <c r="E26151">
        <v>79.489999999999995</v>
      </c>
    </row>
    <row r="26152" spans="1:5" x14ac:dyDescent="0.2">
      <c r="A26152" t="str">
        <f>"02828"</f>
        <v>02828</v>
      </c>
      <c r="B26152" t="s">
        <v>46</v>
      </c>
      <c r="C26152">
        <v>2828</v>
      </c>
      <c r="D26152" t="str">
        <f>"02828"</f>
        <v>02828</v>
      </c>
      <c r="E26152">
        <v>81.400000000000006</v>
      </c>
    </row>
    <row r="26153" spans="1:5" x14ac:dyDescent="0.2">
      <c r="A26153" t="str">
        <f>"02830"</f>
        <v>02830</v>
      </c>
      <c r="B26153" t="s">
        <v>46</v>
      </c>
      <c r="C26153">
        <v>2830</v>
      </c>
      <c r="D26153" t="str">
        <f>"02830"</f>
        <v>02830</v>
      </c>
      <c r="E26153">
        <v>80.73</v>
      </c>
    </row>
    <row r="26154" spans="1:5" x14ac:dyDescent="0.2">
      <c r="A26154" t="str">
        <f>"02831"</f>
        <v>02831</v>
      </c>
      <c r="B26154" t="s">
        <v>46</v>
      </c>
      <c r="C26154">
        <v>2831</v>
      </c>
      <c r="D26154" t="str">
        <f>"02831"</f>
        <v>02831</v>
      </c>
      <c r="E26154">
        <v>80</v>
      </c>
    </row>
    <row r="26155" spans="1:5" x14ac:dyDescent="0.2">
      <c r="A26155" t="str">
        <f>"02832"</f>
        <v>02832</v>
      </c>
      <c r="B26155" t="s">
        <v>46</v>
      </c>
      <c r="C26155">
        <v>2832</v>
      </c>
      <c r="D26155" t="str">
        <f>"02832"</f>
        <v>02832</v>
      </c>
      <c r="E26155">
        <v>78.489999999999995</v>
      </c>
    </row>
    <row r="26156" spans="1:5" x14ac:dyDescent="0.2">
      <c r="A26156" t="str">
        <f>"02833"</f>
        <v>02833</v>
      </c>
      <c r="B26156" t="s">
        <v>46</v>
      </c>
      <c r="C26156">
        <v>2833</v>
      </c>
      <c r="D26156" t="str">
        <f>"02833"</f>
        <v>02833</v>
      </c>
      <c r="E26156">
        <v>75</v>
      </c>
    </row>
    <row r="26157" spans="1:5" x14ac:dyDescent="0.2">
      <c r="A26157" t="str">
        <f>"02835"</f>
        <v>02835</v>
      </c>
      <c r="B26157" t="s">
        <v>46</v>
      </c>
      <c r="C26157">
        <v>2835</v>
      </c>
      <c r="D26157" t="str">
        <f>"02835"</f>
        <v>02835</v>
      </c>
      <c r="E26157">
        <v>80.459999999999994</v>
      </c>
    </row>
    <row r="26158" spans="1:5" x14ac:dyDescent="0.2">
      <c r="A26158" t="str">
        <f>"02836"</f>
        <v>02836</v>
      </c>
      <c r="B26158" t="s">
        <v>46</v>
      </c>
      <c r="C26158">
        <v>2836</v>
      </c>
      <c r="D26158" t="str">
        <f>"02836"</f>
        <v>02836</v>
      </c>
      <c r="E26158" t="s">
        <v>6</v>
      </c>
    </row>
    <row r="26159" spans="1:5" x14ac:dyDescent="0.2">
      <c r="A26159" t="str">
        <f>"02837"</f>
        <v>02837</v>
      </c>
      <c r="B26159" t="s">
        <v>46</v>
      </c>
      <c r="C26159">
        <v>2837</v>
      </c>
      <c r="D26159" t="str">
        <f>"02837"</f>
        <v>02837</v>
      </c>
      <c r="E26159">
        <v>78.209999999999994</v>
      </c>
    </row>
    <row r="26160" spans="1:5" x14ac:dyDescent="0.2">
      <c r="A26160" t="str">
        <f>"02838"</f>
        <v>02838</v>
      </c>
      <c r="B26160" t="s">
        <v>46</v>
      </c>
      <c r="C26160">
        <v>2838</v>
      </c>
      <c r="D26160" t="str">
        <f>"02838"</f>
        <v>02838</v>
      </c>
      <c r="E26160">
        <v>72.02</v>
      </c>
    </row>
    <row r="26161" spans="1:5" x14ac:dyDescent="0.2">
      <c r="A26161" t="str">
        <f>"02839"</f>
        <v>02839</v>
      </c>
      <c r="B26161" t="s">
        <v>46</v>
      </c>
      <c r="C26161">
        <v>2839</v>
      </c>
      <c r="D26161" t="str">
        <f>"02839"</f>
        <v>02839</v>
      </c>
      <c r="E26161">
        <v>78.13</v>
      </c>
    </row>
    <row r="26162" spans="1:5" x14ac:dyDescent="0.2">
      <c r="A26162" t="str">
        <f>"02840"</f>
        <v>02840</v>
      </c>
      <c r="B26162" t="s">
        <v>46</v>
      </c>
      <c r="C26162">
        <v>2840</v>
      </c>
      <c r="D26162" t="str">
        <f>"02840"</f>
        <v>02840</v>
      </c>
      <c r="E26162">
        <v>75.069999999999993</v>
      </c>
    </row>
    <row r="26163" spans="1:5" x14ac:dyDescent="0.2">
      <c r="A26163" t="str">
        <f>"02841"</f>
        <v>02841</v>
      </c>
      <c r="B26163" t="s">
        <v>46</v>
      </c>
      <c r="C26163">
        <v>2841</v>
      </c>
      <c r="D26163" t="str">
        <f>"02841"</f>
        <v>02841</v>
      </c>
      <c r="E26163" t="s">
        <v>6</v>
      </c>
    </row>
    <row r="26164" spans="1:5" x14ac:dyDescent="0.2">
      <c r="A26164" t="str">
        <f>"02842"</f>
        <v>02842</v>
      </c>
      <c r="B26164" t="s">
        <v>46</v>
      </c>
      <c r="C26164">
        <v>2842</v>
      </c>
      <c r="D26164" t="str">
        <f>"02842"</f>
        <v>02842</v>
      </c>
      <c r="E26164">
        <v>77.66</v>
      </c>
    </row>
    <row r="26165" spans="1:5" x14ac:dyDescent="0.2">
      <c r="A26165" t="str">
        <f>"02852"</f>
        <v>02852</v>
      </c>
      <c r="B26165" t="s">
        <v>46</v>
      </c>
      <c r="C26165">
        <v>2852</v>
      </c>
      <c r="D26165" t="str">
        <f>"02852"</f>
        <v>02852</v>
      </c>
      <c r="E26165">
        <v>79.41</v>
      </c>
    </row>
    <row r="26166" spans="1:5" x14ac:dyDescent="0.2">
      <c r="A26166" t="str">
        <f>"02857"</f>
        <v>02857</v>
      </c>
      <c r="B26166" t="s">
        <v>46</v>
      </c>
      <c r="C26166">
        <v>2857</v>
      </c>
      <c r="D26166" t="str">
        <f>"02857"</f>
        <v>02857</v>
      </c>
      <c r="E26166">
        <v>82.31</v>
      </c>
    </row>
    <row r="26167" spans="1:5" x14ac:dyDescent="0.2">
      <c r="A26167" t="str">
        <f>"02858"</f>
        <v>02858</v>
      </c>
      <c r="B26167" t="s">
        <v>46</v>
      </c>
      <c r="C26167">
        <v>2858</v>
      </c>
      <c r="D26167" t="str">
        <f>"02858"</f>
        <v>02858</v>
      </c>
      <c r="E26167">
        <v>77.42</v>
      </c>
    </row>
    <row r="26168" spans="1:5" x14ac:dyDescent="0.2">
      <c r="A26168" t="str">
        <f>"02859"</f>
        <v>02859</v>
      </c>
      <c r="B26168" t="s">
        <v>46</v>
      </c>
      <c r="C26168">
        <v>2859</v>
      </c>
      <c r="D26168" t="str">
        <f>"02859"</f>
        <v>02859</v>
      </c>
      <c r="E26168">
        <v>78.319999999999993</v>
      </c>
    </row>
    <row r="26169" spans="1:5" x14ac:dyDescent="0.2">
      <c r="A26169" t="str">
        <f>"02860"</f>
        <v>02860</v>
      </c>
      <c r="B26169" t="s">
        <v>46</v>
      </c>
      <c r="C26169">
        <v>2860</v>
      </c>
      <c r="D26169" t="str">
        <f>"02860"</f>
        <v>02860</v>
      </c>
      <c r="E26169">
        <v>64.900000000000006</v>
      </c>
    </row>
    <row r="26170" spans="1:5" x14ac:dyDescent="0.2">
      <c r="A26170" t="str">
        <f>"02861"</f>
        <v>02861</v>
      </c>
      <c r="B26170" t="s">
        <v>46</v>
      </c>
      <c r="C26170">
        <v>2861</v>
      </c>
      <c r="D26170" t="str">
        <f>"02861"</f>
        <v>02861</v>
      </c>
      <c r="E26170">
        <v>74.650000000000006</v>
      </c>
    </row>
    <row r="26171" spans="1:5" x14ac:dyDescent="0.2">
      <c r="A26171" t="str">
        <f>"02862"</f>
        <v>02862</v>
      </c>
      <c r="B26171" t="s">
        <v>46</v>
      </c>
      <c r="C26171">
        <v>2862</v>
      </c>
      <c r="D26171" t="str">
        <f>"02862"</f>
        <v>02862</v>
      </c>
      <c r="E26171" t="s">
        <v>6</v>
      </c>
    </row>
    <row r="26172" spans="1:5" x14ac:dyDescent="0.2">
      <c r="A26172" t="str">
        <f>"02863"</f>
        <v>02863</v>
      </c>
      <c r="B26172" t="s">
        <v>46</v>
      </c>
      <c r="C26172">
        <v>2863</v>
      </c>
      <c r="D26172" t="str">
        <f>"02863"</f>
        <v>02863</v>
      </c>
      <c r="E26172">
        <v>54.67</v>
      </c>
    </row>
    <row r="26173" spans="1:5" x14ac:dyDescent="0.2">
      <c r="A26173" t="str">
        <f>"02864"</f>
        <v>02864</v>
      </c>
      <c r="B26173" t="s">
        <v>46</v>
      </c>
      <c r="C26173">
        <v>2864</v>
      </c>
      <c r="D26173" t="str">
        <f>"02864"</f>
        <v>02864</v>
      </c>
      <c r="E26173">
        <v>80.989999999999995</v>
      </c>
    </row>
    <row r="26174" spans="1:5" x14ac:dyDescent="0.2">
      <c r="A26174" t="str">
        <f>"02865"</f>
        <v>02865</v>
      </c>
      <c r="B26174" t="s">
        <v>46</v>
      </c>
      <c r="C26174">
        <v>2865</v>
      </c>
      <c r="D26174" t="str">
        <f>"02865"</f>
        <v>02865</v>
      </c>
      <c r="E26174">
        <v>80.56</v>
      </c>
    </row>
    <row r="26175" spans="1:5" x14ac:dyDescent="0.2">
      <c r="A26175" t="str">
        <f>"02871"</f>
        <v>02871</v>
      </c>
      <c r="B26175" t="s">
        <v>46</v>
      </c>
      <c r="C26175">
        <v>2871</v>
      </c>
      <c r="D26175" t="str">
        <f>"02871"</f>
        <v>02871</v>
      </c>
      <c r="E26175">
        <v>80.58</v>
      </c>
    </row>
    <row r="26176" spans="1:5" x14ac:dyDescent="0.2">
      <c r="A26176" t="str">
        <f>"02872"</f>
        <v>02872</v>
      </c>
      <c r="B26176" t="s">
        <v>46</v>
      </c>
      <c r="C26176">
        <v>2872</v>
      </c>
      <c r="D26176" t="str">
        <f>"02872"</f>
        <v>02872</v>
      </c>
      <c r="E26176" t="s">
        <v>6</v>
      </c>
    </row>
    <row r="26177" spans="1:5" x14ac:dyDescent="0.2">
      <c r="A26177" t="str">
        <f>"02873"</f>
        <v>02873</v>
      </c>
      <c r="B26177" t="s">
        <v>46</v>
      </c>
      <c r="C26177">
        <v>2873</v>
      </c>
      <c r="D26177" t="str">
        <f>"02873"</f>
        <v>02873</v>
      </c>
      <c r="E26177" t="s">
        <v>6</v>
      </c>
    </row>
    <row r="26178" spans="1:5" x14ac:dyDescent="0.2">
      <c r="A26178" t="str">
        <f>"02874"</f>
        <v>02874</v>
      </c>
      <c r="B26178" t="s">
        <v>46</v>
      </c>
      <c r="C26178">
        <v>2874</v>
      </c>
      <c r="D26178" t="str">
        <f>"02874"</f>
        <v>02874</v>
      </c>
      <c r="E26178">
        <v>80.19</v>
      </c>
    </row>
    <row r="26179" spans="1:5" x14ac:dyDescent="0.2">
      <c r="A26179" t="str">
        <f>"02875"</f>
        <v>02875</v>
      </c>
      <c r="B26179" t="s">
        <v>46</v>
      </c>
      <c r="C26179">
        <v>2875</v>
      </c>
      <c r="D26179" t="str">
        <f>"02875"</f>
        <v>02875</v>
      </c>
      <c r="E26179">
        <v>78.95</v>
      </c>
    </row>
    <row r="26180" spans="1:5" x14ac:dyDescent="0.2">
      <c r="A26180" t="str">
        <f>"02876"</f>
        <v>02876</v>
      </c>
      <c r="B26180" t="s">
        <v>46</v>
      </c>
      <c r="C26180">
        <v>2876</v>
      </c>
      <c r="D26180" t="str">
        <f>"02876"</f>
        <v>02876</v>
      </c>
      <c r="E26180">
        <v>80.56</v>
      </c>
    </row>
    <row r="26181" spans="1:5" x14ac:dyDescent="0.2">
      <c r="A26181" t="str">
        <f>"02877"</f>
        <v>02877</v>
      </c>
      <c r="B26181" t="s">
        <v>46</v>
      </c>
      <c r="C26181">
        <v>2877</v>
      </c>
      <c r="D26181" t="str">
        <f>"02877"</f>
        <v>02877</v>
      </c>
      <c r="E26181" t="s">
        <v>6</v>
      </c>
    </row>
    <row r="26182" spans="1:5" x14ac:dyDescent="0.2">
      <c r="A26182" t="str">
        <f>"02878"</f>
        <v>02878</v>
      </c>
      <c r="B26182" t="s">
        <v>46</v>
      </c>
      <c r="C26182">
        <v>2878</v>
      </c>
      <c r="D26182" t="str">
        <f>"02878"</f>
        <v>02878</v>
      </c>
      <c r="E26182">
        <v>80.260000000000005</v>
      </c>
    </row>
    <row r="26183" spans="1:5" x14ac:dyDescent="0.2">
      <c r="A26183" t="str">
        <f>"02879"</f>
        <v>02879</v>
      </c>
      <c r="B26183" t="s">
        <v>46</v>
      </c>
      <c r="C26183">
        <v>2879</v>
      </c>
      <c r="D26183" t="str">
        <f>"02879"</f>
        <v>02879</v>
      </c>
      <c r="E26183">
        <v>79.03</v>
      </c>
    </row>
    <row r="26184" spans="1:5" x14ac:dyDescent="0.2">
      <c r="A26184" t="str">
        <f>"02881"</f>
        <v>02881</v>
      </c>
      <c r="B26184" t="s">
        <v>46</v>
      </c>
      <c r="C26184">
        <v>2881</v>
      </c>
      <c r="D26184" t="str">
        <f>"02881"</f>
        <v>02881</v>
      </c>
      <c r="E26184">
        <v>80.180000000000007</v>
      </c>
    </row>
    <row r="26185" spans="1:5" x14ac:dyDescent="0.2">
      <c r="A26185" t="str">
        <f>"02882"</f>
        <v>02882</v>
      </c>
      <c r="B26185" t="s">
        <v>46</v>
      </c>
      <c r="C26185">
        <v>2882</v>
      </c>
      <c r="D26185" t="str">
        <f>"02882"</f>
        <v>02882</v>
      </c>
      <c r="E26185">
        <v>79.19</v>
      </c>
    </row>
    <row r="26186" spans="1:5" x14ac:dyDescent="0.2">
      <c r="A26186" t="str">
        <f>"02885"</f>
        <v>02885</v>
      </c>
      <c r="B26186" t="s">
        <v>46</v>
      </c>
      <c r="C26186">
        <v>2885</v>
      </c>
      <c r="D26186" t="str">
        <f>"02885"</f>
        <v>02885</v>
      </c>
      <c r="E26186">
        <v>77.540000000000006</v>
      </c>
    </row>
    <row r="26187" spans="1:5" x14ac:dyDescent="0.2">
      <c r="A26187" t="str">
        <f>"02886"</f>
        <v>02886</v>
      </c>
      <c r="B26187" t="s">
        <v>46</v>
      </c>
      <c r="C26187">
        <v>2886</v>
      </c>
      <c r="D26187" t="str">
        <f>"02886"</f>
        <v>02886</v>
      </c>
      <c r="E26187">
        <v>78.83</v>
      </c>
    </row>
    <row r="26188" spans="1:5" x14ac:dyDescent="0.2">
      <c r="A26188" t="str">
        <f>"02888"</f>
        <v>02888</v>
      </c>
      <c r="B26188" t="s">
        <v>46</v>
      </c>
      <c r="C26188">
        <v>2888</v>
      </c>
      <c r="D26188" t="str">
        <f>"02888"</f>
        <v>02888</v>
      </c>
      <c r="E26188">
        <v>80.22</v>
      </c>
    </row>
    <row r="26189" spans="1:5" x14ac:dyDescent="0.2">
      <c r="A26189" t="str">
        <f>"02889"</f>
        <v>02889</v>
      </c>
      <c r="B26189" t="s">
        <v>46</v>
      </c>
      <c r="C26189">
        <v>2889</v>
      </c>
      <c r="D26189" t="str">
        <f>"02889"</f>
        <v>02889</v>
      </c>
      <c r="E26189">
        <v>78.22</v>
      </c>
    </row>
    <row r="26190" spans="1:5" x14ac:dyDescent="0.2">
      <c r="A26190" t="str">
        <f>"02891"</f>
        <v>02891</v>
      </c>
      <c r="B26190" t="s">
        <v>46</v>
      </c>
      <c r="C26190">
        <v>2891</v>
      </c>
      <c r="D26190" t="str">
        <f>"02891"</f>
        <v>02891</v>
      </c>
      <c r="E26190">
        <v>76.66</v>
      </c>
    </row>
    <row r="26191" spans="1:5" x14ac:dyDescent="0.2">
      <c r="A26191" t="str">
        <f>"02892"</f>
        <v>02892</v>
      </c>
      <c r="B26191" t="s">
        <v>46</v>
      </c>
      <c r="C26191">
        <v>2892</v>
      </c>
      <c r="D26191" t="str">
        <f>"02892"</f>
        <v>02892</v>
      </c>
      <c r="E26191">
        <v>81.48</v>
      </c>
    </row>
    <row r="26192" spans="1:5" x14ac:dyDescent="0.2">
      <c r="A26192" t="str">
        <f>"02893"</f>
        <v>02893</v>
      </c>
      <c r="B26192" t="s">
        <v>46</v>
      </c>
      <c r="C26192">
        <v>2893</v>
      </c>
      <c r="D26192" t="str">
        <f>"02893"</f>
        <v>02893</v>
      </c>
      <c r="E26192">
        <v>74.73</v>
      </c>
    </row>
    <row r="26193" spans="1:5" x14ac:dyDescent="0.2">
      <c r="A26193" t="str">
        <f>"02894"</f>
        <v>02894</v>
      </c>
      <c r="B26193" t="s">
        <v>46</v>
      </c>
      <c r="C26193">
        <v>2894</v>
      </c>
      <c r="D26193" t="str">
        <f>"02894"</f>
        <v>02894</v>
      </c>
      <c r="E26193">
        <v>71.11</v>
      </c>
    </row>
    <row r="26194" spans="1:5" x14ac:dyDescent="0.2">
      <c r="A26194" t="str">
        <f>"02895"</f>
        <v>02895</v>
      </c>
      <c r="B26194" t="s">
        <v>46</v>
      </c>
      <c r="C26194">
        <v>2895</v>
      </c>
      <c r="D26194" t="str">
        <f>"02895"</f>
        <v>02895</v>
      </c>
      <c r="E26194">
        <v>68.349999999999994</v>
      </c>
    </row>
    <row r="26195" spans="1:5" x14ac:dyDescent="0.2">
      <c r="A26195" t="str">
        <f>"02896"</f>
        <v>02896</v>
      </c>
      <c r="B26195" t="s">
        <v>46</v>
      </c>
      <c r="C26195">
        <v>2896</v>
      </c>
      <c r="D26195" t="str">
        <f>"02896"</f>
        <v>02896</v>
      </c>
      <c r="E26195">
        <v>81.06</v>
      </c>
    </row>
    <row r="26196" spans="1:5" x14ac:dyDescent="0.2">
      <c r="A26196" t="str">
        <f>"02898"</f>
        <v>02898</v>
      </c>
      <c r="B26196" t="s">
        <v>46</v>
      </c>
      <c r="C26196">
        <v>2898</v>
      </c>
      <c r="D26196" t="str">
        <f>"02898"</f>
        <v>02898</v>
      </c>
      <c r="E26196">
        <v>80.73</v>
      </c>
    </row>
    <row r="26197" spans="1:5" x14ac:dyDescent="0.2">
      <c r="A26197" t="str">
        <f>"02902"</f>
        <v>02902</v>
      </c>
      <c r="B26197" t="s">
        <v>46</v>
      </c>
      <c r="C26197">
        <v>2902</v>
      </c>
      <c r="D26197" t="str">
        <f>"02902"</f>
        <v>02902</v>
      </c>
      <c r="E26197" t="s">
        <v>6</v>
      </c>
    </row>
    <row r="26198" spans="1:5" x14ac:dyDescent="0.2">
      <c r="A26198" t="str">
        <f>"02903"</f>
        <v>02903</v>
      </c>
      <c r="B26198" t="s">
        <v>46</v>
      </c>
      <c r="C26198">
        <v>2903</v>
      </c>
      <c r="D26198" t="str">
        <f>"02903"</f>
        <v>02903</v>
      </c>
      <c r="E26198">
        <v>76.92</v>
      </c>
    </row>
    <row r="26199" spans="1:5" x14ac:dyDescent="0.2">
      <c r="A26199" t="str">
        <f>"02904"</f>
        <v>02904</v>
      </c>
      <c r="B26199" t="s">
        <v>46</v>
      </c>
      <c r="C26199">
        <v>2904</v>
      </c>
      <c r="D26199" t="str">
        <f>"02904"</f>
        <v>02904</v>
      </c>
      <c r="E26199">
        <v>72.040000000000006</v>
      </c>
    </row>
    <row r="26200" spans="1:5" x14ac:dyDescent="0.2">
      <c r="A26200" t="str">
        <f>"02905"</f>
        <v>02905</v>
      </c>
      <c r="B26200" t="s">
        <v>46</v>
      </c>
      <c r="C26200">
        <v>2905</v>
      </c>
      <c r="D26200" t="str">
        <f>"02905"</f>
        <v>02905</v>
      </c>
      <c r="E26200">
        <v>61.87</v>
      </c>
    </row>
    <row r="26201" spans="1:5" x14ac:dyDescent="0.2">
      <c r="A26201" t="str">
        <f>"02906"</f>
        <v>02906</v>
      </c>
      <c r="B26201" t="s">
        <v>46</v>
      </c>
      <c r="C26201">
        <v>2906</v>
      </c>
      <c r="D26201" t="str">
        <f>"02906"</f>
        <v>02906</v>
      </c>
      <c r="E26201">
        <v>82.81</v>
      </c>
    </row>
    <row r="26202" spans="1:5" x14ac:dyDescent="0.2">
      <c r="A26202" t="str">
        <f>"02907"</f>
        <v>02907</v>
      </c>
      <c r="B26202" t="s">
        <v>46</v>
      </c>
      <c r="C26202">
        <v>2907</v>
      </c>
      <c r="D26202" t="str">
        <f>"02907"</f>
        <v>02907</v>
      </c>
      <c r="E26202">
        <v>52.3</v>
      </c>
    </row>
    <row r="26203" spans="1:5" x14ac:dyDescent="0.2">
      <c r="A26203" t="str">
        <f>"02908"</f>
        <v>02908</v>
      </c>
      <c r="B26203" t="s">
        <v>46</v>
      </c>
      <c r="C26203">
        <v>2908</v>
      </c>
      <c r="D26203" t="str">
        <f>"02908"</f>
        <v>02908</v>
      </c>
      <c r="E26203">
        <v>63.32</v>
      </c>
    </row>
    <row r="26204" spans="1:5" x14ac:dyDescent="0.2">
      <c r="A26204" t="str">
        <f>"02909"</f>
        <v>02909</v>
      </c>
      <c r="B26204" t="s">
        <v>46</v>
      </c>
      <c r="C26204">
        <v>2909</v>
      </c>
      <c r="D26204" t="str">
        <f>"02909"</f>
        <v>02909</v>
      </c>
      <c r="E26204">
        <v>56.77</v>
      </c>
    </row>
    <row r="26205" spans="1:5" x14ac:dyDescent="0.2">
      <c r="A26205" t="str">
        <f>"02910"</f>
        <v>02910</v>
      </c>
      <c r="B26205" t="s">
        <v>46</v>
      </c>
      <c r="C26205">
        <v>2910</v>
      </c>
      <c r="D26205" t="str">
        <f>"02910"</f>
        <v>02910</v>
      </c>
      <c r="E26205">
        <v>74.3</v>
      </c>
    </row>
    <row r="26206" spans="1:5" x14ac:dyDescent="0.2">
      <c r="A26206" t="str">
        <f>"02911"</f>
        <v>02911</v>
      </c>
      <c r="B26206" t="s">
        <v>46</v>
      </c>
      <c r="C26206">
        <v>2911</v>
      </c>
      <c r="D26206" t="str">
        <f>"02911"</f>
        <v>02911</v>
      </c>
      <c r="E26206">
        <v>77.33</v>
      </c>
    </row>
    <row r="26207" spans="1:5" x14ac:dyDescent="0.2">
      <c r="A26207" t="str">
        <f>"02912"</f>
        <v>02912</v>
      </c>
      <c r="B26207" t="s">
        <v>46</v>
      </c>
      <c r="C26207">
        <v>2912</v>
      </c>
      <c r="D26207" t="str">
        <f>"02912"</f>
        <v>02912</v>
      </c>
      <c r="E26207" t="s">
        <v>6</v>
      </c>
    </row>
    <row r="26208" spans="1:5" x14ac:dyDescent="0.2">
      <c r="A26208" t="str">
        <f>"02914"</f>
        <v>02914</v>
      </c>
      <c r="B26208" t="s">
        <v>46</v>
      </c>
      <c r="C26208">
        <v>2914</v>
      </c>
      <c r="D26208" t="str">
        <f>"02914"</f>
        <v>02914</v>
      </c>
      <c r="E26208">
        <v>72.739999999999995</v>
      </c>
    </row>
    <row r="26209" spans="1:5" x14ac:dyDescent="0.2">
      <c r="A26209" t="str">
        <f>"02915"</f>
        <v>02915</v>
      </c>
      <c r="B26209" t="s">
        <v>46</v>
      </c>
      <c r="C26209">
        <v>2915</v>
      </c>
      <c r="D26209" t="str">
        <f>"02915"</f>
        <v>02915</v>
      </c>
      <c r="E26209">
        <v>79.37</v>
      </c>
    </row>
    <row r="26210" spans="1:5" x14ac:dyDescent="0.2">
      <c r="A26210" t="str">
        <f>"02916"</f>
        <v>02916</v>
      </c>
      <c r="B26210" t="s">
        <v>46</v>
      </c>
      <c r="C26210">
        <v>2916</v>
      </c>
      <c r="D26210" t="str">
        <f>"02916"</f>
        <v>02916</v>
      </c>
      <c r="E26210">
        <v>80.569999999999993</v>
      </c>
    </row>
    <row r="26211" spans="1:5" x14ac:dyDescent="0.2">
      <c r="A26211" t="str">
        <f>"02917"</f>
        <v>02917</v>
      </c>
      <c r="B26211" t="s">
        <v>46</v>
      </c>
      <c r="C26211">
        <v>2917</v>
      </c>
      <c r="D26211" t="str">
        <f>"02917"</f>
        <v>02917</v>
      </c>
      <c r="E26211">
        <v>81.63</v>
      </c>
    </row>
    <row r="26212" spans="1:5" x14ac:dyDescent="0.2">
      <c r="A26212" t="str">
        <f>"02918"</f>
        <v>02918</v>
      </c>
      <c r="B26212" t="s">
        <v>46</v>
      </c>
      <c r="C26212">
        <v>2918</v>
      </c>
      <c r="D26212" t="str">
        <f>"02918"</f>
        <v>02918</v>
      </c>
      <c r="E26212" t="s">
        <v>6</v>
      </c>
    </row>
    <row r="26213" spans="1:5" x14ac:dyDescent="0.2">
      <c r="A26213" t="str">
        <f>"02919"</f>
        <v>02919</v>
      </c>
      <c r="B26213" t="s">
        <v>46</v>
      </c>
      <c r="C26213">
        <v>2919</v>
      </c>
      <c r="D26213" t="str">
        <f>"02919"</f>
        <v>02919</v>
      </c>
      <c r="E26213">
        <v>77.44</v>
      </c>
    </row>
    <row r="26214" spans="1:5" x14ac:dyDescent="0.2">
      <c r="A26214" t="str">
        <f>"02920"</f>
        <v>02920</v>
      </c>
      <c r="B26214" t="s">
        <v>46</v>
      </c>
      <c r="C26214">
        <v>2920</v>
      </c>
      <c r="D26214" t="str">
        <f>"02920"</f>
        <v>02920</v>
      </c>
      <c r="E26214">
        <v>74.709999999999994</v>
      </c>
    </row>
    <row r="26215" spans="1:5" x14ac:dyDescent="0.2">
      <c r="A26215" t="str">
        <f>"02921"</f>
        <v>02921</v>
      </c>
      <c r="B26215" t="s">
        <v>46</v>
      </c>
      <c r="C26215">
        <v>2921</v>
      </c>
      <c r="D26215" t="str">
        <f>"02921"</f>
        <v>02921</v>
      </c>
      <c r="E26215">
        <v>82.45</v>
      </c>
    </row>
    <row r="26216" spans="1:5" x14ac:dyDescent="0.2">
      <c r="A26216">
        <v>29001</v>
      </c>
      <c r="B26216" t="s">
        <v>47</v>
      </c>
      <c r="C26216">
        <v>29001</v>
      </c>
      <c r="D26216" t="str">
        <f>"29001"</f>
        <v>29001</v>
      </c>
      <c r="E26216">
        <v>55.42</v>
      </c>
    </row>
    <row r="26217" spans="1:5" x14ac:dyDescent="0.2">
      <c r="A26217">
        <v>29003</v>
      </c>
      <c r="B26217" t="s">
        <v>47</v>
      </c>
      <c r="C26217">
        <v>29003</v>
      </c>
      <c r="D26217" t="str">
        <f>"29003"</f>
        <v>29003</v>
      </c>
      <c r="E26217">
        <v>57.26</v>
      </c>
    </row>
    <row r="26218" spans="1:5" x14ac:dyDescent="0.2">
      <c r="A26218">
        <v>29006</v>
      </c>
      <c r="B26218" t="s">
        <v>47</v>
      </c>
      <c r="C26218">
        <v>29006</v>
      </c>
      <c r="D26218" t="str">
        <f>"29006"</f>
        <v>29006</v>
      </c>
      <c r="E26218">
        <v>61.7</v>
      </c>
    </row>
    <row r="26219" spans="1:5" x14ac:dyDescent="0.2">
      <c r="A26219">
        <v>29009</v>
      </c>
      <c r="B26219" t="s">
        <v>47</v>
      </c>
      <c r="C26219">
        <v>29009</v>
      </c>
      <c r="D26219" t="str">
        <f>"29009"</f>
        <v>29009</v>
      </c>
      <c r="E26219">
        <v>63.27</v>
      </c>
    </row>
    <row r="26220" spans="1:5" x14ac:dyDescent="0.2">
      <c r="A26220">
        <v>29010</v>
      </c>
      <c r="B26220" t="s">
        <v>47</v>
      </c>
      <c r="C26220">
        <v>29010</v>
      </c>
      <c r="D26220" t="str">
        <f>"29010"</f>
        <v>29010</v>
      </c>
      <c r="E26220">
        <v>53.57</v>
      </c>
    </row>
    <row r="26221" spans="1:5" x14ac:dyDescent="0.2">
      <c r="A26221">
        <v>29014</v>
      </c>
      <c r="B26221" t="s">
        <v>47</v>
      </c>
      <c r="C26221">
        <v>29014</v>
      </c>
      <c r="D26221" t="str">
        <f>"29014"</f>
        <v>29014</v>
      </c>
      <c r="E26221">
        <v>64.94</v>
      </c>
    </row>
    <row r="26222" spans="1:5" x14ac:dyDescent="0.2">
      <c r="A26222">
        <v>29015</v>
      </c>
      <c r="B26222" t="s">
        <v>47</v>
      </c>
      <c r="C26222">
        <v>29015</v>
      </c>
      <c r="D26222" t="str">
        <f>"29015"</f>
        <v>29015</v>
      </c>
      <c r="E26222">
        <v>56.25</v>
      </c>
    </row>
    <row r="26223" spans="1:5" x14ac:dyDescent="0.2">
      <c r="A26223">
        <v>29016</v>
      </c>
      <c r="B26223" t="s">
        <v>47</v>
      </c>
      <c r="C26223">
        <v>29016</v>
      </c>
      <c r="D26223" t="str">
        <f>"29016"</f>
        <v>29016</v>
      </c>
      <c r="E26223">
        <v>75.5</v>
      </c>
    </row>
    <row r="26224" spans="1:5" x14ac:dyDescent="0.2">
      <c r="A26224">
        <v>29018</v>
      </c>
      <c r="B26224" t="s">
        <v>47</v>
      </c>
      <c r="C26224">
        <v>29018</v>
      </c>
      <c r="D26224" t="str">
        <f>"29018"</f>
        <v>29018</v>
      </c>
      <c r="E26224">
        <v>55.1</v>
      </c>
    </row>
    <row r="26225" spans="1:5" x14ac:dyDescent="0.2">
      <c r="A26225">
        <v>29020</v>
      </c>
      <c r="B26225" t="s">
        <v>47</v>
      </c>
      <c r="C26225">
        <v>29020</v>
      </c>
      <c r="D26225" t="str">
        <f>"29020"</f>
        <v>29020</v>
      </c>
      <c r="E26225">
        <v>66.83</v>
      </c>
    </row>
    <row r="26226" spans="1:5" x14ac:dyDescent="0.2">
      <c r="A26226">
        <v>29030</v>
      </c>
      <c r="B26226" t="s">
        <v>47</v>
      </c>
      <c r="C26226">
        <v>29030</v>
      </c>
      <c r="D26226" t="str">
        <f>"29030"</f>
        <v>29030</v>
      </c>
      <c r="E26226">
        <v>66.67</v>
      </c>
    </row>
    <row r="26227" spans="1:5" x14ac:dyDescent="0.2">
      <c r="A26227">
        <v>29031</v>
      </c>
      <c r="B26227" t="s">
        <v>47</v>
      </c>
      <c r="C26227">
        <v>29031</v>
      </c>
      <c r="D26227" t="str">
        <f>"29031"</f>
        <v>29031</v>
      </c>
      <c r="E26227">
        <v>62.96</v>
      </c>
    </row>
    <row r="26228" spans="1:5" x14ac:dyDescent="0.2">
      <c r="A26228">
        <v>29032</v>
      </c>
      <c r="B26228" t="s">
        <v>47</v>
      </c>
      <c r="C26228">
        <v>29032</v>
      </c>
      <c r="D26228" t="str">
        <f>"29032"</f>
        <v>29032</v>
      </c>
      <c r="E26228">
        <v>59.06</v>
      </c>
    </row>
    <row r="26229" spans="1:5" x14ac:dyDescent="0.2">
      <c r="A26229">
        <v>29033</v>
      </c>
      <c r="B26229" t="s">
        <v>47</v>
      </c>
      <c r="C26229">
        <v>29033</v>
      </c>
      <c r="D26229" t="str">
        <f>"29033"</f>
        <v>29033</v>
      </c>
      <c r="E26229">
        <v>69.67</v>
      </c>
    </row>
    <row r="26230" spans="1:5" x14ac:dyDescent="0.2">
      <c r="A26230">
        <v>29036</v>
      </c>
      <c r="B26230" t="s">
        <v>47</v>
      </c>
      <c r="C26230">
        <v>29036</v>
      </c>
      <c r="D26230" t="str">
        <f>"29036"</f>
        <v>29036</v>
      </c>
      <c r="E26230">
        <v>80.239999999999995</v>
      </c>
    </row>
    <row r="26231" spans="1:5" x14ac:dyDescent="0.2">
      <c r="A26231">
        <v>29037</v>
      </c>
      <c r="B26231" t="s">
        <v>47</v>
      </c>
      <c r="C26231">
        <v>29037</v>
      </c>
      <c r="D26231" t="str">
        <f>"29037"</f>
        <v>29037</v>
      </c>
      <c r="E26231">
        <v>63.89</v>
      </c>
    </row>
    <row r="26232" spans="1:5" x14ac:dyDescent="0.2">
      <c r="A26232">
        <v>29038</v>
      </c>
      <c r="B26232" t="s">
        <v>47</v>
      </c>
      <c r="C26232">
        <v>29038</v>
      </c>
      <c r="D26232" t="str">
        <f>"29038"</f>
        <v>29038</v>
      </c>
      <c r="E26232">
        <v>65.42</v>
      </c>
    </row>
    <row r="26233" spans="1:5" x14ac:dyDescent="0.2">
      <c r="A26233">
        <v>29039</v>
      </c>
      <c r="B26233" t="s">
        <v>47</v>
      </c>
      <c r="C26233">
        <v>29039</v>
      </c>
      <c r="D26233" t="str">
        <f>"29039"</f>
        <v>29039</v>
      </c>
      <c r="E26233">
        <v>55.77</v>
      </c>
    </row>
    <row r="26234" spans="1:5" x14ac:dyDescent="0.2">
      <c r="A26234">
        <v>29040</v>
      </c>
      <c r="B26234" t="s">
        <v>47</v>
      </c>
      <c r="C26234">
        <v>29040</v>
      </c>
      <c r="D26234" t="str">
        <f>"29040"</f>
        <v>29040</v>
      </c>
      <c r="E26234">
        <v>64.94</v>
      </c>
    </row>
    <row r="26235" spans="1:5" x14ac:dyDescent="0.2">
      <c r="A26235">
        <v>29042</v>
      </c>
      <c r="B26235" t="s">
        <v>47</v>
      </c>
      <c r="C26235">
        <v>29042</v>
      </c>
      <c r="D26235" t="str">
        <f>"29042"</f>
        <v>29042</v>
      </c>
      <c r="E26235">
        <v>52.98</v>
      </c>
    </row>
    <row r="26236" spans="1:5" x14ac:dyDescent="0.2">
      <c r="A26236">
        <v>29044</v>
      </c>
      <c r="B26236" t="s">
        <v>47</v>
      </c>
      <c r="C26236">
        <v>29044</v>
      </c>
      <c r="D26236" t="str">
        <f>"29044"</f>
        <v>29044</v>
      </c>
      <c r="E26236">
        <v>59.83</v>
      </c>
    </row>
    <row r="26237" spans="1:5" x14ac:dyDescent="0.2">
      <c r="A26237">
        <v>29045</v>
      </c>
      <c r="B26237" t="s">
        <v>47</v>
      </c>
      <c r="C26237">
        <v>29045</v>
      </c>
      <c r="D26237" t="str">
        <f>"29045"</f>
        <v>29045</v>
      </c>
      <c r="E26237">
        <v>71.650000000000006</v>
      </c>
    </row>
    <row r="26238" spans="1:5" x14ac:dyDescent="0.2">
      <c r="A26238">
        <v>29046</v>
      </c>
      <c r="B26238" t="s">
        <v>47</v>
      </c>
      <c r="C26238">
        <v>29046</v>
      </c>
      <c r="D26238" t="str">
        <f>"29046"</f>
        <v>29046</v>
      </c>
      <c r="E26238" t="s">
        <v>6</v>
      </c>
    </row>
    <row r="26239" spans="1:5" x14ac:dyDescent="0.2">
      <c r="A26239">
        <v>29047</v>
      </c>
      <c r="B26239" t="s">
        <v>47</v>
      </c>
      <c r="C26239">
        <v>29047</v>
      </c>
      <c r="D26239" t="str">
        <f>"29047"</f>
        <v>29047</v>
      </c>
      <c r="E26239">
        <v>60.27</v>
      </c>
    </row>
    <row r="26240" spans="1:5" x14ac:dyDescent="0.2">
      <c r="A26240">
        <v>29048</v>
      </c>
      <c r="B26240" t="s">
        <v>47</v>
      </c>
      <c r="C26240">
        <v>29048</v>
      </c>
      <c r="D26240" t="str">
        <f>"29048"</f>
        <v>29048</v>
      </c>
      <c r="E26240">
        <v>60.91</v>
      </c>
    </row>
    <row r="26241" spans="1:5" x14ac:dyDescent="0.2">
      <c r="A26241">
        <v>29051</v>
      </c>
      <c r="B26241" t="s">
        <v>47</v>
      </c>
      <c r="C26241">
        <v>29051</v>
      </c>
      <c r="D26241" t="str">
        <f>"29051"</f>
        <v>29051</v>
      </c>
      <c r="E26241">
        <v>62.86</v>
      </c>
    </row>
    <row r="26242" spans="1:5" x14ac:dyDescent="0.2">
      <c r="A26242">
        <v>29052</v>
      </c>
      <c r="B26242" t="s">
        <v>47</v>
      </c>
      <c r="C26242">
        <v>29052</v>
      </c>
      <c r="D26242" t="str">
        <f>"29052"</f>
        <v>29052</v>
      </c>
      <c r="E26242">
        <v>57.65</v>
      </c>
    </row>
    <row r="26243" spans="1:5" x14ac:dyDescent="0.2">
      <c r="A26243">
        <v>29053</v>
      </c>
      <c r="B26243" t="s">
        <v>47</v>
      </c>
      <c r="C26243">
        <v>29053</v>
      </c>
      <c r="D26243" t="str">
        <f>"29053"</f>
        <v>29053</v>
      </c>
      <c r="E26243">
        <v>57.46</v>
      </c>
    </row>
    <row r="26244" spans="1:5" x14ac:dyDescent="0.2">
      <c r="A26244">
        <v>29054</v>
      </c>
      <c r="B26244" t="s">
        <v>47</v>
      </c>
      <c r="C26244">
        <v>29054</v>
      </c>
      <c r="D26244" t="str">
        <f>"29054"</f>
        <v>29054</v>
      </c>
      <c r="E26244">
        <v>73.97</v>
      </c>
    </row>
    <row r="26245" spans="1:5" x14ac:dyDescent="0.2">
      <c r="A26245">
        <v>29055</v>
      </c>
      <c r="B26245" t="s">
        <v>47</v>
      </c>
      <c r="C26245">
        <v>29055</v>
      </c>
      <c r="D26245" t="str">
        <f>"29055"</f>
        <v>29055</v>
      </c>
      <c r="E26245">
        <v>59.76</v>
      </c>
    </row>
    <row r="26246" spans="1:5" x14ac:dyDescent="0.2">
      <c r="A26246">
        <v>29056</v>
      </c>
      <c r="B26246" t="s">
        <v>47</v>
      </c>
      <c r="C26246">
        <v>29056</v>
      </c>
      <c r="D26246" t="str">
        <f>"29056"</f>
        <v>29056</v>
      </c>
      <c r="E26246">
        <v>52.17</v>
      </c>
    </row>
    <row r="26247" spans="1:5" x14ac:dyDescent="0.2">
      <c r="A26247">
        <v>29058</v>
      </c>
      <c r="B26247" t="s">
        <v>47</v>
      </c>
      <c r="C26247">
        <v>29058</v>
      </c>
      <c r="D26247" t="str">
        <f>"29058"</f>
        <v>29058</v>
      </c>
      <c r="E26247">
        <v>66.16</v>
      </c>
    </row>
    <row r="26248" spans="1:5" x14ac:dyDescent="0.2">
      <c r="A26248">
        <v>29059</v>
      </c>
      <c r="B26248" t="s">
        <v>47</v>
      </c>
      <c r="C26248">
        <v>29059</v>
      </c>
      <c r="D26248" t="str">
        <f>"29059"</f>
        <v>29059</v>
      </c>
      <c r="E26248">
        <v>56.38</v>
      </c>
    </row>
    <row r="26249" spans="1:5" x14ac:dyDescent="0.2">
      <c r="A26249">
        <v>29061</v>
      </c>
      <c r="B26249" t="s">
        <v>47</v>
      </c>
      <c r="C26249">
        <v>29061</v>
      </c>
      <c r="D26249" t="str">
        <f>"29061"</f>
        <v>29061</v>
      </c>
      <c r="E26249">
        <v>62.17</v>
      </c>
    </row>
    <row r="26250" spans="1:5" x14ac:dyDescent="0.2">
      <c r="A26250">
        <v>29063</v>
      </c>
      <c r="B26250" t="s">
        <v>47</v>
      </c>
      <c r="C26250">
        <v>29063</v>
      </c>
      <c r="D26250" t="str">
        <f>"29063"</f>
        <v>29063</v>
      </c>
      <c r="E26250">
        <v>75.17</v>
      </c>
    </row>
    <row r="26251" spans="1:5" x14ac:dyDescent="0.2">
      <c r="A26251">
        <v>29065</v>
      </c>
      <c r="B26251" t="s">
        <v>47</v>
      </c>
      <c r="C26251">
        <v>29065</v>
      </c>
      <c r="D26251" t="str">
        <f>"29065"</f>
        <v>29065</v>
      </c>
      <c r="E26251">
        <v>58.82</v>
      </c>
    </row>
    <row r="26252" spans="1:5" x14ac:dyDescent="0.2">
      <c r="A26252">
        <v>29067</v>
      </c>
      <c r="B26252" t="s">
        <v>47</v>
      </c>
      <c r="C26252">
        <v>29067</v>
      </c>
      <c r="D26252" t="str">
        <f>"29067"</f>
        <v>29067</v>
      </c>
      <c r="E26252">
        <v>64.41</v>
      </c>
    </row>
    <row r="26253" spans="1:5" x14ac:dyDescent="0.2">
      <c r="A26253">
        <v>29069</v>
      </c>
      <c r="B26253" t="s">
        <v>47</v>
      </c>
      <c r="C26253">
        <v>29069</v>
      </c>
      <c r="D26253" t="str">
        <f>"29069"</f>
        <v>29069</v>
      </c>
      <c r="E26253">
        <v>58.85</v>
      </c>
    </row>
    <row r="26254" spans="1:5" x14ac:dyDescent="0.2">
      <c r="A26254">
        <v>29070</v>
      </c>
      <c r="B26254" t="s">
        <v>47</v>
      </c>
      <c r="C26254">
        <v>29070</v>
      </c>
      <c r="D26254" t="str">
        <f>"29070"</f>
        <v>29070</v>
      </c>
      <c r="E26254">
        <v>69.58</v>
      </c>
    </row>
    <row r="26255" spans="1:5" x14ac:dyDescent="0.2">
      <c r="A26255">
        <v>29072</v>
      </c>
      <c r="B26255" t="s">
        <v>47</v>
      </c>
      <c r="C26255">
        <v>29072</v>
      </c>
      <c r="D26255" t="str">
        <f>"29072"</f>
        <v>29072</v>
      </c>
      <c r="E26255">
        <v>78.58</v>
      </c>
    </row>
    <row r="26256" spans="1:5" x14ac:dyDescent="0.2">
      <c r="A26256">
        <v>29073</v>
      </c>
      <c r="B26256" t="s">
        <v>47</v>
      </c>
      <c r="C26256">
        <v>29073</v>
      </c>
      <c r="D26256" t="str">
        <f>"29073"</f>
        <v>29073</v>
      </c>
      <c r="E26256">
        <v>71</v>
      </c>
    </row>
    <row r="26257" spans="1:5" x14ac:dyDescent="0.2">
      <c r="A26257">
        <v>29074</v>
      </c>
      <c r="B26257" t="s">
        <v>47</v>
      </c>
      <c r="C26257">
        <v>29074</v>
      </c>
      <c r="D26257" t="str">
        <f>"29074"</f>
        <v>29074</v>
      </c>
      <c r="E26257" t="s">
        <v>6</v>
      </c>
    </row>
    <row r="26258" spans="1:5" x14ac:dyDescent="0.2">
      <c r="A26258">
        <v>29075</v>
      </c>
      <c r="B26258" t="s">
        <v>47</v>
      </c>
      <c r="C26258">
        <v>29075</v>
      </c>
      <c r="D26258" t="str">
        <f>"29075"</f>
        <v>29075</v>
      </c>
      <c r="E26258">
        <v>75.34</v>
      </c>
    </row>
    <row r="26259" spans="1:5" x14ac:dyDescent="0.2">
      <c r="A26259">
        <v>29078</v>
      </c>
      <c r="B26259" t="s">
        <v>47</v>
      </c>
      <c r="C26259">
        <v>29078</v>
      </c>
      <c r="D26259" t="str">
        <f>"29078"</f>
        <v>29078</v>
      </c>
      <c r="E26259">
        <v>69.489999999999995</v>
      </c>
    </row>
    <row r="26260" spans="1:5" x14ac:dyDescent="0.2">
      <c r="A26260">
        <v>29080</v>
      </c>
      <c r="B26260" t="s">
        <v>47</v>
      </c>
      <c r="C26260">
        <v>29080</v>
      </c>
      <c r="D26260" t="str">
        <f>"29080"</f>
        <v>29080</v>
      </c>
      <c r="E26260">
        <v>51.64</v>
      </c>
    </row>
    <row r="26261" spans="1:5" x14ac:dyDescent="0.2">
      <c r="A26261">
        <v>29081</v>
      </c>
      <c r="B26261" t="s">
        <v>47</v>
      </c>
      <c r="C26261">
        <v>29081</v>
      </c>
      <c r="D26261" t="str">
        <f>"29081"</f>
        <v>29081</v>
      </c>
      <c r="E26261">
        <v>65.959999999999994</v>
      </c>
    </row>
    <row r="26262" spans="1:5" x14ac:dyDescent="0.2">
      <c r="A26262">
        <v>29082</v>
      </c>
      <c r="B26262" t="s">
        <v>47</v>
      </c>
      <c r="C26262">
        <v>29082</v>
      </c>
      <c r="D26262" t="str">
        <f>"29082"</f>
        <v>29082</v>
      </c>
      <c r="E26262">
        <v>59.09</v>
      </c>
    </row>
    <row r="26263" spans="1:5" x14ac:dyDescent="0.2">
      <c r="A26263">
        <v>29101</v>
      </c>
      <c r="B26263" t="s">
        <v>47</v>
      </c>
      <c r="C26263">
        <v>29101</v>
      </c>
      <c r="D26263" t="str">
        <f>"29101"</f>
        <v>29101</v>
      </c>
      <c r="E26263">
        <v>58.06</v>
      </c>
    </row>
    <row r="26264" spans="1:5" x14ac:dyDescent="0.2">
      <c r="A26264">
        <v>29102</v>
      </c>
      <c r="B26264" t="s">
        <v>47</v>
      </c>
      <c r="C26264">
        <v>29102</v>
      </c>
      <c r="D26264" t="str">
        <f>"29102"</f>
        <v>29102</v>
      </c>
      <c r="E26264">
        <v>55.52</v>
      </c>
    </row>
    <row r="26265" spans="1:5" x14ac:dyDescent="0.2">
      <c r="A26265">
        <v>29104</v>
      </c>
      <c r="B26265" t="s">
        <v>47</v>
      </c>
      <c r="C26265">
        <v>29104</v>
      </c>
      <c r="D26265" t="str">
        <f>"29104"</f>
        <v>29104</v>
      </c>
      <c r="E26265">
        <v>58.57</v>
      </c>
    </row>
    <row r="26266" spans="1:5" x14ac:dyDescent="0.2">
      <c r="A26266">
        <v>29105</v>
      </c>
      <c r="B26266" t="s">
        <v>47</v>
      </c>
      <c r="C26266">
        <v>29105</v>
      </c>
      <c r="D26266" t="str">
        <f>"29105"</f>
        <v>29105</v>
      </c>
      <c r="E26266">
        <v>50.72</v>
      </c>
    </row>
    <row r="26267" spans="1:5" x14ac:dyDescent="0.2">
      <c r="A26267">
        <v>29107</v>
      </c>
      <c r="B26267" t="s">
        <v>47</v>
      </c>
      <c r="C26267">
        <v>29107</v>
      </c>
      <c r="D26267" t="str">
        <f>"29107"</f>
        <v>29107</v>
      </c>
      <c r="E26267">
        <v>60.83</v>
      </c>
    </row>
    <row r="26268" spans="1:5" x14ac:dyDescent="0.2">
      <c r="A26268">
        <v>29108</v>
      </c>
      <c r="B26268" t="s">
        <v>47</v>
      </c>
      <c r="C26268">
        <v>29108</v>
      </c>
      <c r="D26268" t="str">
        <f>"29108"</f>
        <v>29108</v>
      </c>
      <c r="E26268">
        <v>59.27</v>
      </c>
    </row>
    <row r="26269" spans="1:5" x14ac:dyDescent="0.2">
      <c r="A26269">
        <v>29111</v>
      </c>
      <c r="B26269" t="s">
        <v>47</v>
      </c>
      <c r="C26269">
        <v>29111</v>
      </c>
      <c r="D26269" t="str">
        <f>"29111"</f>
        <v>29111</v>
      </c>
      <c r="E26269">
        <v>60.34</v>
      </c>
    </row>
    <row r="26270" spans="1:5" x14ac:dyDescent="0.2">
      <c r="A26270">
        <v>29112</v>
      </c>
      <c r="B26270" t="s">
        <v>47</v>
      </c>
      <c r="C26270">
        <v>29112</v>
      </c>
      <c r="D26270" t="str">
        <f>"29112"</f>
        <v>29112</v>
      </c>
      <c r="E26270">
        <v>62.03</v>
      </c>
    </row>
    <row r="26271" spans="1:5" x14ac:dyDescent="0.2">
      <c r="A26271">
        <v>29113</v>
      </c>
      <c r="B26271" t="s">
        <v>47</v>
      </c>
      <c r="C26271">
        <v>29113</v>
      </c>
      <c r="D26271" t="str">
        <f>"29113"</f>
        <v>29113</v>
      </c>
      <c r="E26271">
        <v>56.67</v>
      </c>
    </row>
    <row r="26272" spans="1:5" x14ac:dyDescent="0.2">
      <c r="A26272">
        <v>29114</v>
      </c>
      <c r="B26272" t="s">
        <v>47</v>
      </c>
      <c r="C26272">
        <v>29114</v>
      </c>
      <c r="D26272" t="str">
        <f>"29114"</f>
        <v>29114</v>
      </c>
      <c r="E26272">
        <v>51.25</v>
      </c>
    </row>
    <row r="26273" spans="1:5" x14ac:dyDescent="0.2">
      <c r="A26273">
        <v>29115</v>
      </c>
      <c r="B26273" t="s">
        <v>47</v>
      </c>
      <c r="C26273">
        <v>29115</v>
      </c>
      <c r="D26273" t="str">
        <f>"29115"</f>
        <v>29115</v>
      </c>
      <c r="E26273">
        <v>52.05</v>
      </c>
    </row>
    <row r="26274" spans="1:5" x14ac:dyDescent="0.2">
      <c r="A26274">
        <v>29118</v>
      </c>
      <c r="B26274" t="s">
        <v>47</v>
      </c>
      <c r="C26274">
        <v>29118</v>
      </c>
      <c r="D26274" t="str">
        <f>"29118"</f>
        <v>29118</v>
      </c>
      <c r="E26274">
        <v>63.98</v>
      </c>
    </row>
    <row r="26275" spans="1:5" x14ac:dyDescent="0.2">
      <c r="A26275">
        <v>29122</v>
      </c>
      <c r="B26275" t="s">
        <v>47</v>
      </c>
      <c r="C26275">
        <v>29122</v>
      </c>
      <c r="D26275" t="str">
        <f>"29122"</f>
        <v>29122</v>
      </c>
      <c r="E26275" t="s">
        <v>6</v>
      </c>
    </row>
    <row r="26276" spans="1:5" x14ac:dyDescent="0.2">
      <c r="A26276">
        <v>29123</v>
      </c>
      <c r="B26276" t="s">
        <v>47</v>
      </c>
      <c r="C26276">
        <v>29123</v>
      </c>
      <c r="D26276" t="str">
        <f>"29123"</f>
        <v>29123</v>
      </c>
      <c r="E26276">
        <v>62.91</v>
      </c>
    </row>
    <row r="26277" spans="1:5" x14ac:dyDescent="0.2">
      <c r="A26277">
        <v>29125</v>
      </c>
      <c r="B26277" t="s">
        <v>47</v>
      </c>
      <c r="C26277">
        <v>29125</v>
      </c>
      <c r="D26277" t="str">
        <f>"29125"</f>
        <v>29125</v>
      </c>
      <c r="E26277">
        <v>55.93</v>
      </c>
    </row>
    <row r="26278" spans="1:5" x14ac:dyDescent="0.2">
      <c r="A26278">
        <v>29126</v>
      </c>
      <c r="B26278" t="s">
        <v>47</v>
      </c>
      <c r="C26278">
        <v>29126</v>
      </c>
      <c r="D26278" t="str">
        <f>"29126"</f>
        <v>29126</v>
      </c>
      <c r="E26278">
        <v>72.97</v>
      </c>
    </row>
    <row r="26279" spans="1:5" x14ac:dyDescent="0.2">
      <c r="A26279">
        <v>29127</v>
      </c>
      <c r="B26279" t="s">
        <v>47</v>
      </c>
      <c r="C26279">
        <v>29127</v>
      </c>
      <c r="D26279" t="str">
        <f>"29127"</f>
        <v>29127</v>
      </c>
      <c r="E26279">
        <v>73.77</v>
      </c>
    </row>
    <row r="26280" spans="1:5" x14ac:dyDescent="0.2">
      <c r="A26280">
        <v>29128</v>
      </c>
      <c r="B26280" t="s">
        <v>47</v>
      </c>
      <c r="C26280">
        <v>29128</v>
      </c>
      <c r="D26280" t="str">
        <f>"29128"</f>
        <v>29128</v>
      </c>
      <c r="E26280">
        <v>58.12</v>
      </c>
    </row>
    <row r="26281" spans="1:5" x14ac:dyDescent="0.2">
      <c r="A26281">
        <v>29129</v>
      </c>
      <c r="B26281" t="s">
        <v>47</v>
      </c>
      <c r="C26281">
        <v>29129</v>
      </c>
      <c r="D26281" t="str">
        <f>"29129"</f>
        <v>29129</v>
      </c>
      <c r="E26281">
        <v>58.65</v>
      </c>
    </row>
    <row r="26282" spans="1:5" x14ac:dyDescent="0.2">
      <c r="A26282">
        <v>29130</v>
      </c>
      <c r="B26282" t="s">
        <v>47</v>
      </c>
      <c r="C26282">
        <v>29130</v>
      </c>
      <c r="D26282" t="str">
        <f>"29130"</f>
        <v>29130</v>
      </c>
      <c r="E26282">
        <v>69.52</v>
      </c>
    </row>
    <row r="26283" spans="1:5" x14ac:dyDescent="0.2">
      <c r="A26283">
        <v>29133</v>
      </c>
      <c r="B26283" t="s">
        <v>47</v>
      </c>
      <c r="C26283">
        <v>29133</v>
      </c>
      <c r="D26283" t="str">
        <f>"29133"</f>
        <v>29133</v>
      </c>
      <c r="E26283">
        <v>60</v>
      </c>
    </row>
    <row r="26284" spans="1:5" x14ac:dyDescent="0.2">
      <c r="A26284">
        <v>29135</v>
      </c>
      <c r="B26284" t="s">
        <v>47</v>
      </c>
      <c r="C26284">
        <v>29135</v>
      </c>
      <c r="D26284" t="str">
        <f>"29135"</f>
        <v>29135</v>
      </c>
      <c r="E26284">
        <v>62.94</v>
      </c>
    </row>
    <row r="26285" spans="1:5" x14ac:dyDescent="0.2">
      <c r="A26285">
        <v>29137</v>
      </c>
      <c r="B26285" t="s">
        <v>47</v>
      </c>
      <c r="C26285">
        <v>29137</v>
      </c>
      <c r="D26285" t="str">
        <f>"29137"</f>
        <v>29137</v>
      </c>
      <c r="E26285">
        <v>58.25</v>
      </c>
    </row>
    <row r="26286" spans="1:5" x14ac:dyDescent="0.2">
      <c r="A26286">
        <v>29138</v>
      </c>
      <c r="B26286" t="s">
        <v>47</v>
      </c>
      <c r="C26286">
        <v>29138</v>
      </c>
      <c r="D26286" t="str">
        <f>"29138"</f>
        <v>29138</v>
      </c>
      <c r="E26286">
        <v>57.49</v>
      </c>
    </row>
    <row r="26287" spans="1:5" x14ac:dyDescent="0.2">
      <c r="A26287">
        <v>29142</v>
      </c>
      <c r="B26287" t="s">
        <v>47</v>
      </c>
      <c r="C26287">
        <v>29142</v>
      </c>
      <c r="D26287" t="str">
        <f>"29142"</f>
        <v>29142</v>
      </c>
      <c r="E26287">
        <v>54.34</v>
      </c>
    </row>
    <row r="26288" spans="1:5" x14ac:dyDescent="0.2">
      <c r="A26288">
        <v>29145</v>
      </c>
      <c r="B26288" t="s">
        <v>47</v>
      </c>
      <c r="C26288">
        <v>29145</v>
      </c>
      <c r="D26288" t="str">
        <f>"29145"</f>
        <v>29145</v>
      </c>
      <c r="E26288">
        <v>58.82</v>
      </c>
    </row>
    <row r="26289" spans="1:5" x14ac:dyDescent="0.2">
      <c r="A26289">
        <v>29146</v>
      </c>
      <c r="B26289" t="s">
        <v>47</v>
      </c>
      <c r="C26289">
        <v>29146</v>
      </c>
      <c r="D26289" t="str">
        <f>"29146"</f>
        <v>29146</v>
      </c>
      <c r="E26289">
        <v>63.64</v>
      </c>
    </row>
    <row r="26290" spans="1:5" x14ac:dyDescent="0.2">
      <c r="A26290">
        <v>29147</v>
      </c>
      <c r="B26290" t="s">
        <v>47</v>
      </c>
      <c r="C26290">
        <v>29147</v>
      </c>
      <c r="D26290" t="str">
        <f>"29147"</f>
        <v>29147</v>
      </c>
      <c r="E26290" t="s">
        <v>6</v>
      </c>
    </row>
    <row r="26291" spans="1:5" x14ac:dyDescent="0.2">
      <c r="A26291">
        <v>29148</v>
      </c>
      <c r="B26291" t="s">
        <v>47</v>
      </c>
      <c r="C26291">
        <v>29148</v>
      </c>
      <c r="D26291" t="str">
        <f>"29148"</f>
        <v>29148</v>
      </c>
      <c r="E26291">
        <v>58.23</v>
      </c>
    </row>
    <row r="26292" spans="1:5" x14ac:dyDescent="0.2">
      <c r="A26292">
        <v>29150</v>
      </c>
      <c r="B26292" t="s">
        <v>47</v>
      </c>
      <c r="C26292">
        <v>29150</v>
      </c>
      <c r="D26292" t="str">
        <f>"29150"</f>
        <v>29150</v>
      </c>
      <c r="E26292">
        <v>58.04</v>
      </c>
    </row>
    <row r="26293" spans="1:5" x14ac:dyDescent="0.2">
      <c r="A26293">
        <v>29152</v>
      </c>
      <c r="B26293" t="s">
        <v>47</v>
      </c>
      <c r="C26293">
        <v>29152</v>
      </c>
      <c r="D26293" t="str">
        <f>"29152"</f>
        <v>29152</v>
      </c>
      <c r="E26293">
        <v>63.37</v>
      </c>
    </row>
    <row r="26294" spans="1:5" x14ac:dyDescent="0.2">
      <c r="A26294">
        <v>29153</v>
      </c>
      <c r="B26294" t="s">
        <v>47</v>
      </c>
      <c r="C26294">
        <v>29153</v>
      </c>
      <c r="D26294" t="str">
        <f>"29153"</f>
        <v>29153</v>
      </c>
      <c r="E26294">
        <v>57.34</v>
      </c>
    </row>
    <row r="26295" spans="1:5" x14ac:dyDescent="0.2">
      <c r="A26295">
        <v>29154</v>
      </c>
      <c r="B26295" t="s">
        <v>47</v>
      </c>
      <c r="C26295">
        <v>29154</v>
      </c>
      <c r="D26295" t="str">
        <f>"29154"</f>
        <v>29154</v>
      </c>
      <c r="E26295">
        <v>65.45</v>
      </c>
    </row>
    <row r="26296" spans="1:5" x14ac:dyDescent="0.2">
      <c r="A26296">
        <v>29160</v>
      </c>
      <c r="B26296" t="s">
        <v>47</v>
      </c>
      <c r="C26296">
        <v>29160</v>
      </c>
      <c r="D26296" t="str">
        <f>"29160"</f>
        <v>29160</v>
      </c>
      <c r="E26296">
        <v>66.569999999999993</v>
      </c>
    </row>
    <row r="26297" spans="1:5" x14ac:dyDescent="0.2">
      <c r="A26297">
        <v>29161</v>
      </c>
      <c r="B26297" t="s">
        <v>47</v>
      </c>
      <c r="C26297">
        <v>29161</v>
      </c>
      <c r="D26297" t="str">
        <f>"29161"</f>
        <v>29161</v>
      </c>
      <c r="E26297">
        <v>59.07</v>
      </c>
    </row>
    <row r="26298" spans="1:5" x14ac:dyDescent="0.2">
      <c r="A26298">
        <v>29162</v>
      </c>
      <c r="B26298" t="s">
        <v>47</v>
      </c>
      <c r="C26298">
        <v>29162</v>
      </c>
      <c r="D26298" t="str">
        <f>"29162"</f>
        <v>29162</v>
      </c>
      <c r="E26298">
        <v>61.22</v>
      </c>
    </row>
    <row r="26299" spans="1:5" x14ac:dyDescent="0.2">
      <c r="A26299">
        <v>29163</v>
      </c>
      <c r="B26299" t="s">
        <v>47</v>
      </c>
      <c r="C26299">
        <v>29163</v>
      </c>
      <c r="D26299" t="str">
        <f>"29163"</f>
        <v>29163</v>
      </c>
      <c r="E26299">
        <v>51.76</v>
      </c>
    </row>
    <row r="26300" spans="1:5" x14ac:dyDescent="0.2">
      <c r="A26300">
        <v>29164</v>
      </c>
      <c r="B26300" t="s">
        <v>47</v>
      </c>
      <c r="C26300">
        <v>29164</v>
      </c>
      <c r="D26300" t="str">
        <f>"29164"</f>
        <v>29164</v>
      </c>
      <c r="E26300">
        <v>63.44</v>
      </c>
    </row>
    <row r="26301" spans="1:5" x14ac:dyDescent="0.2">
      <c r="A26301">
        <v>29166</v>
      </c>
      <c r="B26301" t="s">
        <v>47</v>
      </c>
      <c r="C26301">
        <v>29166</v>
      </c>
      <c r="D26301" t="str">
        <f>"29166"</f>
        <v>29166</v>
      </c>
      <c r="E26301">
        <v>65.790000000000006</v>
      </c>
    </row>
    <row r="26302" spans="1:5" x14ac:dyDescent="0.2">
      <c r="A26302">
        <v>29168</v>
      </c>
      <c r="B26302" t="s">
        <v>47</v>
      </c>
      <c r="C26302">
        <v>29168</v>
      </c>
      <c r="D26302" t="str">
        <f>"29168"</f>
        <v>29168</v>
      </c>
      <c r="E26302">
        <v>51.88</v>
      </c>
    </row>
    <row r="26303" spans="1:5" x14ac:dyDescent="0.2">
      <c r="A26303">
        <v>29169</v>
      </c>
      <c r="B26303" t="s">
        <v>47</v>
      </c>
      <c r="C26303">
        <v>29169</v>
      </c>
      <c r="D26303" t="str">
        <f>"29169"</f>
        <v>29169</v>
      </c>
      <c r="E26303">
        <v>69.27</v>
      </c>
    </row>
    <row r="26304" spans="1:5" x14ac:dyDescent="0.2">
      <c r="A26304">
        <v>29170</v>
      </c>
      <c r="B26304" t="s">
        <v>47</v>
      </c>
      <c r="C26304">
        <v>29170</v>
      </c>
      <c r="D26304" t="str">
        <f>"29170"</f>
        <v>29170</v>
      </c>
      <c r="E26304">
        <v>71.75</v>
      </c>
    </row>
    <row r="26305" spans="1:5" x14ac:dyDescent="0.2">
      <c r="A26305">
        <v>29172</v>
      </c>
      <c r="B26305" t="s">
        <v>47</v>
      </c>
      <c r="C26305">
        <v>29172</v>
      </c>
      <c r="D26305" t="str">
        <f>"29172"</f>
        <v>29172</v>
      </c>
      <c r="E26305">
        <v>63.99</v>
      </c>
    </row>
    <row r="26306" spans="1:5" x14ac:dyDescent="0.2">
      <c r="A26306">
        <v>29175</v>
      </c>
      <c r="B26306" t="s">
        <v>47</v>
      </c>
      <c r="C26306">
        <v>29175</v>
      </c>
      <c r="D26306" t="str">
        <f>"29175"</f>
        <v>29175</v>
      </c>
      <c r="E26306">
        <v>71.430000000000007</v>
      </c>
    </row>
    <row r="26307" spans="1:5" x14ac:dyDescent="0.2">
      <c r="A26307">
        <v>29178</v>
      </c>
      <c r="B26307" t="s">
        <v>47</v>
      </c>
      <c r="C26307">
        <v>29178</v>
      </c>
      <c r="D26307" t="str">
        <f>"29178"</f>
        <v>29178</v>
      </c>
      <c r="E26307">
        <v>66.14</v>
      </c>
    </row>
    <row r="26308" spans="1:5" x14ac:dyDescent="0.2">
      <c r="A26308">
        <v>29180</v>
      </c>
      <c r="B26308" t="s">
        <v>47</v>
      </c>
      <c r="C26308">
        <v>29180</v>
      </c>
      <c r="D26308" t="str">
        <f>"29180"</f>
        <v>29180</v>
      </c>
      <c r="E26308">
        <v>58.94</v>
      </c>
    </row>
    <row r="26309" spans="1:5" x14ac:dyDescent="0.2">
      <c r="A26309">
        <v>29201</v>
      </c>
      <c r="B26309" t="s">
        <v>47</v>
      </c>
      <c r="C26309">
        <v>29201</v>
      </c>
      <c r="D26309" t="str">
        <f>"29201"</f>
        <v>29201</v>
      </c>
      <c r="E26309">
        <v>69.95</v>
      </c>
    </row>
    <row r="26310" spans="1:5" x14ac:dyDescent="0.2">
      <c r="A26310">
        <v>29203</v>
      </c>
      <c r="B26310" t="s">
        <v>47</v>
      </c>
      <c r="C26310">
        <v>29203</v>
      </c>
      <c r="D26310" t="str">
        <f>"29203"</f>
        <v>29203</v>
      </c>
      <c r="E26310">
        <v>52.57</v>
      </c>
    </row>
    <row r="26311" spans="1:5" x14ac:dyDescent="0.2">
      <c r="A26311">
        <v>29204</v>
      </c>
      <c r="B26311" t="s">
        <v>47</v>
      </c>
      <c r="C26311">
        <v>29204</v>
      </c>
      <c r="D26311" t="str">
        <f>"29204"</f>
        <v>29204</v>
      </c>
      <c r="E26311">
        <v>64.45</v>
      </c>
    </row>
    <row r="26312" spans="1:5" x14ac:dyDescent="0.2">
      <c r="A26312">
        <v>29205</v>
      </c>
      <c r="B26312" t="s">
        <v>47</v>
      </c>
      <c r="C26312">
        <v>29205</v>
      </c>
      <c r="D26312" t="str">
        <f>"29205"</f>
        <v>29205</v>
      </c>
      <c r="E26312">
        <v>75.58</v>
      </c>
    </row>
    <row r="26313" spans="1:5" x14ac:dyDescent="0.2">
      <c r="A26313">
        <v>29206</v>
      </c>
      <c r="B26313" t="s">
        <v>47</v>
      </c>
      <c r="C26313">
        <v>29206</v>
      </c>
      <c r="D26313" t="str">
        <f>"29206"</f>
        <v>29206</v>
      </c>
      <c r="E26313">
        <v>75.27</v>
      </c>
    </row>
    <row r="26314" spans="1:5" x14ac:dyDescent="0.2">
      <c r="A26314">
        <v>29207</v>
      </c>
      <c r="B26314" t="s">
        <v>47</v>
      </c>
      <c r="C26314">
        <v>29207</v>
      </c>
      <c r="D26314" t="str">
        <f>"29207"</f>
        <v>29207</v>
      </c>
      <c r="E26314" t="s">
        <v>6</v>
      </c>
    </row>
    <row r="26315" spans="1:5" x14ac:dyDescent="0.2">
      <c r="A26315">
        <v>29208</v>
      </c>
      <c r="B26315" t="s">
        <v>47</v>
      </c>
      <c r="C26315">
        <v>29208</v>
      </c>
      <c r="D26315" t="str">
        <f>"29208"</f>
        <v>29208</v>
      </c>
      <c r="E26315" t="s">
        <v>6</v>
      </c>
    </row>
    <row r="26316" spans="1:5" x14ac:dyDescent="0.2">
      <c r="A26316">
        <v>29209</v>
      </c>
      <c r="B26316" t="s">
        <v>47</v>
      </c>
      <c r="C26316">
        <v>29209</v>
      </c>
      <c r="D26316" t="str">
        <f>"29209"</f>
        <v>29209</v>
      </c>
      <c r="E26316">
        <v>67.7</v>
      </c>
    </row>
    <row r="26317" spans="1:5" x14ac:dyDescent="0.2">
      <c r="A26317">
        <v>29210</v>
      </c>
      <c r="B26317" t="s">
        <v>47</v>
      </c>
      <c r="C26317">
        <v>29210</v>
      </c>
      <c r="D26317" t="str">
        <f>"29210"</f>
        <v>29210</v>
      </c>
      <c r="E26317">
        <v>62.63</v>
      </c>
    </row>
    <row r="26318" spans="1:5" x14ac:dyDescent="0.2">
      <c r="A26318">
        <v>29212</v>
      </c>
      <c r="B26318" t="s">
        <v>47</v>
      </c>
      <c r="C26318">
        <v>29212</v>
      </c>
      <c r="D26318" t="str">
        <f>"29212"</f>
        <v>29212</v>
      </c>
      <c r="E26318">
        <v>74.790000000000006</v>
      </c>
    </row>
    <row r="26319" spans="1:5" x14ac:dyDescent="0.2">
      <c r="A26319">
        <v>29219</v>
      </c>
      <c r="B26319" t="s">
        <v>47</v>
      </c>
      <c r="C26319">
        <v>29219</v>
      </c>
      <c r="D26319" t="str">
        <f>"29219"</f>
        <v>29219</v>
      </c>
      <c r="E26319" t="s">
        <v>6</v>
      </c>
    </row>
    <row r="26320" spans="1:5" x14ac:dyDescent="0.2">
      <c r="A26320">
        <v>29223</v>
      </c>
      <c r="B26320" t="s">
        <v>47</v>
      </c>
      <c r="C26320">
        <v>29223</v>
      </c>
      <c r="D26320" t="str">
        <f>"29223"</f>
        <v>29223</v>
      </c>
      <c r="E26320">
        <v>65.41</v>
      </c>
    </row>
    <row r="26321" spans="1:5" x14ac:dyDescent="0.2">
      <c r="A26321">
        <v>29229</v>
      </c>
      <c r="B26321" t="s">
        <v>47</v>
      </c>
      <c r="C26321">
        <v>29229</v>
      </c>
      <c r="D26321" t="str">
        <f>"29229"</f>
        <v>29229</v>
      </c>
      <c r="E26321">
        <v>69</v>
      </c>
    </row>
    <row r="26322" spans="1:5" x14ac:dyDescent="0.2">
      <c r="A26322">
        <v>29301</v>
      </c>
      <c r="B26322" t="s">
        <v>47</v>
      </c>
      <c r="C26322">
        <v>29301</v>
      </c>
      <c r="D26322" t="str">
        <f>"29301"</f>
        <v>29301</v>
      </c>
      <c r="E26322">
        <v>63.93</v>
      </c>
    </row>
    <row r="26323" spans="1:5" x14ac:dyDescent="0.2">
      <c r="A26323">
        <v>29302</v>
      </c>
      <c r="B26323" t="s">
        <v>47</v>
      </c>
      <c r="C26323">
        <v>29302</v>
      </c>
      <c r="D26323" t="str">
        <f>"29302"</f>
        <v>29302</v>
      </c>
      <c r="E26323">
        <v>73.34</v>
      </c>
    </row>
    <row r="26324" spans="1:5" x14ac:dyDescent="0.2">
      <c r="A26324">
        <v>29303</v>
      </c>
      <c r="B26324" t="s">
        <v>47</v>
      </c>
      <c r="C26324">
        <v>29303</v>
      </c>
      <c r="D26324" t="str">
        <f>"29303"</f>
        <v>29303</v>
      </c>
      <c r="E26324">
        <v>57.83</v>
      </c>
    </row>
    <row r="26325" spans="1:5" x14ac:dyDescent="0.2">
      <c r="A26325">
        <v>29306</v>
      </c>
      <c r="B26325" t="s">
        <v>47</v>
      </c>
      <c r="C26325">
        <v>29306</v>
      </c>
      <c r="D26325" t="str">
        <f>"29306"</f>
        <v>29306</v>
      </c>
      <c r="E26325">
        <v>55.64</v>
      </c>
    </row>
    <row r="26326" spans="1:5" x14ac:dyDescent="0.2">
      <c r="A26326">
        <v>29307</v>
      </c>
      <c r="B26326" t="s">
        <v>47</v>
      </c>
      <c r="C26326">
        <v>29307</v>
      </c>
      <c r="D26326" t="str">
        <f>"29307"</f>
        <v>29307</v>
      </c>
      <c r="E26326">
        <v>70.180000000000007</v>
      </c>
    </row>
    <row r="26327" spans="1:5" x14ac:dyDescent="0.2">
      <c r="A26327">
        <v>29316</v>
      </c>
      <c r="B26327" t="s">
        <v>47</v>
      </c>
      <c r="C26327">
        <v>29316</v>
      </c>
      <c r="D26327" t="str">
        <f>"29316"</f>
        <v>29316</v>
      </c>
      <c r="E26327">
        <v>70.87</v>
      </c>
    </row>
    <row r="26328" spans="1:5" x14ac:dyDescent="0.2">
      <c r="A26328">
        <v>29320</v>
      </c>
      <c r="B26328" t="s">
        <v>47</v>
      </c>
      <c r="C26328">
        <v>29320</v>
      </c>
      <c r="D26328" t="str">
        <f>"29320"</f>
        <v>29320</v>
      </c>
      <c r="E26328" t="s">
        <v>6</v>
      </c>
    </row>
    <row r="26329" spans="1:5" x14ac:dyDescent="0.2">
      <c r="A26329">
        <v>29321</v>
      </c>
      <c r="B26329" t="s">
        <v>47</v>
      </c>
      <c r="C26329">
        <v>29321</v>
      </c>
      <c r="D26329" t="str">
        <f>"29321"</f>
        <v>29321</v>
      </c>
      <c r="E26329">
        <v>63.11</v>
      </c>
    </row>
    <row r="26330" spans="1:5" x14ac:dyDescent="0.2">
      <c r="A26330">
        <v>29322</v>
      </c>
      <c r="B26330" t="s">
        <v>47</v>
      </c>
      <c r="C26330">
        <v>29322</v>
      </c>
      <c r="D26330" t="str">
        <f>"29322"</f>
        <v>29322</v>
      </c>
      <c r="E26330">
        <v>69.150000000000006</v>
      </c>
    </row>
    <row r="26331" spans="1:5" x14ac:dyDescent="0.2">
      <c r="A26331">
        <v>29323</v>
      </c>
      <c r="B26331" t="s">
        <v>47</v>
      </c>
      <c r="C26331">
        <v>29323</v>
      </c>
      <c r="D26331" t="str">
        <f>"29323"</f>
        <v>29323</v>
      </c>
      <c r="E26331">
        <v>67.53</v>
      </c>
    </row>
    <row r="26332" spans="1:5" x14ac:dyDescent="0.2">
      <c r="A26332">
        <v>29324</v>
      </c>
      <c r="B26332" t="s">
        <v>47</v>
      </c>
      <c r="C26332">
        <v>29324</v>
      </c>
      <c r="D26332" t="str">
        <f>"29324"</f>
        <v>29324</v>
      </c>
      <c r="E26332" t="s">
        <v>6</v>
      </c>
    </row>
    <row r="26333" spans="1:5" x14ac:dyDescent="0.2">
      <c r="A26333">
        <v>29325</v>
      </c>
      <c r="B26333" t="s">
        <v>47</v>
      </c>
      <c r="C26333">
        <v>29325</v>
      </c>
      <c r="D26333" t="str">
        <f>"29325"</f>
        <v>29325</v>
      </c>
      <c r="E26333">
        <v>60.21</v>
      </c>
    </row>
    <row r="26334" spans="1:5" x14ac:dyDescent="0.2">
      <c r="A26334">
        <v>29329</v>
      </c>
      <c r="B26334" t="s">
        <v>47</v>
      </c>
      <c r="C26334">
        <v>29329</v>
      </c>
      <c r="D26334" t="str">
        <f>"29329"</f>
        <v>29329</v>
      </c>
      <c r="E26334" t="s">
        <v>6</v>
      </c>
    </row>
    <row r="26335" spans="1:5" x14ac:dyDescent="0.2">
      <c r="A26335">
        <v>29330</v>
      </c>
      <c r="B26335" t="s">
        <v>47</v>
      </c>
      <c r="C26335">
        <v>29330</v>
      </c>
      <c r="D26335" t="str">
        <f>"29330"</f>
        <v>29330</v>
      </c>
      <c r="E26335">
        <v>64.5</v>
      </c>
    </row>
    <row r="26336" spans="1:5" x14ac:dyDescent="0.2">
      <c r="A26336">
        <v>29332</v>
      </c>
      <c r="B26336" t="s">
        <v>47</v>
      </c>
      <c r="C26336">
        <v>29332</v>
      </c>
      <c r="D26336" t="str">
        <f>"29332"</f>
        <v>29332</v>
      </c>
      <c r="E26336">
        <v>64.81</v>
      </c>
    </row>
    <row r="26337" spans="1:5" x14ac:dyDescent="0.2">
      <c r="A26337">
        <v>29333</v>
      </c>
      <c r="B26337" t="s">
        <v>47</v>
      </c>
      <c r="C26337">
        <v>29333</v>
      </c>
      <c r="D26337" t="str">
        <f>"29333"</f>
        <v>29333</v>
      </c>
      <c r="E26337" t="s">
        <v>6</v>
      </c>
    </row>
    <row r="26338" spans="1:5" x14ac:dyDescent="0.2">
      <c r="A26338">
        <v>29334</v>
      </c>
      <c r="B26338" t="s">
        <v>47</v>
      </c>
      <c r="C26338">
        <v>29334</v>
      </c>
      <c r="D26338" t="str">
        <f>"29334"</f>
        <v>29334</v>
      </c>
      <c r="E26338">
        <v>73.11</v>
      </c>
    </row>
    <row r="26339" spans="1:5" x14ac:dyDescent="0.2">
      <c r="A26339">
        <v>29335</v>
      </c>
      <c r="B26339" t="s">
        <v>47</v>
      </c>
      <c r="C26339">
        <v>29335</v>
      </c>
      <c r="D26339" t="str">
        <f>"29335"</f>
        <v>29335</v>
      </c>
      <c r="E26339">
        <v>61.93</v>
      </c>
    </row>
    <row r="26340" spans="1:5" x14ac:dyDescent="0.2">
      <c r="A26340">
        <v>29338</v>
      </c>
      <c r="B26340" t="s">
        <v>47</v>
      </c>
      <c r="C26340">
        <v>29338</v>
      </c>
      <c r="D26340" t="str">
        <f>"29338"</f>
        <v>29338</v>
      </c>
      <c r="E26340" t="s">
        <v>6</v>
      </c>
    </row>
    <row r="26341" spans="1:5" x14ac:dyDescent="0.2">
      <c r="A26341">
        <v>29340</v>
      </c>
      <c r="B26341" t="s">
        <v>47</v>
      </c>
      <c r="C26341">
        <v>29340</v>
      </c>
      <c r="D26341" t="str">
        <f>"29340"</f>
        <v>29340</v>
      </c>
      <c r="E26341">
        <v>59.95</v>
      </c>
    </row>
    <row r="26342" spans="1:5" x14ac:dyDescent="0.2">
      <c r="A26342">
        <v>29341</v>
      </c>
      <c r="B26342" t="s">
        <v>47</v>
      </c>
      <c r="C26342">
        <v>29341</v>
      </c>
      <c r="D26342" t="str">
        <f>"29341"</f>
        <v>29341</v>
      </c>
      <c r="E26342">
        <v>64.599999999999994</v>
      </c>
    </row>
    <row r="26343" spans="1:5" x14ac:dyDescent="0.2">
      <c r="A26343">
        <v>29346</v>
      </c>
      <c r="B26343" t="s">
        <v>47</v>
      </c>
      <c r="C26343">
        <v>29346</v>
      </c>
      <c r="D26343" t="str">
        <f>"29346"</f>
        <v>29346</v>
      </c>
      <c r="E26343" t="s">
        <v>6</v>
      </c>
    </row>
    <row r="26344" spans="1:5" x14ac:dyDescent="0.2">
      <c r="A26344">
        <v>29349</v>
      </c>
      <c r="B26344" t="s">
        <v>47</v>
      </c>
      <c r="C26344">
        <v>29349</v>
      </c>
      <c r="D26344" t="str">
        <f>"29349"</f>
        <v>29349</v>
      </c>
      <c r="E26344">
        <v>69.69</v>
      </c>
    </row>
    <row r="26345" spans="1:5" x14ac:dyDescent="0.2">
      <c r="A26345">
        <v>29351</v>
      </c>
      <c r="B26345" t="s">
        <v>47</v>
      </c>
      <c r="C26345">
        <v>29351</v>
      </c>
      <c r="D26345" t="str">
        <f>"29351"</f>
        <v>29351</v>
      </c>
      <c r="E26345">
        <v>59.65</v>
      </c>
    </row>
    <row r="26346" spans="1:5" x14ac:dyDescent="0.2">
      <c r="A26346">
        <v>29353</v>
      </c>
      <c r="B26346" t="s">
        <v>47</v>
      </c>
      <c r="C26346">
        <v>29353</v>
      </c>
      <c r="D26346" t="str">
        <f>"29353"</f>
        <v>29353</v>
      </c>
      <c r="E26346">
        <v>69.180000000000007</v>
      </c>
    </row>
    <row r="26347" spans="1:5" x14ac:dyDescent="0.2">
      <c r="A26347">
        <v>29355</v>
      </c>
      <c r="B26347" t="s">
        <v>47</v>
      </c>
      <c r="C26347">
        <v>29355</v>
      </c>
      <c r="D26347" t="str">
        <f>"29355"</f>
        <v>29355</v>
      </c>
      <c r="E26347">
        <v>72.73</v>
      </c>
    </row>
    <row r="26348" spans="1:5" x14ac:dyDescent="0.2">
      <c r="A26348">
        <v>29356</v>
      </c>
      <c r="B26348" t="s">
        <v>47</v>
      </c>
      <c r="C26348">
        <v>29356</v>
      </c>
      <c r="D26348" t="str">
        <f>"29356"</f>
        <v>29356</v>
      </c>
      <c r="E26348">
        <v>70.28</v>
      </c>
    </row>
    <row r="26349" spans="1:5" x14ac:dyDescent="0.2">
      <c r="A26349">
        <v>29360</v>
      </c>
      <c r="B26349" t="s">
        <v>47</v>
      </c>
      <c r="C26349">
        <v>29360</v>
      </c>
      <c r="D26349" t="str">
        <f>"29360"</f>
        <v>29360</v>
      </c>
      <c r="E26349">
        <v>62.27</v>
      </c>
    </row>
    <row r="26350" spans="1:5" x14ac:dyDescent="0.2">
      <c r="A26350">
        <v>29364</v>
      </c>
      <c r="B26350" t="s">
        <v>47</v>
      </c>
      <c r="C26350">
        <v>29364</v>
      </c>
      <c r="D26350" t="str">
        <f>"29364"</f>
        <v>29364</v>
      </c>
      <c r="E26350" t="s">
        <v>6</v>
      </c>
    </row>
    <row r="26351" spans="1:5" x14ac:dyDescent="0.2">
      <c r="A26351">
        <v>29365</v>
      </c>
      <c r="B26351" t="s">
        <v>47</v>
      </c>
      <c r="C26351">
        <v>29365</v>
      </c>
      <c r="D26351" t="str">
        <f>"29365"</f>
        <v>29365</v>
      </c>
      <c r="E26351">
        <v>71.709999999999994</v>
      </c>
    </row>
    <row r="26352" spans="1:5" x14ac:dyDescent="0.2">
      <c r="A26352">
        <v>29368</v>
      </c>
      <c r="B26352" t="s">
        <v>47</v>
      </c>
      <c r="C26352">
        <v>29368</v>
      </c>
      <c r="D26352" t="str">
        <f>"29368"</f>
        <v>29368</v>
      </c>
      <c r="E26352" t="s">
        <v>6</v>
      </c>
    </row>
    <row r="26353" spans="1:5" x14ac:dyDescent="0.2">
      <c r="A26353">
        <v>29369</v>
      </c>
      <c r="B26353" t="s">
        <v>47</v>
      </c>
      <c r="C26353">
        <v>29369</v>
      </c>
      <c r="D26353" t="str">
        <f>"29369"</f>
        <v>29369</v>
      </c>
      <c r="E26353">
        <v>74.31</v>
      </c>
    </row>
    <row r="26354" spans="1:5" x14ac:dyDescent="0.2">
      <c r="A26354">
        <v>29370</v>
      </c>
      <c r="B26354" t="s">
        <v>47</v>
      </c>
      <c r="C26354">
        <v>29370</v>
      </c>
      <c r="D26354" t="str">
        <f>"29370"</f>
        <v>29370</v>
      </c>
      <c r="E26354">
        <v>60</v>
      </c>
    </row>
    <row r="26355" spans="1:5" x14ac:dyDescent="0.2">
      <c r="A26355">
        <v>29372</v>
      </c>
      <c r="B26355" t="s">
        <v>47</v>
      </c>
      <c r="C26355">
        <v>29372</v>
      </c>
      <c r="D26355" t="str">
        <f>"29372"</f>
        <v>29372</v>
      </c>
      <c r="E26355">
        <v>63.83</v>
      </c>
    </row>
    <row r="26356" spans="1:5" x14ac:dyDescent="0.2">
      <c r="A26356">
        <v>29374</v>
      </c>
      <c r="B26356" t="s">
        <v>47</v>
      </c>
      <c r="C26356">
        <v>29374</v>
      </c>
      <c r="D26356" t="str">
        <f>"29374"</f>
        <v>29374</v>
      </c>
      <c r="E26356">
        <v>74.680000000000007</v>
      </c>
    </row>
    <row r="26357" spans="1:5" x14ac:dyDescent="0.2">
      <c r="A26357">
        <v>29375</v>
      </c>
      <c r="B26357" t="s">
        <v>47</v>
      </c>
      <c r="C26357">
        <v>29375</v>
      </c>
      <c r="D26357" t="str">
        <f>"29375"</f>
        <v>29375</v>
      </c>
      <c r="E26357" t="s">
        <v>6</v>
      </c>
    </row>
    <row r="26358" spans="1:5" x14ac:dyDescent="0.2">
      <c r="A26358">
        <v>29376</v>
      </c>
      <c r="B26358" t="s">
        <v>47</v>
      </c>
      <c r="C26358">
        <v>29376</v>
      </c>
      <c r="D26358" t="str">
        <f>"29376"</f>
        <v>29376</v>
      </c>
      <c r="E26358">
        <v>69.599999999999994</v>
      </c>
    </row>
    <row r="26359" spans="1:5" x14ac:dyDescent="0.2">
      <c r="A26359">
        <v>29377</v>
      </c>
      <c r="B26359" t="s">
        <v>47</v>
      </c>
      <c r="C26359">
        <v>29377</v>
      </c>
      <c r="D26359" t="str">
        <f>"29377"</f>
        <v>29377</v>
      </c>
      <c r="E26359" t="s">
        <v>6</v>
      </c>
    </row>
    <row r="26360" spans="1:5" x14ac:dyDescent="0.2">
      <c r="A26360">
        <v>29378</v>
      </c>
      <c r="B26360" t="s">
        <v>47</v>
      </c>
      <c r="C26360">
        <v>29378</v>
      </c>
      <c r="D26360" t="str">
        <f>"29378"</f>
        <v>29378</v>
      </c>
      <c r="E26360" t="s">
        <v>6</v>
      </c>
    </row>
    <row r="26361" spans="1:5" x14ac:dyDescent="0.2">
      <c r="A26361">
        <v>29379</v>
      </c>
      <c r="B26361" t="s">
        <v>47</v>
      </c>
      <c r="C26361">
        <v>29379</v>
      </c>
      <c r="D26361" t="str">
        <f>"29379"</f>
        <v>29379</v>
      </c>
      <c r="E26361">
        <v>61.98</v>
      </c>
    </row>
    <row r="26362" spans="1:5" x14ac:dyDescent="0.2">
      <c r="A26362">
        <v>29384</v>
      </c>
      <c r="B26362" t="s">
        <v>47</v>
      </c>
      <c r="C26362">
        <v>29384</v>
      </c>
      <c r="D26362" t="str">
        <f>"29384"</f>
        <v>29384</v>
      </c>
      <c r="E26362">
        <v>68.13</v>
      </c>
    </row>
    <row r="26363" spans="1:5" x14ac:dyDescent="0.2">
      <c r="A26363">
        <v>29385</v>
      </c>
      <c r="B26363" t="s">
        <v>47</v>
      </c>
      <c r="C26363">
        <v>29385</v>
      </c>
      <c r="D26363" t="str">
        <f>"29385"</f>
        <v>29385</v>
      </c>
      <c r="E26363">
        <v>64.64</v>
      </c>
    </row>
    <row r="26364" spans="1:5" x14ac:dyDescent="0.2">
      <c r="A26364">
        <v>29388</v>
      </c>
      <c r="B26364" t="s">
        <v>47</v>
      </c>
      <c r="C26364">
        <v>29388</v>
      </c>
      <c r="D26364" t="str">
        <f>"29388"</f>
        <v>29388</v>
      </c>
      <c r="E26364">
        <v>68.61</v>
      </c>
    </row>
    <row r="26365" spans="1:5" x14ac:dyDescent="0.2">
      <c r="A26365">
        <v>29401</v>
      </c>
      <c r="B26365" t="s">
        <v>47</v>
      </c>
      <c r="C26365">
        <v>29401</v>
      </c>
      <c r="D26365" t="str">
        <f>"29401"</f>
        <v>29401</v>
      </c>
      <c r="E26365">
        <v>79.64</v>
      </c>
    </row>
    <row r="26366" spans="1:5" x14ac:dyDescent="0.2">
      <c r="A26366">
        <v>29403</v>
      </c>
      <c r="B26366" t="s">
        <v>47</v>
      </c>
      <c r="C26366">
        <v>29403</v>
      </c>
      <c r="D26366" t="str">
        <f>"29403"</f>
        <v>29403</v>
      </c>
      <c r="E26366">
        <v>68.66</v>
      </c>
    </row>
    <row r="26367" spans="1:5" x14ac:dyDescent="0.2">
      <c r="A26367">
        <v>29404</v>
      </c>
      <c r="B26367" t="s">
        <v>47</v>
      </c>
      <c r="C26367">
        <v>29404</v>
      </c>
      <c r="D26367" t="str">
        <f>"29404"</f>
        <v>29404</v>
      </c>
      <c r="E26367">
        <v>68.89</v>
      </c>
    </row>
    <row r="26368" spans="1:5" x14ac:dyDescent="0.2">
      <c r="A26368">
        <v>29405</v>
      </c>
      <c r="B26368" t="s">
        <v>47</v>
      </c>
      <c r="C26368">
        <v>29405</v>
      </c>
      <c r="D26368" t="str">
        <f>"29405"</f>
        <v>29405</v>
      </c>
      <c r="E26368">
        <v>59.26</v>
      </c>
    </row>
    <row r="26369" spans="1:5" x14ac:dyDescent="0.2">
      <c r="A26369">
        <v>29406</v>
      </c>
      <c r="B26369" t="s">
        <v>47</v>
      </c>
      <c r="C26369">
        <v>29406</v>
      </c>
      <c r="D26369" t="str">
        <f>"29406"</f>
        <v>29406</v>
      </c>
      <c r="E26369">
        <v>59.61</v>
      </c>
    </row>
    <row r="26370" spans="1:5" x14ac:dyDescent="0.2">
      <c r="A26370">
        <v>29407</v>
      </c>
      <c r="B26370" t="s">
        <v>47</v>
      </c>
      <c r="C26370">
        <v>29407</v>
      </c>
      <c r="D26370" t="str">
        <f>"29407"</f>
        <v>29407</v>
      </c>
      <c r="E26370">
        <v>75.760000000000005</v>
      </c>
    </row>
    <row r="26371" spans="1:5" x14ac:dyDescent="0.2">
      <c r="A26371">
        <v>29409</v>
      </c>
      <c r="B26371" t="s">
        <v>47</v>
      </c>
      <c r="C26371">
        <v>29409</v>
      </c>
      <c r="D26371" t="str">
        <f>"29409"</f>
        <v>29409</v>
      </c>
      <c r="E26371" t="s">
        <v>6</v>
      </c>
    </row>
    <row r="26372" spans="1:5" x14ac:dyDescent="0.2">
      <c r="A26372">
        <v>29410</v>
      </c>
      <c r="B26372" t="s">
        <v>47</v>
      </c>
      <c r="C26372">
        <v>29410</v>
      </c>
      <c r="D26372" t="str">
        <f>"29410"</f>
        <v>29410</v>
      </c>
      <c r="E26372">
        <v>73.33</v>
      </c>
    </row>
    <row r="26373" spans="1:5" x14ac:dyDescent="0.2">
      <c r="A26373">
        <v>29412</v>
      </c>
      <c r="B26373" t="s">
        <v>47</v>
      </c>
      <c r="C26373">
        <v>29412</v>
      </c>
      <c r="D26373" t="str">
        <f>"29412"</f>
        <v>29412</v>
      </c>
      <c r="E26373">
        <v>80.5</v>
      </c>
    </row>
    <row r="26374" spans="1:5" x14ac:dyDescent="0.2">
      <c r="A26374">
        <v>29414</v>
      </c>
      <c r="B26374" t="s">
        <v>47</v>
      </c>
      <c r="C26374">
        <v>29414</v>
      </c>
      <c r="D26374" t="str">
        <f>"29414"</f>
        <v>29414</v>
      </c>
      <c r="E26374">
        <v>81.459999999999994</v>
      </c>
    </row>
    <row r="26375" spans="1:5" x14ac:dyDescent="0.2">
      <c r="A26375">
        <v>29416</v>
      </c>
      <c r="B26375" t="s">
        <v>47</v>
      </c>
      <c r="C26375">
        <v>29416</v>
      </c>
      <c r="D26375" t="str">
        <f>"29416"</f>
        <v>29416</v>
      </c>
      <c r="E26375" t="s">
        <v>6</v>
      </c>
    </row>
    <row r="26376" spans="1:5" x14ac:dyDescent="0.2">
      <c r="A26376">
        <v>29418</v>
      </c>
      <c r="B26376" t="s">
        <v>47</v>
      </c>
      <c r="C26376">
        <v>29418</v>
      </c>
      <c r="D26376" t="str">
        <f>"29418"</f>
        <v>29418</v>
      </c>
      <c r="E26376">
        <v>65.37</v>
      </c>
    </row>
    <row r="26377" spans="1:5" x14ac:dyDescent="0.2">
      <c r="A26377">
        <v>29420</v>
      </c>
      <c r="B26377" t="s">
        <v>47</v>
      </c>
      <c r="C26377">
        <v>29420</v>
      </c>
      <c r="D26377" t="str">
        <f>"29420"</f>
        <v>29420</v>
      </c>
      <c r="E26377">
        <v>67.260000000000005</v>
      </c>
    </row>
    <row r="26378" spans="1:5" x14ac:dyDescent="0.2">
      <c r="A26378">
        <v>29424</v>
      </c>
      <c r="B26378" t="s">
        <v>47</v>
      </c>
      <c r="C26378">
        <v>29424</v>
      </c>
      <c r="D26378" t="str">
        <f>"29424"</f>
        <v>29424</v>
      </c>
      <c r="E26378" t="s">
        <v>6</v>
      </c>
    </row>
    <row r="26379" spans="1:5" x14ac:dyDescent="0.2">
      <c r="A26379">
        <v>29425</v>
      </c>
      <c r="B26379" t="s">
        <v>47</v>
      </c>
      <c r="C26379">
        <v>29425</v>
      </c>
      <c r="D26379" t="str">
        <f>"29425"</f>
        <v>29425</v>
      </c>
      <c r="E26379" t="s">
        <v>6</v>
      </c>
    </row>
    <row r="26380" spans="1:5" x14ac:dyDescent="0.2">
      <c r="A26380">
        <v>29426</v>
      </c>
      <c r="B26380" t="s">
        <v>47</v>
      </c>
      <c r="C26380">
        <v>29426</v>
      </c>
      <c r="D26380" t="str">
        <f>"29426"</f>
        <v>29426</v>
      </c>
      <c r="E26380">
        <v>62.82</v>
      </c>
    </row>
    <row r="26381" spans="1:5" x14ac:dyDescent="0.2">
      <c r="A26381">
        <v>29429</v>
      </c>
      <c r="B26381" t="s">
        <v>47</v>
      </c>
      <c r="C26381">
        <v>29429</v>
      </c>
      <c r="D26381" t="str">
        <f>"29429"</f>
        <v>29429</v>
      </c>
      <c r="E26381">
        <v>72.34</v>
      </c>
    </row>
    <row r="26382" spans="1:5" x14ac:dyDescent="0.2">
      <c r="A26382">
        <v>29431</v>
      </c>
      <c r="B26382" t="s">
        <v>47</v>
      </c>
      <c r="C26382">
        <v>29431</v>
      </c>
      <c r="D26382" t="str">
        <f>"29431"</f>
        <v>29431</v>
      </c>
      <c r="E26382">
        <v>69.73</v>
      </c>
    </row>
    <row r="26383" spans="1:5" x14ac:dyDescent="0.2">
      <c r="A26383">
        <v>29432</v>
      </c>
      <c r="B26383" t="s">
        <v>47</v>
      </c>
      <c r="C26383">
        <v>29432</v>
      </c>
      <c r="D26383" t="str">
        <f>"29432"</f>
        <v>29432</v>
      </c>
      <c r="E26383">
        <v>65.09</v>
      </c>
    </row>
    <row r="26384" spans="1:5" x14ac:dyDescent="0.2">
      <c r="A26384">
        <v>29434</v>
      </c>
      <c r="B26384" t="s">
        <v>47</v>
      </c>
      <c r="C26384">
        <v>29434</v>
      </c>
      <c r="D26384" t="str">
        <f>"29434"</f>
        <v>29434</v>
      </c>
      <c r="E26384">
        <v>69.569999999999993</v>
      </c>
    </row>
    <row r="26385" spans="1:5" x14ac:dyDescent="0.2">
      <c r="A26385">
        <v>29435</v>
      </c>
      <c r="B26385" t="s">
        <v>47</v>
      </c>
      <c r="C26385">
        <v>29435</v>
      </c>
      <c r="D26385" t="str">
        <f>"29435"</f>
        <v>29435</v>
      </c>
      <c r="E26385">
        <v>67.92</v>
      </c>
    </row>
    <row r="26386" spans="1:5" x14ac:dyDescent="0.2">
      <c r="A26386">
        <v>29436</v>
      </c>
      <c r="B26386" t="s">
        <v>47</v>
      </c>
      <c r="C26386">
        <v>29436</v>
      </c>
      <c r="D26386" t="str">
        <f>"29436"</f>
        <v>29436</v>
      </c>
      <c r="E26386">
        <v>63.39</v>
      </c>
    </row>
    <row r="26387" spans="1:5" x14ac:dyDescent="0.2">
      <c r="A26387">
        <v>29437</v>
      </c>
      <c r="B26387" t="s">
        <v>47</v>
      </c>
      <c r="C26387">
        <v>29437</v>
      </c>
      <c r="D26387" t="str">
        <f>"29437"</f>
        <v>29437</v>
      </c>
      <c r="E26387">
        <v>68.63</v>
      </c>
    </row>
    <row r="26388" spans="1:5" x14ac:dyDescent="0.2">
      <c r="A26388">
        <v>29438</v>
      </c>
      <c r="B26388" t="s">
        <v>47</v>
      </c>
      <c r="C26388">
        <v>29438</v>
      </c>
      <c r="D26388" t="str">
        <f>"29438"</f>
        <v>29438</v>
      </c>
      <c r="E26388">
        <v>73.569999999999993</v>
      </c>
    </row>
    <row r="26389" spans="1:5" x14ac:dyDescent="0.2">
      <c r="A26389">
        <v>29439</v>
      </c>
      <c r="B26389" t="s">
        <v>47</v>
      </c>
      <c r="C26389">
        <v>29439</v>
      </c>
      <c r="D26389" t="str">
        <f>"29439"</f>
        <v>29439</v>
      </c>
      <c r="E26389" t="s">
        <v>6</v>
      </c>
    </row>
    <row r="26390" spans="1:5" x14ac:dyDescent="0.2">
      <c r="A26390">
        <v>29440</v>
      </c>
      <c r="B26390" t="s">
        <v>47</v>
      </c>
      <c r="C26390">
        <v>29440</v>
      </c>
      <c r="D26390" t="str">
        <f>"29440"</f>
        <v>29440</v>
      </c>
      <c r="E26390">
        <v>59.3</v>
      </c>
    </row>
    <row r="26391" spans="1:5" x14ac:dyDescent="0.2">
      <c r="A26391">
        <v>29445</v>
      </c>
      <c r="B26391" t="s">
        <v>47</v>
      </c>
      <c r="C26391">
        <v>29445</v>
      </c>
      <c r="D26391" t="str">
        <f>"29445"</f>
        <v>29445</v>
      </c>
      <c r="E26391">
        <v>71.66</v>
      </c>
    </row>
    <row r="26392" spans="1:5" x14ac:dyDescent="0.2">
      <c r="A26392">
        <v>29446</v>
      </c>
      <c r="B26392" t="s">
        <v>47</v>
      </c>
      <c r="C26392">
        <v>29446</v>
      </c>
      <c r="D26392" t="str">
        <f>"29446"</f>
        <v>29446</v>
      </c>
      <c r="E26392">
        <v>59.57</v>
      </c>
    </row>
    <row r="26393" spans="1:5" x14ac:dyDescent="0.2">
      <c r="A26393">
        <v>29448</v>
      </c>
      <c r="B26393" t="s">
        <v>47</v>
      </c>
      <c r="C26393">
        <v>29448</v>
      </c>
      <c r="D26393" t="str">
        <f>"29448"</f>
        <v>29448</v>
      </c>
      <c r="E26393">
        <v>62.14</v>
      </c>
    </row>
    <row r="26394" spans="1:5" x14ac:dyDescent="0.2">
      <c r="A26394">
        <v>29449</v>
      </c>
      <c r="B26394" t="s">
        <v>47</v>
      </c>
      <c r="C26394">
        <v>29449</v>
      </c>
      <c r="D26394" t="str">
        <f>"29449"</f>
        <v>29449</v>
      </c>
      <c r="E26394">
        <v>67.7</v>
      </c>
    </row>
    <row r="26395" spans="1:5" x14ac:dyDescent="0.2">
      <c r="A26395">
        <v>29450</v>
      </c>
      <c r="B26395" t="s">
        <v>47</v>
      </c>
      <c r="C26395">
        <v>29450</v>
      </c>
      <c r="D26395" t="str">
        <f>"29450"</f>
        <v>29450</v>
      </c>
      <c r="E26395">
        <v>63.01</v>
      </c>
    </row>
    <row r="26396" spans="1:5" x14ac:dyDescent="0.2">
      <c r="A26396">
        <v>29451</v>
      </c>
      <c r="B26396" t="s">
        <v>47</v>
      </c>
      <c r="C26396">
        <v>29451</v>
      </c>
      <c r="D26396" t="str">
        <f>"29451"</f>
        <v>29451</v>
      </c>
      <c r="E26396">
        <v>82.02</v>
      </c>
    </row>
    <row r="26397" spans="1:5" x14ac:dyDescent="0.2">
      <c r="A26397">
        <v>29452</v>
      </c>
      <c r="B26397" t="s">
        <v>47</v>
      </c>
      <c r="C26397">
        <v>29452</v>
      </c>
      <c r="D26397" t="str">
        <f>"29452"</f>
        <v>29452</v>
      </c>
      <c r="E26397" t="s">
        <v>6</v>
      </c>
    </row>
    <row r="26398" spans="1:5" x14ac:dyDescent="0.2">
      <c r="A26398">
        <v>29453</v>
      </c>
      <c r="B26398" t="s">
        <v>47</v>
      </c>
      <c r="C26398">
        <v>29453</v>
      </c>
      <c r="D26398" t="str">
        <f>"29453"</f>
        <v>29453</v>
      </c>
      <c r="E26398">
        <v>67.92</v>
      </c>
    </row>
    <row r="26399" spans="1:5" x14ac:dyDescent="0.2">
      <c r="A26399">
        <v>29455</v>
      </c>
      <c r="B26399" t="s">
        <v>47</v>
      </c>
      <c r="C26399">
        <v>29455</v>
      </c>
      <c r="D26399" t="str">
        <f>"29455"</f>
        <v>29455</v>
      </c>
      <c r="E26399">
        <v>77.010000000000005</v>
      </c>
    </row>
    <row r="26400" spans="1:5" x14ac:dyDescent="0.2">
      <c r="A26400">
        <v>29456</v>
      </c>
      <c r="B26400" t="s">
        <v>47</v>
      </c>
      <c r="C26400">
        <v>29456</v>
      </c>
      <c r="D26400" t="str">
        <f>"29456"</f>
        <v>29456</v>
      </c>
      <c r="E26400">
        <v>68.02</v>
      </c>
    </row>
    <row r="26401" spans="1:5" x14ac:dyDescent="0.2">
      <c r="A26401">
        <v>29458</v>
      </c>
      <c r="B26401" t="s">
        <v>47</v>
      </c>
      <c r="C26401">
        <v>29458</v>
      </c>
      <c r="D26401" t="str">
        <f>"29458"</f>
        <v>29458</v>
      </c>
      <c r="E26401">
        <v>64.099999999999994</v>
      </c>
    </row>
    <row r="26402" spans="1:5" x14ac:dyDescent="0.2">
      <c r="A26402">
        <v>29461</v>
      </c>
      <c r="B26402" t="s">
        <v>47</v>
      </c>
      <c r="C26402">
        <v>29461</v>
      </c>
      <c r="D26402" t="str">
        <f>"29461"</f>
        <v>29461</v>
      </c>
      <c r="E26402">
        <v>70.66</v>
      </c>
    </row>
    <row r="26403" spans="1:5" x14ac:dyDescent="0.2">
      <c r="A26403">
        <v>29464</v>
      </c>
      <c r="B26403" t="s">
        <v>47</v>
      </c>
      <c r="C26403">
        <v>29464</v>
      </c>
      <c r="D26403" t="str">
        <f>"29464"</f>
        <v>29464</v>
      </c>
      <c r="E26403">
        <v>82.7</v>
      </c>
    </row>
    <row r="26404" spans="1:5" x14ac:dyDescent="0.2">
      <c r="A26404">
        <v>29466</v>
      </c>
      <c r="B26404" t="s">
        <v>47</v>
      </c>
      <c r="C26404">
        <v>29466</v>
      </c>
      <c r="D26404" t="str">
        <f>"29466"</f>
        <v>29466</v>
      </c>
      <c r="E26404">
        <v>79.95</v>
      </c>
    </row>
    <row r="26405" spans="1:5" x14ac:dyDescent="0.2">
      <c r="A26405">
        <v>29468</v>
      </c>
      <c r="B26405" t="s">
        <v>47</v>
      </c>
      <c r="C26405">
        <v>29468</v>
      </c>
      <c r="D26405" t="str">
        <f>"29468"</f>
        <v>29468</v>
      </c>
      <c r="E26405">
        <v>56.96</v>
      </c>
    </row>
    <row r="26406" spans="1:5" x14ac:dyDescent="0.2">
      <c r="A26406">
        <v>29469</v>
      </c>
      <c r="B26406" t="s">
        <v>47</v>
      </c>
      <c r="C26406">
        <v>29469</v>
      </c>
      <c r="D26406" t="str">
        <f>"29469"</f>
        <v>29469</v>
      </c>
      <c r="E26406">
        <v>80.489999999999995</v>
      </c>
    </row>
    <row r="26407" spans="1:5" x14ac:dyDescent="0.2">
      <c r="A26407">
        <v>29470</v>
      </c>
      <c r="B26407" t="s">
        <v>47</v>
      </c>
      <c r="C26407">
        <v>29470</v>
      </c>
      <c r="D26407" t="str">
        <f>"29470"</f>
        <v>29470</v>
      </c>
      <c r="E26407">
        <v>68.930000000000007</v>
      </c>
    </row>
    <row r="26408" spans="1:5" x14ac:dyDescent="0.2">
      <c r="A26408">
        <v>29471</v>
      </c>
      <c r="B26408" t="s">
        <v>47</v>
      </c>
      <c r="C26408">
        <v>29471</v>
      </c>
      <c r="D26408" t="str">
        <f>"29471"</f>
        <v>29471</v>
      </c>
      <c r="E26408">
        <v>63.24</v>
      </c>
    </row>
    <row r="26409" spans="1:5" x14ac:dyDescent="0.2">
      <c r="A26409">
        <v>29472</v>
      </c>
      <c r="B26409" t="s">
        <v>47</v>
      </c>
      <c r="C26409">
        <v>29472</v>
      </c>
      <c r="D26409" t="str">
        <f>"29472"</f>
        <v>29472</v>
      </c>
      <c r="E26409">
        <v>66.930000000000007</v>
      </c>
    </row>
    <row r="26410" spans="1:5" x14ac:dyDescent="0.2">
      <c r="A26410">
        <v>29474</v>
      </c>
      <c r="B26410" t="s">
        <v>47</v>
      </c>
      <c r="C26410">
        <v>29474</v>
      </c>
      <c r="D26410" t="str">
        <f>"29474"</f>
        <v>29474</v>
      </c>
      <c r="E26410">
        <v>58.95</v>
      </c>
    </row>
    <row r="26411" spans="1:5" x14ac:dyDescent="0.2">
      <c r="A26411">
        <v>29475</v>
      </c>
      <c r="B26411" t="s">
        <v>47</v>
      </c>
      <c r="C26411">
        <v>29475</v>
      </c>
      <c r="D26411" t="str">
        <f>"29475"</f>
        <v>29475</v>
      </c>
      <c r="E26411">
        <v>59.81</v>
      </c>
    </row>
    <row r="26412" spans="1:5" x14ac:dyDescent="0.2">
      <c r="A26412">
        <v>29477</v>
      </c>
      <c r="B26412" t="s">
        <v>47</v>
      </c>
      <c r="C26412">
        <v>29477</v>
      </c>
      <c r="D26412" t="str">
        <f>"29477"</f>
        <v>29477</v>
      </c>
      <c r="E26412">
        <v>64</v>
      </c>
    </row>
    <row r="26413" spans="1:5" x14ac:dyDescent="0.2">
      <c r="A26413">
        <v>29479</v>
      </c>
      <c r="B26413" t="s">
        <v>47</v>
      </c>
      <c r="C26413">
        <v>29479</v>
      </c>
      <c r="D26413" t="str">
        <f>"29479"</f>
        <v>29479</v>
      </c>
      <c r="E26413">
        <v>59.29</v>
      </c>
    </row>
    <row r="26414" spans="1:5" x14ac:dyDescent="0.2">
      <c r="A26414">
        <v>29481</v>
      </c>
      <c r="B26414" t="s">
        <v>47</v>
      </c>
      <c r="C26414">
        <v>29481</v>
      </c>
      <c r="D26414" t="str">
        <f>"29481"</f>
        <v>29481</v>
      </c>
      <c r="E26414">
        <v>57.75</v>
      </c>
    </row>
    <row r="26415" spans="1:5" x14ac:dyDescent="0.2">
      <c r="A26415">
        <v>29482</v>
      </c>
      <c r="B26415" t="s">
        <v>47</v>
      </c>
      <c r="C26415">
        <v>29482</v>
      </c>
      <c r="D26415" t="str">
        <f>"29482"</f>
        <v>29482</v>
      </c>
      <c r="E26415">
        <v>79.17</v>
      </c>
    </row>
    <row r="26416" spans="1:5" x14ac:dyDescent="0.2">
      <c r="A26416">
        <v>29483</v>
      </c>
      <c r="B26416" t="s">
        <v>47</v>
      </c>
      <c r="C26416">
        <v>29483</v>
      </c>
      <c r="D26416" t="str">
        <f>"29483"</f>
        <v>29483</v>
      </c>
      <c r="E26416">
        <v>71.319999999999993</v>
      </c>
    </row>
    <row r="26417" spans="1:5" x14ac:dyDescent="0.2">
      <c r="A26417">
        <v>29485</v>
      </c>
      <c r="B26417" t="s">
        <v>47</v>
      </c>
      <c r="C26417">
        <v>29485</v>
      </c>
      <c r="D26417" t="str">
        <f>"29485"</f>
        <v>29485</v>
      </c>
      <c r="E26417">
        <v>74.03</v>
      </c>
    </row>
    <row r="26418" spans="1:5" x14ac:dyDescent="0.2">
      <c r="A26418">
        <v>29486</v>
      </c>
      <c r="B26418" t="s">
        <v>47</v>
      </c>
      <c r="C26418">
        <v>29486</v>
      </c>
      <c r="D26418" t="str">
        <f>"29486"</f>
        <v>29486</v>
      </c>
      <c r="E26418" t="s">
        <v>6</v>
      </c>
    </row>
    <row r="26419" spans="1:5" x14ac:dyDescent="0.2">
      <c r="A26419">
        <v>29487</v>
      </c>
      <c r="B26419" t="s">
        <v>47</v>
      </c>
      <c r="C26419">
        <v>29487</v>
      </c>
      <c r="D26419" t="str">
        <f>"29487"</f>
        <v>29487</v>
      </c>
      <c r="E26419">
        <v>69.47</v>
      </c>
    </row>
    <row r="26420" spans="1:5" x14ac:dyDescent="0.2">
      <c r="A26420">
        <v>29488</v>
      </c>
      <c r="B26420" t="s">
        <v>47</v>
      </c>
      <c r="C26420">
        <v>29488</v>
      </c>
      <c r="D26420" t="str">
        <f>"29488"</f>
        <v>29488</v>
      </c>
      <c r="E26420">
        <v>57.9</v>
      </c>
    </row>
    <row r="26421" spans="1:5" x14ac:dyDescent="0.2">
      <c r="A26421">
        <v>29492</v>
      </c>
      <c r="B26421" t="s">
        <v>47</v>
      </c>
      <c r="C26421">
        <v>29492</v>
      </c>
      <c r="D26421" t="str">
        <f>"29492"</f>
        <v>29492</v>
      </c>
      <c r="E26421">
        <v>84.47</v>
      </c>
    </row>
    <row r="26422" spans="1:5" x14ac:dyDescent="0.2">
      <c r="A26422">
        <v>29493</v>
      </c>
      <c r="B26422" t="s">
        <v>47</v>
      </c>
      <c r="C26422">
        <v>29493</v>
      </c>
      <c r="D26422" t="str">
        <f>"29493"</f>
        <v>29493</v>
      </c>
      <c r="E26422" t="s">
        <v>6</v>
      </c>
    </row>
    <row r="26423" spans="1:5" x14ac:dyDescent="0.2">
      <c r="A26423">
        <v>29501</v>
      </c>
      <c r="B26423" t="s">
        <v>47</v>
      </c>
      <c r="C26423">
        <v>29501</v>
      </c>
      <c r="D26423" t="str">
        <f>"29501"</f>
        <v>29501</v>
      </c>
      <c r="E26423">
        <v>67.89</v>
      </c>
    </row>
    <row r="26424" spans="1:5" x14ac:dyDescent="0.2">
      <c r="A26424">
        <v>29505</v>
      </c>
      <c r="B26424" t="s">
        <v>47</v>
      </c>
      <c r="C26424">
        <v>29505</v>
      </c>
      <c r="D26424" t="str">
        <f>"29505"</f>
        <v>29505</v>
      </c>
      <c r="E26424">
        <v>66.94</v>
      </c>
    </row>
    <row r="26425" spans="1:5" x14ac:dyDescent="0.2">
      <c r="A26425">
        <v>29506</v>
      </c>
      <c r="B26425" t="s">
        <v>47</v>
      </c>
      <c r="C26425">
        <v>29506</v>
      </c>
      <c r="D26425" t="str">
        <f>"29506"</f>
        <v>29506</v>
      </c>
      <c r="E26425">
        <v>50.7</v>
      </c>
    </row>
    <row r="26426" spans="1:5" x14ac:dyDescent="0.2">
      <c r="A26426">
        <v>29510</v>
      </c>
      <c r="B26426" t="s">
        <v>47</v>
      </c>
      <c r="C26426">
        <v>29510</v>
      </c>
      <c r="D26426" t="str">
        <f>"29510"</f>
        <v>29510</v>
      </c>
      <c r="E26426">
        <v>57.01</v>
      </c>
    </row>
    <row r="26427" spans="1:5" x14ac:dyDescent="0.2">
      <c r="A26427">
        <v>29511</v>
      </c>
      <c r="B26427" t="s">
        <v>47</v>
      </c>
      <c r="C26427">
        <v>29511</v>
      </c>
      <c r="D26427" t="str">
        <f>"29511"</f>
        <v>29511</v>
      </c>
      <c r="E26427">
        <v>66.52</v>
      </c>
    </row>
    <row r="26428" spans="1:5" x14ac:dyDescent="0.2">
      <c r="A26428">
        <v>29512</v>
      </c>
      <c r="B26428" t="s">
        <v>47</v>
      </c>
      <c r="C26428">
        <v>29512</v>
      </c>
      <c r="D26428" t="str">
        <f>"29512"</f>
        <v>29512</v>
      </c>
      <c r="E26428">
        <v>55.72</v>
      </c>
    </row>
    <row r="26429" spans="1:5" x14ac:dyDescent="0.2">
      <c r="A26429">
        <v>29516</v>
      </c>
      <c r="B26429" t="s">
        <v>47</v>
      </c>
      <c r="C26429">
        <v>29516</v>
      </c>
      <c r="D26429" t="str">
        <f>"29516"</f>
        <v>29516</v>
      </c>
      <c r="E26429">
        <v>62.86</v>
      </c>
    </row>
    <row r="26430" spans="1:5" x14ac:dyDescent="0.2">
      <c r="A26430">
        <v>29518</v>
      </c>
      <c r="B26430" t="s">
        <v>47</v>
      </c>
      <c r="C26430">
        <v>29518</v>
      </c>
      <c r="D26430" t="str">
        <f>"29518"</f>
        <v>29518</v>
      </c>
      <c r="E26430">
        <v>63.46</v>
      </c>
    </row>
    <row r="26431" spans="1:5" x14ac:dyDescent="0.2">
      <c r="A26431">
        <v>29520</v>
      </c>
      <c r="B26431" t="s">
        <v>47</v>
      </c>
      <c r="C26431">
        <v>29520</v>
      </c>
      <c r="D26431" t="str">
        <f>"29520"</f>
        <v>29520</v>
      </c>
      <c r="E26431">
        <v>60.1</v>
      </c>
    </row>
    <row r="26432" spans="1:5" x14ac:dyDescent="0.2">
      <c r="A26432">
        <v>29525</v>
      </c>
      <c r="B26432" t="s">
        <v>47</v>
      </c>
      <c r="C26432">
        <v>29525</v>
      </c>
      <c r="D26432" t="str">
        <f>"29525"</f>
        <v>29525</v>
      </c>
      <c r="E26432">
        <v>54.65</v>
      </c>
    </row>
    <row r="26433" spans="1:5" x14ac:dyDescent="0.2">
      <c r="A26433">
        <v>29526</v>
      </c>
      <c r="B26433" t="s">
        <v>47</v>
      </c>
      <c r="C26433">
        <v>29526</v>
      </c>
      <c r="D26433" t="str">
        <f>"29526"</f>
        <v>29526</v>
      </c>
      <c r="E26433">
        <v>65.37</v>
      </c>
    </row>
    <row r="26434" spans="1:5" x14ac:dyDescent="0.2">
      <c r="A26434">
        <v>29527</v>
      </c>
      <c r="B26434" t="s">
        <v>47</v>
      </c>
      <c r="C26434">
        <v>29527</v>
      </c>
      <c r="D26434" t="str">
        <f>"29527"</f>
        <v>29527</v>
      </c>
      <c r="E26434">
        <v>60.59</v>
      </c>
    </row>
    <row r="26435" spans="1:5" x14ac:dyDescent="0.2">
      <c r="A26435">
        <v>29530</v>
      </c>
      <c r="B26435" t="s">
        <v>47</v>
      </c>
      <c r="C26435">
        <v>29530</v>
      </c>
      <c r="D26435" t="str">
        <f>"29530"</f>
        <v>29530</v>
      </c>
      <c r="E26435">
        <v>58.1</v>
      </c>
    </row>
    <row r="26436" spans="1:5" x14ac:dyDescent="0.2">
      <c r="A26436">
        <v>29532</v>
      </c>
      <c r="B26436" t="s">
        <v>47</v>
      </c>
      <c r="C26436">
        <v>29532</v>
      </c>
      <c r="D26436" t="str">
        <f>"29532"</f>
        <v>29532</v>
      </c>
      <c r="E26436">
        <v>56.2</v>
      </c>
    </row>
    <row r="26437" spans="1:5" x14ac:dyDescent="0.2">
      <c r="A26437">
        <v>29536</v>
      </c>
      <c r="B26437" t="s">
        <v>47</v>
      </c>
      <c r="C26437">
        <v>29536</v>
      </c>
      <c r="D26437" t="str">
        <f>"29536"</f>
        <v>29536</v>
      </c>
      <c r="E26437">
        <v>50.23</v>
      </c>
    </row>
    <row r="26438" spans="1:5" x14ac:dyDescent="0.2">
      <c r="A26438">
        <v>29540</v>
      </c>
      <c r="B26438" t="s">
        <v>47</v>
      </c>
      <c r="C26438">
        <v>29540</v>
      </c>
      <c r="D26438" t="str">
        <f>"29540"</f>
        <v>29540</v>
      </c>
      <c r="E26438">
        <v>57.85</v>
      </c>
    </row>
    <row r="26439" spans="1:5" x14ac:dyDescent="0.2">
      <c r="A26439">
        <v>29541</v>
      </c>
      <c r="B26439" t="s">
        <v>47</v>
      </c>
      <c r="C26439">
        <v>29541</v>
      </c>
      <c r="D26439" t="str">
        <f>"29541"</f>
        <v>29541</v>
      </c>
      <c r="E26439">
        <v>62.75</v>
      </c>
    </row>
    <row r="26440" spans="1:5" x14ac:dyDescent="0.2">
      <c r="A26440">
        <v>29543</v>
      </c>
      <c r="B26440" t="s">
        <v>47</v>
      </c>
      <c r="C26440">
        <v>29543</v>
      </c>
      <c r="D26440" t="str">
        <f>"29543"</f>
        <v>29543</v>
      </c>
      <c r="E26440">
        <v>66.67</v>
      </c>
    </row>
    <row r="26441" spans="1:5" x14ac:dyDescent="0.2">
      <c r="A26441">
        <v>29544</v>
      </c>
      <c r="B26441" t="s">
        <v>47</v>
      </c>
      <c r="C26441">
        <v>29544</v>
      </c>
      <c r="D26441" t="str">
        <f>"29544"</f>
        <v>29544</v>
      </c>
      <c r="E26441">
        <v>64.2</v>
      </c>
    </row>
    <row r="26442" spans="1:5" x14ac:dyDescent="0.2">
      <c r="A26442">
        <v>29545</v>
      </c>
      <c r="B26442" t="s">
        <v>47</v>
      </c>
      <c r="C26442">
        <v>29545</v>
      </c>
      <c r="D26442" t="str">
        <f>"29545"</f>
        <v>29545</v>
      </c>
      <c r="E26442">
        <v>52.86</v>
      </c>
    </row>
    <row r="26443" spans="1:5" x14ac:dyDescent="0.2">
      <c r="A26443">
        <v>29546</v>
      </c>
      <c r="B26443" t="s">
        <v>47</v>
      </c>
      <c r="C26443">
        <v>29546</v>
      </c>
      <c r="D26443" t="str">
        <f>"29546"</f>
        <v>29546</v>
      </c>
      <c r="E26443">
        <v>54.81</v>
      </c>
    </row>
    <row r="26444" spans="1:5" x14ac:dyDescent="0.2">
      <c r="A26444">
        <v>29547</v>
      </c>
      <c r="B26444" t="s">
        <v>47</v>
      </c>
      <c r="C26444">
        <v>29547</v>
      </c>
      <c r="D26444" t="str">
        <f>"29547"</f>
        <v>29547</v>
      </c>
      <c r="E26444">
        <v>52.78</v>
      </c>
    </row>
    <row r="26445" spans="1:5" x14ac:dyDescent="0.2">
      <c r="A26445">
        <v>29550</v>
      </c>
      <c r="B26445" t="s">
        <v>47</v>
      </c>
      <c r="C26445">
        <v>29550</v>
      </c>
      <c r="D26445" t="str">
        <f>"29550"</f>
        <v>29550</v>
      </c>
      <c r="E26445">
        <v>62.76</v>
      </c>
    </row>
    <row r="26446" spans="1:5" x14ac:dyDescent="0.2">
      <c r="A26446">
        <v>29554</v>
      </c>
      <c r="B26446" t="s">
        <v>47</v>
      </c>
      <c r="C26446">
        <v>29554</v>
      </c>
      <c r="D26446" t="str">
        <f>"29554"</f>
        <v>29554</v>
      </c>
      <c r="E26446">
        <v>58.15</v>
      </c>
    </row>
    <row r="26447" spans="1:5" x14ac:dyDescent="0.2">
      <c r="A26447">
        <v>29555</v>
      </c>
      <c r="B26447" t="s">
        <v>47</v>
      </c>
      <c r="C26447">
        <v>29555</v>
      </c>
      <c r="D26447" t="str">
        <f>"29555"</f>
        <v>29555</v>
      </c>
      <c r="E26447">
        <v>58.3</v>
      </c>
    </row>
    <row r="26448" spans="1:5" x14ac:dyDescent="0.2">
      <c r="A26448">
        <v>29556</v>
      </c>
      <c r="B26448" t="s">
        <v>47</v>
      </c>
      <c r="C26448">
        <v>29556</v>
      </c>
      <c r="D26448" t="str">
        <f>"29556"</f>
        <v>29556</v>
      </c>
      <c r="E26448">
        <v>50.2</v>
      </c>
    </row>
    <row r="26449" spans="1:5" x14ac:dyDescent="0.2">
      <c r="A26449">
        <v>29560</v>
      </c>
      <c r="B26449" t="s">
        <v>47</v>
      </c>
      <c r="C26449">
        <v>29560</v>
      </c>
      <c r="D26449" t="str">
        <f>"29560"</f>
        <v>29560</v>
      </c>
      <c r="E26449">
        <v>52.31</v>
      </c>
    </row>
    <row r="26450" spans="1:5" x14ac:dyDescent="0.2">
      <c r="A26450">
        <v>29563</v>
      </c>
      <c r="B26450" t="s">
        <v>47</v>
      </c>
      <c r="C26450">
        <v>29563</v>
      </c>
      <c r="D26450" t="str">
        <f>"29563"</f>
        <v>29563</v>
      </c>
      <c r="E26450">
        <v>58.25</v>
      </c>
    </row>
    <row r="26451" spans="1:5" x14ac:dyDescent="0.2">
      <c r="A26451">
        <v>29564</v>
      </c>
      <c r="B26451" t="s">
        <v>47</v>
      </c>
      <c r="C26451">
        <v>29564</v>
      </c>
      <c r="D26451" t="str">
        <f>"29564"</f>
        <v>29564</v>
      </c>
      <c r="E26451">
        <v>48.65</v>
      </c>
    </row>
    <row r="26452" spans="1:5" x14ac:dyDescent="0.2">
      <c r="A26452">
        <v>29565</v>
      </c>
      <c r="B26452" t="s">
        <v>47</v>
      </c>
      <c r="C26452">
        <v>29565</v>
      </c>
      <c r="D26452" t="str">
        <f>"29565"</f>
        <v>29565</v>
      </c>
      <c r="E26452">
        <v>54.68</v>
      </c>
    </row>
    <row r="26453" spans="1:5" x14ac:dyDescent="0.2">
      <c r="A26453">
        <v>29566</v>
      </c>
      <c r="B26453" t="s">
        <v>47</v>
      </c>
      <c r="C26453">
        <v>29566</v>
      </c>
      <c r="D26453" t="str">
        <f>"29566"</f>
        <v>29566</v>
      </c>
      <c r="E26453">
        <v>69.28</v>
      </c>
    </row>
    <row r="26454" spans="1:5" x14ac:dyDescent="0.2">
      <c r="A26454">
        <v>29567</v>
      </c>
      <c r="B26454" t="s">
        <v>47</v>
      </c>
      <c r="C26454">
        <v>29567</v>
      </c>
      <c r="D26454" t="str">
        <f>"29567"</f>
        <v>29567</v>
      </c>
      <c r="E26454">
        <v>48.39</v>
      </c>
    </row>
    <row r="26455" spans="1:5" x14ac:dyDescent="0.2">
      <c r="A26455">
        <v>29568</v>
      </c>
      <c r="B26455" t="s">
        <v>47</v>
      </c>
      <c r="C26455">
        <v>29568</v>
      </c>
      <c r="D26455" t="str">
        <f>"29568"</f>
        <v>29568</v>
      </c>
      <c r="E26455">
        <v>63.1</v>
      </c>
    </row>
    <row r="26456" spans="1:5" x14ac:dyDescent="0.2">
      <c r="A26456">
        <v>29569</v>
      </c>
      <c r="B26456" t="s">
        <v>47</v>
      </c>
      <c r="C26456">
        <v>29569</v>
      </c>
      <c r="D26456" t="str">
        <f>"29569"</f>
        <v>29569</v>
      </c>
      <c r="E26456">
        <v>57.07</v>
      </c>
    </row>
    <row r="26457" spans="1:5" x14ac:dyDescent="0.2">
      <c r="A26457">
        <v>29570</v>
      </c>
      <c r="B26457" t="s">
        <v>47</v>
      </c>
      <c r="C26457">
        <v>29570</v>
      </c>
      <c r="D26457" t="str">
        <f>"29570"</f>
        <v>29570</v>
      </c>
      <c r="E26457">
        <v>51.7</v>
      </c>
    </row>
    <row r="26458" spans="1:5" x14ac:dyDescent="0.2">
      <c r="A26458">
        <v>29571</v>
      </c>
      <c r="B26458" t="s">
        <v>47</v>
      </c>
      <c r="C26458">
        <v>29571</v>
      </c>
      <c r="D26458" t="str">
        <f>"29571"</f>
        <v>29571</v>
      </c>
      <c r="E26458">
        <v>53.57</v>
      </c>
    </row>
    <row r="26459" spans="1:5" x14ac:dyDescent="0.2">
      <c r="A26459">
        <v>29572</v>
      </c>
      <c r="B26459" t="s">
        <v>47</v>
      </c>
      <c r="C26459">
        <v>29572</v>
      </c>
      <c r="D26459" t="str">
        <f>"29572"</f>
        <v>29572</v>
      </c>
      <c r="E26459">
        <v>74.72</v>
      </c>
    </row>
    <row r="26460" spans="1:5" x14ac:dyDescent="0.2">
      <c r="A26460">
        <v>29574</v>
      </c>
      <c r="B26460" t="s">
        <v>47</v>
      </c>
      <c r="C26460">
        <v>29574</v>
      </c>
      <c r="D26460" t="str">
        <f>"29574"</f>
        <v>29574</v>
      </c>
      <c r="E26460">
        <v>52.94</v>
      </c>
    </row>
    <row r="26461" spans="1:5" x14ac:dyDescent="0.2">
      <c r="A26461">
        <v>29575</v>
      </c>
      <c r="B26461" t="s">
        <v>47</v>
      </c>
      <c r="C26461">
        <v>29575</v>
      </c>
      <c r="D26461" t="str">
        <f>"29575"</f>
        <v>29575</v>
      </c>
      <c r="E26461">
        <v>71.92</v>
      </c>
    </row>
    <row r="26462" spans="1:5" x14ac:dyDescent="0.2">
      <c r="A26462">
        <v>29576</v>
      </c>
      <c r="B26462" t="s">
        <v>47</v>
      </c>
      <c r="C26462">
        <v>29576</v>
      </c>
      <c r="D26462" t="str">
        <f>"29576"</f>
        <v>29576</v>
      </c>
      <c r="E26462">
        <v>75.540000000000006</v>
      </c>
    </row>
    <row r="26463" spans="1:5" x14ac:dyDescent="0.2">
      <c r="A26463">
        <v>29577</v>
      </c>
      <c r="B26463" t="s">
        <v>47</v>
      </c>
      <c r="C26463">
        <v>29577</v>
      </c>
      <c r="D26463" t="str">
        <f>"29577"</f>
        <v>29577</v>
      </c>
      <c r="E26463">
        <v>63.48</v>
      </c>
    </row>
    <row r="26464" spans="1:5" x14ac:dyDescent="0.2">
      <c r="A26464">
        <v>29579</v>
      </c>
      <c r="B26464" t="s">
        <v>47</v>
      </c>
      <c r="C26464">
        <v>29579</v>
      </c>
      <c r="D26464" t="str">
        <f>"29579"</f>
        <v>29579</v>
      </c>
      <c r="E26464">
        <v>71.5</v>
      </c>
    </row>
    <row r="26465" spans="1:5" x14ac:dyDescent="0.2">
      <c r="A26465">
        <v>29580</v>
      </c>
      <c r="B26465" t="s">
        <v>47</v>
      </c>
      <c r="C26465">
        <v>29580</v>
      </c>
      <c r="D26465" t="str">
        <f>"29580"</f>
        <v>29580</v>
      </c>
      <c r="E26465">
        <v>51.85</v>
      </c>
    </row>
    <row r="26466" spans="1:5" x14ac:dyDescent="0.2">
      <c r="A26466">
        <v>29581</v>
      </c>
      <c r="B26466" t="s">
        <v>47</v>
      </c>
      <c r="C26466">
        <v>29581</v>
      </c>
      <c r="D26466" t="str">
        <f>"29581"</f>
        <v>29581</v>
      </c>
      <c r="E26466">
        <v>60</v>
      </c>
    </row>
    <row r="26467" spans="1:5" x14ac:dyDescent="0.2">
      <c r="A26467">
        <v>29582</v>
      </c>
      <c r="B26467" t="s">
        <v>47</v>
      </c>
      <c r="C26467">
        <v>29582</v>
      </c>
      <c r="D26467" t="str">
        <f>"29582"</f>
        <v>29582</v>
      </c>
      <c r="E26467">
        <v>74.260000000000005</v>
      </c>
    </row>
    <row r="26468" spans="1:5" x14ac:dyDescent="0.2">
      <c r="A26468">
        <v>29583</v>
      </c>
      <c r="B26468" t="s">
        <v>47</v>
      </c>
      <c r="C26468">
        <v>29583</v>
      </c>
      <c r="D26468" t="str">
        <f>"29583"</f>
        <v>29583</v>
      </c>
      <c r="E26468">
        <v>61.69</v>
      </c>
    </row>
    <row r="26469" spans="1:5" x14ac:dyDescent="0.2">
      <c r="A26469">
        <v>29584</v>
      </c>
      <c r="B26469" t="s">
        <v>47</v>
      </c>
      <c r="C26469">
        <v>29584</v>
      </c>
      <c r="D26469" t="str">
        <f>"29584"</f>
        <v>29584</v>
      </c>
      <c r="E26469">
        <v>63.74</v>
      </c>
    </row>
    <row r="26470" spans="1:5" x14ac:dyDescent="0.2">
      <c r="A26470">
        <v>29585</v>
      </c>
      <c r="B26470" t="s">
        <v>47</v>
      </c>
      <c r="C26470">
        <v>29585</v>
      </c>
      <c r="D26470" t="str">
        <f>"29585"</f>
        <v>29585</v>
      </c>
      <c r="E26470">
        <v>76.89</v>
      </c>
    </row>
    <row r="26471" spans="1:5" x14ac:dyDescent="0.2">
      <c r="A26471">
        <v>29588</v>
      </c>
      <c r="B26471" t="s">
        <v>47</v>
      </c>
      <c r="C26471">
        <v>29588</v>
      </c>
      <c r="D26471" t="str">
        <f>"29588"</f>
        <v>29588</v>
      </c>
      <c r="E26471">
        <v>68.61</v>
      </c>
    </row>
    <row r="26472" spans="1:5" x14ac:dyDescent="0.2">
      <c r="A26472">
        <v>29590</v>
      </c>
      <c r="B26472" t="s">
        <v>47</v>
      </c>
      <c r="C26472">
        <v>29590</v>
      </c>
      <c r="D26472" t="str">
        <f>"29590"</f>
        <v>29590</v>
      </c>
      <c r="E26472">
        <v>48.91</v>
      </c>
    </row>
    <row r="26473" spans="1:5" x14ac:dyDescent="0.2">
      <c r="A26473">
        <v>29591</v>
      </c>
      <c r="B26473" t="s">
        <v>47</v>
      </c>
      <c r="C26473">
        <v>29591</v>
      </c>
      <c r="D26473" t="str">
        <f>"29591"</f>
        <v>29591</v>
      </c>
      <c r="E26473">
        <v>59.68</v>
      </c>
    </row>
    <row r="26474" spans="1:5" x14ac:dyDescent="0.2">
      <c r="A26474">
        <v>29592</v>
      </c>
      <c r="B26474" t="s">
        <v>47</v>
      </c>
      <c r="C26474">
        <v>29592</v>
      </c>
      <c r="D26474" t="str">
        <f>"29592"</f>
        <v>29592</v>
      </c>
      <c r="E26474">
        <v>48.94</v>
      </c>
    </row>
    <row r="26475" spans="1:5" x14ac:dyDescent="0.2">
      <c r="A26475">
        <v>29593</v>
      </c>
      <c r="B26475" t="s">
        <v>47</v>
      </c>
      <c r="C26475">
        <v>29593</v>
      </c>
      <c r="D26475" t="str">
        <f>"29593"</f>
        <v>29593</v>
      </c>
      <c r="E26475">
        <v>60</v>
      </c>
    </row>
    <row r="26476" spans="1:5" x14ac:dyDescent="0.2">
      <c r="A26476">
        <v>29594</v>
      </c>
      <c r="B26476" t="s">
        <v>47</v>
      </c>
      <c r="C26476">
        <v>29594</v>
      </c>
      <c r="D26476" t="str">
        <f>"29594"</f>
        <v>29594</v>
      </c>
      <c r="E26476" t="s">
        <v>6</v>
      </c>
    </row>
    <row r="26477" spans="1:5" x14ac:dyDescent="0.2">
      <c r="A26477">
        <v>29596</v>
      </c>
      <c r="B26477" t="s">
        <v>47</v>
      </c>
      <c r="C26477">
        <v>29596</v>
      </c>
      <c r="D26477" t="str">
        <f>"29596"</f>
        <v>29596</v>
      </c>
      <c r="E26477">
        <v>63.44</v>
      </c>
    </row>
    <row r="26478" spans="1:5" x14ac:dyDescent="0.2">
      <c r="A26478">
        <v>29601</v>
      </c>
      <c r="B26478" t="s">
        <v>47</v>
      </c>
      <c r="C26478">
        <v>29601</v>
      </c>
      <c r="D26478" t="str">
        <f>"29601"</f>
        <v>29601</v>
      </c>
      <c r="E26478">
        <v>78.42</v>
      </c>
    </row>
    <row r="26479" spans="1:5" x14ac:dyDescent="0.2">
      <c r="A26479">
        <v>29605</v>
      </c>
      <c r="B26479" t="s">
        <v>47</v>
      </c>
      <c r="C26479">
        <v>29605</v>
      </c>
      <c r="D26479" t="str">
        <f>"29605"</f>
        <v>29605</v>
      </c>
      <c r="E26479">
        <v>65.09</v>
      </c>
    </row>
    <row r="26480" spans="1:5" x14ac:dyDescent="0.2">
      <c r="A26480">
        <v>29607</v>
      </c>
      <c r="B26480" t="s">
        <v>47</v>
      </c>
      <c r="C26480">
        <v>29607</v>
      </c>
      <c r="D26480" t="str">
        <f>"29607"</f>
        <v>29607</v>
      </c>
      <c r="E26480">
        <v>73.36</v>
      </c>
    </row>
    <row r="26481" spans="1:5" x14ac:dyDescent="0.2">
      <c r="A26481">
        <v>29609</v>
      </c>
      <c r="B26481" t="s">
        <v>47</v>
      </c>
      <c r="C26481">
        <v>29609</v>
      </c>
      <c r="D26481" t="str">
        <f>"29609"</f>
        <v>29609</v>
      </c>
      <c r="E26481">
        <v>69.2</v>
      </c>
    </row>
    <row r="26482" spans="1:5" x14ac:dyDescent="0.2">
      <c r="A26482">
        <v>29611</v>
      </c>
      <c r="B26482" t="s">
        <v>47</v>
      </c>
      <c r="C26482">
        <v>29611</v>
      </c>
      <c r="D26482" t="str">
        <f>"29611"</f>
        <v>29611</v>
      </c>
      <c r="E26482">
        <v>54.41</v>
      </c>
    </row>
    <row r="26483" spans="1:5" x14ac:dyDescent="0.2">
      <c r="A26483">
        <v>29614</v>
      </c>
      <c r="B26483" t="s">
        <v>47</v>
      </c>
      <c r="C26483">
        <v>29614</v>
      </c>
      <c r="D26483" t="str">
        <f>"29614"</f>
        <v>29614</v>
      </c>
      <c r="E26483" t="s">
        <v>6</v>
      </c>
    </row>
    <row r="26484" spans="1:5" x14ac:dyDescent="0.2">
      <c r="A26484">
        <v>29615</v>
      </c>
      <c r="B26484" t="s">
        <v>47</v>
      </c>
      <c r="C26484">
        <v>29615</v>
      </c>
      <c r="D26484" t="str">
        <f>"29615"</f>
        <v>29615</v>
      </c>
      <c r="E26484">
        <v>77.349999999999994</v>
      </c>
    </row>
    <row r="26485" spans="1:5" x14ac:dyDescent="0.2">
      <c r="A26485">
        <v>29617</v>
      </c>
      <c r="B26485" t="s">
        <v>47</v>
      </c>
      <c r="C26485">
        <v>29617</v>
      </c>
      <c r="D26485" t="str">
        <f>"29617"</f>
        <v>29617</v>
      </c>
      <c r="E26485">
        <v>62.77</v>
      </c>
    </row>
    <row r="26486" spans="1:5" x14ac:dyDescent="0.2">
      <c r="A26486">
        <v>29620</v>
      </c>
      <c r="B26486" t="s">
        <v>47</v>
      </c>
      <c r="C26486">
        <v>29620</v>
      </c>
      <c r="D26486" t="str">
        <f>"29620"</f>
        <v>29620</v>
      </c>
      <c r="E26486">
        <v>62.97</v>
      </c>
    </row>
    <row r="26487" spans="1:5" x14ac:dyDescent="0.2">
      <c r="A26487">
        <v>29621</v>
      </c>
      <c r="B26487" t="s">
        <v>47</v>
      </c>
      <c r="C26487">
        <v>29621</v>
      </c>
      <c r="D26487" t="str">
        <f>"29621"</f>
        <v>29621</v>
      </c>
      <c r="E26487">
        <v>70.92</v>
      </c>
    </row>
    <row r="26488" spans="1:5" x14ac:dyDescent="0.2">
      <c r="A26488">
        <v>29624</v>
      </c>
      <c r="B26488" t="s">
        <v>47</v>
      </c>
      <c r="C26488">
        <v>29624</v>
      </c>
      <c r="D26488" t="str">
        <f>"29624"</f>
        <v>29624</v>
      </c>
      <c r="E26488">
        <v>51.23</v>
      </c>
    </row>
    <row r="26489" spans="1:5" x14ac:dyDescent="0.2">
      <c r="A26489">
        <v>29625</v>
      </c>
      <c r="B26489" t="s">
        <v>47</v>
      </c>
      <c r="C26489">
        <v>29625</v>
      </c>
      <c r="D26489" t="str">
        <f>"29625"</f>
        <v>29625</v>
      </c>
      <c r="E26489">
        <v>67.7</v>
      </c>
    </row>
    <row r="26490" spans="1:5" x14ac:dyDescent="0.2">
      <c r="A26490">
        <v>29626</v>
      </c>
      <c r="B26490" t="s">
        <v>47</v>
      </c>
      <c r="C26490">
        <v>29626</v>
      </c>
      <c r="D26490" t="str">
        <f>"29626"</f>
        <v>29626</v>
      </c>
      <c r="E26490">
        <v>65.45</v>
      </c>
    </row>
    <row r="26491" spans="1:5" x14ac:dyDescent="0.2">
      <c r="A26491">
        <v>29627</v>
      </c>
      <c r="B26491" t="s">
        <v>47</v>
      </c>
      <c r="C26491">
        <v>29627</v>
      </c>
      <c r="D26491" t="str">
        <f>"29627"</f>
        <v>29627</v>
      </c>
      <c r="E26491">
        <v>66.58</v>
      </c>
    </row>
    <row r="26492" spans="1:5" x14ac:dyDescent="0.2">
      <c r="A26492">
        <v>29628</v>
      </c>
      <c r="B26492" t="s">
        <v>47</v>
      </c>
      <c r="C26492">
        <v>29628</v>
      </c>
      <c r="D26492" t="str">
        <f>"29628"</f>
        <v>29628</v>
      </c>
      <c r="E26492">
        <v>54.44</v>
      </c>
    </row>
    <row r="26493" spans="1:5" x14ac:dyDescent="0.2">
      <c r="A26493">
        <v>29630</v>
      </c>
      <c r="B26493" t="s">
        <v>47</v>
      </c>
      <c r="C26493">
        <v>29630</v>
      </c>
      <c r="D26493" t="str">
        <f>"29630"</f>
        <v>29630</v>
      </c>
      <c r="E26493">
        <v>67.89</v>
      </c>
    </row>
    <row r="26494" spans="1:5" x14ac:dyDescent="0.2">
      <c r="A26494">
        <v>29631</v>
      </c>
      <c r="B26494" t="s">
        <v>47</v>
      </c>
      <c r="C26494">
        <v>29631</v>
      </c>
      <c r="D26494" t="str">
        <f>"29631"</f>
        <v>29631</v>
      </c>
      <c r="E26494">
        <v>73.2</v>
      </c>
    </row>
    <row r="26495" spans="1:5" x14ac:dyDescent="0.2">
      <c r="A26495">
        <v>29635</v>
      </c>
      <c r="B26495" t="s">
        <v>47</v>
      </c>
      <c r="C26495">
        <v>29635</v>
      </c>
      <c r="D26495" t="str">
        <f>"29635"</f>
        <v>29635</v>
      </c>
      <c r="E26495">
        <v>73.13</v>
      </c>
    </row>
    <row r="26496" spans="1:5" x14ac:dyDescent="0.2">
      <c r="A26496">
        <v>29638</v>
      </c>
      <c r="B26496" t="s">
        <v>47</v>
      </c>
      <c r="C26496">
        <v>29638</v>
      </c>
      <c r="D26496" t="str">
        <f>"29638"</f>
        <v>29638</v>
      </c>
      <c r="E26496">
        <v>68.099999999999994</v>
      </c>
    </row>
    <row r="26497" spans="1:5" x14ac:dyDescent="0.2">
      <c r="A26497">
        <v>29639</v>
      </c>
      <c r="B26497" t="s">
        <v>47</v>
      </c>
      <c r="C26497">
        <v>29639</v>
      </c>
      <c r="D26497" t="str">
        <f>"29639"</f>
        <v>29639</v>
      </c>
      <c r="E26497">
        <v>69.64</v>
      </c>
    </row>
    <row r="26498" spans="1:5" x14ac:dyDescent="0.2">
      <c r="A26498">
        <v>29640</v>
      </c>
      <c r="B26498" t="s">
        <v>47</v>
      </c>
      <c r="C26498">
        <v>29640</v>
      </c>
      <c r="D26498" t="str">
        <f>"29640"</f>
        <v>29640</v>
      </c>
      <c r="E26498">
        <v>67.53</v>
      </c>
    </row>
    <row r="26499" spans="1:5" x14ac:dyDescent="0.2">
      <c r="A26499">
        <v>29642</v>
      </c>
      <c r="B26499" t="s">
        <v>47</v>
      </c>
      <c r="C26499">
        <v>29642</v>
      </c>
      <c r="D26499" t="str">
        <f>"29642"</f>
        <v>29642</v>
      </c>
      <c r="E26499">
        <v>73.78</v>
      </c>
    </row>
    <row r="26500" spans="1:5" x14ac:dyDescent="0.2">
      <c r="A26500">
        <v>29643</v>
      </c>
      <c r="B26500" t="s">
        <v>47</v>
      </c>
      <c r="C26500">
        <v>29643</v>
      </c>
      <c r="D26500" t="str">
        <f>"29643"</f>
        <v>29643</v>
      </c>
      <c r="E26500">
        <v>73.599999999999994</v>
      </c>
    </row>
    <row r="26501" spans="1:5" x14ac:dyDescent="0.2">
      <c r="A26501">
        <v>29644</v>
      </c>
      <c r="B26501" t="s">
        <v>47</v>
      </c>
      <c r="C26501">
        <v>29644</v>
      </c>
      <c r="D26501" t="str">
        <f>"29644"</f>
        <v>29644</v>
      </c>
      <c r="E26501">
        <v>69.47</v>
      </c>
    </row>
    <row r="26502" spans="1:5" x14ac:dyDescent="0.2">
      <c r="A26502">
        <v>29645</v>
      </c>
      <c r="B26502" t="s">
        <v>47</v>
      </c>
      <c r="C26502">
        <v>29645</v>
      </c>
      <c r="D26502" t="str">
        <f>"29645"</f>
        <v>29645</v>
      </c>
      <c r="E26502">
        <v>64.849999999999994</v>
      </c>
    </row>
    <row r="26503" spans="1:5" x14ac:dyDescent="0.2">
      <c r="A26503">
        <v>29646</v>
      </c>
      <c r="B26503" t="s">
        <v>47</v>
      </c>
      <c r="C26503">
        <v>29646</v>
      </c>
      <c r="D26503" t="str">
        <f>"29646"</f>
        <v>29646</v>
      </c>
      <c r="E26503">
        <v>56.12</v>
      </c>
    </row>
    <row r="26504" spans="1:5" x14ac:dyDescent="0.2">
      <c r="A26504">
        <v>29649</v>
      </c>
      <c r="B26504" t="s">
        <v>47</v>
      </c>
      <c r="C26504">
        <v>29649</v>
      </c>
      <c r="D26504" t="str">
        <f>"29649"</f>
        <v>29649</v>
      </c>
      <c r="E26504">
        <v>68</v>
      </c>
    </row>
    <row r="26505" spans="1:5" x14ac:dyDescent="0.2">
      <c r="A26505">
        <v>29650</v>
      </c>
      <c r="B26505" t="s">
        <v>47</v>
      </c>
      <c r="C26505">
        <v>29650</v>
      </c>
      <c r="D26505" t="str">
        <f>"29650"</f>
        <v>29650</v>
      </c>
      <c r="E26505">
        <v>77.22</v>
      </c>
    </row>
    <row r="26506" spans="1:5" x14ac:dyDescent="0.2">
      <c r="A26506">
        <v>29651</v>
      </c>
      <c r="B26506" t="s">
        <v>47</v>
      </c>
      <c r="C26506">
        <v>29651</v>
      </c>
      <c r="D26506" t="str">
        <f>"29651"</f>
        <v>29651</v>
      </c>
      <c r="E26506">
        <v>71.97</v>
      </c>
    </row>
    <row r="26507" spans="1:5" x14ac:dyDescent="0.2">
      <c r="A26507">
        <v>29653</v>
      </c>
      <c r="B26507" t="s">
        <v>47</v>
      </c>
      <c r="C26507">
        <v>29653</v>
      </c>
      <c r="D26507" t="str">
        <f>"29653"</f>
        <v>29653</v>
      </c>
      <c r="E26507">
        <v>65.84</v>
      </c>
    </row>
    <row r="26508" spans="1:5" x14ac:dyDescent="0.2">
      <c r="A26508">
        <v>29654</v>
      </c>
      <c r="B26508" t="s">
        <v>47</v>
      </c>
      <c r="C26508">
        <v>29654</v>
      </c>
      <c r="D26508" t="str">
        <f>"29654"</f>
        <v>29654</v>
      </c>
      <c r="E26508">
        <v>66.83</v>
      </c>
    </row>
    <row r="26509" spans="1:5" x14ac:dyDescent="0.2">
      <c r="A26509">
        <v>29655</v>
      </c>
      <c r="B26509" t="s">
        <v>47</v>
      </c>
      <c r="C26509">
        <v>29655</v>
      </c>
      <c r="D26509" t="str">
        <f>"29655"</f>
        <v>29655</v>
      </c>
      <c r="E26509">
        <v>63.83</v>
      </c>
    </row>
    <row r="26510" spans="1:5" x14ac:dyDescent="0.2">
      <c r="A26510">
        <v>29656</v>
      </c>
      <c r="B26510" t="s">
        <v>47</v>
      </c>
      <c r="C26510">
        <v>29656</v>
      </c>
      <c r="D26510" t="str">
        <f>"29656"</f>
        <v>29656</v>
      </c>
      <c r="E26510" t="s">
        <v>6</v>
      </c>
    </row>
    <row r="26511" spans="1:5" x14ac:dyDescent="0.2">
      <c r="A26511">
        <v>29657</v>
      </c>
      <c r="B26511" t="s">
        <v>47</v>
      </c>
      <c r="C26511">
        <v>29657</v>
      </c>
      <c r="D26511" t="str">
        <f>"29657"</f>
        <v>29657</v>
      </c>
      <c r="E26511">
        <v>67.599999999999994</v>
      </c>
    </row>
    <row r="26512" spans="1:5" x14ac:dyDescent="0.2">
      <c r="A26512">
        <v>29658</v>
      </c>
      <c r="B26512" t="s">
        <v>47</v>
      </c>
      <c r="C26512">
        <v>29658</v>
      </c>
      <c r="D26512" t="str">
        <f>"29658"</f>
        <v>29658</v>
      </c>
      <c r="E26512">
        <v>66.67</v>
      </c>
    </row>
    <row r="26513" spans="1:5" x14ac:dyDescent="0.2">
      <c r="A26513">
        <v>29659</v>
      </c>
      <c r="B26513" t="s">
        <v>47</v>
      </c>
      <c r="C26513">
        <v>29659</v>
      </c>
      <c r="D26513" t="str">
        <f>"29659"</f>
        <v>29659</v>
      </c>
      <c r="E26513" t="s">
        <v>6</v>
      </c>
    </row>
    <row r="26514" spans="1:5" x14ac:dyDescent="0.2">
      <c r="A26514">
        <v>29661</v>
      </c>
      <c r="B26514" t="s">
        <v>47</v>
      </c>
      <c r="C26514">
        <v>29661</v>
      </c>
      <c r="D26514" t="str">
        <f>"29661"</f>
        <v>29661</v>
      </c>
      <c r="E26514">
        <v>63.56</v>
      </c>
    </row>
    <row r="26515" spans="1:5" x14ac:dyDescent="0.2">
      <c r="A26515">
        <v>29662</v>
      </c>
      <c r="B26515" t="s">
        <v>47</v>
      </c>
      <c r="C26515">
        <v>29662</v>
      </c>
      <c r="D26515" t="str">
        <f>"29662"</f>
        <v>29662</v>
      </c>
      <c r="E26515">
        <v>72.900000000000006</v>
      </c>
    </row>
    <row r="26516" spans="1:5" x14ac:dyDescent="0.2">
      <c r="A26516">
        <v>29664</v>
      </c>
      <c r="B26516" t="s">
        <v>47</v>
      </c>
      <c r="C26516">
        <v>29664</v>
      </c>
      <c r="D26516" t="str">
        <f>"29664"</f>
        <v>29664</v>
      </c>
      <c r="E26516">
        <v>71.010000000000005</v>
      </c>
    </row>
    <row r="26517" spans="1:5" x14ac:dyDescent="0.2">
      <c r="A26517">
        <v>29665</v>
      </c>
      <c r="B26517" t="s">
        <v>47</v>
      </c>
      <c r="C26517">
        <v>29665</v>
      </c>
      <c r="D26517" t="str">
        <f>"29665"</f>
        <v>29665</v>
      </c>
      <c r="E26517" t="s">
        <v>6</v>
      </c>
    </row>
    <row r="26518" spans="1:5" x14ac:dyDescent="0.2">
      <c r="A26518">
        <v>29666</v>
      </c>
      <c r="B26518" t="s">
        <v>47</v>
      </c>
      <c r="C26518">
        <v>29666</v>
      </c>
      <c r="D26518" t="str">
        <f>"29666"</f>
        <v>29666</v>
      </c>
      <c r="E26518">
        <v>66.78</v>
      </c>
    </row>
    <row r="26519" spans="1:5" x14ac:dyDescent="0.2">
      <c r="A26519">
        <v>29667</v>
      </c>
      <c r="B26519" t="s">
        <v>47</v>
      </c>
      <c r="C26519">
        <v>29667</v>
      </c>
      <c r="D26519" t="str">
        <f>"29667"</f>
        <v>29667</v>
      </c>
      <c r="E26519">
        <v>82.35</v>
      </c>
    </row>
    <row r="26520" spans="1:5" x14ac:dyDescent="0.2">
      <c r="A26520">
        <v>29669</v>
      </c>
      <c r="B26520" t="s">
        <v>47</v>
      </c>
      <c r="C26520">
        <v>29669</v>
      </c>
      <c r="D26520" t="str">
        <f>"29669"</f>
        <v>29669</v>
      </c>
      <c r="E26520">
        <v>68.97</v>
      </c>
    </row>
    <row r="26521" spans="1:5" x14ac:dyDescent="0.2">
      <c r="A26521">
        <v>29670</v>
      </c>
      <c r="B26521" t="s">
        <v>47</v>
      </c>
      <c r="C26521">
        <v>29670</v>
      </c>
      <c r="D26521" t="str">
        <f>"29670"</f>
        <v>29670</v>
      </c>
      <c r="E26521">
        <v>70.569999999999993</v>
      </c>
    </row>
    <row r="26522" spans="1:5" x14ac:dyDescent="0.2">
      <c r="A26522">
        <v>29671</v>
      </c>
      <c r="B26522" t="s">
        <v>47</v>
      </c>
      <c r="C26522">
        <v>29671</v>
      </c>
      <c r="D26522" t="str">
        <f>"29671"</f>
        <v>29671</v>
      </c>
      <c r="E26522">
        <v>68.95</v>
      </c>
    </row>
    <row r="26523" spans="1:5" x14ac:dyDescent="0.2">
      <c r="A26523">
        <v>29672</v>
      </c>
      <c r="B26523" t="s">
        <v>47</v>
      </c>
      <c r="C26523">
        <v>29672</v>
      </c>
      <c r="D26523" t="str">
        <f>"29672"</f>
        <v>29672</v>
      </c>
      <c r="E26523">
        <v>78.430000000000007</v>
      </c>
    </row>
    <row r="26524" spans="1:5" x14ac:dyDescent="0.2">
      <c r="A26524">
        <v>29673</v>
      </c>
      <c r="B26524" t="s">
        <v>47</v>
      </c>
      <c r="C26524">
        <v>29673</v>
      </c>
      <c r="D26524" t="str">
        <f>"29673"</f>
        <v>29673</v>
      </c>
      <c r="E26524">
        <v>68.41</v>
      </c>
    </row>
    <row r="26525" spans="1:5" x14ac:dyDescent="0.2">
      <c r="A26525">
        <v>29676</v>
      </c>
      <c r="B26525" t="s">
        <v>47</v>
      </c>
      <c r="C26525">
        <v>29676</v>
      </c>
      <c r="D26525" t="str">
        <f>"29676"</f>
        <v>29676</v>
      </c>
      <c r="E26525">
        <v>79.7</v>
      </c>
    </row>
    <row r="26526" spans="1:5" x14ac:dyDescent="0.2">
      <c r="A26526">
        <v>29678</v>
      </c>
      <c r="B26526" t="s">
        <v>47</v>
      </c>
      <c r="C26526">
        <v>29678</v>
      </c>
      <c r="D26526" t="str">
        <f>"29678"</f>
        <v>29678</v>
      </c>
      <c r="E26526">
        <v>67.239999999999995</v>
      </c>
    </row>
    <row r="26527" spans="1:5" x14ac:dyDescent="0.2">
      <c r="A26527">
        <v>29680</v>
      </c>
      <c r="B26527" t="s">
        <v>47</v>
      </c>
      <c r="C26527">
        <v>29680</v>
      </c>
      <c r="D26527" t="str">
        <f>"29680"</f>
        <v>29680</v>
      </c>
      <c r="E26527">
        <v>75.099999999999994</v>
      </c>
    </row>
    <row r="26528" spans="1:5" x14ac:dyDescent="0.2">
      <c r="A26528">
        <v>29681</v>
      </c>
      <c r="B26528" t="s">
        <v>47</v>
      </c>
      <c r="C26528">
        <v>29681</v>
      </c>
      <c r="D26528" t="str">
        <f>"29681"</f>
        <v>29681</v>
      </c>
      <c r="E26528">
        <v>78.05</v>
      </c>
    </row>
    <row r="26529" spans="1:5" x14ac:dyDescent="0.2">
      <c r="A26529">
        <v>29682</v>
      </c>
      <c r="B26529" t="s">
        <v>47</v>
      </c>
      <c r="C26529">
        <v>29682</v>
      </c>
      <c r="D26529" t="str">
        <f>"29682"</f>
        <v>29682</v>
      </c>
      <c r="E26529">
        <v>70.69</v>
      </c>
    </row>
    <row r="26530" spans="1:5" x14ac:dyDescent="0.2">
      <c r="A26530">
        <v>29683</v>
      </c>
      <c r="B26530" t="s">
        <v>47</v>
      </c>
      <c r="C26530">
        <v>29683</v>
      </c>
      <c r="D26530" t="str">
        <f>"29683"</f>
        <v>29683</v>
      </c>
      <c r="E26530" t="s">
        <v>6</v>
      </c>
    </row>
    <row r="26531" spans="1:5" x14ac:dyDescent="0.2">
      <c r="A26531">
        <v>29684</v>
      </c>
      <c r="B26531" t="s">
        <v>47</v>
      </c>
      <c r="C26531">
        <v>29684</v>
      </c>
      <c r="D26531" t="str">
        <f>"29684"</f>
        <v>29684</v>
      </c>
      <c r="E26531">
        <v>66.489999999999995</v>
      </c>
    </row>
    <row r="26532" spans="1:5" x14ac:dyDescent="0.2">
      <c r="A26532">
        <v>29685</v>
      </c>
      <c r="B26532" t="s">
        <v>47</v>
      </c>
      <c r="C26532">
        <v>29685</v>
      </c>
      <c r="D26532" t="str">
        <f>"29685"</f>
        <v>29685</v>
      </c>
      <c r="E26532">
        <v>83.56</v>
      </c>
    </row>
    <row r="26533" spans="1:5" x14ac:dyDescent="0.2">
      <c r="A26533">
        <v>29686</v>
      </c>
      <c r="B26533" t="s">
        <v>47</v>
      </c>
      <c r="C26533">
        <v>29686</v>
      </c>
      <c r="D26533" t="str">
        <f>"29686"</f>
        <v>29686</v>
      </c>
      <c r="E26533">
        <v>70.45</v>
      </c>
    </row>
    <row r="26534" spans="1:5" x14ac:dyDescent="0.2">
      <c r="A26534">
        <v>29687</v>
      </c>
      <c r="B26534" t="s">
        <v>47</v>
      </c>
      <c r="C26534">
        <v>29687</v>
      </c>
      <c r="D26534" t="str">
        <f>"29687"</f>
        <v>29687</v>
      </c>
      <c r="E26534">
        <v>70.14</v>
      </c>
    </row>
    <row r="26535" spans="1:5" x14ac:dyDescent="0.2">
      <c r="A26535">
        <v>29689</v>
      </c>
      <c r="B26535" t="s">
        <v>47</v>
      </c>
      <c r="C26535">
        <v>29689</v>
      </c>
      <c r="D26535" t="str">
        <f>"29689"</f>
        <v>29689</v>
      </c>
      <c r="E26535">
        <v>72.540000000000006</v>
      </c>
    </row>
    <row r="26536" spans="1:5" x14ac:dyDescent="0.2">
      <c r="A26536">
        <v>29690</v>
      </c>
      <c r="B26536" t="s">
        <v>47</v>
      </c>
      <c r="C26536">
        <v>29690</v>
      </c>
      <c r="D26536" t="str">
        <f>"29690"</f>
        <v>29690</v>
      </c>
      <c r="E26536">
        <v>70.41</v>
      </c>
    </row>
    <row r="26537" spans="1:5" x14ac:dyDescent="0.2">
      <c r="A26537">
        <v>29691</v>
      </c>
      <c r="B26537" t="s">
        <v>47</v>
      </c>
      <c r="C26537">
        <v>29691</v>
      </c>
      <c r="D26537" t="str">
        <f>"29691"</f>
        <v>29691</v>
      </c>
      <c r="E26537">
        <v>65.03</v>
      </c>
    </row>
    <row r="26538" spans="1:5" x14ac:dyDescent="0.2">
      <c r="A26538">
        <v>29692</v>
      </c>
      <c r="B26538" t="s">
        <v>47</v>
      </c>
      <c r="C26538">
        <v>29692</v>
      </c>
      <c r="D26538" t="str">
        <f>"29692"</f>
        <v>29692</v>
      </c>
      <c r="E26538">
        <v>62.9</v>
      </c>
    </row>
    <row r="26539" spans="1:5" x14ac:dyDescent="0.2">
      <c r="A26539">
        <v>29693</v>
      </c>
      <c r="B26539" t="s">
        <v>47</v>
      </c>
      <c r="C26539">
        <v>29693</v>
      </c>
      <c r="D26539" t="str">
        <f>"29693"</f>
        <v>29693</v>
      </c>
      <c r="E26539">
        <v>67.17</v>
      </c>
    </row>
    <row r="26540" spans="1:5" x14ac:dyDescent="0.2">
      <c r="A26540">
        <v>29696</v>
      </c>
      <c r="B26540" t="s">
        <v>47</v>
      </c>
      <c r="C26540">
        <v>29696</v>
      </c>
      <c r="D26540" t="str">
        <f>"29696"</f>
        <v>29696</v>
      </c>
      <c r="E26540">
        <v>72.77</v>
      </c>
    </row>
    <row r="26541" spans="1:5" x14ac:dyDescent="0.2">
      <c r="A26541">
        <v>29697</v>
      </c>
      <c r="B26541" t="s">
        <v>47</v>
      </c>
      <c r="C26541">
        <v>29697</v>
      </c>
      <c r="D26541" t="str">
        <f>"29697"</f>
        <v>29697</v>
      </c>
      <c r="E26541">
        <v>68.209999999999994</v>
      </c>
    </row>
    <row r="26542" spans="1:5" x14ac:dyDescent="0.2">
      <c r="A26542">
        <v>29702</v>
      </c>
      <c r="B26542" t="s">
        <v>47</v>
      </c>
      <c r="C26542">
        <v>29702</v>
      </c>
      <c r="D26542" t="str">
        <f>"29702"</f>
        <v>29702</v>
      </c>
      <c r="E26542">
        <v>63.59</v>
      </c>
    </row>
    <row r="26543" spans="1:5" x14ac:dyDescent="0.2">
      <c r="A26543">
        <v>29704</v>
      </c>
      <c r="B26543" t="s">
        <v>47</v>
      </c>
      <c r="C26543">
        <v>29704</v>
      </c>
      <c r="D26543" t="str">
        <f>"29704"</f>
        <v>29704</v>
      </c>
      <c r="E26543">
        <v>71.52</v>
      </c>
    </row>
    <row r="26544" spans="1:5" x14ac:dyDescent="0.2">
      <c r="A26544">
        <v>29706</v>
      </c>
      <c r="B26544" t="s">
        <v>47</v>
      </c>
      <c r="C26544">
        <v>29706</v>
      </c>
      <c r="D26544" t="str">
        <f>"29706"</f>
        <v>29706</v>
      </c>
      <c r="E26544">
        <v>60.29</v>
      </c>
    </row>
    <row r="26545" spans="1:5" x14ac:dyDescent="0.2">
      <c r="A26545">
        <v>29707</v>
      </c>
      <c r="B26545" t="s">
        <v>47</v>
      </c>
      <c r="C26545">
        <v>29707</v>
      </c>
      <c r="D26545" t="str">
        <f>"29707"</f>
        <v>29707</v>
      </c>
      <c r="E26545">
        <v>82.3</v>
      </c>
    </row>
    <row r="26546" spans="1:5" x14ac:dyDescent="0.2">
      <c r="A26546">
        <v>29708</v>
      </c>
      <c r="B26546" t="s">
        <v>47</v>
      </c>
      <c r="C26546">
        <v>29708</v>
      </c>
      <c r="D26546" t="str">
        <f>"29708"</f>
        <v>29708</v>
      </c>
      <c r="E26546">
        <v>81.41</v>
      </c>
    </row>
    <row r="26547" spans="1:5" x14ac:dyDescent="0.2">
      <c r="A26547">
        <v>29709</v>
      </c>
      <c r="B26547" t="s">
        <v>47</v>
      </c>
      <c r="C26547">
        <v>29709</v>
      </c>
      <c r="D26547" t="str">
        <f>"29709"</f>
        <v>29709</v>
      </c>
      <c r="E26547">
        <v>66.67</v>
      </c>
    </row>
    <row r="26548" spans="1:5" x14ac:dyDescent="0.2">
      <c r="A26548">
        <v>29710</v>
      </c>
      <c r="B26548" t="s">
        <v>47</v>
      </c>
      <c r="C26548">
        <v>29710</v>
      </c>
      <c r="D26548" t="str">
        <f>"29710"</f>
        <v>29710</v>
      </c>
      <c r="E26548">
        <v>74.94</v>
      </c>
    </row>
    <row r="26549" spans="1:5" x14ac:dyDescent="0.2">
      <c r="A26549">
        <v>29712</v>
      </c>
      <c r="B26549" t="s">
        <v>47</v>
      </c>
      <c r="C26549">
        <v>29712</v>
      </c>
      <c r="D26549" t="str">
        <f>"29712"</f>
        <v>29712</v>
      </c>
      <c r="E26549">
        <v>73.33</v>
      </c>
    </row>
    <row r="26550" spans="1:5" x14ac:dyDescent="0.2">
      <c r="A26550">
        <v>29714</v>
      </c>
      <c r="B26550" t="s">
        <v>47</v>
      </c>
      <c r="C26550">
        <v>29714</v>
      </c>
      <c r="D26550" t="str">
        <f>"29714"</f>
        <v>29714</v>
      </c>
      <c r="E26550">
        <v>65.040000000000006</v>
      </c>
    </row>
    <row r="26551" spans="1:5" x14ac:dyDescent="0.2">
      <c r="A26551">
        <v>29715</v>
      </c>
      <c r="B26551" t="s">
        <v>47</v>
      </c>
      <c r="C26551">
        <v>29715</v>
      </c>
      <c r="D26551" t="str">
        <f>"29715"</f>
        <v>29715</v>
      </c>
      <c r="E26551">
        <v>77.31</v>
      </c>
    </row>
    <row r="26552" spans="1:5" x14ac:dyDescent="0.2">
      <c r="A26552">
        <v>29717</v>
      </c>
      <c r="B26552" t="s">
        <v>47</v>
      </c>
      <c r="C26552">
        <v>29717</v>
      </c>
      <c r="D26552" t="str">
        <f>"29717"</f>
        <v>29717</v>
      </c>
      <c r="E26552">
        <v>70</v>
      </c>
    </row>
    <row r="26553" spans="1:5" x14ac:dyDescent="0.2">
      <c r="A26553">
        <v>29718</v>
      </c>
      <c r="B26553" t="s">
        <v>47</v>
      </c>
      <c r="C26553">
        <v>29718</v>
      </c>
      <c r="D26553" t="str">
        <f>"29718"</f>
        <v>29718</v>
      </c>
      <c r="E26553">
        <v>62.5</v>
      </c>
    </row>
    <row r="26554" spans="1:5" x14ac:dyDescent="0.2">
      <c r="A26554">
        <v>29720</v>
      </c>
      <c r="B26554" t="s">
        <v>47</v>
      </c>
      <c r="C26554">
        <v>29720</v>
      </c>
      <c r="D26554" t="str">
        <f>"29720"</f>
        <v>29720</v>
      </c>
      <c r="E26554">
        <v>65.44</v>
      </c>
    </row>
    <row r="26555" spans="1:5" x14ac:dyDescent="0.2">
      <c r="A26555">
        <v>29724</v>
      </c>
      <c r="B26555" t="s">
        <v>47</v>
      </c>
      <c r="C26555">
        <v>29724</v>
      </c>
      <c r="D26555" t="str">
        <f>"29724"</f>
        <v>29724</v>
      </c>
      <c r="E26555" t="s">
        <v>6</v>
      </c>
    </row>
    <row r="26556" spans="1:5" x14ac:dyDescent="0.2">
      <c r="A26556">
        <v>29726</v>
      </c>
      <c r="B26556" t="s">
        <v>47</v>
      </c>
      <c r="C26556">
        <v>29726</v>
      </c>
      <c r="D26556" t="str">
        <f>"29726"</f>
        <v>29726</v>
      </c>
      <c r="E26556">
        <v>69.33</v>
      </c>
    </row>
    <row r="26557" spans="1:5" x14ac:dyDescent="0.2">
      <c r="A26557">
        <v>29727</v>
      </c>
      <c r="B26557" t="s">
        <v>47</v>
      </c>
      <c r="C26557">
        <v>29727</v>
      </c>
      <c r="D26557" t="str">
        <f>"29727"</f>
        <v>29727</v>
      </c>
      <c r="E26557">
        <v>56.67</v>
      </c>
    </row>
    <row r="26558" spans="1:5" x14ac:dyDescent="0.2">
      <c r="A26558">
        <v>29728</v>
      </c>
      <c r="B26558" t="s">
        <v>47</v>
      </c>
      <c r="C26558">
        <v>29728</v>
      </c>
      <c r="D26558" t="str">
        <f>"29728"</f>
        <v>29728</v>
      </c>
      <c r="E26558">
        <v>56.76</v>
      </c>
    </row>
    <row r="26559" spans="1:5" x14ac:dyDescent="0.2">
      <c r="A26559">
        <v>29729</v>
      </c>
      <c r="B26559" t="s">
        <v>47</v>
      </c>
      <c r="C26559">
        <v>29729</v>
      </c>
      <c r="D26559" t="str">
        <f>"29729"</f>
        <v>29729</v>
      </c>
      <c r="E26559">
        <v>66.67</v>
      </c>
    </row>
    <row r="26560" spans="1:5" x14ac:dyDescent="0.2">
      <c r="A26560">
        <v>29730</v>
      </c>
      <c r="B26560" t="s">
        <v>47</v>
      </c>
      <c r="C26560">
        <v>29730</v>
      </c>
      <c r="D26560" t="str">
        <f>"29730"</f>
        <v>29730</v>
      </c>
      <c r="E26560">
        <v>65.319999999999993</v>
      </c>
    </row>
    <row r="26561" spans="1:5" x14ac:dyDescent="0.2">
      <c r="A26561">
        <v>29732</v>
      </c>
      <c r="B26561" t="s">
        <v>47</v>
      </c>
      <c r="C26561">
        <v>29732</v>
      </c>
      <c r="D26561" t="str">
        <f>"29732"</f>
        <v>29732</v>
      </c>
      <c r="E26561">
        <v>73.709999999999994</v>
      </c>
    </row>
    <row r="26562" spans="1:5" x14ac:dyDescent="0.2">
      <c r="A26562">
        <v>29741</v>
      </c>
      <c r="B26562" t="s">
        <v>47</v>
      </c>
      <c r="C26562">
        <v>29741</v>
      </c>
      <c r="D26562" t="str">
        <f>"29741"</f>
        <v>29741</v>
      </c>
      <c r="E26562">
        <v>62.67</v>
      </c>
    </row>
    <row r="26563" spans="1:5" x14ac:dyDescent="0.2">
      <c r="A26563">
        <v>29742</v>
      </c>
      <c r="B26563" t="s">
        <v>47</v>
      </c>
      <c r="C26563">
        <v>29742</v>
      </c>
      <c r="D26563" t="str">
        <f>"29742"</f>
        <v>29742</v>
      </c>
      <c r="E26563">
        <v>67.59</v>
      </c>
    </row>
    <row r="26564" spans="1:5" x14ac:dyDescent="0.2">
      <c r="A26564">
        <v>29743</v>
      </c>
      <c r="B26564" t="s">
        <v>47</v>
      </c>
      <c r="C26564">
        <v>29743</v>
      </c>
      <c r="D26564" t="str">
        <f>"29743"</f>
        <v>29743</v>
      </c>
      <c r="E26564">
        <v>71.7</v>
      </c>
    </row>
    <row r="26565" spans="1:5" x14ac:dyDescent="0.2">
      <c r="A26565">
        <v>29745</v>
      </c>
      <c r="B26565" t="s">
        <v>47</v>
      </c>
      <c r="C26565">
        <v>29745</v>
      </c>
      <c r="D26565" t="str">
        <f>"29745"</f>
        <v>29745</v>
      </c>
      <c r="E26565">
        <v>69.41</v>
      </c>
    </row>
    <row r="26566" spans="1:5" x14ac:dyDescent="0.2">
      <c r="A26566">
        <v>29801</v>
      </c>
      <c r="B26566" t="s">
        <v>47</v>
      </c>
      <c r="C26566">
        <v>29801</v>
      </c>
      <c r="D26566" t="str">
        <f>"29801"</f>
        <v>29801</v>
      </c>
      <c r="E26566">
        <v>62.39</v>
      </c>
    </row>
    <row r="26567" spans="1:5" x14ac:dyDescent="0.2">
      <c r="A26567">
        <v>29803</v>
      </c>
      <c r="B26567" t="s">
        <v>47</v>
      </c>
      <c r="C26567">
        <v>29803</v>
      </c>
      <c r="D26567" t="str">
        <f>"29803"</f>
        <v>29803</v>
      </c>
      <c r="E26567">
        <v>76.83</v>
      </c>
    </row>
    <row r="26568" spans="1:5" x14ac:dyDescent="0.2">
      <c r="A26568">
        <v>29805</v>
      </c>
      <c r="B26568" t="s">
        <v>47</v>
      </c>
      <c r="C26568">
        <v>29805</v>
      </c>
      <c r="D26568" t="str">
        <f>"29805"</f>
        <v>29805</v>
      </c>
      <c r="E26568">
        <v>66.53</v>
      </c>
    </row>
    <row r="26569" spans="1:5" x14ac:dyDescent="0.2">
      <c r="A26569">
        <v>29809</v>
      </c>
      <c r="B26569" t="s">
        <v>47</v>
      </c>
      <c r="C26569">
        <v>29809</v>
      </c>
      <c r="D26569" t="str">
        <f>"29809"</f>
        <v>29809</v>
      </c>
      <c r="E26569">
        <v>65.42</v>
      </c>
    </row>
    <row r="26570" spans="1:5" x14ac:dyDescent="0.2">
      <c r="A26570">
        <v>29810</v>
      </c>
      <c r="B26570" t="s">
        <v>47</v>
      </c>
      <c r="C26570">
        <v>29810</v>
      </c>
      <c r="D26570" t="str">
        <f>"29810"</f>
        <v>29810</v>
      </c>
      <c r="E26570">
        <v>43.71</v>
      </c>
    </row>
    <row r="26571" spans="1:5" x14ac:dyDescent="0.2">
      <c r="A26571">
        <v>29812</v>
      </c>
      <c r="B26571" t="s">
        <v>47</v>
      </c>
      <c r="C26571">
        <v>29812</v>
      </c>
      <c r="D26571" t="str">
        <f>"29812"</f>
        <v>29812</v>
      </c>
      <c r="E26571">
        <v>60.22</v>
      </c>
    </row>
    <row r="26572" spans="1:5" x14ac:dyDescent="0.2">
      <c r="A26572">
        <v>29817</v>
      </c>
      <c r="B26572" t="s">
        <v>47</v>
      </c>
      <c r="C26572">
        <v>29817</v>
      </c>
      <c r="D26572" t="str">
        <f>"29817"</f>
        <v>29817</v>
      </c>
      <c r="E26572">
        <v>55.69</v>
      </c>
    </row>
    <row r="26573" spans="1:5" x14ac:dyDescent="0.2">
      <c r="A26573">
        <v>29819</v>
      </c>
      <c r="B26573" t="s">
        <v>47</v>
      </c>
      <c r="C26573">
        <v>29819</v>
      </c>
      <c r="D26573" t="str">
        <f>"29819"</f>
        <v>29819</v>
      </c>
      <c r="E26573">
        <v>62.9</v>
      </c>
    </row>
    <row r="26574" spans="1:5" x14ac:dyDescent="0.2">
      <c r="A26574">
        <v>29821</v>
      </c>
      <c r="B26574" t="s">
        <v>47</v>
      </c>
      <c r="C26574">
        <v>29821</v>
      </c>
      <c r="D26574" t="str">
        <f>"29821"</f>
        <v>29821</v>
      </c>
      <c r="E26574">
        <v>73.77</v>
      </c>
    </row>
    <row r="26575" spans="1:5" x14ac:dyDescent="0.2">
      <c r="A26575">
        <v>29824</v>
      </c>
      <c r="B26575" t="s">
        <v>47</v>
      </c>
      <c r="C26575">
        <v>29824</v>
      </c>
      <c r="D26575" t="str">
        <f>"29824"</f>
        <v>29824</v>
      </c>
      <c r="E26575">
        <v>66.8</v>
      </c>
    </row>
    <row r="26576" spans="1:5" x14ac:dyDescent="0.2">
      <c r="A26576">
        <v>29827</v>
      </c>
      <c r="B26576" t="s">
        <v>47</v>
      </c>
      <c r="C26576">
        <v>29827</v>
      </c>
      <c r="D26576" t="str">
        <f>"29827"</f>
        <v>29827</v>
      </c>
      <c r="E26576">
        <v>55.17</v>
      </c>
    </row>
    <row r="26577" spans="1:5" x14ac:dyDescent="0.2">
      <c r="A26577">
        <v>29828</v>
      </c>
      <c r="B26577" t="s">
        <v>47</v>
      </c>
      <c r="C26577">
        <v>29828</v>
      </c>
      <c r="D26577" t="str">
        <f>"29828"</f>
        <v>29828</v>
      </c>
      <c r="E26577">
        <v>57.14</v>
      </c>
    </row>
    <row r="26578" spans="1:5" x14ac:dyDescent="0.2">
      <c r="A26578">
        <v>29829</v>
      </c>
      <c r="B26578" t="s">
        <v>47</v>
      </c>
      <c r="C26578">
        <v>29829</v>
      </c>
      <c r="D26578" t="str">
        <f>"29829"</f>
        <v>29829</v>
      </c>
      <c r="E26578">
        <v>68.989999999999995</v>
      </c>
    </row>
    <row r="26579" spans="1:5" x14ac:dyDescent="0.2">
      <c r="A26579">
        <v>29831</v>
      </c>
      <c r="B26579" t="s">
        <v>47</v>
      </c>
      <c r="C26579">
        <v>29831</v>
      </c>
      <c r="D26579" t="str">
        <f>"29831"</f>
        <v>29831</v>
      </c>
      <c r="E26579">
        <v>70</v>
      </c>
    </row>
    <row r="26580" spans="1:5" x14ac:dyDescent="0.2">
      <c r="A26580">
        <v>29832</v>
      </c>
      <c r="B26580" t="s">
        <v>47</v>
      </c>
      <c r="C26580">
        <v>29832</v>
      </c>
      <c r="D26580" t="str">
        <f>"29832"</f>
        <v>29832</v>
      </c>
      <c r="E26580">
        <v>56.05</v>
      </c>
    </row>
    <row r="26581" spans="1:5" x14ac:dyDescent="0.2">
      <c r="A26581">
        <v>29835</v>
      </c>
      <c r="B26581" t="s">
        <v>47</v>
      </c>
      <c r="C26581">
        <v>29835</v>
      </c>
      <c r="D26581" t="str">
        <f>"29835"</f>
        <v>29835</v>
      </c>
      <c r="E26581">
        <v>69.150000000000006</v>
      </c>
    </row>
    <row r="26582" spans="1:5" x14ac:dyDescent="0.2">
      <c r="A26582">
        <v>29836</v>
      </c>
      <c r="B26582" t="s">
        <v>47</v>
      </c>
      <c r="C26582">
        <v>29836</v>
      </c>
      <c r="D26582" t="str">
        <f>"29836"</f>
        <v>29836</v>
      </c>
      <c r="E26582">
        <v>58.82</v>
      </c>
    </row>
    <row r="26583" spans="1:5" x14ac:dyDescent="0.2">
      <c r="A26583">
        <v>29838</v>
      </c>
      <c r="B26583" t="s">
        <v>47</v>
      </c>
      <c r="C26583">
        <v>29838</v>
      </c>
      <c r="D26583" t="str">
        <f>"29838"</f>
        <v>29838</v>
      </c>
      <c r="E26583">
        <v>78.260000000000005</v>
      </c>
    </row>
    <row r="26584" spans="1:5" x14ac:dyDescent="0.2">
      <c r="A26584">
        <v>29840</v>
      </c>
      <c r="B26584" t="s">
        <v>47</v>
      </c>
      <c r="C26584">
        <v>29840</v>
      </c>
      <c r="D26584" t="str">
        <f>"29840"</f>
        <v>29840</v>
      </c>
      <c r="E26584" t="s">
        <v>6</v>
      </c>
    </row>
    <row r="26585" spans="1:5" x14ac:dyDescent="0.2">
      <c r="A26585">
        <v>29841</v>
      </c>
      <c r="B26585" t="s">
        <v>47</v>
      </c>
      <c r="C26585">
        <v>29841</v>
      </c>
      <c r="D26585" t="str">
        <f>"29841"</f>
        <v>29841</v>
      </c>
      <c r="E26585">
        <v>69.709999999999994</v>
      </c>
    </row>
    <row r="26586" spans="1:5" x14ac:dyDescent="0.2">
      <c r="A26586">
        <v>29842</v>
      </c>
      <c r="B26586" t="s">
        <v>47</v>
      </c>
      <c r="C26586">
        <v>29842</v>
      </c>
      <c r="D26586" t="str">
        <f>"29842"</f>
        <v>29842</v>
      </c>
      <c r="E26586">
        <v>61.09</v>
      </c>
    </row>
    <row r="26587" spans="1:5" x14ac:dyDescent="0.2">
      <c r="A26587">
        <v>29843</v>
      </c>
      <c r="B26587" t="s">
        <v>47</v>
      </c>
      <c r="C26587">
        <v>29843</v>
      </c>
      <c r="D26587" t="str">
        <f>"29843"</f>
        <v>29843</v>
      </c>
      <c r="E26587">
        <v>61.9</v>
      </c>
    </row>
    <row r="26588" spans="1:5" x14ac:dyDescent="0.2">
      <c r="A26588">
        <v>29845</v>
      </c>
      <c r="B26588" t="s">
        <v>47</v>
      </c>
      <c r="C26588">
        <v>29845</v>
      </c>
      <c r="D26588" t="str">
        <f>"29845"</f>
        <v>29845</v>
      </c>
      <c r="E26588">
        <v>62.5</v>
      </c>
    </row>
    <row r="26589" spans="1:5" x14ac:dyDescent="0.2">
      <c r="A26589">
        <v>29847</v>
      </c>
      <c r="B26589" t="s">
        <v>47</v>
      </c>
      <c r="C26589">
        <v>29847</v>
      </c>
      <c r="D26589" t="str">
        <f>"29847"</f>
        <v>29847</v>
      </c>
      <c r="E26589">
        <v>63.29</v>
      </c>
    </row>
    <row r="26590" spans="1:5" x14ac:dyDescent="0.2">
      <c r="A26590">
        <v>29848</v>
      </c>
      <c r="B26590" t="s">
        <v>47</v>
      </c>
      <c r="C26590">
        <v>29848</v>
      </c>
      <c r="D26590" t="str">
        <f>"29848"</f>
        <v>29848</v>
      </c>
      <c r="E26590">
        <v>69.7</v>
      </c>
    </row>
    <row r="26591" spans="1:5" x14ac:dyDescent="0.2">
      <c r="A26591">
        <v>29849</v>
      </c>
      <c r="B26591" t="s">
        <v>47</v>
      </c>
      <c r="C26591">
        <v>29849</v>
      </c>
      <c r="D26591" t="str">
        <f>"29849"</f>
        <v>29849</v>
      </c>
      <c r="E26591">
        <v>66.67</v>
      </c>
    </row>
    <row r="26592" spans="1:5" x14ac:dyDescent="0.2">
      <c r="A26592">
        <v>29851</v>
      </c>
      <c r="B26592" t="s">
        <v>47</v>
      </c>
      <c r="C26592">
        <v>29851</v>
      </c>
      <c r="D26592" t="str">
        <f>"29851"</f>
        <v>29851</v>
      </c>
      <c r="E26592">
        <v>61.44</v>
      </c>
    </row>
    <row r="26593" spans="1:5" x14ac:dyDescent="0.2">
      <c r="A26593">
        <v>29853</v>
      </c>
      <c r="B26593" t="s">
        <v>47</v>
      </c>
      <c r="C26593">
        <v>29853</v>
      </c>
      <c r="D26593" t="str">
        <f>"29853"</f>
        <v>29853</v>
      </c>
      <c r="E26593">
        <v>61.29</v>
      </c>
    </row>
    <row r="26594" spans="1:5" x14ac:dyDescent="0.2">
      <c r="A26594">
        <v>29856</v>
      </c>
      <c r="B26594" t="s">
        <v>47</v>
      </c>
      <c r="C26594">
        <v>29856</v>
      </c>
      <c r="D26594" t="str">
        <f>"29856"</f>
        <v>29856</v>
      </c>
      <c r="E26594">
        <v>60.38</v>
      </c>
    </row>
    <row r="26595" spans="1:5" x14ac:dyDescent="0.2">
      <c r="A26595">
        <v>29860</v>
      </c>
      <c r="B26595" t="s">
        <v>47</v>
      </c>
      <c r="C26595">
        <v>29860</v>
      </c>
      <c r="D26595" t="str">
        <f>"29860"</f>
        <v>29860</v>
      </c>
      <c r="E26595">
        <v>74.540000000000006</v>
      </c>
    </row>
    <row r="26596" spans="1:5" x14ac:dyDescent="0.2">
      <c r="A26596">
        <v>29902</v>
      </c>
      <c r="B26596" t="s">
        <v>47</v>
      </c>
      <c r="C26596">
        <v>29902</v>
      </c>
      <c r="D26596" t="str">
        <f>"29902"</f>
        <v>29902</v>
      </c>
      <c r="E26596">
        <v>69.38</v>
      </c>
    </row>
    <row r="26597" spans="1:5" x14ac:dyDescent="0.2">
      <c r="A26597">
        <v>29904</v>
      </c>
      <c r="B26597" t="s">
        <v>47</v>
      </c>
      <c r="C26597">
        <v>29904</v>
      </c>
      <c r="D26597" t="str">
        <f>"29904"</f>
        <v>29904</v>
      </c>
      <c r="E26597">
        <v>87.23</v>
      </c>
    </row>
    <row r="26598" spans="1:5" x14ac:dyDescent="0.2">
      <c r="A26598">
        <v>29905</v>
      </c>
      <c r="B26598" t="s">
        <v>47</v>
      </c>
      <c r="C26598">
        <v>29905</v>
      </c>
      <c r="D26598" t="str">
        <f>"29905"</f>
        <v>29905</v>
      </c>
      <c r="E26598">
        <v>87.5</v>
      </c>
    </row>
    <row r="26599" spans="1:5" x14ac:dyDescent="0.2">
      <c r="A26599">
        <v>29906</v>
      </c>
      <c r="B26599" t="s">
        <v>47</v>
      </c>
      <c r="C26599">
        <v>29906</v>
      </c>
      <c r="D26599" t="str">
        <f>"29906"</f>
        <v>29906</v>
      </c>
      <c r="E26599">
        <v>62.32</v>
      </c>
    </row>
    <row r="26600" spans="1:5" x14ac:dyDescent="0.2">
      <c r="A26600">
        <v>29907</v>
      </c>
      <c r="B26600" t="s">
        <v>47</v>
      </c>
      <c r="C26600">
        <v>29907</v>
      </c>
      <c r="D26600" t="str">
        <f>"29907"</f>
        <v>29907</v>
      </c>
      <c r="E26600">
        <v>74.790000000000006</v>
      </c>
    </row>
    <row r="26601" spans="1:5" x14ac:dyDescent="0.2">
      <c r="A26601">
        <v>29909</v>
      </c>
      <c r="B26601" t="s">
        <v>47</v>
      </c>
      <c r="C26601">
        <v>29909</v>
      </c>
      <c r="D26601" t="str">
        <f>"29909"</f>
        <v>29909</v>
      </c>
      <c r="E26601">
        <v>82.97</v>
      </c>
    </row>
    <row r="26602" spans="1:5" x14ac:dyDescent="0.2">
      <c r="A26602">
        <v>29910</v>
      </c>
      <c r="B26602" t="s">
        <v>47</v>
      </c>
      <c r="C26602">
        <v>29910</v>
      </c>
      <c r="D26602" t="str">
        <f>"29910"</f>
        <v>29910</v>
      </c>
      <c r="E26602">
        <v>73.27</v>
      </c>
    </row>
    <row r="26603" spans="1:5" x14ac:dyDescent="0.2">
      <c r="A26603">
        <v>29911</v>
      </c>
      <c r="B26603" t="s">
        <v>47</v>
      </c>
      <c r="C26603">
        <v>29911</v>
      </c>
      <c r="D26603" t="str">
        <f>"29911"</f>
        <v>29911</v>
      </c>
      <c r="E26603">
        <v>63.49</v>
      </c>
    </row>
    <row r="26604" spans="1:5" x14ac:dyDescent="0.2">
      <c r="A26604">
        <v>29912</v>
      </c>
      <c r="B26604" t="s">
        <v>47</v>
      </c>
      <c r="C26604">
        <v>29912</v>
      </c>
      <c r="D26604" t="str">
        <f>"29912"</f>
        <v>29912</v>
      </c>
      <c r="E26604" t="s">
        <v>6</v>
      </c>
    </row>
    <row r="26605" spans="1:5" x14ac:dyDescent="0.2">
      <c r="A26605">
        <v>29915</v>
      </c>
      <c r="B26605" t="s">
        <v>47</v>
      </c>
      <c r="C26605">
        <v>29915</v>
      </c>
      <c r="D26605" t="str">
        <f>"29915"</f>
        <v>29915</v>
      </c>
      <c r="E26605">
        <v>78.95</v>
      </c>
    </row>
    <row r="26606" spans="1:5" x14ac:dyDescent="0.2">
      <c r="A26606">
        <v>29916</v>
      </c>
      <c r="B26606" t="s">
        <v>47</v>
      </c>
      <c r="C26606">
        <v>29916</v>
      </c>
      <c r="D26606" t="str">
        <f>"29916"</f>
        <v>29916</v>
      </c>
      <c r="E26606">
        <v>62.3</v>
      </c>
    </row>
    <row r="26607" spans="1:5" x14ac:dyDescent="0.2">
      <c r="A26607">
        <v>29918</v>
      </c>
      <c r="B26607" t="s">
        <v>47</v>
      </c>
      <c r="C26607">
        <v>29918</v>
      </c>
      <c r="D26607" t="str">
        <f>"29918"</f>
        <v>29918</v>
      </c>
      <c r="E26607">
        <v>54.55</v>
      </c>
    </row>
    <row r="26608" spans="1:5" x14ac:dyDescent="0.2">
      <c r="A26608">
        <v>29920</v>
      </c>
      <c r="B26608" t="s">
        <v>47</v>
      </c>
      <c r="C26608">
        <v>29920</v>
      </c>
      <c r="D26608" t="str">
        <f>"29920"</f>
        <v>29920</v>
      </c>
      <c r="E26608">
        <v>64.41</v>
      </c>
    </row>
    <row r="26609" spans="1:5" x14ac:dyDescent="0.2">
      <c r="A26609">
        <v>29922</v>
      </c>
      <c r="B26609" t="s">
        <v>47</v>
      </c>
      <c r="C26609">
        <v>29922</v>
      </c>
      <c r="D26609" t="str">
        <f>"29922"</f>
        <v>29922</v>
      </c>
      <c r="E26609">
        <v>51.22</v>
      </c>
    </row>
    <row r="26610" spans="1:5" x14ac:dyDescent="0.2">
      <c r="A26610">
        <v>29923</v>
      </c>
      <c r="B26610" t="s">
        <v>47</v>
      </c>
      <c r="C26610">
        <v>29923</v>
      </c>
      <c r="D26610" t="str">
        <f>"29923"</f>
        <v>29923</v>
      </c>
      <c r="E26610" t="s">
        <v>6</v>
      </c>
    </row>
    <row r="26611" spans="1:5" x14ac:dyDescent="0.2">
      <c r="A26611">
        <v>29924</v>
      </c>
      <c r="B26611" t="s">
        <v>47</v>
      </c>
      <c r="C26611">
        <v>29924</v>
      </c>
      <c r="D26611" t="str">
        <f>"29924"</f>
        <v>29924</v>
      </c>
      <c r="E26611">
        <v>62.01</v>
      </c>
    </row>
    <row r="26612" spans="1:5" x14ac:dyDescent="0.2">
      <c r="A26612">
        <v>29926</v>
      </c>
      <c r="B26612" t="s">
        <v>47</v>
      </c>
      <c r="C26612">
        <v>29926</v>
      </c>
      <c r="D26612" t="str">
        <f>"29926"</f>
        <v>29926</v>
      </c>
      <c r="E26612">
        <v>73.849999999999994</v>
      </c>
    </row>
    <row r="26613" spans="1:5" x14ac:dyDescent="0.2">
      <c r="A26613">
        <v>29927</v>
      </c>
      <c r="B26613" t="s">
        <v>47</v>
      </c>
      <c r="C26613">
        <v>29927</v>
      </c>
      <c r="D26613" t="str">
        <f>"29927"</f>
        <v>29927</v>
      </c>
      <c r="E26613">
        <v>60.16</v>
      </c>
    </row>
    <row r="26614" spans="1:5" x14ac:dyDescent="0.2">
      <c r="A26614">
        <v>29928</v>
      </c>
      <c r="B26614" t="s">
        <v>47</v>
      </c>
      <c r="C26614">
        <v>29928</v>
      </c>
      <c r="D26614" t="str">
        <f>"29928"</f>
        <v>29928</v>
      </c>
      <c r="E26614">
        <v>79.64</v>
      </c>
    </row>
    <row r="26615" spans="1:5" x14ac:dyDescent="0.2">
      <c r="A26615">
        <v>29929</v>
      </c>
      <c r="B26615" t="s">
        <v>47</v>
      </c>
      <c r="C26615">
        <v>29929</v>
      </c>
      <c r="D26615" t="str">
        <f>"29929"</f>
        <v>29929</v>
      </c>
      <c r="E26615">
        <v>64.44</v>
      </c>
    </row>
    <row r="26616" spans="1:5" x14ac:dyDescent="0.2">
      <c r="A26616">
        <v>29932</v>
      </c>
      <c r="B26616" t="s">
        <v>47</v>
      </c>
      <c r="C26616">
        <v>29932</v>
      </c>
      <c r="D26616" t="str">
        <f>"29932"</f>
        <v>29932</v>
      </c>
      <c r="E26616" t="s">
        <v>6</v>
      </c>
    </row>
    <row r="26617" spans="1:5" x14ac:dyDescent="0.2">
      <c r="A26617">
        <v>29934</v>
      </c>
      <c r="B26617" t="s">
        <v>47</v>
      </c>
      <c r="C26617">
        <v>29934</v>
      </c>
      <c r="D26617" t="str">
        <f>"29934"</f>
        <v>29934</v>
      </c>
      <c r="E26617">
        <v>56.1</v>
      </c>
    </row>
    <row r="26618" spans="1:5" x14ac:dyDescent="0.2">
      <c r="A26618">
        <v>29935</v>
      </c>
      <c r="B26618" t="s">
        <v>47</v>
      </c>
      <c r="C26618">
        <v>29935</v>
      </c>
      <c r="D26618" t="str">
        <f>"29935"</f>
        <v>29935</v>
      </c>
      <c r="E26618">
        <v>68.680000000000007</v>
      </c>
    </row>
    <row r="26619" spans="1:5" x14ac:dyDescent="0.2">
      <c r="A26619">
        <v>29936</v>
      </c>
      <c r="B26619" t="s">
        <v>47</v>
      </c>
      <c r="C26619">
        <v>29936</v>
      </c>
      <c r="D26619" t="str">
        <f>"29936"</f>
        <v>29936</v>
      </c>
      <c r="E26619">
        <v>58.06</v>
      </c>
    </row>
    <row r="26620" spans="1:5" x14ac:dyDescent="0.2">
      <c r="A26620">
        <v>29940</v>
      </c>
      <c r="B26620" t="s">
        <v>47</v>
      </c>
      <c r="C26620">
        <v>29940</v>
      </c>
      <c r="D26620" t="str">
        <f>"29940"</f>
        <v>29940</v>
      </c>
      <c r="E26620">
        <v>57.05</v>
      </c>
    </row>
    <row r="26621" spans="1:5" x14ac:dyDescent="0.2">
      <c r="A26621">
        <v>29941</v>
      </c>
      <c r="B26621" t="s">
        <v>47</v>
      </c>
      <c r="C26621">
        <v>29941</v>
      </c>
      <c r="D26621" t="str">
        <f>"29941"</f>
        <v>29941</v>
      </c>
      <c r="E26621">
        <v>71.88</v>
      </c>
    </row>
    <row r="26622" spans="1:5" x14ac:dyDescent="0.2">
      <c r="A26622">
        <v>29943</v>
      </c>
      <c r="B26622" t="s">
        <v>47</v>
      </c>
      <c r="C26622">
        <v>29943</v>
      </c>
      <c r="D26622" t="str">
        <f>"29943"</f>
        <v>29943</v>
      </c>
      <c r="E26622">
        <v>52.17</v>
      </c>
    </row>
    <row r="26623" spans="1:5" x14ac:dyDescent="0.2">
      <c r="A26623">
        <v>29944</v>
      </c>
      <c r="B26623" t="s">
        <v>47</v>
      </c>
      <c r="C26623">
        <v>29944</v>
      </c>
      <c r="D26623" t="str">
        <f>"29944"</f>
        <v>29944</v>
      </c>
      <c r="E26623">
        <v>59.69</v>
      </c>
    </row>
    <row r="26624" spans="1:5" x14ac:dyDescent="0.2">
      <c r="A26624">
        <v>29945</v>
      </c>
      <c r="B26624" t="s">
        <v>47</v>
      </c>
      <c r="C26624">
        <v>29945</v>
      </c>
      <c r="D26624" t="str">
        <f>"29945"</f>
        <v>29945</v>
      </c>
      <c r="E26624">
        <v>55.5</v>
      </c>
    </row>
    <row r="26625" spans="1:5" x14ac:dyDescent="0.2">
      <c r="A26625">
        <v>57001</v>
      </c>
      <c r="B26625" t="s">
        <v>48</v>
      </c>
      <c r="C26625">
        <v>57001</v>
      </c>
      <c r="D26625" t="str">
        <f>"57001"</f>
        <v>57001</v>
      </c>
      <c r="E26625">
        <v>74.63</v>
      </c>
    </row>
    <row r="26626" spans="1:5" x14ac:dyDescent="0.2">
      <c r="A26626">
        <v>57002</v>
      </c>
      <c r="B26626" t="s">
        <v>48</v>
      </c>
      <c r="C26626">
        <v>57002</v>
      </c>
      <c r="D26626" t="str">
        <f>"57002"</f>
        <v>57002</v>
      </c>
      <c r="E26626">
        <v>77.78</v>
      </c>
    </row>
    <row r="26627" spans="1:5" x14ac:dyDescent="0.2">
      <c r="A26627">
        <v>57003</v>
      </c>
      <c r="B26627" t="s">
        <v>48</v>
      </c>
      <c r="C26627">
        <v>57003</v>
      </c>
      <c r="D26627" t="str">
        <f>"57003"</f>
        <v>57003</v>
      </c>
      <c r="E26627">
        <v>79.790000000000006</v>
      </c>
    </row>
    <row r="26628" spans="1:5" x14ac:dyDescent="0.2">
      <c r="A26628">
        <v>57004</v>
      </c>
      <c r="B26628" t="s">
        <v>48</v>
      </c>
      <c r="C26628">
        <v>57004</v>
      </c>
      <c r="D26628" t="str">
        <f>"57004"</f>
        <v>57004</v>
      </c>
      <c r="E26628">
        <v>75.150000000000006</v>
      </c>
    </row>
    <row r="26629" spans="1:5" x14ac:dyDescent="0.2">
      <c r="A26629">
        <v>57005</v>
      </c>
      <c r="B26629" t="s">
        <v>48</v>
      </c>
      <c r="C26629">
        <v>57005</v>
      </c>
      <c r="D26629" t="str">
        <f>"57005"</f>
        <v>57005</v>
      </c>
      <c r="E26629">
        <v>78.3</v>
      </c>
    </row>
    <row r="26630" spans="1:5" x14ac:dyDescent="0.2">
      <c r="A26630">
        <v>57006</v>
      </c>
      <c r="B26630" t="s">
        <v>48</v>
      </c>
      <c r="C26630">
        <v>57006</v>
      </c>
      <c r="D26630" t="str">
        <f>"57006"</f>
        <v>57006</v>
      </c>
      <c r="E26630">
        <v>76.489999999999995</v>
      </c>
    </row>
    <row r="26631" spans="1:5" x14ac:dyDescent="0.2">
      <c r="A26631">
        <v>57007</v>
      </c>
      <c r="B26631" t="s">
        <v>48</v>
      </c>
      <c r="C26631">
        <v>57007</v>
      </c>
      <c r="D26631" t="str">
        <f>"57007"</f>
        <v>57007</v>
      </c>
      <c r="E26631" t="s">
        <v>6</v>
      </c>
    </row>
    <row r="26632" spans="1:5" x14ac:dyDescent="0.2">
      <c r="A26632">
        <v>57010</v>
      </c>
      <c r="B26632" t="s">
        <v>48</v>
      </c>
      <c r="C26632">
        <v>57010</v>
      </c>
      <c r="D26632" t="str">
        <f>"57010"</f>
        <v>57010</v>
      </c>
      <c r="E26632">
        <v>80</v>
      </c>
    </row>
    <row r="26633" spans="1:5" x14ac:dyDescent="0.2">
      <c r="A26633">
        <v>57012</v>
      </c>
      <c r="B26633" t="s">
        <v>48</v>
      </c>
      <c r="C26633">
        <v>57012</v>
      </c>
      <c r="D26633" t="str">
        <f>"57012"</f>
        <v>57012</v>
      </c>
      <c r="E26633">
        <v>74.55</v>
      </c>
    </row>
    <row r="26634" spans="1:5" x14ac:dyDescent="0.2">
      <c r="A26634">
        <v>57013</v>
      </c>
      <c r="B26634" t="s">
        <v>48</v>
      </c>
      <c r="C26634">
        <v>57013</v>
      </c>
      <c r="D26634" t="str">
        <f>"57013"</f>
        <v>57013</v>
      </c>
      <c r="E26634">
        <v>76.58</v>
      </c>
    </row>
    <row r="26635" spans="1:5" x14ac:dyDescent="0.2">
      <c r="A26635">
        <v>57014</v>
      </c>
      <c r="B26635" t="s">
        <v>48</v>
      </c>
      <c r="C26635">
        <v>57014</v>
      </c>
      <c r="D26635" t="str">
        <f>"57014"</f>
        <v>57014</v>
      </c>
      <c r="E26635">
        <v>71.64</v>
      </c>
    </row>
    <row r="26636" spans="1:5" x14ac:dyDescent="0.2">
      <c r="A26636">
        <v>57015</v>
      </c>
      <c r="B26636" t="s">
        <v>48</v>
      </c>
      <c r="C26636">
        <v>57015</v>
      </c>
      <c r="D26636" t="str">
        <f>"57015"</f>
        <v>57015</v>
      </c>
      <c r="E26636">
        <v>78.05</v>
      </c>
    </row>
    <row r="26637" spans="1:5" x14ac:dyDescent="0.2">
      <c r="A26637">
        <v>57016</v>
      </c>
      <c r="B26637" t="s">
        <v>48</v>
      </c>
      <c r="C26637">
        <v>57016</v>
      </c>
      <c r="D26637" t="str">
        <f>"57016"</f>
        <v>57016</v>
      </c>
      <c r="E26637">
        <v>76.47</v>
      </c>
    </row>
    <row r="26638" spans="1:5" x14ac:dyDescent="0.2">
      <c r="A26638">
        <v>57017</v>
      </c>
      <c r="B26638" t="s">
        <v>48</v>
      </c>
      <c r="C26638">
        <v>57017</v>
      </c>
      <c r="D26638" t="str">
        <f>"57017"</f>
        <v>57017</v>
      </c>
      <c r="E26638">
        <v>77.78</v>
      </c>
    </row>
    <row r="26639" spans="1:5" x14ac:dyDescent="0.2">
      <c r="A26639">
        <v>57018</v>
      </c>
      <c r="B26639" t="s">
        <v>48</v>
      </c>
      <c r="C26639">
        <v>57018</v>
      </c>
      <c r="D26639" t="str">
        <f>"57018"</f>
        <v>57018</v>
      </c>
      <c r="E26639">
        <v>77.14</v>
      </c>
    </row>
    <row r="26640" spans="1:5" x14ac:dyDescent="0.2">
      <c r="A26640">
        <v>57020</v>
      </c>
      <c r="B26640" t="s">
        <v>48</v>
      </c>
      <c r="C26640">
        <v>57020</v>
      </c>
      <c r="D26640" t="str">
        <f>"57020"</f>
        <v>57020</v>
      </c>
      <c r="E26640">
        <v>83.54</v>
      </c>
    </row>
    <row r="26641" spans="1:5" x14ac:dyDescent="0.2">
      <c r="A26641">
        <v>57021</v>
      </c>
      <c r="B26641" t="s">
        <v>48</v>
      </c>
      <c r="C26641">
        <v>57021</v>
      </c>
      <c r="D26641" t="str">
        <f>"57021"</f>
        <v>57021</v>
      </c>
      <c r="E26641">
        <v>66.67</v>
      </c>
    </row>
    <row r="26642" spans="1:5" x14ac:dyDescent="0.2">
      <c r="A26642">
        <v>57022</v>
      </c>
      <c r="B26642" t="s">
        <v>48</v>
      </c>
      <c r="C26642">
        <v>57022</v>
      </c>
      <c r="D26642" t="str">
        <f>"57022"</f>
        <v>57022</v>
      </c>
      <c r="E26642">
        <v>78.17</v>
      </c>
    </row>
    <row r="26643" spans="1:5" x14ac:dyDescent="0.2">
      <c r="A26643">
        <v>57024</v>
      </c>
      <c r="B26643" t="s">
        <v>48</v>
      </c>
      <c r="C26643">
        <v>57024</v>
      </c>
      <c r="D26643" t="str">
        <f>"57024"</f>
        <v>57024</v>
      </c>
      <c r="E26643">
        <v>63.16</v>
      </c>
    </row>
    <row r="26644" spans="1:5" x14ac:dyDescent="0.2">
      <c r="A26644">
        <v>57025</v>
      </c>
      <c r="B26644" t="s">
        <v>48</v>
      </c>
      <c r="C26644">
        <v>57025</v>
      </c>
      <c r="D26644" t="str">
        <f>"57025"</f>
        <v>57025</v>
      </c>
      <c r="E26644">
        <v>80.599999999999994</v>
      </c>
    </row>
    <row r="26645" spans="1:5" x14ac:dyDescent="0.2">
      <c r="A26645">
        <v>57026</v>
      </c>
      <c r="B26645" t="s">
        <v>48</v>
      </c>
      <c r="C26645">
        <v>57026</v>
      </c>
      <c r="D26645" t="str">
        <f>"57026"</f>
        <v>57026</v>
      </c>
      <c r="E26645">
        <v>75.81</v>
      </c>
    </row>
    <row r="26646" spans="1:5" x14ac:dyDescent="0.2">
      <c r="A26646">
        <v>57027</v>
      </c>
      <c r="B26646" t="s">
        <v>48</v>
      </c>
      <c r="C26646">
        <v>57027</v>
      </c>
      <c r="D26646" t="str">
        <f>"57027"</f>
        <v>57027</v>
      </c>
      <c r="E26646" t="s">
        <v>6</v>
      </c>
    </row>
    <row r="26647" spans="1:5" x14ac:dyDescent="0.2">
      <c r="A26647">
        <v>57028</v>
      </c>
      <c r="B26647" t="s">
        <v>48</v>
      </c>
      <c r="C26647">
        <v>57028</v>
      </c>
      <c r="D26647" t="str">
        <f>"57028"</f>
        <v>57028</v>
      </c>
      <c r="E26647">
        <v>70.59</v>
      </c>
    </row>
    <row r="26648" spans="1:5" x14ac:dyDescent="0.2">
      <c r="A26648">
        <v>57029</v>
      </c>
      <c r="B26648" t="s">
        <v>48</v>
      </c>
      <c r="C26648">
        <v>57029</v>
      </c>
      <c r="D26648" t="str">
        <f>"57029"</f>
        <v>57029</v>
      </c>
      <c r="E26648">
        <v>72.55</v>
      </c>
    </row>
    <row r="26649" spans="1:5" x14ac:dyDescent="0.2">
      <c r="A26649">
        <v>57030</v>
      </c>
      <c r="B26649" t="s">
        <v>48</v>
      </c>
      <c r="C26649">
        <v>57030</v>
      </c>
      <c r="D26649" t="str">
        <f>"57030"</f>
        <v>57030</v>
      </c>
      <c r="E26649">
        <v>76.39</v>
      </c>
    </row>
    <row r="26650" spans="1:5" x14ac:dyDescent="0.2">
      <c r="A26650">
        <v>57031</v>
      </c>
      <c r="B26650" t="s">
        <v>48</v>
      </c>
      <c r="C26650">
        <v>57031</v>
      </c>
      <c r="D26650" t="str">
        <f>"57031"</f>
        <v>57031</v>
      </c>
      <c r="E26650">
        <v>72.73</v>
      </c>
    </row>
    <row r="26651" spans="1:5" x14ac:dyDescent="0.2">
      <c r="A26651">
        <v>57032</v>
      </c>
      <c r="B26651" t="s">
        <v>48</v>
      </c>
      <c r="C26651">
        <v>57032</v>
      </c>
      <c r="D26651" t="str">
        <f>"57032"</f>
        <v>57032</v>
      </c>
      <c r="E26651">
        <v>80.33</v>
      </c>
    </row>
    <row r="26652" spans="1:5" x14ac:dyDescent="0.2">
      <c r="A26652">
        <v>57033</v>
      </c>
      <c r="B26652" t="s">
        <v>48</v>
      </c>
      <c r="C26652">
        <v>57033</v>
      </c>
      <c r="D26652" t="str">
        <f>"57033"</f>
        <v>57033</v>
      </c>
      <c r="E26652">
        <v>78.03</v>
      </c>
    </row>
    <row r="26653" spans="1:5" x14ac:dyDescent="0.2">
      <c r="A26653">
        <v>57034</v>
      </c>
      <c r="B26653" t="s">
        <v>48</v>
      </c>
      <c r="C26653">
        <v>57034</v>
      </c>
      <c r="D26653" t="str">
        <f>"57034"</f>
        <v>57034</v>
      </c>
      <c r="E26653">
        <v>76.47</v>
      </c>
    </row>
    <row r="26654" spans="1:5" x14ac:dyDescent="0.2">
      <c r="A26654">
        <v>57035</v>
      </c>
      <c r="B26654" t="s">
        <v>48</v>
      </c>
      <c r="C26654">
        <v>57035</v>
      </c>
      <c r="D26654" t="str">
        <f>"57035"</f>
        <v>57035</v>
      </c>
      <c r="E26654">
        <v>81.03</v>
      </c>
    </row>
    <row r="26655" spans="1:5" x14ac:dyDescent="0.2">
      <c r="A26655">
        <v>57036</v>
      </c>
      <c r="B26655" t="s">
        <v>48</v>
      </c>
      <c r="C26655">
        <v>57036</v>
      </c>
      <c r="D26655" t="str">
        <f>"57036"</f>
        <v>57036</v>
      </c>
      <c r="E26655">
        <v>79.489999999999995</v>
      </c>
    </row>
    <row r="26656" spans="1:5" x14ac:dyDescent="0.2">
      <c r="A26656">
        <v>57037</v>
      </c>
      <c r="B26656" t="s">
        <v>48</v>
      </c>
      <c r="C26656">
        <v>57037</v>
      </c>
      <c r="D26656" t="str">
        <f>"57037"</f>
        <v>57037</v>
      </c>
      <c r="E26656">
        <v>69.77</v>
      </c>
    </row>
    <row r="26657" spans="1:5" x14ac:dyDescent="0.2">
      <c r="A26657">
        <v>57038</v>
      </c>
      <c r="B26657" t="s">
        <v>48</v>
      </c>
      <c r="C26657">
        <v>57038</v>
      </c>
      <c r="D26657" t="str">
        <f>"57038"</f>
        <v>57038</v>
      </c>
      <c r="E26657">
        <v>80.489999999999995</v>
      </c>
    </row>
    <row r="26658" spans="1:5" x14ac:dyDescent="0.2">
      <c r="A26658">
        <v>57039</v>
      </c>
      <c r="B26658" t="s">
        <v>48</v>
      </c>
      <c r="C26658">
        <v>57039</v>
      </c>
      <c r="D26658" t="str">
        <f>"57039"</f>
        <v>57039</v>
      </c>
      <c r="E26658">
        <v>76.790000000000006</v>
      </c>
    </row>
    <row r="26659" spans="1:5" x14ac:dyDescent="0.2">
      <c r="A26659">
        <v>57040</v>
      </c>
      <c r="B26659" t="s">
        <v>48</v>
      </c>
      <c r="C26659">
        <v>57040</v>
      </c>
      <c r="D26659" t="str">
        <f>"57040"</f>
        <v>57040</v>
      </c>
      <c r="E26659">
        <v>72.22</v>
      </c>
    </row>
    <row r="26660" spans="1:5" x14ac:dyDescent="0.2">
      <c r="A26660">
        <v>57041</v>
      </c>
      <c r="B26660" t="s">
        <v>48</v>
      </c>
      <c r="C26660">
        <v>57041</v>
      </c>
      <c r="D26660" t="str">
        <f>"57041"</f>
        <v>57041</v>
      </c>
      <c r="E26660" t="s">
        <v>6</v>
      </c>
    </row>
    <row r="26661" spans="1:5" x14ac:dyDescent="0.2">
      <c r="A26661">
        <v>57042</v>
      </c>
      <c r="B26661" t="s">
        <v>48</v>
      </c>
      <c r="C26661">
        <v>57042</v>
      </c>
      <c r="D26661" t="str">
        <f>"57042"</f>
        <v>57042</v>
      </c>
      <c r="E26661">
        <v>75.25</v>
      </c>
    </row>
    <row r="26662" spans="1:5" x14ac:dyDescent="0.2">
      <c r="A26662">
        <v>57043</v>
      </c>
      <c r="B26662" t="s">
        <v>48</v>
      </c>
      <c r="C26662">
        <v>57043</v>
      </c>
      <c r="D26662" t="str">
        <f>"57043"</f>
        <v>57043</v>
      </c>
      <c r="E26662">
        <v>73.44</v>
      </c>
    </row>
    <row r="26663" spans="1:5" x14ac:dyDescent="0.2">
      <c r="A26663">
        <v>57045</v>
      </c>
      <c r="B26663" t="s">
        <v>48</v>
      </c>
      <c r="C26663">
        <v>57045</v>
      </c>
      <c r="D26663" t="str">
        <f>"57045"</f>
        <v>57045</v>
      </c>
      <c r="E26663">
        <v>69.569999999999993</v>
      </c>
    </row>
    <row r="26664" spans="1:5" x14ac:dyDescent="0.2">
      <c r="A26664">
        <v>57046</v>
      </c>
      <c r="B26664" t="s">
        <v>48</v>
      </c>
      <c r="C26664">
        <v>57046</v>
      </c>
      <c r="D26664" t="str">
        <f>"57046"</f>
        <v>57046</v>
      </c>
      <c r="E26664">
        <v>75.760000000000005</v>
      </c>
    </row>
    <row r="26665" spans="1:5" x14ac:dyDescent="0.2">
      <c r="A26665">
        <v>57047</v>
      </c>
      <c r="B26665" t="s">
        <v>48</v>
      </c>
      <c r="C26665">
        <v>57047</v>
      </c>
      <c r="D26665" t="str">
        <f>"57047"</f>
        <v>57047</v>
      </c>
      <c r="E26665">
        <v>63.64</v>
      </c>
    </row>
    <row r="26666" spans="1:5" x14ac:dyDescent="0.2">
      <c r="A26666">
        <v>57048</v>
      </c>
      <c r="B26666" t="s">
        <v>48</v>
      </c>
      <c r="C26666">
        <v>57048</v>
      </c>
      <c r="D26666" t="str">
        <f>"57048"</f>
        <v>57048</v>
      </c>
      <c r="E26666">
        <v>74.069999999999993</v>
      </c>
    </row>
    <row r="26667" spans="1:5" x14ac:dyDescent="0.2">
      <c r="A26667">
        <v>57049</v>
      </c>
      <c r="B26667" t="s">
        <v>48</v>
      </c>
      <c r="C26667">
        <v>57049</v>
      </c>
      <c r="D26667" t="str">
        <f>"57049"</f>
        <v>57049</v>
      </c>
      <c r="E26667">
        <v>82.02</v>
      </c>
    </row>
    <row r="26668" spans="1:5" x14ac:dyDescent="0.2">
      <c r="A26668">
        <v>57050</v>
      </c>
      <c r="B26668" t="s">
        <v>48</v>
      </c>
      <c r="C26668">
        <v>57050</v>
      </c>
      <c r="D26668" t="str">
        <f>"57050"</f>
        <v>57050</v>
      </c>
      <c r="E26668" t="s">
        <v>6</v>
      </c>
    </row>
    <row r="26669" spans="1:5" x14ac:dyDescent="0.2">
      <c r="A26669">
        <v>57051</v>
      </c>
      <c r="B26669" t="s">
        <v>48</v>
      </c>
      <c r="C26669">
        <v>57051</v>
      </c>
      <c r="D26669" t="str">
        <f>"57051"</f>
        <v>57051</v>
      </c>
      <c r="E26669">
        <v>64.290000000000006</v>
      </c>
    </row>
    <row r="26670" spans="1:5" x14ac:dyDescent="0.2">
      <c r="A26670">
        <v>57052</v>
      </c>
      <c r="B26670" t="s">
        <v>48</v>
      </c>
      <c r="C26670">
        <v>57052</v>
      </c>
      <c r="D26670" t="str">
        <f>"57052"</f>
        <v>57052</v>
      </c>
      <c r="E26670">
        <v>75</v>
      </c>
    </row>
    <row r="26671" spans="1:5" x14ac:dyDescent="0.2">
      <c r="A26671">
        <v>57053</v>
      </c>
      <c r="B26671" t="s">
        <v>48</v>
      </c>
      <c r="C26671">
        <v>57053</v>
      </c>
      <c r="D26671" t="str">
        <f>"57053"</f>
        <v>57053</v>
      </c>
      <c r="E26671">
        <v>77.17</v>
      </c>
    </row>
    <row r="26672" spans="1:5" x14ac:dyDescent="0.2">
      <c r="A26672">
        <v>57054</v>
      </c>
      <c r="B26672" t="s">
        <v>48</v>
      </c>
      <c r="C26672">
        <v>57054</v>
      </c>
      <c r="D26672" t="str">
        <f>"57054"</f>
        <v>57054</v>
      </c>
      <c r="E26672">
        <v>78.260000000000005</v>
      </c>
    </row>
    <row r="26673" spans="1:5" x14ac:dyDescent="0.2">
      <c r="A26673">
        <v>57055</v>
      </c>
      <c r="B26673" t="s">
        <v>48</v>
      </c>
      <c r="C26673">
        <v>57055</v>
      </c>
      <c r="D26673" t="str">
        <f>"57055"</f>
        <v>57055</v>
      </c>
      <c r="E26673">
        <v>83.61</v>
      </c>
    </row>
    <row r="26674" spans="1:5" x14ac:dyDescent="0.2">
      <c r="A26674">
        <v>57057</v>
      </c>
      <c r="B26674" t="s">
        <v>48</v>
      </c>
      <c r="C26674">
        <v>57057</v>
      </c>
      <c r="D26674" t="str">
        <f>"57057"</f>
        <v>57057</v>
      </c>
      <c r="E26674" t="s">
        <v>6</v>
      </c>
    </row>
    <row r="26675" spans="1:5" x14ac:dyDescent="0.2">
      <c r="A26675">
        <v>57058</v>
      </c>
      <c r="B26675" t="s">
        <v>48</v>
      </c>
      <c r="C26675">
        <v>57058</v>
      </c>
      <c r="D26675" t="str">
        <f>"57058"</f>
        <v>57058</v>
      </c>
      <c r="E26675">
        <v>70.97</v>
      </c>
    </row>
    <row r="26676" spans="1:5" x14ac:dyDescent="0.2">
      <c r="A26676">
        <v>57059</v>
      </c>
      <c r="B26676" t="s">
        <v>48</v>
      </c>
      <c r="C26676">
        <v>57059</v>
      </c>
      <c r="D26676" t="str">
        <f>"57059"</f>
        <v>57059</v>
      </c>
      <c r="E26676">
        <v>76.790000000000006</v>
      </c>
    </row>
    <row r="26677" spans="1:5" x14ac:dyDescent="0.2">
      <c r="A26677">
        <v>57061</v>
      </c>
      <c r="B26677" t="s">
        <v>48</v>
      </c>
      <c r="C26677">
        <v>57061</v>
      </c>
      <c r="D26677" t="str">
        <f>"57061"</f>
        <v>57061</v>
      </c>
      <c r="E26677" t="s">
        <v>6</v>
      </c>
    </row>
    <row r="26678" spans="1:5" x14ac:dyDescent="0.2">
      <c r="A26678">
        <v>57062</v>
      </c>
      <c r="B26678" t="s">
        <v>48</v>
      </c>
      <c r="C26678">
        <v>57062</v>
      </c>
      <c r="D26678" t="str">
        <f>"57062"</f>
        <v>57062</v>
      </c>
      <c r="E26678">
        <v>75.47</v>
      </c>
    </row>
    <row r="26679" spans="1:5" x14ac:dyDescent="0.2">
      <c r="A26679">
        <v>57063</v>
      </c>
      <c r="B26679" t="s">
        <v>48</v>
      </c>
      <c r="C26679">
        <v>57063</v>
      </c>
      <c r="D26679" t="str">
        <f>"57063"</f>
        <v>57063</v>
      </c>
      <c r="E26679">
        <v>75</v>
      </c>
    </row>
    <row r="26680" spans="1:5" x14ac:dyDescent="0.2">
      <c r="A26680">
        <v>57064</v>
      </c>
      <c r="B26680" t="s">
        <v>48</v>
      </c>
      <c r="C26680">
        <v>57064</v>
      </c>
      <c r="D26680" t="str">
        <f>"57064"</f>
        <v>57064</v>
      </c>
      <c r="E26680">
        <v>76.900000000000006</v>
      </c>
    </row>
    <row r="26681" spans="1:5" x14ac:dyDescent="0.2">
      <c r="A26681">
        <v>57065</v>
      </c>
      <c r="B26681" t="s">
        <v>48</v>
      </c>
      <c r="C26681">
        <v>57065</v>
      </c>
      <c r="D26681" t="str">
        <f>"57065"</f>
        <v>57065</v>
      </c>
      <c r="E26681">
        <v>73.680000000000007</v>
      </c>
    </row>
    <row r="26682" spans="1:5" x14ac:dyDescent="0.2">
      <c r="A26682">
        <v>57066</v>
      </c>
      <c r="B26682" t="s">
        <v>48</v>
      </c>
      <c r="C26682">
        <v>57066</v>
      </c>
      <c r="D26682" t="str">
        <f>"57066"</f>
        <v>57066</v>
      </c>
      <c r="E26682">
        <v>74.650000000000006</v>
      </c>
    </row>
    <row r="26683" spans="1:5" x14ac:dyDescent="0.2">
      <c r="A26683">
        <v>57067</v>
      </c>
      <c r="B26683" t="s">
        <v>48</v>
      </c>
      <c r="C26683">
        <v>57067</v>
      </c>
      <c r="D26683" t="str">
        <f>"57067"</f>
        <v>57067</v>
      </c>
      <c r="E26683">
        <v>75</v>
      </c>
    </row>
    <row r="26684" spans="1:5" x14ac:dyDescent="0.2">
      <c r="A26684">
        <v>57068</v>
      </c>
      <c r="B26684" t="s">
        <v>48</v>
      </c>
      <c r="C26684">
        <v>57068</v>
      </c>
      <c r="D26684" t="str">
        <f>"57068"</f>
        <v>57068</v>
      </c>
      <c r="E26684">
        <v>81.33</v>
      </c>
    </row>
    <row r="26685" spans="1:5" x14ac:dyDescent="0.2">
      <c r="A26685">
        <v>57069</v>
      </c>
      <c r="B26685" t="s">
        <v>48</v>
      </c>
      <c r="C26685">
        <v>57069</v>
      </c>
      <c r="D26685" t="str">
        <f>"57069"</f>
        <v>57069</v>
      </c>
      <c r="E26685">
        <v>72.09</v>
      </c>
    </row>
    <row r="26686" spans="1:5" x14ac:dyDescent="0.2">
      <c r="A26686">
        <v>57070</v>
      </c>
      <c r="B26686" t="s">
        <v>48</v>
      </c>
      <c r="C26686">
        <v>57070</v>
      </c>
      <c r="D26686" t="str">
        <f>"57070"</f>
        <v>57070</v>
      </c>
      <c r="E26686">
        <v>75</v>
      </c>
    </row>
    <row r="26687" spans="1:5" x14ac:dyDescent="0.2">
      <c r="A26687">
        <v>57071</v>
      </c>
      <c r="B26687" t="s">
        <v>48</v>
      </c>
      <c r="C26687">
        <v>57071</v>
      </c>
      <c r="D26687" t="str">
        <f>"57071"</f>
        <v>57071</v>
      </c>
      <c r="E26687">
        <v>80.260000000000005</v>
      </c>
    </row>
    <row r="26688" spans="1:5" x14ac:dyDescent="0.2">
      <c r="A26688">
        <v>57072</v>
      </c>
      <c r="B26688" t="s">
        <v>48</v>
      </c>
      <c r="C26688">
        <v>57072</v>
      </c>
      <c r="D26688" t="str">
        <f>"57072"</f>
        <v>57072</v>
      </c>
      <c r="E26688">
        <v>75.86</v>
      </c>
    </row>
    <row r="26689" spans="1:5" x14ac:dyDescent="0.2">
      <c r="A26689">
        <v>57073</v>
      </c>
      <c r="B26689" t="s">
        <v>48</v>
      </c>
      <c r="C26689">
        <v>57073</v>
      </c>
      <c r="D26689" t="str">
        <f>"57073"</f>
        <v>57073</v>
      </c>
      <c r="E26689">
        <v>73.08</v>
      </c>
    </row>
    <row r="26690" spans="1:5" x14ac:dyDescent="0.2">
      <c r="A26690">
        <v>57075</v>
      </c>
      <c r="B26690" t="s">
        <v>48</v>
      </c>
      <c r="C26690">
        <v>57075</v>
      </c>
      <c r="D26690" t="str">
        <f>"57075"</f>
        <v>57075</v>
      </c>
      <c r="E26690">
        <v>80.7</v>
      </c>
    </row>
    <row r="26691" spans="1:5" x14ac:dyDescent="0.2">
      <c r="A26691">
        <v>57076</v>
      </c>
      <c r="B26691" t="s">
        <v>48</v>
      </c>
      <c r="C26691">
        <v>57076</v>
      </c>
      <c r="D26691" t="str">
        <f>"57076"</f>
        <v>57076</v>
      </c>
      <c r="E26691">
        <v>83.33</v>
      </c>
    </row>
    <row r="26692" spans="1:5" x14ac:dyDescent="0.2">
      <c r="A26692">
        <v>57077</v>
      </c>
      <c r="B26692" t="s">
        <v>48</v>
      </c>
      <c r="C26692">
        <v>57077</v>
      </c>
      <c r="D26692" t="str">
        <f>"57077"</f>
        <v>57077</v>
      </c>
      <c r="E26692">
        <v>79.03</v>
      </c>
    </row>
    <row r="26693" spans="1:5" x14ac:dyDescent="0.2">
      <c r="A26693">
        <v>57078</v>
      </c>
      <c r="B26693" t="s">
        <v>48</v>
      </c>
      <c r="C26693">
        <v>57078</v>
      </c>
      <c r="D26693" t="str">
        <f>"57078"</f>
        <v>57078</v>
      </c>
      <c r="E26693">
        <v>74.33</v>
      </c>
    </row>
    <row r="26694" spans="1:5" x14ac:dyDescent="0.2">
      <c r="A26694">
        <v>57103</v>
      </c>
      <c r="B26694" t="s">
        <v>48</v>
      </c>
      <c r="C26694">
        <v>57103</v>
      </c>
      <c r="D26694" t="str">
        <f>"57103"</f>
        <v>57103</v>
      </c>
      <c r="E26694">
        <v>73.819999999999993</v>
      </c>
    </row>
    <row r="26695" spans="1:5" x14ac:dyDescent="0.2">
      <c r="A26695">
        <v>57104</v>
      </c>
      <c r="B26695" t="s">
        <v>48</v>
      </c>
      <c r="C26695">
        <v>57104</v>
      </c>
      <c r="D26695" t="str">
        <f>"57104"</f>
        <v>57104</v>
      </c>
      <c r="E26695">
        <v>73.44</v>
      </c>
    </row>
    <row r="26696" spans="1:5" x14ac:dyDescent="0.2">
      <c r="A26696">
        <v>57105</v>
      </c>
      <c r="B26696" t="s">
        <v>48</v>
      </c>
      <c r="C26696">
        <v>57105</v>
      </c>
      <c r="D26696" t="str">
        <f>"57105"</f>
        <v>57105</v>
      </c>
      <c r="E26696">
        <v>77.44</v>
      </c>
    </row>
    <row r="26697" spans="1:5" x14ac:dyDescent="0.2">
      <c r="A26697">
        <v>57106</v>
      </c>
      <c r="B26697" t="s">
        <v>48</v>
      </c>
      <c r="C26697">
        <v>57106</v>
      </c>
      <c r="D26697" t="str">
        <f>"57106"</f>
        <v>57106</v>
      </c>
      <c r="E26697">
        <v>77.67</v>
      </c>
    </row>
    <row r="26698" spans="1:5" x14ac:dyDescent="0.2">
      <c r="A26698">
        <v>57107</v>
      </c>
      <c r="B26698" t="s">
        <v>48</v>
      </c>
      <c r="C26698">
        <v>57107</v>
      </c>
      <c r="D26698" t="str">
        <f>"57107"</f>
        <v>57107</v>
      </c>
      <c r="E26698">
        <v>75.66</v>
      </c>
    </row>
    <row r="26699" spans="1:5" x14ac:dyDescent="0.2">
      <c r="A26699">
        <v>57108</v>
      </c>
      <c r="B26699" t="s">
        <v>48</v>
      </c>
      <c r="C26699">
        <v>57108</v>
      </c>
      <c r="D26699" t="str">
        <f>"57108"</f>
        <v>57108</v>
      </c>
      <c r="E26699">
        <v>82.53</v>
      </c>
    </row>
    <row r="26700" spans="1:5" x14ac:dyDescent="0.2">
      <c r="A26700">
        <v>57110</v>
      </c>
      <c r="B26700" t="s">
        <v>48</v>
      </c>
      <c r="C26700">
        <v>57110</v>
      </c>
      <c r="D26700" t="str">
        <f>"57110"</f>
        <v>57110</v>
      </c>
      <c r="E26700">
        <v>77.27</v>
      </c>
    </row>
    <row r="26701" spans="1:5" x14ac:dyDescent="0.2">
      <c r="A26701">
        <v>57197</v>
      </c>
      <c r="B26701" t="s">
        <v>48</v>
      </c>
      <c r="C26701">
        <v>57197</v>
      </c>
      <c r="D26701" t="str">
        <f>"57197"</f>
        <v>57197</v>
      </c>
      <c r="E26701" t="s">
        <v>6</v>
      </c>
    </row>
    <row r="26702" spans="1:5" x14ac:dyDescent="0.2">
      <c r="A26702">
        <v>57201</v>
      </c>
      <c r="B26702" t="s">
        <v>48</v>
      </c>
      <c r="C26702">
        <v>57201</v>
      </c>
      <c r="D26702" t="str">
        <f>"57201"</f>
        <v>57201</v>
      </c>
      <c r="E26702">
        <v>74.17</v>
      </c>
    </row>
    <row r="26703" spans="1:5" x14ac:dyDescent="0.2">
      <c r="A26703">
        <v>57212</v>
      </c>
      <c r="B26703" t="s">
        <v>48</v>
      </c>
      <c r="C26703">
        <v>57212</v>
      </c>
      <c r="D26703" t="str">
        <f>"57212"</f>
        <v>57212</v>
      </c>
      <c r="E26703">
        <v>77.45</v>
      </c>
    </row>
    <row r="26704" spans="1:5" x14ac:dyDescent="0.2">
      <c r="A26704">
        <v>57213</v>
      </c>
      <c r="B26704" t="s">
        <v>48</v>
      </c>
      <c r="C26704">
        <v>57213</v>
      </c>
      <c r="D26704" t="str">
        <f>"57213"</f>
        <v>57213</v>
      </c>
      <c r="E26704">
        <v>85.71</v>
      </c>
    </row>
    <row r="26705" spans="1:5" x14ac:dyDescent="0.2">
      <c r="A26705">
        <v>57214</v>
      </c>
      <c r="B26705" t="s">
        <v>48</v>
      </c>
      <c r="C26705">
        <v>57214</v>
      </c>
      <c r="D26705" t="str">
        <f>"57214"</f>
        <v>57214</v>
      </c>
      <c r="E26705" t="s">
        <v>6</v>
      </c>
    </row>
    <row r="26706" spans="1:5" x14ac:dyDescent="0.2">
      <c r="A26706">
        <v>57216</v>
      </c>
      <c r="B26706" t="s">
        <v>48</v>
      </c>
      <c r="C26706">
        <v>57216</v>
      </c>
      <c r="D26706" t="str">
        <f>"57216"</f>
        <v>57216</v>
      </c>
      <c r="E26706">
        <v>78.569999999999993</v>
      </c>
    </row>
    <row r="26707" spans="1:5" x14ac:dyDescent="0.2">
      <c r="A26707">
        <v>57217</v>
      </c>
      <c r="B26707" t="s">
        <v>48</v>
      </c>
      <c r="C26707">
        <v>57217</v>
      </c>
      <c r="D26707" t="str">
        <f>"57217"</f>
        <v>57217</v>
      </c>
      <c r="E26707">
        <v>70</v>
      </c>
    </row>
    <row r="26708" spans="1:5" x14ac:dyDescent="0.2">
      <c r="A26708">
        <v>57218</v>
      </c>
      <c r="B26708" t="s">
        <v>48</v>
      </c>
      <c r="C26708">
        <v>57218</v>
      </c>
      <c r="D26708" t="str">
        <f>"57218"</f>
        <v>57218</v>
      </c>
      <c r="E26708">
        <v>78.569999999999993</v>
      </c>
    </row>
    <row r="26709" spans="1:5" x14ac:dyDescent="0.2">
      <c r="A26709">
        <v>57219</v>
      </c>
      <c r="B26709" t="s">
        <v>48</v>
      </c>
      <c r="C26709">
        <v>57219</v>
      </c>
      <c r="D26709" t="str">
        <f>"57219"</f>
        <v>57219</v>
      </c>
      <c r="E26709">
        <v>83.33</v>
      </c>
    </row>
    <row r="26710" spans="1:5" x14ac:dyDescent="0.2">
      <c r="A26710">
        <v>57220</v>
      </c>
      <c r="B26710" t="s">
        <v>48</v>
      </c>
      <c r="C26710">
        <v>57220</v>
      </c>
      <c r="D26710" t="str">
        <f>"57220"</f>
        <v>57220</v>
      </c>
      <c r="E26710">
        <v>77.78</v>
      </c>
    </row>
    <row r="26711" spans="1:5" x14ac:dyDescent="0.2">
      <c r="A26711">
        <v>57221</v>
      </c>
      <c r="B26711" t="s">
        <v>48</v>
      </c>
      <c r="C26711">
        <v>57221</v>
      </c>
      <c r="D26711" t="str">
        <f>"57221"</f>
        <v>57221</v>
      </c>
      <c r="E26711">
        <v>68.569999999999993</v>
      </c>
    </row>
    <row r="26712" spans="1:5" x14ac:dyDescent="0.2">
      <c r="A26712">
        <v>57223</v>
      </c>
      <c r="B26712" t="s">
        <v>48</v>
      </c>
      <c r="C26712">
        <v>57223</v>
      </c>
      <c r="D26712" t="str">
        <f>"57223"</f>
        <v>57223</v>
      </c>
      <c r="E26712">
        <v>77.61</v>
      </c>
    </row>
    <row r="26713" spans="1:5" x14ac:dyDescent="0.2">
      <c r="A26713">
        <v>57224</v>
      </c>
      <c r="B26713" t="s">
        <v>48</v>
      </c>
      <c r="C26713">
        <v>57224</v>
      </c>
      <c r="D26713" t="str">
        <f>"57224"</f>
        <v>57224</v>
      </c>
      <c r="E26713" t="s">
        <v>6</v>
      </c>
    </row>
    <row r="26714" spans="1:5" x14ac:dyDescent="0.2">
      <c r="A26714">
        <v>57225</v>
      </c>
      <c r="B26714" t="s">
        <v>48</v>
      </c>
      <c r="C26714">
        <v>57225</v>
      </c>
      <c r="D26714" t="str">
        <f>"57225"</f>
        <v>57225</v>
      </c>
      <c r="E26714">
        <v>77.11</v>
      </c>
    </row>
    <row r="26715" spans="1:5" x14ac:dyDescent="0.2">
      <c r="A26715">
        <v>57226</v>
      </c>
      <c r="B26715" t="s">
        <v>48</v>
      </c>
      <c r="C26715">
        <v>57226</v>
      </c>
      <c r="D26715" t="str">
        <f>"57226"</f>
        <v>57226</v>
      </c>
      <c r="E26715">
        <v>74.23</v>
      </c>
    </row>
    <row r="26716" spans="1:5" x14ac:dyDescent="0.2">
      <c r="A26716">
        <v>57227</v>
      </c>
      <c r="B26716" t="s">
        <v>48</v>
      </c>
      <c r="C26716">
        <v>57227</v>
      </c>
      <c r="D26716" t="str">
        <f>"57227"</f>
        <v>57227</v>
      </c>
      <c r="E26716">
        <v>72.22</v>
      </c>
    </row>
    <row r="26717" spans="1:5" x14ac:dyDescent="0.2">
      <c r="A26717">
        <v>57231</v>
      </c>
      <c r="B26717" t="s">
        <v>48</v>
      </c>
      <c r="C26717">
        <v>57231</v>
      </c>
      <c r="D26717" t="str">
        <f>"57231"</f>
        <v>57231</v>
      </c>
      <c r="E26717">
        <v>77.63</v>
      </c>
    </row>
    <row r="26718" spans="1:5" x14ac:dyDescent="0.2">
      <c r="A26718">
        <v>57232</v>
      </c>
      <c r="B26718" t="s">
        <v>48</v>
      </c>
      <c r="C26718">
        <v>57232</v>
      </c>
      <c r="D26718" t="str">
        <f>"57232"</f>
        <v>57232</v>
      </c>
      <c r="E26718">
        <v>62.5</v>
      </c>
    </row>
    <row r="26719" spans="1:5" x14ac:dyDescent="0.2">
      <c r="A26719">
        <v>57233</v>
      </c>
      <c r="B26719" t="s">
        <v>48</v>
      </c>
      <c r="C26719">
        <v>57233</v>
      </c>
      <c r="D26719" t="str">
        <f>"57233"</f>
        <v>57233</v>
      </c>
      <c r="E26719" t="s">
        <v>6</v>
      </c>
    </row>
    <row r="26720" spans="1:5" x14ac:dyDescent="0.2">
      <c r="A26720">
        <v>57234</v>
      </c>
      <c r="B26720" t="s">
        <v>48</v>
      </c>
      <c r="C26720">
        <v>57234</v>
      </c>
      <c r="D26720" t="str">
        <f>"57234"</f>
        <v>57234</v>
      </c>
      <c r="E26720">
        <v>74.55</v>
      </c>
    </row>
    <row r="26721" spans="1:5" x14ac:dyDescent="0.2">
      <c r="A26721">
        <v>57235</v>
      </c>
      <c r="B26721" t="s">
        <v>48</v>
      </c>
      <c r="C26721">
        <v>57235</v>
      </c>
      <c r="D26721" t="str">
        <f>"57235"</f>
        <v>57235</v>
      </c>
      <c r="E26721">
        <v>71.790000000000006</v>
      </c>
    </row>
    <row r="26722" spans="1:5" x14ac:dyDescent="0.2">
      <c r="A26722">
        <v>57236</v>
      </c>
      <c r="B26722" t="s">
        <v>48</v>
      </c>
      <c r="C26722">
        <v>57236</v>
      </c>
      <c r="D26722" t="str">
        <f>"57236"</f>
        <v>57236</v>
      </c>
      <c r="E26722" t="s">
        <v>6</v>
      </c>
    </row>
    <row r="26723" spans="1:5" x14ac:dyDescent="0.2">
      <c r="A26723">
        <v>57237</v>
      </c>
      <c r="B26723" t="s">
        <v>48</v>
      </c>
      <c r="C26723">
        <v>57237</v>
      </c>
      <c r="D26723" t="str">
        <f>"57237"</f>
        <v>57237</v>
      </c>
      <c r="E26723">
        <v>70.97</v>
      </c>
    </row>
    <row r="26724" spans="1:5" x14ac:dyDescent="0.2">
      <c r="A26724">
        <v>57238</v>
      </c>
      <c r="B26724" t="s">
        <v>48</v>
      </c>
      <c r="C26724">
        <v>57238</v>
      </c>
      <c r="D26724" t="str">
        <f>"57238"</f>
        <v>57238</v>
      </c>
      <c r="E26724">
        <v>72.73</v>
      </c>
    </row>
    <row r="26725" spans="1:5" x14ac:dyDescent="0.2">
      <c r="A26725">
        <v>57239</v>
      </c>
      <c r="B26725" t="s">
        <v>48</v>
      </c>
      <c r="C26725">
        <v>57239</v>
      </c>
      <c r="D26725" t="str">
        <f>"57239"</f>
        <v>57239</v>
      </c>
      <c r="E26725">
        <v>72.73</v>
      </c>
    </row>
    <row r="26726" spans="1:5" x14ac:dyDescent="0.2">
      <c r="A26726">
        <v>57241</v>
      </c>
      <c r="B26726" t="s">
        <v>48</v>
      </c>
      <c r="C26726">
        <v>57241</v>
      </c>
      <c r="D26726" t="str">
        <f>"57241"</f>
        <v>57241</v>
      </c>
      <c r="E26726">
        <v>73.33</v>
      </c>
    </row>
    <row r="26727" spans="1:5" x14ac:dyDescent="0.2">
      <c r="A26727">
        <v>57242</v>
      </c>
      <c r="B26727" t="s">
        <v>48</v>
      </c>
      <c r="C26727">
        <v>57242</v>
      </c>
      <c r="D26727" t="str">
        <f>"57242"</f>
        <v>57242</v>
      </c>
      <c r="E26727">
        <v>73.680000000000007</v>
      </c>
    </row>
    <row r="26728" spans="1:5" x14ac:dyDescent="0.2">
      <c r="A26728">
        <v>57243</v>
      </c>
      <c r="B26728" t="s">
        <v>48</v>
      </c>
      <c r="C26728">
        <v>57243</v>
      </c>
      <c r="D26728" t="str">
        <f>"57243"</f>
        <v>57243</v>
      </c>
      <c r="E26728">
        <v>70</v>
      </c>
    </row>
    <row r="26729" spans="1:5" x14ac:dyDescent="0.2">
      <c r="A26729">
        <v>57245</v>
      </c>
      <c r="B26729" t="s">
        <v>48</v>
      </c>
      <c r="C26729">
        <v>57245</v>
      </c>
      <c r="D26729" t="str">
        <f>"57245"</f>
        <v>57245</v>
      </c>
      <c r="E26729" t="s">
        <v>6</v>
      </c>
    </row>
    <row r="26730" spans="1:5" x14ac:dyDescent="0.2">
      <c r="A26730">
        <v>57246</v>
      </c>
      <c r="B26730" t="s">
        <v>48</v>
      </c>
      <c r="C26730">
        <v>57246</v>
      </c>
      <c r="D26730" t="str">
        <f>"57246"</f>
        <v>57246</v>
      </c>
      <c r="E26730" t="s">
        <v>6</v>
      </c>
    </row>
    <row r="26731" spans="1:5" x14ac:dyDescent="0.2">
      <c r="A26731">
        <v>57247</v>
      </c>
      <c r="B26731" t="s">
        <v>48</v>
      </c>
      <c r="C26731">
        <v>57247</v>
      </c>
      <c r="D26731" t="str">
        <f>"57247"</f>
        <v>57247</v>
      </c>
      <c r="E26731">
        <v>83.33</v>
      </c>
    </row>
    <row r="26732" spans="1:5" x14ac:dyDescent="0.2">
      <c r="A26732">
        <v>57248</v>
      </c>
      <c r="B26732" t="s">
        <v>48</v>
      </c>
      <c r="C26732">
        <v>57248</v>
      </c>
      <c r="D26732" t="str">
        <f>"57248"</f>
        <v>57248</v>
      </c>
      <c r="E26732">
        <v>74.47</v>
      </c>
    </row>
    <row r="26733" spans="1:5" x14ac:dyDescent="0.2">
      <c r="A26733">
        <v>57249</v>
      </c>
      <c r="B26733" t="s">
        <v>48</v>
      </c>
      <c r="C26733">
        <v>57249</v>
      </c>
      <c r="D26733" t="str">
        <f>"57249"</f>
        <v>57249</v>
      </c>
      <c r="E26733">
        <v>75</v>
      </c>
    </row>
    <row r="26734" spans="1:5" x14ac:dyDescent="0.2">
      <c r="A26734">
        <v>57251</v>
      </c>
      <c r="B26734" t="s">
        <v>48</v>
      </c>
      <c r="C26734">
        <v>57251</v>
      </c>
      <c r="D26734" t="str">
        <f>"57251"</f>
        <v>57251</v>
      </c>
      <c r="E26734" t="s">
        <v>6</v>
      </c>
    </row>
    <row r="26735" spans="1:5" x14ac:dyDescent="0.2">
      <c r="A26735">
        <v>57252</v>
      </c>
      <c r="B26735" t="s">
        <v>48</v>
      </c>
      <c r="C26735">
        <v>57252</v>
      </c>
      <c r="D26735" t="str">
        <f>"57252"</f>
        <v>57252</v>
      </c>
      <c r="E26735">
        <v>74.790000000000006</v>
      </c>
    </row>
    <row r="26736" spans="1:5" x14ac:dyDescent="0.2">
      <c r="A26736">
        <v>57255</v>
      </c>
      <c r="B26736" t="s">
        <v>48</v>
      </c>
      <c r="C26736">
        <v>57255</v>
      </c>
      <c r="D26736" t="str">
        <f>"57255"</f>
        <v>57255</v>
      </c>
      <c r="E26736">
        <v>69.569999999999993</v>
      </c>
    </row>
    <row r="26737" spans="1:5" x14ac:dyDescent="0.2">
      <c r="A26737">
        <v>57256</v>
      </c>
      <c r="B26737" t="s">
        <v>48</v>
      </c>
      <c r="C26737">
        <v>57256</v>
      </c>
      <c r="D26737" t="str">
        <f>"57256"</f>
        <v>57256</v>
      </c>
      <c r="E26737" t="s">
        <v>6</v>
      </c>
    </row>
    <row r="26738" spans="1:5" x14ac:dyDescent="0.2">
      <c r="A26738">
        <v>57257</v>
      </c>
      <c r="B26738" t="s">
        <v>48</v>
      </c>
      <c r="C26738">
        <v>57257</v>
      </c>
      <c r="D26738" t="str">
        <f>"57257"</f>
        <v>57257</v>
      </c>
      <c r="E26738">
        <v>50</v>
      </c>
    </row>
    <row r="26739" spans="1:5" x14ac:dyDescent="0.2">
      <c r="A26739">
        <v>57258</v>
      </c>
      <c r="B26739" t="s">
        <v>48</v>
      </c>
      <c r="C26739">
        <v>57258</v>
      </c>
      <c r="D26739" t="str">
        <f>"57258"</f>
        <v>57258</v>
      </c>
      <c r="E26739" t="s">
        <v>6</v>
      </c>
    </row>
    <row r="26740" spans="1:5" x14ac:dyDescent="0.2">
      <c r="A26740">
        <v>57259</v>
      </c>
      <c r="B26740" t="s">
        <v>48</v>
      </c>
      <c r="C26740">
        <v>57259</v>
      </c>
      <c r="D26740" t="str">
        <f>"57259"</f>
        <v>57259</v>
      </c>
      <c r="E26740">
        <v>78.260000000000005</v>
      </c>
    </row>
    <row r="26741" spans="1:5" x14ac:dyDescent="0.2">
      <c r="A26741">
        <v>57260</v>
      </c>
      <c r="B26741" t="s">
        <v>48</v>
      </c>
      <c r="C26741">
        <v>57260</v>
      </c>
      <c r="D26741" t="str">
        <f>"57260"</f>
        <v>57260</v>
      </c>
      <c r="E26741">
        <v>75.56</v>
      </c>
    </row>
    <row r="26742" spans="1:5" x14ac:dyDescent="0.2">
      <c r="A26742">
        <v>57261</v>
      </c>
      <c r="B26742" t="s">
        <v>48</v>
      </c>
      <c r="C26742">
        <v>57261</v>
      </c>
      <c r="D26742" t="str">
        <f>"57261"</f>
        <v>57261</v>
      </c>
      <c r="E26742">
        <v>66.67</v>
      </c>
    </row>
    <row r="26743" spans="1:5" x14ac:dyDescent="0.2">
      <c r="A26743">
        <v>57262</v>
      </c>
      <c r="B26743" t="s">
        <v>48</v>
      </c>
      <c r="C26743">
        <v>57262</v>
      </c>
      <c r="D26743" t="str">
        <f>"57262"</f>
        <v>57262</v>
      </c>
      <c r="E26743">
        <v>61.33</v>
      </c>
    </row>
    <row r="26744" spans="1:5" x14ac:dyDescent="0.2">
      <c r="A26744">
        <v>57263</v>
      </c>
      <c r="B26744" t="s">
        <v>48</v>
      </c>
      <c r="C26744">
        <v>57263</v>
      </c>
      <c r="D26744" t="str">
        <f>"57263"</f>
        <v>57263</v>
      </c>
      <c r="E26744">
        <v>68.180000000000007</v>
      </c>
    </row>
    <row r="26745" spans="1:5" x14ac:dyDescent="0.2">
      <c r="A26745">
        <v>57264</v>
      </c>
      <c r="B26745" t="s">
        <v>48</v>
      </c>
      <c r="C26745">
        <v>57264</v>
      </c>
      <c r="D26745" t="str">
        <f>"57264"</f>
        <v>57264</v>
      </c>
      <c r="E26745">
        <v>63.64</v>
      </c>
    </row>
    <row r="26746" spans="1:5" x14ac:dyDescent="0.2">
      <c r="A26746">
        <v>57265</v>
      </c>
      <c r="B26746" t="s">
        <v>48</v>
      </c>
      <c r="C26746">
        <v>57265</v>
      </c>
      <c r="D26746" t="str">
        <f>"57265"</f>
        <v>57265</v>
      </c>
      <c r="E26746" t="s">
        <v>6</v>
      </c>
    </row>
    <row r="26747" spans="1:5" x14ac:dyDescent="0.2">
      <c r="A26747">
        <v>57266</v>
      </c>
      <c r="B26747" t="s">
        <v>48</v>
      </c>
      <c r="C26747">
        <v>57266</v>
      </c>
      <c r="D26747" t="str">
        <f>"57266"</f>
        <v>57266</v>
      </c>
      <c r="E26747">
        <v>64</v>
      </c>
    </row>
    <row r="26748" spans="1:5" x14ac:dyDescent="0.2">
      <c r="A26748">
        <v>57268</v>
      </c>
      <c r="B26748" t="s">
        <v>48</v>
      </c>
      <c r="C26748">
        <v>57268</v>
      </c>
      <c r="D26748" t="str">
        <f>"57268"</f>
        <v>57268</v>
      </c>
      <c r="E26748">
        <v>75</v>
      </c>
    </row>
    <row r="26749" spans="1:5" x14ac:dyDescent="0.2">
      <c r="A26749">
        <v>57269</v>
      </c>
      <c r="B26749" t="s">
        <v>48</v>
      </c>
      <c r="C26749">
        <v>57269</v>
      </c>
      <c r="D26749" t="str">
        <f>"57269"</f>
        <v>57269</v>
      </c>
      <c r="E26749">
        <v>77.78</v>
      </c>
    </row>
    <row r="26750" spans="1:5" x14ac:dyDescent="0.2">
      <c r="A26750">
        <v>57270</v>
      </c>
      <c r="B26750" t="s">
        <v>48</v>
      </c>
      <c r="C26750">
        <v>57270</v>
      </c>
      <c r="D26750" t="str">
        <f>"57270"</f>
        <v>57270</v>
      </c>
      <c r="E26750">
        <v>66.67</v>
      </c>
    </row>
    <row r="26751" spans="1:5" x14ac:dyDescent="0.2">
      <c r="A26751">
        <v>57271</v>
      </c>
      <c r="B26751" t="s">
        <v>48</v>
      </c>
      <c r="C26751">
        <v>57271</v>
      </c>
      <c r="D26751" t="str">
        <f>"57271"</f>
        <v>57271</v>
      </c>
      <c r="E26751" t="s">
        <v>6</v>
      </c>
    </row>
    <row r="26752" spans="1:5" x14ac:dyDescent="0.2">
      <c r="A26752">
        <v>57272</v>
      </c>
      <c r="B26752" t="s">
        <v>48</v>
      </c>
      <c r="C26752">
        <v>57272</v>
      </c>
      <c r="D26752" t="str">
        <f>"57272"</f>
        <v>57272</v>
      </c>
      <c r="E26752" t="s">
        <v>6</v>
      </c>
    </row>
    <row r="26753" spans="1:5" x14ac:dyDescent="0.2">
      <c r="A26753">
        <v>57273</v>
      </c>
      <c r="B26753" t="s">
        <v>48</v>
      </c>
      <c r="C26753">
        <v>57273</v>
      </c>
      <c r="D26753" t="str">
        <f>"57273"</f>
        <v>57273</v>
      </c>
      <c r="E26753">
        <v>56.86</v>
      </c>
    </row>
    <row r="26754" spans="1:5" x14ac:dyDescent="0.2">
      <c r="A26754">
        <v>57274</v>
      </c>
      <c r="B26754" t="s">
        <v>48</v>
      </c>
      <c r="C26754">
        <v>57274</v>
      </c>
      <c r="D26754" t="str">
        <f>"57274"</f>
        <v>57274</v>
      </c>
      <c r="E26754">
        <v>71.739999999999995</v>
      </c>
    </row>
    <row r="26755" spans="1:5" x14ac:dyDescent="0.2">
      <c r="A26755">
        <v>57276</v>
      </c>
      <c r="B26755" t="s">
        <v>48</v>
      </c>
      <c r="C26755">
        <v>57276</v>
      </c>
      <c r="D26755" t="str">
        <f>"57276"</f>
        <v>57276</v>
      </c>
      <c r="E26755">
        <v>80</v>
      </c>
    </row>
    <row r="26756" spans="1:5" x14ac:dyDescent="0.2">
      <c r="A26756">
        <v>57278</v>
      </c>
      <c r="B26756" t="s">
        <v>48</v>
      </c>
      <c r="C26756">
        <v>57278</v>
      </c>
      <c r="D26756" t="str">
        <f>"57278"</f>
        <v>57278</v>
      </c>
      <c r="E26756">
        <v>66.67</v>
      </c>
    </row>
    <row r="26757" spans="1:5" x14ac:dyDescent="0.2">
      <c r="A26757">
        <v>57279</v>
      </c>
      <c r="B26757" t="s">
        <v>48</v>
      </c>
      <c r="C26757">
        <v>57279</v>
      </c>
      <c r="D26757" t="str">
        <f>"57279"</f>
        <v>57279</v>
      </c>
      <c r="E26757">
        <v>77.55</v>
      </c>
    </row>
    <row r="26758" spans="1:5" x14ac:dyDescent="0.2">
      <c r="A26758">
        <v>57301</v>
      </c>
      <c r="B26758" t="s">
        <v>48</v>
      </c>
      <c r="C26758">
        <v>57301</v>
      </c>
      <c r="D26758" t="str">
        <f>"57301"</f>
        <v>57301</v>
      </c>
      <c r="E26758">
        <v>73.3</v>
      </c>
    </row>
    <row r="26759" spans="1:5" x14ac:dyDescent="0.2">
      <c r="A26759">
        <v>57311</v>
      </c>
      <c r="B26759" t="s">
        <v>48</v>
      </c>
      <c r="C26759">
        <v>57311</v>
      </c>
      <c r="D26759" t="str">
        <f>"57311"</f>
        <v>57311</v>
      </c>
      <c r="E26759">
        <v>70.180000000000007</v>
      </c>
    </row>
    <row r="26760" spans="1:5" x14ac:dyDescent="0.2">
      <c r="A26760">
        <v>57312</v>
      </c>
      <c r="B26760" t="s">
        <v>48</v>
      </c>
      <c r="C26760">
        <v>57312</v>
      </c>
      <c r="D26760" t="str">
        <f>"57312"</f>
        <v>57312</v>
      </c>
      <c r="E26760">
        <v>72.73</v>
      </c>
    </row>
    <row r="26761" spans="1:5" x14ac:dyDescent="0.2">
      <c r="A26761">
        <v>57313</v>
      </c>
      <c r="B26761" t="s">
        <v>48</v>
      </c>
      <c r="C26761">
        <v>57313</v>
      </c>
      <c r="D26761" t="str">
        <f>"57313"</f>
        <v>57313</v>
      </c>
      <c r="E26761">
        <v>71.150000000000006</v>
      </c>
    </row>
    <row r="26762" spans="1:5" x14ac:dyDescent="0.2">
      <c r="A26762">
        <v>57314</v>
      </c>
      <c r="B26762" t="s">
        <v>48</v>
      </c>
      <c r="C26762">
        <v>57314</v>
      </c>
      <c r="D26762" t="str">
        <f>"57314"</f>
        <v>57314</v>
      </c>
      <c r="E26762">
        <v>64.290000000000006</v>
      </c>
    </row>
    <row r="26763" spans="1:5" x14ac:dyDescent="0.2">
      <c r="A26763">
        <v>57315</v>
      </c>
      <c r="B26763" t="s">
        <v>48</v>
      </c>
      <c r="C26763">
        <v>57315</v>
      </c>
      <c r="D26763" t="str">
        <f>"57315"</f>
        <v>57315</v>
      </c>
      <c r="E26763">
        <v>70.83</v>
      </c>
    </row>
    <row r="26764" spans="1:5" x14ac:dyDescent="0.2">
      <c r="A26764">
        <v>57317</v>
      </c>
      <c r="B26764" t="s">
        <v>48</v>
      </c>
      <c r="C26764">
        <v>57317</v>
      </c>
      <c r="D26764" t="str">
        <f>"57317"</f>
        <v>57317</v>
      </c>
      <c r="E26764">
        <v>59.09</v>
      </c>
    </row>
    <row r="26765" spans="1:5" x14ac:dyDescent="0.2">
      <c r="A26765">
        <v>57319</v>
      </c>
      <c r="B26765" t="s">
        <v>48</v>
      </c>
      <c r="C26765">
        <v>57319</v>
      </c>
      <c r="D26765" t="str">
        <f>"57319"</f>
        <v>57319</v>
      </c>
      <c r="E26765">
        <v>63.83</v>
      </c>
    </row>
    <row r="26766" spans="1:5" x14ac:dyDescent="0.2">
      <c r="A26766">
        <v>57321</v>
      </c>
      <c r="B26766" t="s">
        <v>48</v>
      </c>
      <c r="C26766">
        <v>57321</v>
      </c>
      <c r="D26766" t="str">
        <f>"57321"</f>
        <v>57321</v>
      </c>
      <c r="E26766">
        <v>52.63</v>
      </c>
    </row>
    <row r="26767" spans="1:5" x14ac:dyDescent="0.2">
      <c r="A26767">
        <v>57322</v>
      </c>
      <c r="B26767" t="s">
        <v>48</v>
      </c>
      <c r="C26767">
        <v>57322</v>
      </c>
      <c r="D26767" t="str">
        <f>"57322"</f>
        <v>57322</v>
      </c>
      <c r="E26767">
        <v>83.33</v>
      </c>
    </row>
    <row r="26768" spans="1:5" x14ac:dyDescent="0.2">
      <c r="A26768">
        <v>57323</v>
      </c>
      <c r="B26768" t="s">
        <v>48</v>
      </c>
      <c r="C26768">
        <v>57323</v>
      </c>
      <c r="D26768" t="str">
        <f>"57323"</f>
        <v>57323</v>
      </c>
      <c r="E26768">
        <v>77.78</v>
      </c>
    </row>
    <row r="26769" spans="1:5" x14ac:dyDescent="0.2">
      <c r="A26769">
        <v>57324</v>
      </c>
      <c r="B26769" t="s">
        <v>48</v>
      </c>
      <c r="C26769">
        <v>57324</v>
      </c>
      <c r="D26769" t="str">
        <f>"57324"</f>
        <v>57324</v>
      </c>
      <c r="E26769">
        <v>70.59</v>
      </c>
    </row>
    <row r="26770" spans="1:5" x14ac:dyDescent="0.2">
      <c r="A26770">
        <v>57325</v>
      </c>
      <c r="B26770" t="s">
        <v>48</v>
      </c>
      <c r="C26770">
        <v>57325</v>
      </c>
      <c r="D26770" t="str">
        <f>"57325"</f>
        <v>57325</v>
      </c>
      <c r="E26770">
        <v>70.7</v>
      </c>
    </row>
    <row r="26771" spans="1:5" x14ac:dyDescent="0.2">
      <c r="A26771">
        <v>57328</v>
      </c>
      <c r="B26771" t="s">
        <v>48</v>
      </c>
      <c r="C26771">
        <v>57328</v>
      </c>
      <c r="D26771" t="str">
        <f>"57328"</f>
        <v>57328</v>
      </c>
      <c r="E26771">
        <v>67.349999999999994</v>
      </c>
    </row>
    <row r="26772" spans="1:5" x14ac:dyDescent="0.2">
      <c r="A26772">
        <v>57329</v>
      </c>
      <c r="B26772" t="s">
        <v>48</v>
      </c>
      <c r="C26772">
        <v>57329</v>
      </c>
      <c r="D26772" t="str">
        <f>"57329"</f>
        <v>57329</v>
      </c>
      <c r="E26772">
        <v>66.67</v>
      </c>
    </row>
    <row r="26773" spans="1:5" x14ac:dyDescent="0.2">
      <c r="A26773">
        <v>57330</v>
      </c>
      <c r="B26773" t="s">
        <v>48</v>
      </c>
      <c r="C26773">
        <v>57330</v>
      </c>
      <c r="D26773" t="str">
        <f>"57330"</f>
        <v>57330</v>
      </c>
      <c r="E26773">
        <v>68.42</v>
      </c>
    </row>
    <row r="26774" spans="1:5" x14ac:dyDescent="0.2">
      <c r="A26774">
        <v>57331</v>
      </c>
      <c r="B26774" t="s">
        <v>48</v>
      </c>
      <c r="C26774">
        <v>57331</v>
      </c>
      <c r="D26774" t="str">
        <f>"57331"</f>
        <v>57331</v>
      </c>
      <c r="E26774">
        <v>65.22</v>
      </c>
    </row>
    <row r="26775" spans="1:5" x14ac:dyDescent="0.2">
      <c r="A26775">
        <v>57332</v>
      </c>
      <c r="B26775" t="s">
        <v>48</v>
      </c>
      <c r="C26775">
        <v>57332</v>
      </c>
      <c r="D26775" t="str">
        <f>"57332"</f>
        <v>57332</v>
      </c>
      <c r="E26775">
        <v>77.42</v>
      </c>
    </row>
    <row r="26776" spans="1:5" x14ac:dyDescent="0.2">
      <c r="A26776">
        <v>57334</v>
      </c>
      <c r="B26776" t="s">
        <v>48</v>
      </c>
      <c r="C26776">
        <v>57334</v>
      </c>
      <c r="D26776" t="str">
        <f>"57334"</f>
        <v>57334</v>
      </c>
      <c r="E26776">
        <v>73.17</v>
      </c>
    </row>
    <row r="26777" spans="1:5" x14ac:dyDescent="0.2">
      <c r="A26777">
        <v>57335</v>
      </c>
      <c r="B26777" t="s">
        <v>48</v>
      </c>
      <c r="C26777">
        <v>57335</v>
      </c>
      <c r="D26777" t="str">
        <f>"57335"</f>
        <v>57335</v>
      </c>
      <c r="E26777">
        <v>72.73</v>
      </c>
    </row>
    <row r="26778" spans="1:5" x14ac:dyDescent="0.2">
      <c r="A26778">
        <v>57337</v>
      </c>
      <c r="B26778" t="s">
        <v>48</v>
      </c>
      <c r="C26778">
        <v>57337</v>
      </c>
      <c r="D26778" t="str">
        <f>"57337"</f>
        <v>57337</v>
      </c>
      <c r="E26778" t="s">
        <v>6</v>
      </c>
    </row>
    <row r="26779" spans="1:5" x14ac:dyDescent="0.2">
      <c r="A26779">
        <v>57339</v>
      </c>
      <c r="B26779" t="s">
        <v>48</v>
      </c>
      <c r="C26779">
        <v>57339</v>
      </c>
      <c r="D26779" t="str">
        <f>"57339"</f>
        <v>57339</v>
      </c>
      <c r="E26779">
        <v>33.33</v>
      </c>
    </row>
    <row r="26780" spans="1:5" x14ac:dyDescent="0.2">
      <c r="A26780">
        <v>57340</v>
      </c>
      <c r="B26780" t="s">
        <v>48</v>
      </c>
      <c r="C26780">
        <v>57340</v>
      </c>
      <c r="D26780" t="str">
        <f>"57340"</f>
        <v>57340</v>
      </c>
      <c r="E26780">
        <v>66.67</v>
      </c>
    </row>
    <row r="26781" spans="1:5" x14ac:dyDescent="0.2">
      <c r="A26781">
        <v>57341</v>
      </c>
      <c r="B26781" t="s">
        <v>48</v>
      </c>
      <c r="C26781">
        <v>57341</v>
      </c>
      <c r="D26781" t="str">
        <f>"57341"</f>
        <v>57341</v>
      </c>
      <c r="E26781" t="s">
        <v>6</v>
      </c>
    </row>
    <row r="26782" spans="1:5" x14ac:dyDescent="0.2">
      <c r="A26782">
        <v>57342</v>
      </c>
      <c r="B26782" t="s">
        <v>48</v>
      </c>
      <c r="C26782">
        <v>57342</v>
      </c>
      <c r="D26782" t="str">
        <f>"57342"</f>
        <v>57342</v>
      </c>
      <c r="E26782">
        <v>66.67</v>
      </c>
    </row>
    <row r="26783" spans="1:5" x14ac:dyDescent="0.2">
      <c r="A26783">
        <v>57344</v>
      </c>
      <c r="B26783" t="s">
        <v>48</v>
      </c>
      <c r="C26783">
        <v>57344</v>
      </c>
      <c r="D26783" t="str">
        <f>"57344"</f>
        <v>57344</v>
      </c>
      <c r="E26783" t="s">
        <v>6</v>
      </c>
    </row>
    <row r="26784" spans="1:5" x14ac:dyDescent="0.2">
      <c r="A26784">
        <v>57345</v>
      </c>
      <c r="B26784" t="s">
        <v>48</v>
      </c>
      <c r="C26784">
        <v>57345</v>
      </c>
      <c r="D26784" t="str">
        <f>"57345"</f>
        <v>57345</v>
      </c>
      <c r="E26784">
        <v>74.55</v>
      </c>
    </row>
    <row r="26785" spans="1:5" x14ac:dyDescent="0.2">
      <c r="A26785">
        <v>57346</v>
      </c>
      <c r="B26785" t="s">
        <v>48</v>
      </c>
      <c r="C26785">
        <v>57346</v>
      </c>
      <c r="D26785" t="str">
        <f>"57346"</f>
        <v>57346</v>
      </c>
      <c r="E26785" t="s">
        <v>6</v>
      </c>
    </row>
    <row r="26786" spans="1:5" x14ac:dyDescent="0.2">
      <c r="A26786">
        <v>57348</v>
      </c>
      <c r="B26786" t="s">
        <v>48</v>
      </c>
      <c r="C26786">
        <v>57348</v>
      </c>
      <c r="D26786" t="str">
        <f>"57348"</f>
        <v>57348</v>
      </c>
      <c r="E26786">
        <v>86.96</v>
      </c>
    </row>
    <row r="26787" spans="1:5" x14ac:dyDescent="0.2">
      <c r="A26787">
        <v>57349</v>
      </c>
      <c r="B26787" t="s">
        <v>48</v>
      </c>
      <c r="C26787">
        <v>57349</v>
      </c>
      <c r="D26787" t="str">
        <f>"57349"</f>
        <v>57349</v>
      </c>
      <c r="E26787">
        <v>73.91</v>
      </c>
    </row>
    <row r="26788" spans="1:5" x14ac:dyDescent="0.2">
      <c r="A26788">
        <v>57350</v>
      </c>
      <c r="B26788" t="s">
        <v>48</v>
      </c>
      <c r="C26788">
        <v>57350</v>
      </c>
      <c r="D26788" t="str">
        <f>"57350"</f>
        <v>57350</v>
      </c>
      <c r="E26788">
        <v>68.06</v>
      </c>
    </row>
    <row r="26789" spans="1:5" x14ac:dyDescent="0.2">
      <c r="A26789">
        <v>57353</v>
      </c>
      <c r="B26789" t="s">
        <v>48</v>
      </c>
      <c r="C26789">
        <v>57353</v>
      </c>
      <c r="D26789" t="str">
        <f>"57353"</f>
        <v>57353</v>
      </c>
      <c r="E26789">
        <v>77.42</v>
      </c>
    </row>
    <row r="26790" spans="1:5" x14ac:dyDescent="0.2">
      <c r="A26790">
        <v>57354</v>
      </c>
      <c r="B26790" t="s">
        <v>48</v>
      </c>
      <c r="C26790">
        <v>57354</v>
      </c>
      <c r="D26790" t="str">
        <f>"57354"</f>
        <v>57354</v>
      </c>
      <c r="E26790" t="s">
        <v>6</v>
      </c>
    </row>
    <row r="26791" spans="1:5" x14ac:dyDescent="0.2">
      <c r="A26791">
        <v>57355</v>
      </c>
      <c r="B26791" t="s">
        <v>48</v>
      </c>
      <c r="C26791">
        <v>57355</v>
      </c>
      <c r="D26791" t="str">
        <f>"57355"</f>
        <v>57355</v>
      </c>
      <c r="E26791">
        <v>69.39</v>
      </c>
    </row>
    <row r="26792" spans="1:5" x14ac:dyDescent="0.2">
      <c r="A26792">
        <v>57356</v>
      </c>
      <c r="B26792" t="s">
        <v>48</v>
      </c>
      <c r="C26792">
        <v>57356</v>
      </c>
      <c r="D26792" t="str">
        <f>"57356"</f>
        <v>57356</v>
      </c>
      <c r="E26792">
        <v>58.21</v>
      </c>
    </row>
    <row r="26793" spans="1:5" x14ac:dyDescent="0.2">
      <c r="A26793">
        <v>57359</v>
      </c>
      <c r="B26793" t="s">
        <v>48</v>
      </c>
      <c r="C26793">
        <v>57359</v>
      </c>
      <c r="D26793" t="str">
        <f>"57359"</f>
        <v>57359</v>
      </c>
      <c r="E26793">
        <v>68.97</v>
      </c>
    </row>
    <row r="26794" spans="1:5" x14ac:dyDescent="0.2">
      <c r="A26794">
        <v>57362</v>
      </c>
      <c r="B26794" t="s">
        <v>48</v>
      </c>
      <c r="C26794">
        <v>57362</v>
      </c>
      <c r="D26794" t="str">
        <f>"57362"</f>
        <v>57362</v>
      </c>
      <c r="E26794">
        <v>73.959999999999994</v>
      </c>
    </row>
    <row r="26795" spans="1:5" x14ac:dyDescent="0.2">
      <c r="A26795">
        <v>57363</v>
      </c>
      <c r="B26795" t="s">
        <v>48</v>
      </c>
      <c r="C26795">
        <v>57363</v>
      </c>
      <c r="D26795" t="str">
        <f>"57363"</f>
        <v>57363</v>
      </c>
      <c r="E26795">
        <v>75</v>
      </c>
    </row>
    <row r="26796" spans="1:5" x14ac:dyDescent="0.2">
      <c r="A26796">
        <v>57364</v>
      </c>
      <c r="B26796" t="s">
        <v>48</v>
      </c>
      <c r="C26796">
        <v>57364</v>
      </c>
      <c r="D26796" t="str">
        <f>"57364"</f>
        <v>57364</v>
      </c>
      <c r="E26796" t="s">
        <v>6</v>
      </c>
    </row>
    <row r="26797" spans="1:5" x14ac:dyDescent="0.2">
      <c r="A26797">
        <v>57365</v>
      </c>
      <c r="B26797" t="s">
        <v>48</v>
      </c>
      <c r="C26797">
        <v>57365</v>
      </c>
      <c r="D26797" t="str">
        <f>"57365"</f>
        <v>57365</v>
      </c>
      <c r="E26797">
        <v>73.91</v>
      </c>
    </row>
    <row r="26798" spans="1:5" x14ac:dyDescent="0.2">
      <c r="A26798">
        <v>57366</v>
      </c>
      <c r="B26798" t="s">
        <v>48</v>
      </c>
      <c r="C26798">
        <v>57366</v>
      </c>
      <c r="D26798" t="str">
        <f>"57366"</f>
        <v>57366</v>
      </c>
      <c r="E26798">
        <v>75.22</v>
      </c>
    </row>
    <row r="26799" spans="1:5" x14ac:dyDescent="0.2">
      <c r="A26799">
        <v>57367</v>
      </c>
      <c r="B26799" t="s">
        <v>48</v>
      </c>
      <c r="C26799">
        <v>57367</v>
      </c>
      <c r="D26799" t="str">
        <f>"57367"</f>
        <v>57367</v>
      </c>
      <c r="E26799" t="s">
        <v>6</v>
      </c>
    </row>
    <row r="26800" spans="1:5" x14ac:dyDescent="0.2">
      <c r="A26800">
        <v>57368</v>
      </c>
      <c r="B26800" t="s">
        <v>48</v>
      </c>
      <c r="C26800">
        <v>57368</v>
      </c>
      <c r="D26800" t="str">
        <f>"57368"</f>
        <v>57368</v>
      </c>
      <c r="E26800">
        <v>69.64</v>
      </c>
    </row>
    <row r="26801" spans="1:5" x14ac:dyDescent="0.2">
      <c r="A26801">
        <v>57369</v>
      </c>
      <c r="B26801" t="s">
        <v>48</v>
      </c>
      <c r="C26801">
        <v>57369</v>
      </c>
      <c r="D26801" t="str">
        <f>"57369"</f>
        <v>57369</v>
      </c>
      <c r="E26801">
        <v>74.31</v>
      </c>
    </row>
    <row r="26802" spans="1:5" x14ac:dyDescent="0.2">
      <c r="A26802">
        <v>57370</v>
      </c>
      <c r="B26802" t="s">
        <v>48</v>
      </c>
      <c r="C26802">
        <v>57370</v>
      </c>
      <c r="D26802" t="str">
        <f>"57370"</f>
        <v>57370</v>
      </c>
      <c r="E26802">
        <v>69.23</v>
      </c>
    </row>
    <row r="26803" spans="1:5" x14ac:dyDescent="0.2">
      <c r="A26803">
        <v>57371</v>
      </c>
      <c r="B26803" t="s">
        <v>48</v>
      </c>
      <c r="C26803">
        <v>57371</v>
      </c>
      <c r="D26803" t="str">
        <f>"57371"</f>
        <v>57371</v>
      </c>
      <c r="E26803">
        <v>54.55</v>
      </c>
    </row>
    <row r="26804" spans="1:5" x14ac:dyDescent="0.2">
      <c r="A26804">
        <v>57373</v>
      </c>
      <c r="B26804" t="s">
        <v>48</v>
      </c>
      <c r="C26804">
        <v>57373</v>
      </c>
      <c r="D26804" t="str">
        <f>"57373"</f>
        <v>57373</v>
      </c>
      <c r="E26804">
        <v>70</v>
      </c>
    </row>
    <row r="26805" spans="1:5" x14ac:dyDescent="0.2">
      <c r="A26805">
        <v>57374</v>
      </c>
      <c r="B26805" t="s">
        <v>48</v>
      </c>
      <c r="C26805">
        <v>57374</v>
      </c>
      <c r="D26805" t="str">
        <f>"57374"</f>
        <v>57374</v>
      </c>
      <c r="E26805">
        <v>64.709999999999994</v>
      </c>
    </row>
    <row r="26806" spans="1:5" x14ac:dyDescent="0.2">
      <c r="A26806">
        <v>57375</v>
      </c>
      <c r="B26806" t="s">
        <v>48</v>
      </c>
      <c r="C26806">
        <v>57375</v>
      </c>
      <c r="D26806" t="str">
        <f>"57375"</f>
        <v>57375</v>
      </c>
      <c r="E26806">
        <v>62.5</v>
      </c>
    </row>
    <row r="26807" spans="1:5" x14ac:dyDescent="0.2">
      <c r="A26807">
        <v>57376</v>
      </c>
      <c r="B26807" t="s">
        <v>48</v>
      </c>
      <c r="C26807">
        <v>57376</v>
      </c>
      <c r="D26807" t="str">
        <f>"57376"</f>
        <v>57376</v>
      </c>
      <c r="E26807">
        <v>66.67</v>
      </c>
    </row>
    <row r="26808" spans="1:5" x14ac:dyDescent="0.2">
      <c r="A26808">
        <v>57379</v>
      </c>
      <c r="B26808" t="s">
        <v>48</v>
      </c>
      <c r="C26808">
        <v>57379</v>
      </c>
      <c r="D26808" t="str">
        <f>"57379"</f>
        <v>57379</v>
      </c>
      <c r="E26808" t="s">
        <v>6</v>
      </c>
    </row>
    <row r="26809" spans="1:5" x14ac:dyDescent="0.2">
      <c r="A26809">
        <v>57380</v>
      </c>
      <c r="B26809" t="s">
        <v>48</v>
      </c>
      <c r="C26809">
        <v>57380</v>
      </c>
      <c r="D26809" t="str">
        <f>"57380"</f>
        <v>57380</v>
      </c>
      <c r="E26809">
        <v>57.85</v>
      </c>
    </row>
    <row r="26810" spans="1:5" x14ac:dyDescent="0.2">
      <c r="A26810">
        <v>57381</v>
      </c>
      <c r="B26810" t="s">
        <v>48</v>
      </c>
      <c r="C26810">
        <v>57381</v>
      </c>
      <c r="D26810" t="str">
        <f>"57381"</f>
        <v>57381</v>
      </c>
      <c r="E26810">
        <v>78.260000000000005</v>
      </c>
    </row>
    <row r="26811" spans="1:5" x14ac:dyDescent="0.2">
      <c r="A26811">
        <v>57382</v>
      </c>
      <c r="B26811" t="s">
        <v>48</v>
      </c>
      <c r="C26811">
        <v>57382</v>
      </c>
      <c r="D26811" t="str">
        <f>"57382"</f>
        <v>57382</v>
      </c>
      <c r="E26811">
        <v>67.209999999999994</v>
      </c>
    </row>
    <row r="26812" spans="1:5" x14ac:dyDescent="0.2">
      <c r="A26812">
        <v>57383</v>
      </c>
      <c r="B26812" t="s">
        <v>48</v>
      </c>
      <c r="C26812">
        <v>57383</v>
      </c>
      <c r="D26812" t="str">
        <f>"57383"</f>
        <v>57383</v>
      </c>
      <c r="E26812">
        <v>63.64</v>
      </c>
    </row>
    <row r="26813" spans="1:5" x14ac:dyDescent="0.2">
      <c r="A26813">
        <v>57384</v>
      </c>
      <c r="B26813" t="s">
        <v>48</v>
      </c>
      <c r="C26813">
        <v>57384</v>
      </c>
      <c r="D26813" t="str">
        <f>"57384"</f>
        <v>57384</v>
      </c>
      <c r="E26813">
        <v>69.23</v>
      </c>
    </row>
    <row r="26814" spans="1:5" x14ac:dyDescent="0.2">
      <c r="A26814">
        <v>57385</v>
      </c>
      <c r="B26814" t="s">
        <v>48</v>
      </c>
      <c r="C26814">
        <v>57385</v>
      </c>
      <c r="D26814" t="str">
        <f>"57385"</f>
        <v>57385</v>
      </c>
      <c r="E26814">
        <v>68.42</v>
      </c>
    </row>
    <row r="26815" spans="1:5" x14ac:dyDescent="0.2">
      <c r="A26815">
        <v>57386</v>
      </c>
      <c r="B26815" t="s">
        <v>48</v>
      </c>
      <c r="C26815">
        <v>57386</v>
      </c>
      <c r="D26815" t="str">
        <f>"57386"</f>
        <v>57386</v>
      </c>
      <c r="E26815" t="s">
        <v>6</v>
      </c>
    </row>
    <row r="26816" spans="1:5" x14ac:dyDescent="0.2">
      <c r="A26816">
        <v>57399</v>
      </c>
      <c r="B26816" t="s">
        <v>48</v>
      </c>
      <c r="C26816">
        <v>57399</v>
      </c>
      <c r="D26816" t="str">
        <f>"57399"</f>
        <v>57399</v>
      </c>
      <c r="E26816" t="s">
        <v>6</v>
      </c>
    </row>
    <row r="26817" spans="1:5" x14ac:dyDescent="0.2">
      <c r="A26817">
        <v>57401</v>
      </c>
      <c r="B26817" t="s">
        <v>48</v>
      </c>
      <c r="C26817">
        <v>57401</v>
      </c>
      <c r="D26817" t="str">
        <f>"57401"</f>
        <v>57401</v>
      </c>
      <c r="E26817">
        <v>75.510000000000005</v>
      </c>
    </row>
    <row r="26818" spans="1:5" x14ac:dyDescent="0.2">
      <c r="A26818">
        <v>57420</v>
      </c>
      <c r="B26818" t="s">
        <v>48</v>
      </c>
      <c r="C26818">
        <v>57420</v>
      </c>
      <c r="D26818" t="str">
        <f>"57420"</f>
        <v>57420</v>
      </c>
      <c r="E26818" t="s">
        <v>6</v>
      </c>
    </row>
    <row r="26819" spans="1:5" x14ac:dyDescent="0.2">
      <c r="A26819">
        <v>57421</v>
      </c>
      <c r="B26819" t="s">
        <v>48</v>
      </c>
      <c r="C26819">
        <v>57421</v>
      </c>
      <c r="D26819" t="str">
        <f>"57421"</f>
        <v>57421</v>
      </c>
      <c r="E26819" t="s">
        <v>6</v>
      </c>
    </row>
    <row r="26820" spans="1:5" x14ac:dyDescent="0.2">
      <c r="A26820">
        <v>57422</v>
      </c>
      <c r="B26820" t="s">
        <v>48</v>
      </c>
      <c r="C26820">
        <v>57422</v>
      </c>
      <c r="D26820" t="str">
        <f>"57422"</f>
        <v>57422</v>
      </c>
      <c r="E26820">
        <v>61.54</v>
      </c>
    </row>
    <row r="26821" spans="1:5" x14ac:dyDescent="0.2">
      <c r="A26821">
        <v>57424</v>
      </c>
      <c r="B26821" t="s">
        <v>48</v>
      </c>
      <c r="C26821">
        <v>57424</v>
      </c>
      <c r="D26821" t="str">
        <f>"57424"</f>
        <v>57424</v>
      </c>
      <c r="E26821">
        <v>78.569999999999993</v>
      </c>
    </row>
    <row r="26822" spans="1:5" x14ac:dyDescent="0.2">
      <c r="A26822">
        <v>57426</v>
      </c>
      <c r="B26822" t="s">
        <v>48</v>
      </c>
      <c r="C26822">
        <v>57426</v>
      </c>
      <c r="D26822" t="str">
        <f>"57426"</f>
        <v>57426</v>
      </c>
      <c r="E26822" t="s">
        <v>6</v>
      </c>
    </row>
    <row r="26823" spans="1:5" x14ac:dyDescent="0.2">
      <c r="A26823">
        <v>57427</v>
      </c>
      <c r="B26823" t="s">
        <v>48</v>
      </c>
      <c r="C26823">
        <v>57427</v>
      </c>
      <c r="D26823" t="str">
        <f>"57427"</f>
        <v>57427</v>
      </c>
      <c r="E26823">
        <v>80</v>
      </c>
    </row>
    <row r="26824" spans="1:5" x14ac:dyDescent="0.2">
      <c r="A26824">
        <v>57428</v>
      </c>
      <c r="B26824" t="s">
        <v>48</v>
      </c>
      <c r="C26824">
        <v>57428</v>
      </c>
      <c r="D26824" t="str">
        <f>"57428"</f>
        <v>57428</v>
      </c>
      <c r="E26824">
        <v>78.569999999999993</v>
      </c>
    </row>
    <row r="26825" spans="1:5" x14ac:dyDescent="0.2">
      <c r="A26825">
        <v>57429</v>
      </c>
      <c r="B26825" t="s">
        <v>48</v>
      </c>
      <c r="C26825">
        <v>57429</v>
      </c>
      <c r="D26825" t="str">
        <f>"57429"</f>
        <v>57429</v>
      </c>
      <c r="E26825" t="s">
        <v>6</v>
      </c>
    </row>
    <row r="26826" spans="1:5" x14ac:dyDescent="0.2">
      <c r="A26826">
        <v>57430</v>
      </c>
      <c r="B26826" t="s">
        <v>48</v>
      </c>
      <c r="C26826">
        <v>57430</v>
      </c>
      <c r="D26826" t="str">
        <f>"57430"</f>
        <v>57430</v>
      </c>
      <c r="E26826">
        <v>75.25</v>
      </c>
    </row>
    <row r="26827" spans="1:5" x14ac:dyDescent="0.2">
      <c r="A26827">
        <v>57432</v>
      </c>
      <c r="B26827" t="s">
        <v>48</v>
      </c>
      <c r="C26827">
        <v>57432</v>
      </c>
      <c r="D26827" t="str">
        <f>"57432"</f>
        <v>57432</v>
      </c>
      <c r="E26827">
        <v>81.25</v>
      </c>
    </row>
    <row r="26828" spans="1:5" x14ac:dyDescent="0.2">
      <c r="A26828">
        <v>57433</v>
      </c>
      <c r="B26828" t="s">
        <v>48</v>
      </c>
      <c r="C26828">
        <v>57433</v>
      </c>
      <c r="D26828" t="str">
        <f>"57433"</f>
        <v>57433</v>
      </c>
      <c r="E26828">
        <v>83.33</v>
      </c>
    </row>
    <row r="26829" spans="1:5" x14ac:dyDescent="0.2">
      <c r="A26829">
        <v>57434</v>
      </c>
      <c r="B26829" t="s">
        <v>48</v>
      </c>
      <c r="C26829">
        <v>57434</v>
      </c>
      <c r="D26829" t="str">
        <f>"57434"</f>
        <v>57434</v>
      </c>
      <c r="E26829">
        <v>70</v>
      </c>
    </row>
    <row r="26830" spans="1:5" x14ac:dyDescent="0.2">
      <c r="A26830">
        <v>57435</v>
      </c>
      <c r="B26830" t="s">
        <v>48</v>
      </c>
      <c r="C26830">
        <v>57435</v>
      </c>
      <c r="D26830" t="str">
        <f>"57435"</f>
        <v>57435</v>
      </c>
      <c r="E26830">
        <v>58.33</v>
      </c>
    </row>
    <row r="26831" spans="1:5" x14ac:dyDescent="0.2">
      <c r="A26831">
        <v>57436</v>
      </c>
      <c r="B26831" t="s">
        <v>48</v>
      </c>
      <c r="C26831">
        <v>57436</v>
      </c>
      <c r="D26831" t="str">
        <f>"57436"</f>
        <v>57436</v>
      </c>
      <c r="E26831">
        <v>70</v>
      </c>
    </row>
    <row r="26832" spans="1:5" x14ac:dyDescent="0.2">
      <c r="A26832">
        <v>57437</v>
      </c>
      <c r="B26832" t="s">
        <v>48</v>
      </c>
      <c r="C26832">
        <v>57437</v>
      </c>
      <c r="D26832" t="str">
        <f>"57437"</f>
        <v>57437</v>
      </c>
      <c r="E26832">
        <v>69.09</v>
      </c>
    </row>
    <row r="26833" spans="1:5" x14ac:dyDescent="0.2">
      <c r="A26833">
        <v>57438</v>
      </c>
      <c r="B26833" t="s">
        <v>48</v>
      </c>
      <c r="C26833">
        <v>57438</v>
      </c>
      <c r="D26833" t="str">
        <f>"57438"</f>
        <v>57438</v>
      </c>
      <c r="E26833">
        <v>68.42</v>
      </c>
    </row>
    <row r="26834" spans="1:5" x14ac:dyDescent="0.2">
      <c r="A26834">
        <v>57439</v>
      </c>
      <c r="B26834" t="s">
        <v>48</v>
      </c>
      <c r="C26834">
        <v>57439</v>
      </c>
      <c r="D26834" t="str">
        <f>"57439"</f>
        <v>57439</v>
      </c>
      <c r="E26834" t="s">
        <v>6</v>
      </c>
    </row>
    <row r="26835" spans="1:5" x14ac:dyDescent="0.2">
      <c r="A26835">
        <v>57440</v>
      </c>
      <c r="B26835" t="s">
        <v>48</v>
      </c>
      <c r="C26835">
        <v>57440</v>
      </c>
      <c r="D26835" t="str">
        <f>"57440"</f>
        <v>57440</v>
      </c>
      <c r="E26835">
        <v>85</v>
      </c>
    </row>
    <row r="26836" spans="1:5" x14ac:dyDescent="0.2">
      <c r="A26836">
        <v>57441</v>
      </c>
      <c r="B26836" t="s">
        <v>48</v>
      </c>
      <c r="C26836">
        <v>57441</v>
      </c>
      <c r="D26836" t="str">
        <f>"57441"</f>
        <v>57441</v>
      </c>
      <c r="E26836">
        <v>72</v>
      </c>
    </row>
    <row r="26837" spans="1:5" x14ac:dyDescent="0.2">
      <c r="A26837">
        <v>57442</v>
      </c>
      <c r="B26837" t="s">
        <v>48</v>
      </c>
      <c r="C26837">
        <v>57442</v>
      </c>
      <c r="D26837" t="str">
        <f>"57442"</f>
        <v>57442</v>
      </c>
      <c r="E26837">
        <v>77.22</v>
      </c>
    </row>
    <row r="26838" spans="1:5" x14ac:dyDescent="0.2">
      <c r="A26838">
        <v>57445</v>
      </c>
      <c r="B26838" t="s">
        <v>48</v>
      </c>
      <c r="C26838">
        <v>57445</v>
      </c>
      <c r="D26838" t="str">
        <f>"57445"</f>
        <v>57445</v>
      </c>
      <c r="E26838">
        <v>78.72</v>
      </c>
    </row>
    <row r="26839" spans="1:5" x14ac:dyDescent="0.2">
      <c r="A26839">
        <v>57446</v>
      </c>
      <c r="B26839" t="s">
        <v>48</v>
      </c>
      <c r="C26839">
        <v>57446</v>
      </c>
      <c r="D26839" t="str">
        <f>"57446"</f>
        <v>57446</v>
      </c>
      <c r="E26839">
        <v>68.42</v>
      </c>
    </row>
    <row r="26840" spans="1:5" x14ac:dyDescent="0.2">
      <c r="A26840">
        <v>57448</v>
      </c>
      <c r="B26840" t="s">
        <v>48</v>
      </c>
      <c r="C26840">
        <v>57448</v>
      </c>
      <c r="D26840" t="str">
        <f>"57448"</f>
        <v>57448</v>
      </c>
      <c r="E26840">
        <v>69.23</v>
      </c>
    </row>
    <row r="26841" spans="1:5" x14ac:dyDescent="0.2">
      <c r="A26841">
        <v>57449</v>
      </c>
      <c r="B26841" t="s">
        <v>48</v>
      </c>
      <c r="C26841">
        <v>57449</v>
      </c>
      <c r="D26841" t="str">
        <f>"57449"</f>
        <v>57449</v>
      </c>
      <c r="E26841" t="s">
        <v>6</v>
      </c>
    </row>
    <row r="26842" spans="1:5" x14ac:dyDescent="0.2">
      <c r="A26842">
        <v>57450</v>
      </c>
      <c r="B26842" t="s">
        <v>48</v>
      </c>
      <c r="C26842">
        <v>57450</v>
      </c>
      <c r="D26842" t="str">
        <f>"57450"</f>
        <v>57450</v>
      </c>
      <c r="E26842">
        <v>70</v>
      </c>
    </row>
    <row r="26843" spans="1:5" x14ac:dyDescent="0.2">
      <c r="A26843">
        <v>57451</v>
      </c>
      <c r="B26843" t="s">
        <v>48</v>
      </c>
      <c r="C26843">
        <v>57451</v>
      </c>
      <c r="D26843" t="str">
        <f>"57451"</f>
        <v>57451</v>
      </c>
      <c r="E26843">
        <v>77.89</v>
      </c>
    </row>
    <row r="26844" spans="1:5" x14ac:dyDescent="0.2">
      <c r="A26844">
        <v>57452</v>
      </c>
      <c r="B26844" t="s">
        <v>48</v>
      </c>
      <c r="C26844">
        <v>57452</v>
      </c>
      <c r="D26844" t="str">
        <f>"57452"</f>
        <v>57452</v>
      </c>
      <c r="E26844">
        <v>66.67</v>
      </c>
    </row>
    <row r="26845" spans="1:5" x14ac:dyDescent="0.2">
      <c r="A26845">
        <v>57454</v>
      </c>
      <c r="B26845" t="s">
        <v>48</v>
      </c>
      <c r="C26845">
        <v>57454</v>
      </c>
      <c r="D26845" t="str">
        <f>"57454"</f>
        <v>57454</v>
      </c>
      <c r="E26845">
        <v>78.569999999999993</v>
      </c>
    </row>
    <row r="26846" spans="1:5" x14ac:dyDescent="0.2">
      <c r="A26846">
        <v>57455</v>
      </c>
      <c r="B26846" t="s">
        <v>48</v>
      </c>
      <c r="C26846">
        <v>57455</v>
      </c>
      <c r="D26846" t="str">
        <f>"57455"</f>
        <v>57455</v>
      </c>
      <c r="E26846" t="s">
        <v>6</v>
      </c>
    </row>
    <row r="26847" spans="1:5" x14ac:dyDescent="0.2">
      <c r="A26847">
        <v>57456</v>
      </c>
      <c r="B26847" t="s">
        <v>48</v>
      </c>
      <c r="C26847">
        <v>57456</v>
      </c>
      <c r="D26847" t="str">
        <f>"57456"</f>
        <v>57456</v>
      </c>
      <c r="E26847">
        <v>67.650000000000006</v>
      </c>
    </row>
    <row r="26848" spans="1:5" x14ac:dyDescent="0.2">
      <c r="A26848">
        <v>57457</v>
      </c>
      <c r="B26848" t="s">
        <v>48</v>
      </c>
      <c r="C26848">
        <v>57457</v>
      </c>
      <c r="D26848" t="str">
        <f>"57457"</f>
        <v>57457</v>
      </c>
      <c r="E26848" t="s">
        <v>6</v>
      </c>
    </row>
    <row r="26849" spans="1:5" x14ac:dyDescent="0.2">
      <c r="A26849">
        <v>57460</v>
      </c>
      <c r="B26849" t="s">
        <v>48</v>
      </c>
      <c r="C26849">
        <v>57460</v>
      </c>
      <c r="D26849" t="str">
        <f>"57460"</f>
        <v>57460</v>
      </c>
      <c r="E26849">
        <v>64.709999999999994</v>
      </c>
    </row>
    <row r="26850" spans="1:5" x14ac:dyDescent="0.2">
      <c r="A26850">
        <v>57461</v>
      </c>
      <c r="B26850" t="s">
        <v>48</v>
      </c>
      <c r="C26850">
        <v>57461</v>
      </c>
      <c r="D26850" t="str">
        <f>"57461"</f>
        <v>57461</v>
      </c>
      <c r="E26850">
        <v>73.680000000000007</v>
      </c>
    </row>
    <row r="26851" spans="1:5" x14ac:dyDescent="0.2">
      <c r="A26851">
        <v>57465</v>
      </c>
      <c r="B26851" t="s">
        <v>48</v>
      </c>
      <c r="C26851">
        <v>57465</v>
      </c>
      <c r="D26851" t="str">
        <f>"57465"</f>
        <v>57465</v>
      </c>
      <c r="E26851">
        <v>76.47</v>
      </c>
    </row>
    <row r="26852" spans="1:5" x14ac:dyDescent="0.2">
      <c r="A26852">
        <v>57466</v>
      </c>
      <c r="B26852" t="s">
        <v>48</v>
      </c>
      <c r="C26852">
        <v>57466</v>
      </c>
      <c r="D26852" t="str">
        <f>"57466"</f>
        <v>57466</v>
      </c>
      <c r="E26852" t="s">
        <v>6</v>
      </c>
    </row>
    <row r="26853" spans="1:5" x14ac:dyDescent="0.2">
      <c r="A26853">
        <v>57467</v>
      </c>
      <c r="B26853" t="s">
        <v>48</v>
      </c>
      <c r="C26853">
        <v>57467</v>
      </c>
      <c r="D26853" t="str">
        <f>"57467"</f>
        <v>57467</v>
      </c>
      <c r="E26853">
        <v>66.67</v>
      </c>
    </row>
    <row r="26854" spans="1:5" x14ac:dyDescent="0.2">
      <c r="A26854">
        <v>57468</v>
      </c>
      <c r="B26854" t="s">
        <v>48</v>
      </c>
      <c r="C26854">
        <v>57468</v>
      </c>
      <c r="D26854" t="str">
        <f>"57468"</f>
        <v>57468</v>
      </c>
      <c r="E26854">
        <v>72.73</v>
      </c>
    </row>
    <row r="26855" spans="1:5" x14ac:dyDescent="0.2">
      <c r="A26855">
        <v>57469</v>
      </c>
      <c r="B26855" t="s">
        <v>48</v>
      </c>
      <c r="C26855">
        <v>57469</v>
      </c>
      <c r="D26855" t="str">
        <f>"57469"</f>
        <v>57469</v>
      </c>
      <c r="E26855">
        <v>74.34</v>
      </c>
    </row>
    <row r="26856" spans="1:5" x14ac:dyDescent="0.2">
      <c r="A26856">
        <v>57470</v>
      </c>
      <c r="B26856" t="s">
        <v>48</v>
      </c>
      <c r="C26856">
        <v>57470</v>
      </c>
      <c r="D26856" t="str">
        <f>"57470"</f>
        <v>57470</v>
      </c>
      <c r="E26856" t="s">
        <v>6</v>
      </c>
    </row>
    <row r="26857" spans="1:5" x14ac:dyDescent="0.2">
      <c r="A26857">
        <v>57471</v>
      </c>
      <c r="B26857" t="s">
        <v>48</v>
      </c>
      <c r="C26857">
        <v>57471</v>
      </c>
      <c r="D26857" t="str">
        <f>"57471"</f>
        <v>57471</v>
      </c>
      <c r="E26857">
        <v>68.97</v>
      </c>
    </row>
    <row r="26858" spans="1:5" x14ac:dyDescent="0.2">
      <c r="A26858">
        <v>57472</v>
      </c>
      <c r="B26858" t="s">
        <v>48</v>
      </c>
      <c r="C26858">
        <v>57472</v>
      </c>
      <c r="D26858" t="str">
        <f>"57472"</f>
        <v>57472</v>
      </c>
      <c r="E26858">
        <v>75</v>
      </c>
    </row>
    <row r="26859" spans="1:5" x14ac:dyDescent="0.2">
      <c r="A26859">
        <v>57473</v>
      </c>
      <c r="B26859" t="s">
        <v>48</v>
      </c>
      <c r="C26859">
        <v>57473</v>
      </c>
      <c r="D26859" t="str">
        <f>"57473"</f>
        <v>57473</v>
      </c>
      <c r="E26859" t="s">
        <v>6</v>
      </c>
    </row>
    <row r="26860" spans="1:5" x14ac:dyDescent="0.2">
      <c r="A26860">
        <v>57474</v>
      </c>
      <c r="B26860" t="s">
        <v>48</v>
      </c>
      <c r="C26860">
        <v>57474</v>
      </c>
      <c r="D26860" t="str">
        <f>"57474"</f>
        <v>57474</v>
      </c>
      <c r="E26860" t="s">
        <v>6</v>
      </c>
    </row>
    <row r="26861" spans="1:5" x14ac:dyDescent="0.2">
      <c r="A26861">
        <v>57475</v>
      </c>
      <c r="B26861" t="s">
        <v>48</v>
      </c>
      <c r="C26861">
        <v>57475</v>
      </c>
      <c r="D26861" t="str">
        <f>"57475"</f>
        <v>57475</v>
      </c>
      <c r="E26861" t="s">
        <v>6</v>
      </c>
    </row>
    <row r="26862" spans="1:5" x14ac:dyDescent="0.2">
      <c r="A26862">
        <v>57476</v>
      </c>
      <c r="B26862" t="s">
        <v>48</v>
      </c>
      <c r="C26862">
        <v>57476</v>
      </c>
      <c r="D26862" t="str">
        <f>"57476"</f>
        <v>57476</v>
      </c>
      <c r="E26862">
        <v>78.260000000000005</v>
      </c>
    </row>
    <row r="26863" spans="1:5" x14ac:dyDescent="0.2">
      <c r="A26863">
        <v>57477</v>
      </c>
      <c r="B26863" t="s">
        <v>48</v>
      </c>
      <c r="C26863">
        <v>57477</v>
      </c>
      <c r="D26863" t="str">
        <f>"57477"</f>
        <v>57477</v>
      </c>
      <c r="E26863" t="s">
        <v>6</v>
      </c>
    </row>
    <row r="26864" spans="1:5" x14ac:dyDescent="0.2">
      <c r="A26864">
        <v>57479</v>
      </c>
      <c r="B26864" t="s">
        <v>48</v>
      </c>
      <c r="C26864">
        <v>57479</v>
      </c>
      <c r="D26864" t="str">
        <f>"57479"</f>
        <v>57479</v>
      </c>
      <c r="E26864">
        <v>84.85</v>
      </c>
    </row>
    <row r="26865" spans="1:5" x14ac:dyDescent="0.2">
      <c r="A26865">
        <v>57481</v>
      </c>
      <c r="B26865" t="s">
        <v>48</v>
      </c>
      <c r="C26865">
        <v>57481</v>
      </c>
      <c r="D26865" t="str">
        <f>"57481"</f>
        <v>57481</v>
      </c>
      <c r="E26865">
        <v>77.27</v>
      </c>
    </row>
    <row r="26866" spans="1:5" x14ac:dyDescent="0.2">
      <c r="A26866">
        <v>57501</v>
      </c>
      <c r="B26866" t="s">
        <v>48</v>
      </c>
      <c r="C26866">
        <v>57501</v>
      </c>
      <c r="D26866" t="str">
        <f>"57501"</f>
        <v>57501</v>
      </c>
      <c r="E26866">
        <v>77.239999999999995</v>
      </c>
    </row>
    <row r="26867" spans="1:5" x14ac:dyDescent="0.2">
      <c r="A26867">
        <v>57520</v>
      </c>
      <c r="B26867" t="s">
        <v>48</v>
      </c>
      <c r="C26867">
        <v>57520</v>
      </c>
      <c r="D26867" t="str">
        <f>"57520"</f>
        <v>57520</v>
      </c>
      <c r="E26867" t="s">
        <v>6</v>
      </c>
    </row>
    <row r="26868" spans="1:5" x14ac:dyDescent="0.2">
      <c r="A26868">
        <v>57521</v>
      </c>
      <c r="B26868" t="s">
        <v>48</v>
      </c>
      <c r="C26868">
        <v>57521</v>
      </c>
      <c r="D26868" t="str">
        <f>"57521"</f>
        <v>57521</v>
      </c>
      <c r="E26868" t="s">
        <v>6</v>
      </c>
    </row>
    <row r="26869" spans="1:5" x14ac:dyDescent="0.2">
      <c r="A26869">
        <v>57522</v>
      </c>
      <c r="B26869" t="s">
        <v>48</v>
      </c>
      <c r="C26869">
        <v>57522</v>
      </c>
      <c r="D26869" t="str">
        <f>"57522"</f>
        <v>57522</v>
      </c>
      <c r="E26869">
        <v>81.819999999999993</v>
      </c>
    </row>
    <row r="26870" spans="1:5" x14ac:dyDescent="0.2">
      <c r="A26870">
        <v>57523</v>
      </c>
      <c r="B26870" t="s">
        <v>48</v>
      </c>
      <c r="C26870">
        <v>57523</v>
      </c>
      <c r="D26870" t="str">
        <f>"57523"</f>
        <v>57523</v>
      </c>
      <c r="E26870">
        <v>70.59</v>
      </c>
    </row>
    <row r="26871" spans="1:5" x14ac:dyDescent="0.2">
      <c r="A26871">
        <v>57528</v>
      </c>
      <c r="B26871" t="s">
        <v>48</v>
      </c>
      <c r="C26871">
        <v>57528</v>
      </c>
      <c r="D26871" t="str">
        <f>"57528"</f>
        <v>57528</v>
      </c>
      <c r="E26871">
        <v>64.709999999999994</v>
      </c>
    </row>
    <row r="26872" spans="1:5" x14ac:dyDescent="0.2">
      <c r="A26872">
        <v>57529</v>
      </c>
      <c r="B26872" t="s">
        <v>48</v>
      </c>
      <c r="C26872">
        <v>57529</v>
      </c>
      <c r="D26872" t="str">
        <f>"57529"</f>
        <v>57529</v>
      </c>
      <c r="E26872">
        <v>50</v>
      </c>
    </row>
    <row r="26873" spans="1:5" x14ac:dyDescent="0.2">
      <c r="A26873">
        <v>57531</v>
      </c>
      <c r="B26873" t="s">
        <v>48</v>
      </c>
      <c r="C26873">
        <v>57531</v>
      </c>
      <c r="D26873" t="str">
        <f>"57531"</f>
        <v>57531</v>
      </c>
      <c r="E26873">
        <v>70</v>
      </c>
    </row>
    <row r="26874" spans="1:5" x14ac:dyDescent="0.2">
      <c r="A26874">
        <v>57532</v>
      </c>
      <c r="B26874" t="s">
        <v>48</v>
      </c>
      <c r="C26874">
        <v>57532</v>
      </c>
      <c r="D26874" t="str">
        <f>"57532"</f>
        <v>57532</v>
      </c>
      <c r="E26874">
        <v>79.19</v>
      </c>
    </row>
    <row r="26875" spans="1:5" x14ac:dyDescent="0.2">
      <c r="A26875">
        <v>57533</v>
      </c>
      <c r="B26875" t="s">
        <v>48</v>
      </c>
      <c r="C26875">
        <v>57533</v>
      </c>
      <c r="D26875" t="str">
        <f>"57533"</f>
        <v>57533</v>
      </c>
      <c r="E26875">
        <v>60.44</v>
      </c>
    </row>
    <row r="26876" spans="1:5" x14ac:dyDescent="0.2">
      <c r="A26876">
        <v>57534</v>
      </c>
      <c r="B26876" t="s">
        <v>48</v>
      </c>
      <c r="C26876">
        <v>57534</v>
      </c>
      <c r="D26876" t="str">
        <f>"57534"</f>
        <v>57534</v>
      </c>
      <c r="E26876">
        <v>66.67</v>
      </c>
    </row>
    <row r="26877" spans="1:5" x14ac:dyDescent="0.2">
      <c r="A26877">
        <v>57536</v>
      </c>
      <c r="B26877" t="s">
        <v>48</v>
      </c>
      <c r="C26877">
        <v>57536</v>
      </c>
      <c r="D26877" t="str">
        <f>"57536"</f>
        <v>57536</v>
      </c>
      <c r="E26877">
        <v>57.14</v>
      </c>
    </row>
    <row r="26878" spans="1:5" x14ac:dyDescent="0.2">
      <c r="A26878">
        <v>57537</v>
      </c>
      <c r="B26878" t="s">
        <v>48</v>
      </c>
      <c r="C26878">
        <v>57537</v>
      </c>
      <c r="D26878" t="str">
        <f>"57537"</f>
        <v>57537</v>
      </c>
      <c r="E26878" t="s">
        <v>6</v>
      </c>
    </row>
    <row r="26879" spans="1:5" x14ac:dyDescent="0.2">
      <c r="A26879">
        <v>57538</v>
      </c>
      <c r="B26879" t="s">
        <v>48</v>
      </c>
      <c r="C26879">
        <v>57538</v>
      </c>
      <c r="D26879" t="str">
        <f>"57538"</f>
        <v>57538</v>
      </c>
      <c r="E26879">
        <v>46.15</v>
      </c>
    </row>
    <row r="26880" spans="1:5" x14ac:dyDescent="0.2">
      <c r="A26880">
        <v>57540</v>
      </c>
      <c r="B26880" t="s">
        <v>48</v>
      </c>
      <c r="C26880">
        <v>57540</v>
      </c>
      <c r="D26880" t="str">
        <f>"57540"</f>
        <v>57540</v>
      </c>
      <c r="E26880" t="s">
        <v>6</v>
      </c>
    </row>
    <row r="26881" spans="1:5" x14ac:dyDescent="0.2">
      <c r="A26881">
        <v>57541</v>
      </c>
      <c r="B26881" t="s">
        <v>48</v>
      </c>
      <c r="C26881">
        <v>57541</v>
      </c>
      <c r="D26881" t="str">
        <f>"57541"</f>
        <v>57541</v>
      </c>
      <c r="E26881" t="s">
        <v>6</v>
      </c>
    </row>
    <row r="26882" spans="1:5" x14ac:dyDescent="0.2">
      <c r="A26882">
        <v>57543</v>
      </c>
      <c r="B26882" t="s">
        <v>48</v>
      </c>
      <c r="C26882">
        <v>57543</v>
      </c>
      <c r="D26882" t="str">
        <f>"57543"</f>
        <v>57543</v>
      </c>
      <c r="E26882">
        <v>67.5</v>
      </c>
    </row>
    <row r="26883" spans="1:5" x14ac:dyDescent="0.2">
      <c r="A26883">
        <v>57544</v>
      </c>
      <c r="B26883" t="s">
        <v>48</v>
      </c>
      <c r="C26883">
        <v>57544</v>
      </c>
      <c r="D26883" t="str">
        <f>"57544"</f>
        <v>57544</v>
      </c>
      <c r="E26883">
        <v>71.430000000000007</v>
      </c>
    </row>
    <row r="26884" spans="1:5" x14ac:dyDescent="0.2">
      <c r="A26884">
        <v>57547</v>
      </c>
      <c r="B26884" t="s">
        <v>48</v>
      </c>
      <c r="C26884">
        <v>57547</v>
      </c>
      <c r="D26884" t="str">
        <f>"57547"</f>
        <v>57547</v>
      </c>
      <c r="E26884" t="s">
        <v>6</v>
      </c>
    </row>
    <row r="26885" spans="1:5" x14ac:dyDescent="0.2">
      <c r="A26885">
        <v>57548</v>
      </c>
      <c r="B26885" t="s">
        <v>48</v>
      </c>
      <c r="C26885">
        <v>57548</v>
      </c>
      <c r="D26885" t="str">
        <f>"57548"</f>
        <v>57548</v>
      </c>
      <c r="E26885">
        <v>38.46</v>
      </c>
    </row>
    <row r="26886" spans="1:5" x14ac:dyDescent="0.2">
      <c r="A26886">
        <v>57551</v>
      </c>
      <c r="B26886" t="s">
        <v>48</v>
      </c>
      <c r="C26886">
        <v>57551</v>
      </c>
      <c r="D26886" t="str">
        <f>"57551"</f>
        <v>57551</v>
      </c>
      <c r="E26886">
        <v>59.76</v>
      </c>
    </row>
    <row r="26887" spans="1:5" x14ac:dyDescent="0.2">
      <c r="A26887">
        <v>57552</v>
      </c>
      <c r="B26887" t="s">
        <v>48</v>
      </c>
      <c r="C26887">
        <v>57552</v>
      </c>
      <c r="D26887" t="str">
        <f>"57552"</f>
        <v>57552</v>
      </c>
      <c r="E26887">
        <v>61.54</v>
      </c>
    </row>
    <row r="26888" spans="1:5" x14ac:dyDescent="0.2">
      <c r="A26888">
        <v>57553</v>
      </c>
      <c r="B26888" t="s">
        <v>48</v>
      </c>
      <c r="C26888">
        <v>57553</v>
      </c>
      <c r="D26888" t="str">
        <f>"57553"</f>
        <v>57553</v>
      </c>
      <c r="E26888" t="s">
        <v>6</v>
      </c>
    </row>
    <row r="26889" spans="1:5" x14ac:dyDescent="0.2">
      <c r="A26889">
        <v>57555</v>
      </c>
      <c r="B26889" t="s">
        <v>48</v>
      </c>
      <c r="C26889">
        <v>57555</v>
      </c>
      <c r="D26889" t="str">
        <f>"57555"</f>
        <v>57555</v>
      </c>
      <c r="E26889">
        <v>49.22</v>
      </c>
    </row>
    <row r="26890" spans="1:5" x14ac:dyDescent="0.2">
      <c r="A26890">
        <v>57559</v>
      </c>
      <c r="B26890" t="s">
        <v>48</v>
      </c>
      <c r="C26890">
        <v>57559</v>
      </c>
      <c r="D26890" t="str">
        <f>"57559"</f>
        <v>57559</v>
      </c>
      <c r="E26890">
        <v>68.75</v>
      </c>
    </row>
    <row r="26891" spans="1:5" x14ac:dyDescent="0.2">
      <c r="A26891">
        <v>57560</v>
      </c>
      <c r="B26891" t="s">
        <v>48</v>
      </c>
      <c r="C26891">
        <v>57560</v>
      </c>
      <c r="D26891" t="str">
        <f>"57560"</f>
        <v>57560</v>
      </c>
      <c r="E26891">
        <v>40</v>
      </c>
    </row>
    <row r="26892" spans="1:5" x14ac:dyDescent="0.2">
      <c r="A26892">
        <v>57562</v>
      </c>
      <c r="B26892" t="s">
        <v>48</v>
      </c>
      <c r="C26892">
        <v>57562</v>
      </c>
      <c r="D26892" t="str">
        <f>"57562"</f>
        <v>57562</v>
      </c>
      <c r="E26892" t="s">
        <v>6</v>
      </c>
    </row>
    <row r="26893" spans="1:5" x14ac:dyDescent="0.2">
      <c r="A26893">
        <v>57563</v>
      </c>
      <c r="B26893" t="s">
        <v>48</v>
      </c>
      <c r="C26893">
        <v>57563</v>
      </c>
      <c r="D26893" t="str">
        <f>"57563"</f>
        <v>57563</v>
      </c>
      <c r="E26893" t="s">
        <v>6</v>
      </c>
    </row>
    <row r="26894" spans="1:5" x14ac:dyDescent="0.2">
      <c r="A26894">
        <v>57564</v>
      </c>
      <c r="B26894" t="s">
        <v>48</v>
      </c>
      <c r="C26894">
        <v>57564</v>
      </c>
      <c r="D26894" t="str">
        <f>"57564"</f>
        <v>57564</v>
      </c>
      <c r="E26894">
        <v>79.59</v>
      </c>
    </row>
    <row r="26895" spans="1:5" x14ac:dyDescent="0.2">
      <c r="A26895">
        <v>57566</v>
      </c>
      <c r="B26895" t="s">
        <v>48</v>
      </c>
      <c r="C26895">
        <v>57566</v>
      </c>
      <c r="D26895" t="str">
        <f>"57566"</f>
        <v>57566</v>
      </c>
      <c r="E26895">
        <v>29.63</v>
      </c>
    </row>
    <row r="26896" spans="1:5" x14ac:dyDescent="0.2">
      <c r="A26896">
        <v>57567</v>
      </c>
      <c r="B26896" t="s">
        <v>48</v>
      </c>
      <c r="C26896">
        <v>57567</v>
      </c>
      <c r="D26896" t="str">
        <f>"57567"</f>
        <v>57567</v>
      </c>
      <c r="E26896">
        <v>71.010000000000005</v>
      </c>
    </row>
    <row r="26897" spans="1:5" x14ac:dyDescent="0.2">
      <c r="A26897">
        <v>57568</v>
      </c>
      <c r="B26897" t="s">
        <v>48</v>
      </c>
      <c r="C26897">
        <v>57568</v>
      </c>
      <c r="D26897" t="str">
        <f>"57568"</f>
        <v>57568</v>
      </c>
      <c r="E26897">
        <v>73.53</v>
      </c>
    </row>
    <row r="26898" spans="1:5" x14ac:dyDescent="0.2">
      <c r="A26898">
        <v>57569</v>
      </c>
      <c r="B26898" t="s">
        <v>48</v>
      </c>
      <c r="C26898">
        <v>57569</v>
      </c>
      <c r="D26898" t="str">
        <f>"57569"</f>
        <v>57569</v>
      </c>
      <c r="E26898">
        <v>61.11</v>
      </c>
    </row>
    <row r="26899" spans="1:5" x14ac:dyDescent="0.2">
      <c r="A26899">
        <v>57570</v>
      </c>
      <c r="B26899" t="s">
        <v>48</v>
      </c>
      <c r="C26899">
        <v>57570</v>
      </c>
      <c r="D26899" t="str">
        <f>"57570"</f>
        <v>57570</v>
      </c>
      <c r="E26899" t="s">
        <v>6</v>
      </c>
    </row>
    <row r="26900" spans="1:5" x14ac:dyDescent="0.2">
      <c r="A26900">
        <v>57571</v>
      </c>
      <c r="B26900" t="s">
        <v>48</v>
      </c>
      <c r="C26900">
        <v>57571</v>
      </c>
      <c r="D26900" t="str">
        <f>"57571"</f>
        <v>57571</v>
      </c>
      <c r="E26900" t="s">
        <v>6</v>
      </c>
    </row>
    <row r="26901" spans="1:5" x14ac:dyDescent="0.2">
      <c r="A26901">
        <v>57572</v>
      </c>
      <c r="B26901" t="s">
        <v>48</v>
      </c>
      <c r="C26901">
        <v>57572</v>
      </c>
      <c r="D26901" t="str">
        <f>"57572"</f>
        <v>57572</v>
      </c>
      <c r="E26901">
        <v>42.5</v>
      </c>
    </row>
    <row r="26902" spans="1:5" x14ac:dyDescent="0.2">
      <c r="A26902">
        <v>57574</v>
      </c>
      <c r="B26902" t="s">
        <v>48</v>
      </c>
      <c r="C26902">
        <v>57574</v>
      </c>
      <c r="D26902" t="str">
        <f>"57574"</f>
        <v>57574</v>
      </c>
      <c r="E26902" t="s">
        <v>6</v>
      </c>
    </row>
    <row r="26903" spans="1:5" x14ac:dyDescent="0.2">
      <c r="A26903">
        <v>57576</v>
      </c>
      <c r="B26903" t="s">
        <v>48</v>
      </c>
      <c r="C26903">
        <v>57576</v>
      </c>
      <c r="D26903" t="str">
        <f>"57576"</f>
        <v>57576</v>
      </c>
      <c r="E26903">
        <v>66.67</v>
      </c>
    </row>
    <row r="26904" spans="1:5" x14ac:dyDescent="0.2">
      <c r="A26904">
        <v>57577</v>
      </c>
      <c r="B26904" t="s">
        <v>48</v>
      </c>
      <c r="C26904">
        <v>57577</v>
      </c>
      <c r="D26904" t="str">
        <f>"57577"</f>
        <v>57577</v>
      </c>
      <c r="E26904">
        <v>34.479999999999997</v>
      </c>
    </row>
    <row r="26905" spans="1:5" x14ac:dyDescent="0.2">
      <c r="A26905">
        <v>57579</v>
      </c>
      <c r="B26905" t="s">
        <v>48</v>
      </c>
      <c r="C26905">
        <v>57579</v>
      </c>
      <c r="D26905" t="str">
        <f>"57579"</f>
        <v>57579</v>
      </c>
      <c r="E26905">
        <v>54.35</v>
      </c>
    </row>
    <row r="26906" spans="1:5" x14ac:dyDescent="0.2">
      <c r="A26906">
        <v>57580</v>
      </c>
      <c r="B26906" t="s">
        <v>48</v>
      </c>
      <c r="C26906">
        <v>57580</v>
      </c>
      <c r="D26906" t="str">
        <f>"57580"</f>
        <v>57580</v>
      </c>
      <c r="E26906">
        <v>65.31</v>
      </c>
    </row>
    <row r="26907" spans="1:5" x14ac:dyDescent="0.2">
      <c r="A26907">
        <v>57584</v>
      </c>
      <c r="B26907" t="s">
        <v>48</v>
      </c>
      <c r="C26907">
        <v>57584</v>
      </c>
      <c r="D26907" t="str">
        <f>"57584"</f>
        <v>57584</v>
      </c>
      <c r="E26907" t="s">
        <v>6</v>
      </c>
    </row>
    <row r="26908" spans="1:5" x14ac:dyDescent="0.2">
      <c r="A26908">
        <v>57585</v>
      </c>
      <c r="B26908" t="s">
        <v>48</v>
      </c>
      <c r="C26908">
        <v>57585</v>
      </c>
      <c r="D26908" t="str">
        <f>"57585"</f>
        <v>57585</v>
      </c>
      <c r="E26908">
        <v>75</v>
      </c>
    </row>
    <row r="26909" spans="1:5" x14ac:dyDescent="0.2">
      <c r="A26909">
        <v>57601</v>
      </c>
      <c r="B26909" t="s">
        <v>48</v>
      </c>
      <c r="C26909">
        <v>57601</v>
      </c>
      <c r="D26909" t="str">
        <f>"57601"</f>
        <v>57601</v>
      </c>
      <c r="E26909">
        <v>69.31</v>
      </c>
    </row>
    <row r="26910" spans="1:5" x14ac:dyDescent="0.2">
      <c r="A26910">
        <v>57620</v>
      </c>
      <c r="B26910" t="s">
        <v>48</v>
      </c>
      <c r="C26910">
        <v>57620</v>
      </c>
      <c r="D26910" t="str">
        <f>"57620"</f>
        <v>57620</v>
      </c>
      <c r="E26910">
        <v>70.83</v>
      </c>
    </row>
    <row r="26911" spans="1:5" x14ac:dyDescent="0.2">
      <c r="A26911">
        <v>57621</v>
      </c>
      <c r="B26911" t="s">
        <v>48</v>
      </c>
      <c r="C26911">
        <v>57621</v>
      </c>
      <c r="D26911" t="str">
        <f>"57621"</f>
        <v>57621</v>
      </c>
      <c r="E26911" t="s">
        <v>6</v>
      </c>
    </row>
    <row r="26912" spans="1:5" x14ac:dyDescent="0.2">
      <c r="A26912">
        <v>57622</v>
      </c>
      <c r="B26912" t="s">
        <v>48</v>
      </c>
      <c r="C26912">
        <v>57622</v>
      </c>
      <c r="D26912" t="str">
        <f>"57622"</f>
        <v>57622</v>
      </c>
      <c r="E26912" t="s">
        <v>6</v>
      </c>
    </row>
    <row r="26913" spans="1:5" x14ac:dyDescent="0.2">
      <c r="A26913">
        <v>57623</v>
      </c>
      <c r="B26913" t="s">
        <v>48</v>
      </c>
      <c r="C26913">
        <v>57623</v>
      </c>
      <c r="D26913" t="str">
        <f>"57623"</f>
        <v>57623</v>
      </c>
      <c r="E26913">
        <v>60</v>
      </c>
    </row>
    <row r="26914" spans="1:5" x14ac:dyDescent="0.2">
      <c r="A26914">
        <v>57625</v>
      </c>
      <c r="B26914" t="s">
        <v>48</v>
      </c>
      <c r="C26914">
        <v>57625</v>
      </c>
      <c r="D26914" t="str">
        <f>"57625"</f>
        <v>57625</v>
      </c>
      <c r="E26914">
        <v>51.32</v>
      </c>
    </row>
    <row r="26915" spans="1:5" x14ac:dyDescent="0.2">
      <c r="A26915">
        <v>57626</v>
      </c>
      <c r="B26915" t="s">
        <v>48</v>
      </c>
      <c r="C26915">
        <v>57626</v>
      </c>
      <c r="D26915" t="str">
        <f>"57626"</f>
        <v>57626</v>
      </c>
      <c r="E26915">
        <v>59.52</v>
      </c>
    </row>
    <row r="26916" spans="1:5" x14ac:dyDescent="0.2">
      <c r="A26916">
        <v>57630</v>
      </c>
      <c r="B26916" t="s">
        <v>48</v>
      </c>
      <c r="C26916">
        <v>57630</v>
      </c>
      <c r="D26916" t="str">
        <f>"57630"</f>
        <v>57630</v>
      </c>
      <c r="E26916" t="s">
        <v>6</v>
      </c>
    </row>
    <row r="26917" spans="1:5" x14ac:dyDescent="0.2">
      <c r="A26917">
        <v>57631</v>
      </c>
      <c r="B26917" t="s">
        <v>48</v>
      </c>
      <c r="C26917">
        <v>57631</v>
      </c>
      <c r="D26917" t="str">
        <f>"57631"</f>
        <v>57631</v>
      </c>
      <c r="E26917">
        <v>81.25</v>
      </c>
    </row>
    <row r="26918" spans="1:5" x14ac:dyDescent="0.2">
      <c r="A26918">
        <v>57632</v>
      </c>
      <c r="B26918" t="s">
        <v>48</v>
      </c>
      <c r="C26918">
        <v>57632</v>
      </c>
      <c r="D26918" t="str">
        <f>"57632"</f>
        <v>57632</v>
      </c>
      <c r="E26918">
        <v>70</v>
      </c>
    </row>
    <row r="26919" spans="1:5" x14ac:dyDescent="0.2">
      <c r="A26919">
        <v>57633</v>
      </c>
      <c r="B26919" t="s">
        <v>48</v>
      </c>
      <c r="C26919">
        <v>57633</v>
      </c>
      <c r="D26919" t="str">
        <f>"57633"</f>
        <v>57633</v>
      </c>
      <c r="E26919">
        <v>72.22</v>
      </c>
    </row>
    <row r="26920" spans="1:5" x14ac:dyDescent="0.2">
      <c r="A26920">
        <v>57634</v>
      </c>
      <c r="B26920" t="s">
        <v>48</v>
      </c>
      <c r="C26920">
        <v>57634</v>
      </c>
      <c r="D26920" t="str">
        <f>"57634"</f>
        <v>57634</v>
      </c>
      <c r="E26920" t="s">
        <v>6</v>
      </c>
    </row>
    <row r="26921" spans="1:5" x14ac:dyDescent="0.2">
      <c r="A26921">
        <v>57636</v>
      </c>
      <c r="B26921" t="s">
        <v>48</v>
      </c>
      <c r="C26921">
        <v>57636</v>
      </c>
      <c r="D26921" t="str">
        <f>"57636"</f>
        <v>57636</v>
      </c>
      <c r="E26921" t="s">
        <v>6</v>
      </c>
    </row>
    <row r="26922" spans="1:5" x14ac:dyDescent="0.2">
      <c r="A26922">
        <v>57638</v>
      </c>
      <c r="B26922" t="s">
        <v>48</v>
      </c>
      <c r="C26922">
        <v>57638</v>
      </c>
      <c r="D26922" t="str">
        <f>"57638"</f>
        <v>57638</v>
      </c>
      <c r="E26922">
        <v>71.62</v>
      </c>
    </row>
    <row r="26923" spans="1:5" x14ac:dyDescent="0.2">
      <c r="A26923">
        <v>57639</v>
      </c>
      <c r="B26923" t="s">
        <v>48</v>
      </c>
      <c r="C26923">
        <v>57639</v>
      </c>
      <c r="D26923" t="str">
        <f>"57639"</f>
        <v>57639</v>
      </c>
      <c r="E26923" t="s">
        <v>6</v>
      </c>
    </row>
    <row r="26924" spans="1:5" x14ac:dyDescent="0.2">
      <c r="A26924">
        <v>57640</v>
      </c>
      <c r="B26924" t="s">
        <v>48</v>
      </c>
      <c r="C26924">
        <v>57640</v>
      </c>
      <c r="D26924" t="str">
        <f>"57640"</f>
        <v>57640</v>
      </c>
      <c r="E26924" t="s">
        <v>6</v>
      </c>
    </row>
    <row r="26925" spans="1:5" x14ac:dyDescent="0.2">
      <c r="A26925">
        <v>57641</v>
      </c>
      <c r="B26925" t="s">
        <v>48</v>
      </c>
      <c r="C26925">
        <v>57641</v>
      </c>
      <c r="D26925" t="str">
        <f>"57641"</f>
        <v>57641</v>
      </c>
      <c r="E26925">
        <v>70</v>
      </c>
    </row>
    <row r="26926" spans="1:5" x14ac:dyDescent="0.2">
      <c r="A26926">
        <v>57642</v>
      </c>
      <c r="B26926" t="s">
        <v>48</v>
      </c>
      <c r="C26926">
        <v>57642</v>
      </c>
      <c r="D26926" t="str">
        <f>"57642"</f>
        <v>57642</v>
      </c>
      <c r="E26926">
        <v>56.36</v>
      </c>
    </row>
    <row r="26927" spans="1:5" x14ac:dyDescent="0.2">
      <c r="A26927">
        <v>57644</v>
      </c>
      <c r="B26927" t="s">
        <v>48</v>
      </c>
      <c r="C26927">
        <v>57644</v>
      </c>
      <c r="D26927" t="str">
        <f>"57644"</f>
        <v>57644</v>
      </c>
      <c r="E26927">
        <v>57.14</v>
      </c>
    </row>
    <row r="26928" spans="1:5" x14ac:dyDescent="0.2">
      <c r="A26928">
        <v>57645</v>
      </c>
      <c r="B26928" t="s">
        <v>48</v>
      </c>
      <c r="C26928">
        <v>57645</v>
      </c>
      <c r="D26928" t="str">
        <f>"57645"</f>
        <v>57645</v>
      </c>
      <c r="E26928" t="s">
        <v>6</v>
      </c>
    </row>
    <row r="26929" spans="1:5" x14ac:dyDescent="0.2">
      <c r="A26929">
        <v>57646</v>
      </c>
      <c r="B26929" t="s">
        <v>48</v>
      </c>
      <c r="C26929">
        <v>57646</v>
      </c>
      <c r="D26929" t="str">
        <f>"57646"</f>
        <v>57646</v>
      </c>
      <c r="E26929">
        <v>75</v>
      </c>
    </row>
    <row r="26930" spans="1:5" x14ac:dyDescent="0.2">
      <c r="A26930">
        <v>57648</v>
      </c>
      <c r="B26930" t="s">
        <v>48</v>
      </c>
      <c r="C26930">
        <v>57648</v>
      </c>
      <c r="D26930" t="str">
        <f>"57648"</f>
        <v>57648</v>
      </c>
      <c r="E26930">
        <v>80</v>
      </c>
    </row>
    <row r="26931" spans="1:5" x14ac:dyDescent="0.2">
      <c r="A26931">
        <v>57649</v>
      </c>
      <c r="B26931" t="s">
        <v>48</v>
      </c>
      <c r="C26931">
        <v>57649</v>
      </c>
      <c r="D26931" t="str">
        <f>"57649"</f>
        <v>57649</v>
      </c>
      <c r="E26931">
        <v>50</v>
      </c>
    </row>
    <row r="26932" spans="1:5" x14ac:dyDescent="0.2">
      <c r="A26932">
        <v>57650</v>
      </c>
      <c r="B26932" t="s">
        <v>48</v>
      </c>
      <c r="C26932">
        <v>57650</v>
      </c>
      <c r="D26932" t="str">
        <f>"57650"</f>
        <v>57650</v>
      </c>
      <c r="E26932" t="s">
        <v>6</v>
      </c>
    </row>
    <row r="26933" spans="1:5" x14ac:dyDescent="0.2">
      <c r="A26933">
        <v>57651</v>
      </c>
      <c r="B26933" t="s">
        <v>48</v>
      </c>
      <c r="C26933">
        <v>57651</v>
      </c>
      <c r="D26933" t="str">
        <f>"57651"</f>
        <v>57651</v>
      </c>
      <c r="E26933" t="s">
        <v>6</v>
      </c>
    </row>
    <row r="26934" spans="1:5" x14ac:dyDescent="0.2">
      <c r="A26934">
        <v>57652</v>
      </c>
      <c r="B26934" t="s">
        <v>48</v>
      </c>
      <c r="C26934">
        <v>57652</v>
      </c>
      <c r="D26934" t="str">
        <f>"57652"</f>
        <v>57652</v>
      </c>
      <c r="E26934">
        <v>45.45</v>
      </c>
    </row>
    <row r="26935" spans="1:5" x14ac:dyDescent="0.2">
      <c r="A26935">
        <v>57656</v>
      </c>
      <c r="B26935" t="s">
        <v>48</v>
      </c>
      <c r="C26935">
        <v>57656</v>
      </c>
      <c r="D26935" t="str">
        <f>"57656"</f>
        <v>57656</v>
      </c>
      <c r="E26935">
        <v>69.44</v>
      </c>
    </row>
    <row r="26936" spans="1:5" x14ac:dyDescent="0.2">
      <c r="A26936">
        <v>57657</v>
      </c>
      <c r="B26936" t="s">
        <v>48</v>
      </c>
      <c r="C26936">
        <v>57657</v>
      </c>
      <c r="D26936" t="str">
        <f>"57657"</f>
        <v>57657</v>
      </c>
      <c r="E26936" t="s">
        <v>6</v>
      </c>
    </row>
    <row r="26937" spans="1:5" x14ac:dyDescent="0.2">
      <c r="A26937">
        <v>57658</v>
      </c>
      <c r="B26937" t="s">
        <v>48</v>
      </c>
      <c r="C26937">
        <v>57658</v>
      </c>
      <c r="D26937" t="str">
        <f>"57658"</f>
        <v>57658</v>
      </c>
      <c r="E26937">
        <v>33.33</v>
      </c>
    </row>
    <row r="26938" spans="1:5" x14ac:dyDescent="0.2">
      <c r="A26938">
        <v>57659</v>
      </c>
      <c r="B26938" t="s">
        <v>48</v>
      </c>
      <c r="C26938">
        <v>57659</v>
      </c>
      <c r="D26938" t="str">
        <f>"57659"</f>
        <v>57659</v>
      </c>
      <c r="E26938" t="s">
        <v>6</v>
      </c>
    </row>
    <row r="26939" spans="1:5" x14ac:dyDescent="0.2">
      <c r="A26939">
        <v>57660</v>
      </c>
      <c r="B26939" t="s">
        <v>48</v>
      </c>
      <c r="C26939">
        <v>57660</v>
      </c>
      <c r="D26939" t="str">
        <f>"57660"</f>
        <v>57660</v>
      </c>
      <c r="E26939" t="s">
        <v>6</v>
      </c>
    </row>
    <row r="26940" spans="1:5" x14ac:dyDescent="0.2">
      <c r="A26940">
        <v>57661</v>
      </c>
      <c r="B26940" t="s">
        <v>48</v>
      </c>
      <c r="C26940">
        <v>57661</v>
      </c>
      <c r="D26940" t="str">
        <f>"57661"</f>
        <v>57661</v>
      </c>
      <c r="E26940" t="s">
        <v>6</v>
      </c>
    </row>
    <row r="26941" spans="1:5" x14ac:dyDescent="0.2">
      <c r="A26941">
        <v>57701</v>
      </c>
      <c r="B26941" t="s">
        <v>48</v>
      </c>
      <c r="C26941">
        <v>57701</v>
      </c>
      <c r="D26941" t="str">
        <f>"57701"</f>
        <v>57701</v>
      </c>
      <c r="E26941">
        <v>68.819999999999993</v>
      </c>
    </row>
    <row r="26942" spans="1:5" x14ac:dyDescent="0.2">
      <c r="A26942">
        <v>57702</v>
      </c>
      <c r="B26942" t="s">
        <v>48</v>
      </c>
      <c r="C26942">
        <v>57702</v>
      </c>
      <c r="D26942" t="str">
        <f>"57702"</f>
        <v>57702</v>
      </c>
      <c r="E26942">
        <v>78.34</v>
      </c>
    </row>
    <row r="26943" spans="1:5" x14ac:dyDescent="0.2">
      <c r="A26943">
        <v>57703</v>
      </c>
      <c r="B26943" t="s">
        <v>48</v>
      </c>
      <c r="C26943">
        <v>57703</v>
      </c>
      <c r="D26943" t="str">
        <f>"57703"</f>
        <v>57703</v>
      </c>
      <c r="E26943">
        <v>75.16</v>
      </c>
    </row>
    <row r="26944" spans="1:5" x14ac:dyDescent="0.2">
      <c r="A26944">
        <v>57706</v>
      </c>
      <c r="B26944" t="s">
        <v>48</v>
      </c>
      <c r="C26944">
        <v>57706</v>
      </c>
      <c r="D26944" t="str">
        <f>"57706"</f>
        <v>57706</v>
      </c>
      <c r="E26944">
        <v>72.040000000000006</v>
      </c>
    </row>
    <row r="26945" spans="1:5" x14ac:dyDescent="0.2">
      <c r="A26945">
        <v>57714</v>
      </c>
      <c r="B26945" t="s">
        <v>48</v>
      </c>
      <c r="C26945">
        <v>57714</v>
      </c>
      <c r="D26945" t="str">
        <f>"57714"</f>
        <v>57714</v>
      </c>
      <c r="E26945">
        <v>30.43</v>
      </c>
    </row>
    <row r="26946" spans="1:5" x14ac:dyDescent="0.2">
      <c r="A26946">
        <v>57716</v>
      </c>
      <c r="B26946" t="s">
        <v>48</v>
      </c>
      <c r="C26946">
        <v>57716</v>
      </c>
      <c r="D26946" t="str">
        <f>"57716"</f>
        <v>57716</v>
      </c>
      <c r="E26946">
        <v>58.82</v>
      </c>
    </row>
    <row r="26947" spans="1:5" x14ac:dyDescent="0.2">
      <c r="A26947">
        <v>57717</v>
      </c>
      <c r="B26947" t="s">
        <v>48</v>
      </c>
      <c r="C26947">
        <v>57717</v>
      </c>
      <c r="D26947" t="str">
        <f>"57717"</f>
        <v>57717</v>
      </c>
      <c r="E26947">
        <v>68.59</v>
      </c>
    </row>
    <row r="26948" spans="1:5" x14ac:dyDescent="0.2">
      <c r="A26948">
        <v>57718</v>
      </c>
      <c r="B26948" t="s">
        <v>48</v>
      </c>
      <c r="C26948">
        <v>57718</v>
      </c>
      <c r="D26948" t="str">
        <f>"57718"</f>
        <v>57718</v>
      </c>
      <c r="E26948">
        <v>76.92</v>
      </c>
    </row>
    <row r="26949" spans="1:5" x14ac:dyDescent="0.2">
      <c r="A26949">
        <v>57719</v>
      </c>
      <c r="B26949" t="s">
        <v>48</v>
      </c>
      <c r="C26949">
        <v>57719</v>
      </c>
      <c r="D26949" t="str">
        <f>"57719"</f>
        <v>57719</v>
      </c>
      <c r="E26949">
        <v>76.05</v>
      </c>
    </row>
    <row r="26950" spans="1:5" x14ac:dyDescent="0.2">
      <c r="A26950">
        <v>57720</v>
      </c>
      <c r="B26950" t="s">
        <v>48</v>
      </c>
      <c r="C26950">
        <v>57720</v>
      </c>
      <c r="D26950" t="str">
        <f>"57720"</f>
        <v>57720</v>
      </c>
      <c r="E26950">
        <v>64.709999999999994</v>
      </c>
    </row>
    <row r="26951" spans="1:5" x14ac:dyDescent="0.2">
      <c r="A26951">
        <v>57722</v>
      </c>
      <c r="B26951" t="s">
        <v>48</v>
      </c>
      <c r="C26951">
        <v>57722</v>
      </c>
      <c r="D26951" t="str">
        <f>"57722"</f>
        <v>57722</v>
      </c>
      <c r="E26951">
        <v>62.5</v>
      </c>
    </row>
    <row r="26952" spans="1:5" x14ac:dyDescent="0.2">
      <c r="A26952">
        <v>57724</v>
      </c>
      <c r="B26952" t="s">
        <v>48</v>
      </c>
      <c r="C26952">
        <v>57724</v>
      </c>
      <c r="D26952" t="str">
        <f>"57724"</f>
        <v>57724</v>
      </c>
      <c r="E26952" t="s">
        <v>6</v>
      </c>
    </row>
    <row r="26953" spans="1:5" x14ac:dyDescent="0.2">
      <c r="A26953">
        <v>57725</v>
      </c>
      <c r="B26953" t="s">
        <v>48</v>
      </c>
      <c r="C26953">
        <v>57725</v>
      </c>
      <c r="D26953" t="str">
        <f>"57725"</f>
        <v>57725</v>
      </c>
      <c r="E26953">
        <v>83.33</v>
      </c>
    </row>
    <row r="26954" spans="1:5" x14ac:dyDescent="0.2">
      <c r="A26954">
        <v>57730</v>
      </c>
      <c r="B26954" t="s">
        <v>48</v>
      </c>
      <c r="C26954">
        <v>57730</v>
      </c>
      <c r="D26954" t="str">
        <f>"57730"</f>
        <v>57730</v>
      </c>
      <c r="E26954">
        <v>74.540000000000006</v>
      </c>
    </row>
    <row r="26955" spans="1:5" x14ac:dyDescent="0.2">
      <c r="A26955">
        <v>57732</v>
      </c>
      <c r="B26955" t="s">
        <v>48</v>
      </c>
      <c r="C26955">
        <v>57732</v>
      </c>
      <c r="D26955" t="str">
        <f>"57732"</f>
        <v>57732</v>
      </c>
      <c r="E26955">
        <v>73.81</v>
      </c>
    </row>
    <row r="26956" spans="1:5" x14ac:dyDescent="0.2">
      <c r="A26956">
        <v>57735</v>
      </c>
      <c r="B26956" t="s">
        <v>48</v>
      </c>
      <c r="C26956">
        <v>57735</v>
      </c>
      <c r="D26956" t="str">
        <f>"57735"</f>
        <v>57735</v>
      </c>
      <c r="E26956">
        <v>67.27</v>
      </c>
    </row>
    <row r="26957" spans="1:5" x14ac:dyDescent="0.2">
      <c r="A26957">
        <v>57737</v>
      </c>
      <c r="B26957" t="s">
        <v>48</v>
      </c>
      <c r="C26957">
        <v>57737</v>
      </c>
      <c r="D26957" t="str">
        <f>"57737"</f>
        <v>57737</v>
      </c>
      <c r="E26957" t="s">
        <v>6</v>
      </c>
    </row>
    <row r="26958" spans="1:5" x14ac:dyDescent="0.2">
      <c r="A26958">
        <v>57738</v>
      </c>
      <c r="B26958" t="s">
        <v>48</v>
      </c>
      <c r="C26958">
        <v>57738</v>
      </c>
      <c r="D26958" t="str">
        <f>"57738"</f>
        <v>57738</v>
      </c>
      <c r="E26958">
        <v>70</v>
      </c>
    </row>
    <row r="26959" spans="1:5" x14ac:dyDescent="0.2">
      <c r="A26959">
        <v>57741</v>
      </c>
      <c r="B26959" t="s">
        <v>48</v>
      </c>
      <c r="C26959">
        <v>57741</v>
      </c>
      <c r="D26959" t="str">
        <f>"57741"</f>
        <v>57741</v>
      </c>
      <c r="E26959" t="s">
        <v>6</v>
      </c>
    </row>
    <row r="26960" spans="1:5" x14ac:dyDescent="0.2">
      <c r="A26960">
        <v>57744</v>
      </c>
      <c r="B26960" t="s">
        <v>48</v>
      </c>
      <c r="C26960">
        <v>57744</v>
      </c>
      <c r="D26960" t="str">
        <f>"57744"</f>
        <v>57744</v>
      </c>
      <c r="E26960">
        <v>72.650000000000006</v>
      </c>
    </row>
    <row r="26961" spans="1:5" x14ac:dyDescent="0.2">
      <c r="A26961">
        <v>57745</v>
      </c>
      <c r="B26961" t="s">
        <v>48</v>
      </c>
      <c r="C26961">
        <v>57745</v>
      </c>
      <c r="D26961" t="str">
        <f>"57745"</f>
        <v>57745</v>
      </c>
      <c r="E26961">
        <v>70.540000000000006</v>
      </c>
    </row>
    <row r="26962" spans="1:5" x14ac:dyDescent="0.2">
      <c r="A26962">
        <v>57747</v>
      </c>
      <c r="B26962" t="s">
        <v>48</v>
      </c>
      <c r="C26962">
        <v>57747</v>
      </c>
      <c r="D26962" t="str">
        <f>"57747"</f>
        <v>57747</v>
      </c>
      <c r="E26962">
        <v>72.400000000000006</v>
      </c>
    </row>
    <row r="26963" spans="1:5" x14ac:dyDescent="0.2">
      <c r="A26963">
        <v>57748</v>
      </c>
      <c r="B26963" t="s">
        <v>48</v>
      </c>
      <c r="C26963">
        <v>57748</v>
      </c>
      <c r="D26963" t="str">
        <f>"57748"</f>
        <v>57748</v>
      </c>
      <c r="E26963" t="s">
        <v>6</v>
      </c>
    </row>
    <row r="26964" spans="1:5" x14ac:dyDescent="0.2">
      <c r="A26964">
        <v>57750</v>
      </c>
      <c r="B26964" t="s">
        <v>48</v>
      </c>
      <c r="C26964">
        <v>57750</v>
      </c>
      <c r="D26964" t="str">
        <f>"57750"</f>
        <v>57750</v>
      </c>
      <c r="E26964">
        <v>53.33</v>
      </c>
    </row>
    <row r="26965" spans="1:5" x14ac:dyDescent="0.2">
      <c r="A26965">
        <v>57751</v>
      </c>
      <c r="B26965" t="s">
        <v>48</v>
      </c>
      <c r="C26965">
        <v>57751</v>
      </c>
      <c r="D26965" t="str">
        <f>"57751"</f>
        <v>57751</v>
      </c>
      <c r="E26965">
        <v>73.91</v>
      </c>
    </row>
    <row r="26966" spans="1:5" x14ac:dyDescent="0.2">
      <c r="A26966">
        <v>57752</v>
      </c>
      <c r="B26966" t="s">
        <v>48</v>
      </c>
      <c r="C26966">
        <v>57752</v>
      </c>
      <c r="D26966" t="str">
        <f>"57752"</f>
        <v>57752</v>
      </c>
      <c r="E26966">
        <v>42.86</v>
      </c>
    </row>
    <row r="26967" spans="1:5" x14ac:dyDescent="0.2">
      <c r="A26967">
        <v>57754</v>
      </c>
      <c r="B26967" t="s">
        <v>48</v>
      </c>
      <c r="C26967">
        <v>57754</v>
      </c>
      <c r="D26967" t="str">
        <f>"57754"</f>
        <v>57754</v>
      </c>
      <c r="E26967">
        <v>73.989999999999995</v>
      </c>
    </row>
    <row r="26968" spans="1:5" x14ac:dyDescent="0.2">
      <c r="A26968">
        <v>57755</v>
      </c>
      <c r="B26968" t="s">
        <v>48</v>
      </c>
      <c r="C26968">
        <v>57755</v>
      </c>
      <c r="D26968" t="str">
        <f>"57755"</f>
        <v>57755</v>
      </c>
      <c r="E26968" t="s">
        <v>6</v>
      </c>
    </row>
    <row r="26969" spans="1:5" x14ac:dyDescent="0.2">
      <c r="A26969">
        <v>57756</v>
      </c>
      <c r="B26969" t="s">
        <v>48</v>
      </c>
      <c r="C26969">
        <v>57756</v>
      </c>
      <c r="D26969" t="str">
        <f>"57756"</f>
        <v>57756</v>
      </c>
      <c r="E26969" t="s">
        <v>6</v>
      </c>
    </row>
    <row r="26970" spans="1:5" x14ac:dyDescent="0.2">
      <c r="A26970">
        <v>57758</v>
      </c>
      <c r="B26970" t="s">
        <v>48</v>
      </c>
      <c r="C26970">
        <v>57758</v>
      </c>
      <c r="D26970" t="str">
        <f>"57758"</f>
        <v>57758</v>
      </c>
      <c r="E26970" t="s">
        <v>6</v>
      </c>
    </row>
    <row r="26971" spans="1:5" x14ac:dyDescent="0.2">
      <c r="A26971">
        <v>57759</v>
      </c>
      <c r="B26971" t="s">
        <v>48</v>
      </c>
      <c r="C26971">
        <v>57759</v>
      </c>
      <c r="D26971" t="str">
        <f>"57759"</f>
        <v>57759</v>
      </c>
      <c r="E26971">
        <v>68.180000000000007</v>
      </c>
    </row>
    <row r="26972" spans="1:5" x14ac:dyDescent="0.2">
      <c r="A26972">
        <v>57760</v>
      </c>
      <c r="B26972" t="s">
        <v>48</v>
      </c>
      <c r="C26972">
        <v>57760</v>
      </c>
      <c r="D26972" t="str">
        <f>"57760"</f>
        <v>57760</v>
      </c>
      <c r="E26972">
        <v>64.709999999999994</v>
      </c>
    </row>
    <row r="26973" spans="1:5" x14ac:dyDescent="0.2">
      <c r="A26973">
        <v>57761</v>
      </c>
      <c r="B26973" t="s">
        <v>48</v>
      </c>
      <c r="C26973">
        <v>57761</v>
      </c>
      <c r="D26973" t="str">
        <f>"57761"</f>
        <v>57761</v>
      </c>
      <c r="E26973">
        <v>69.81</v>
      </c>
    </row>
    <row r="26974" spans="1:5" x14ac:dyDescent="0.2">
      <c r="A26974">
        <v>57762</v>
      </c>
      <c r="B26974" t="s">
        <v>48</v>
      </c>
      <c r="C26974">
        <v>57762</v>
      </c>
      <c r="D26974" t="str">
        <f>"57762"</f>
        <v>57762</v>
      </c>
      <c r="E26974">
        <v>58.33</v>
      </c>
    </row>
    <row r="26975" spans="1:5" x14ac:dyDescent="0.2">
      <c r="A26975">
        <v>57763</v>
      </c>
      <c r="B26975" t="s">
        <v>48</v>
      </c>
      <c r="C26975">
        <v>57763</v>
      </c>
      <c r="D26975" t="str">
        <f>"57763"</f>
        <v>57763</v>
      </c>
      <c r="E26975">
        <v>71.430000000000007</v>
      </c>
    </row>
    <row r="26976" spans="1:5" x14ac:dyDescent="0.2">
      <c r="A26976">
        <v>57764</v>
      </c>
      <c r="B26976" t="s">
        <v>48</v>
      </c>
      <c r="C26976">
        <v>57764</v>
      </c>
      <c r="D26976" t="str">
        <f>"57764"</f>
        <v>57764</v>
      </c>
      <c r="E26976">
        <v>38.64</v>
      </c>
    </row>
    <row r="26977" spans="1:5" x14ac:dyDescent="0.2">
      <c r="A26977">
        <v>57766</v>
      </c>
      <c r="B26977" t="s">
        <v>48</v>
      </c>
      <c r="C26977">
        <v>57766</v>
      </c>
      <c r="D26977" t="str">
        <f>"57766"</f>
        <v>57766</v>
      </c>
      <c r="E26977">
        <v>70</v>
      </c>
    </row>
    <row r="26978" spans="1:5" x14ac:dyDescent="0.2">
      <c r="A26978">
        <v>57767</v>
      </c>
      <c r="B26978" t="s">
        <v>48</v>
      </c>
      <c r="C26978">
        <v>57767</v>
      </c>
      <c r="D26978" t="str">
        <f>"57767"</f>
        <v>57767</v>
      </c>
      <c r="E26978" t="s">
        <v>6</v>
      </c>
    </row>
    <row r="26979" spans="1:5" x14ac:dyDescent="0.2">
      <c r="A26979">
        <v>57769</v>
      </c>
      <c r="B26979" t="s">
        <v>48</v>
      </c>
      <c r="C26979">
        <v>57769</v>
      </c>
      <c r="D26979" t="str">
        <f>"57769"</f>
        <v>57769</v>
      </c>
      <c r="E26979">
        <v>80</v>
      </c>
    </row>
    <row r="26980" spans="1:5" x14ac:dyDescent="0.2">
      <c r="A26980">
        <v>57770</v>
      </c>
      <c r="B26980" t="s">
        <v>48</v>
      </c>
      <c r="C26980">
        <v>57770</v>
      </c>
      <c r="D26980" t="str">
        <f>"57770"</f>
        <v>57770</v>
      </c>
      <c r="E26980">
        <v>45.9</v>
      </c>
    </row>
    <row r="26981" spans="1:5" x14ac:dyDescent="0.2">
      <c r="A26981">
        <v>57772</v>
      </c>
      <c r="B26981" t="s">
        <v>48</v>
      </c>
      <c r="C26981">
        <v>57772</v>
      </c>
      <c r="D26981" t="str">
        <f>"57772"</f>
        <v>57772</v>
      </c>
      <c r="E26981">
        <v>44.44</v>
      </c>
    </row>
    <row r="26982" spans="1:5" x14ac:dyDescent="0.2">
      <c r="A26982">
        <v>57773</v>
      </c>
      <c r="B26982" t="s">
        <v>48</v>
      </c>
      <c r="C26982">
        <v>57773</v>
      </c>
      <c r="D26982" t="str">
        <f>"57773"</f>
        <v>57773</v>
      </c>
      <c r="E26982" t="s">
        <v>6</v>
      </c>
    </row>
    <row r="26983" spans="1:5" x14ac:dyDescent="0.2">
      <c r="A26983">
        <v>57775</v>
      </c>
      <c r="B26983" t="s">
        <v>48</v>
      </c>
      <c r="C26983">
        <v>57775</v>
      </c>
      <c r="D26983" t="str">
        <f>"57775"</f>
        <v>57775</v>
      </c>
      <c r="E26983">
        <v>63.64</v>
      </c>
    </row>
    <row r="26984" spans="1:5" x14ac:dyDescent="0.2">
      <c r="A26984">
        <v>57776</v>
      </c>
      <c r="B26984" t="s">
        <v>48</v>
      </c>
      <c r="C26984">
        <v>57776</v>
      </c>
      <c r="D26984" t="str">
        <f>"57776"</f>
        <v>57776</v>
      </c>
      <c r="E26984" t="s">
        <v>6</v>
      </c>
    </row>
    <row r="26985" spans="1:5" x14ac:dyDescent="0.2">
      <c r="A26985">
        <v>57779</v>
      </c>
      <c r="B26985" t="s">
        <v>48</v>
      </c>
      <c r="C26985">
        <v>57779</v>
      </c>
      <c r="D26985" t="str">
        <f>"57779"</f>
        <v>57779</v>
      </c>
      <c r="E26985">
        <v>61.11</v>
      </c>
    </row>
    <row r="26986" spans="1:5" x14ac:dyDescent="0.2">
      <c r="A26986">
        <v>57780</v>
      </c>
      <c r="B26986" t="s">
        <v>48</v>
      </c>
      <c r="C26986">
        <v>57780</v>
      </c>
      <c r="D26986" t="str">
        <f>"57780"</f>
        <v>57780</v>
      </c>
      <c r="E26986" t="s">
        <v>6</v>
      </c>
    </row>
    <row r="26987" spans="1:5" x14ac:dyDescent="0.2">
      <c r="A26987">
        <v>57782</v>
      </c>
      <c r="B26987" t="s">
        <v>48</v>
      </c>
      <c r="C26987">
        <v>57782</v>
      </c>
      <c r="D26987" t="str">
        <f>"57782"</f>
        <v>57782</v>
      </c>
      <c r="E26987" t="s">
        <v>6</v>
      </c>
    </row>
    <row r="26988" spans="1:5" x14ac:dyDescent="0.2">
      <c r="A26988">
        <v>57783</v>
      </c>
      <c r="B26988" t="s">
        <v>48</v>
      </c>
      <c r="C26988">
        <v>57783</v>
      </c>
      <c r="D26988" t="str">
        <f>"57783"</f>
        <v>57783</v>
      </c>
      <c r="E26988">
        <v>74.42</v>
      </c>
    </row>
    <row r="26989" spans="1:5" x14ac:dyDescent="0.2">
      <c r="A26989">
        <v>57785</v>
      </c>
      <c r="B26989" t="s">
        <v>48</v>
      </c>
      <c r="C26989">
        <v>57785</v>
      </c>
      <c r="D26989" t="str">
        <f>"57785"</f>
        <v>57785</v>
      </c>
      <c r="E26989">
        <v>72.53</v>
      </c>
    </row>
    <row r="26990" spans="1:5" x14ac:dyDescent="0.2">
      <c r="A26990">
        <v>57787</v>
      </c>
      <c r="B26990" t="s">
        <v>48</v>
      </c>
      <c r="C26990">
        <v>57787</v>
      </c>
      <c r="D26990" t="str">
        <f>"57787"</f>
        <v>57787</v>
      </c>
      <c r="E26990">
        <v>50</v>
      </c>
    </row>
    <row r="26991" spans="1:5" x14ac:dyDescent="0.2">
      <c r="A26991">
        <v>57788</v>
      </c>
      <c r="B26991" t="s">
        <v>48</v>
      </c>
      <c r="C26991">
        <v>57788</v>
      </c>
      <c r="D26991" t="str">
        <f>"57788"</f>
        <v>57788</v>
      </c>
      <c r="E26991">
        <v>68</v>
      </c>
    </row>
    <row r="26992" spans="1:5" x14ac:dyDescent="0.2">
      <c r="A26992">
        <v>57790</v>
      </c>
      <c r="B26992" t="s">
        <v>48</v>
      </c>
      <c r="C26992">
        <v>57790</v>
      </c>
      <c r="D26992" t="str">
        <f>"57790"</f>
        <v>57790</v>
      </c>
      <c r="E26992">
        <v>73.680000000000007</v>
      </c>
    </row>
    <row r="26993" spans="1:5" x14ac:dyDescent="0.2">
      <c r="A26993">
        <v>57791</v>
      </c>
      <c r="B26993" t="s">
        <v>48</v>
      </c>
      <c r="C26993">
        <v>57791</v>
      </c>
      <c r="D26993" t="str">
        <f>"57791"</f>
        <v>57791</v>
      </c>
      <c r="E26993" t="s">
        <v>6</v>
      </c>
    </row>
    <row r="26994" spans="1:5" x14ac:dyDescent="0.2">
      <c r="A26994">
        <v>57792</v>
      </c>
      <c r="B26994" t="s">
        <v>48</v>
      </c>
      <c r="C26994">
        <v>57792</v>
      </c>
      <c r="D26994" t="str">
        <f>"57792"</f>
        <v>57792</v>
      </c>
      <c r="E26994" t="s">
        <v>6</v>
      </c>
    </row>
    <row r="26995" spans="1:5" x14ac:dyDescent="0.2">
      <c r="A26995">
        <v>57793</v>
      </c>
      <c r="B26995" t="s">
        <v>48</v>
      </c>
      <c r="C26995">
        <v>57793</v>
      </c>
      <c r="D26995" t="str">
        <f>"57793"</f>
        <v>57793</v>
      </c>
      <c r="E26995">
        <v>74.489999999999995</v>
      </c>
    </row>
    <row r="26996" spans="1:5" x14ac:dyDescent="0.2">
      <c r="A26996">
        <v>57794</v>
      </c>
      <c r="B26996" t="s">
        <v>48</v>
      </c>
      <c r="C26996">
        <v>57794</v>
      </c>
      <c r="D26996" t="str">
        <f>"57794"</f>
        <v>57794</v>
      </c>
      <c r="E26996">
        <v>21.43</v>
      </c>
    </row>
    <row r="26997" spans="1:5" x14ac:dyDescent="0.2">
      <c r="A26997">
        <v>57799</v>
      </c>
      <c r="B26997" t="s">
        <v>48</v>
      </c>
      <c r="C26997">
        <v>57799</v>
      </c>
      <c r="D26997" t="str">
        <f>"57799"</f>
        <v>57799</v>
      </c>
      <c r="E26997" t="s">
        <v>6</v>
      </c>
    </row>
    <row r="26998" spans="1:5" x14ac:dyDescent="0.2">
      <c r="A26998">
        <v>37010</v>
      </c>
      <c r="B26998" t="s">
        <v>49</v>
      </c>
      <c r="C26998">
        <v>37010</v>
      </c>
      <c r="D26998" t="str">
        <f>"37010"</f>
        <v>37010</v>
      </c>
      <c r="E26998">
        <v>73.41</v>
      </c>
    </row>
    <row r="26999" spans="1:5" x14ac:dyDescent="0.2">
      <c r="A26999">
        <v>37012</v>
      </c>
      <c r="B26999" t="s">
        <v>49</v>
      </c>
      <c r="C26999">
        <v>37012</v>
      </c>
      <c r="D26999" t="str">
        <f>"37012"</f>
        <v>37012</v>
      </c>
      <c r="E26999">
        <v>69.790000000000006</v>
      </c>
    </row>
    <row r="27000" spans="1:5" x14ac:dyDescent="0.2">
      <c r="A27000">
        <v>37013</v>
      </c>
      <c r="B27000" t="s">
        <v>49</v>
      </c>
      <c r="C27000">
        <v>37013</v>
      </c>
      <c r="D27000" t="str">
        <f>"37013"</f>
        <v>37013</v>
      </c>
      <c r="E27000">
        <v>66.45</v>
      </c>
    </row>
    <row r="27001" spans="1:5" x14ac:dyDescent="0.2">
      <c r="A27001">
        <v>37014</v>
      </c>
      <c r="B27001" t="s">
        <v>49</v>
      </c>
      <c r="C27001">
        <v>37014</v>
      </c>
      <c r="D27001" t="str">
        <f>"37014"</f>
        <v>37014</v>
      </c>
      <c r="E27001">
        <v>81.819999999999993</v>
      </c>
    </row>
    <row r="27002" spans="1:5" x14ac:dyDescent="0.2">
      <c r="A27002">
        <v>37015</v>
      </c>
      <c r="B27002" t="s">
        <v>49</v>
      </c>
      <c r="C27002">
        <v>37015</v>
      </c>
      <c r="D27002" t="str">
        <f>"37015"</f>
        <v>37015</v>
      </c>
      <c r="E27002">
        <v>72.62</v>
      </c>
    </row>
    <row r="27003" spans="1:5" x14ac:dyDescent="0.2">
      <c r="A27003">
        <v>37016</v>
      </c>
      <c r="B27003" t="s">
        <v>49</v>
      </c>
      <c r="C27003">
        <v>37016</v>
      </c>
      <c r="D27003" t="str">
        <f>"37016"</f>
        <v>37016</v>
      </c>
      <c r="E27003">
        <v>73.680000000000007</v>
      </c>
    </row>
    <row r="27004" spans="1:5" x14ac:dyDescent="0.2">
      <c r="A27004">
        <v>37018</v>
      </c>
      <c r="B27004" t="s">
        <v>49</v>
      </c>
      <c r="C27004">
        <v>37018</v>
      </c>
      <c r="D27004" t="str">
        <f>"37018"</f>
        <v>37018</v>
      </c>
      <c r="E27004">
        <v>65.930000000000007</v>
      </c>
    </row>
    <row r="27005" spans="1:5" x14ac:dyDescent="0.2">
      <c r="A27005">
        <v>37019</v>
      </c>
      <c r="B27005" t="s">
        <v>49</v>
      </c>
      <c r="C27005">
        <v>37019</v>
      </c>
      <c r="D27005" t="str">
        <f>"37019"</f>
        <v>37019</v>
      </c>
      <c r="E27005">
        <v>65.91</v>
      </c>
    </row>
    <row r="27006" spans="1:5" x14ac:dyDescent="0.2">
      <c r="A27006">
        <v>37020</v>
      </c>
      <c r="B27006" t="s">
        <v>49</v>
      </c>
      <c r="C27006">
        <v>37020</v>
      </c>
      <c r="D27006" t="str">
        <f>"37020"</f>
        <v>37020</v>
      </c>
      <c r="E27006">
        <v>73.48</v>
      </c>
    </row>
    <row r="27007" spans="1:5" x14ac:dyDescent="0.2">
      <c r="A27007">
        <v>37022</v>
      </c>
      <c r="B27007" t="s">
        <v>49</v>
      </c>
      <c r="C27007">
        <v>37022</v>
      </c>
      <c r="D27007" t="str">
        <f>"37022"</f>
        <v>37022</v>
      </c>
      <c r="E27007">
        <v>68.239999999999995</v>
      </c>
    </row>
    <row r="27008" spans="1:5" x14ac:dyDescent="0.2">
      <c r="A27008">
        <v>37023</v>
      </c>
      <c r="B27008" t="s">
        <v>49</v>
      </c>
      <c r="C27008">
        <v>37023</v>
      </c>
      <c r="D27008" t="str">
        <f>"37023"</f>
        <v>37023</v>
      </c>
      <c r="E27008">
        <v>67.650000000000006</v>
      </c>
    </row>
    <row r="27009" spans="1:5" x14ac:dyDescent="0.2">
      <c r="A27009">
        <v>37025</v>
      </c>
      <c r="B27009" t="s">
        <v>49</v>
      </c>
      <c r="C27009">
        <v>37025</v>
      </c>
      <c r="D27009" t="str">
        <f>"37025"</f>
        <v>37025</v>
      </c>
      <c r="E27009">
        <v>70.63</v>
      </c>
    </row>
    <row r="27010" spans="1:5" x14ac:dyDescent="0.2">
      <c r="A27010">
        <v>37026</v>
      </c>
      <c r="B27010" t="s">
        <v>49</v>
      </c>
      <c r="C27010">
        <v>37026</v>
      </c>
      <c r="D27010" t="str">
        <f>"37026"</f>
        <v>37026</v>
      </c>
      <c r="E27010">
        <v>71.430000000000007</v>
      </c>
    </row>
    <row r="27011" spans="1:5" x14ac:dyDescent="0.2">
      <c r="A27011">
        <v>37027</v>
      </c>
      <c r="B27011" t="s">
        <v>49</v>
      </c>
      <c r="C27011">
        <v>37027</v>
      </c>
      <c r="D27011" t="str">
        <f>"37027"</f>
        <v>37027</v>
      </c>
      <c r="E27011">
        <v>82.68</v>
      </c>
    </row>
    <row r="27012" spans="1:5" x14ac:dyDescent="0.2">
      <c r="A27012">
        <v>37028</v>
      </c>
      <c r="B27012" t="s">
        <v>49</v>
      </c>
      <c r="C27012">
        <v>37028</v>
      </c>
      <c r="D27012" t="str">
        <f>"37028"</f>
        <v>37028</v>
      </c>
      <c r="E27012">
        <v>68.97</v>
      </c>
    </row>
    <row r="27013" spans="1:5" x14ac:dyDescent="0.2">
      <c r="A27013">
        <v>37029</v>
      </c>
      <c r="B27013" t="s">
        <v>49</v>
      </c>
      <c r="C27013">
        <v>37029</v>
      </c>
      <c r="D27013" t="str">
        <f>"37029"</f>
        <v>37029</v>
      </c>
      <c r="E27013">
        <v>79</v>
      </c>
    </row>
    <row r="27014" spans="1:5" x14ac:dyDescent="0.2">
      <c r="A27014">
        <v>37030</v>
      </c>
      <c r="B27014" t="s">
        <v>49</v>
      </c>
      <c r="C27014">
        <v>37030</v>
      </c>
      <c r="D27014" t="str">
        <f>"37030"</f>
        <v>37030</v>
      </c>
      <c r="E27014">
        <v>69.13</v>
      </c>
    </row>
    <row r="27015" spans="1:5" x14ac:dyDescent="0.2">
      <c r="A27015">
        <v>37031</v>
      </c>
      <c r="B27015" t="s">
        <v>49</v>
      </c>
      <c r="C27015">
        <v>37031</v>
      </c>
      <c r="D27015" t="str">
        <f>"37031"</f>
        <v>37031</v>
      </c>
      <c r="E27015">
        <v>76.72</v>
      </c>
    </row>
    <row r="27016" spans="1:5" x14ac:dyDescent="0.2">
      <c r="A27016">
        <v>37032</v>
      </c>
      <c r="B27016" t="s">
        <v>49</v>
      </c>
      <c r="C27016">
        <v>37032</v>
      </c>
      <c r="D27016" t="str">
        <f>"37032"</f>
        <v>37032</v>
      </c>
      <c r="E27016">
        <v>70.53</v>
      </c>
    </row>
    <row r="27017" spans="1:5" x14ac:dyDescent="0.2">
      <c r="A27017">
        <v>37033</v>
      </c>
      <c r="B27017" t="s">
        <v>49</v>
      </c>
      <c r="C27017">
        <v>37033</v>
      </c>
      <c r="D27017" t="str">
        <f>"37033"</f>
        <v>37033</v>
      </c>
      <c r="E27017">
        <v>66.67</v>
      </c>
    </row>
    <row r="27018" spans="1:5" x14ac:dyDescent="0.2">
      <c r="A27018">
        <v>37034</v>
      </c>
      <c r="B27018" t="s">
        <v>49</v>
      </c>
      <c r="C27018">
        <v>37034</v>
      </c>
      <c r="D27018" t="str">
        <f>"37034"</f>
        <v>37034</v>
      </c>
      <c r="E27018">
        <v>76</v>
      </c>
    </row>
    <row r="27019" spans="1:5" x14ac:dyDescent="0.2">
      <c r="A27019">
        <v>37035</v>
      </c>
      <c r="B27019" t="s">
        <v>49</v>
      </c>
      <c r="C27019">
        <v>37035</v>
      </c>
      <c r="D27019" t="str">
        <f>"37035"</f>
        <v>37035</v>
      </c>
      <c r="E27019">
        <v>74.86</v>
      </c>
    </row>
    <row r="27020" spans="1:5" x14ac:dyDescent="0.2">
      <c r="A27020">
        <v>37036</v>
      </c>
      <c r="B27020" t="s">
        <v>49</v>
      </c>
      <c r="C27020">
        <v>37036</v>
      </c>
      <c r="D27020" t="str">
        <f>"37036"</f>
        <v>37036</v>
      </c>
      <c r="E27020">
        <v>70.59</v>
      </c>
    </row>
    <row r="27021" spans="1:5" x14ac:dyDescent="0.2">
      <c r="A27021">
        <v>37037</v>
      </c>
      <c r="B27021" t="s">
        <v>49</v>
      </c>
      <c r="C27021">
        <v>37037</v>
      </c>
      <c r="D27021" t="str">
        <f>"37037"</f>
        <v>37037</v>
      </c>
      <c r="E27021">
        <v>77.55</v>
      </c>
    </row>
    <row r="27022" spans="1:5" x14ac:dyDescent="0.2">
      <c r="A27022">
        <v>37040</v>
      </c>
      <c r="B27022" t="s">
        <v>49</v>
      </c>
      <c r="C27022">
        <v>37040</v>
      </c>
      <c r="D27022" t="str">
        <f>"37040"</f>
        <v>37040</v>
      </c>
      <c r="E27022">
        <v>66.72</v>
      </c>
    </row>
    <row r="27023" spans="1:5" x14ac:dyDescent="0.2">
      <c r="A27023">
        <v>37042</v>
      </c>
      <c r="B27023" t="s">
        <v>49</v>
      </c>
      <c r="C27023">
        <v>37042</v>
      </c>
      <c r="D27023" t="str">
        <f>"37042"</f>
        <v>37042</v>
      </c>
      <c r="E27023">
        <v>61.88</v>
      </c>
    </row>
    <row r="27024" spans="1:5" x14ac:dyDescent="0.2">
      <c r="A27024">
        <v>37043</v>
      </c>
      <c r="B27024" t="s">
        <v>49</v>
      </c>
      <c r="C27024">
        <v>37043</v>
      </c>
      <c r="D27024" t="str">
        <f>"37043"</f>
        <v>37043</v>
      </c>
      <c r="E27024">
        <v>75.760000000000005</v>
      </c>
    </row>
    <row r="27025" spans="1:5" x14ac:dyDescent="0.2">
      <c r="A27025">
        <v>37044</v>
      </c>
      <c r="B27025" t="s">
        <v>49</v>
      </c>
      <c r="C27025">
        <v>37044</v>
      </c>
      <c r="D27025" t="str">
        <f>"37044"</f>
        <v>37044</v>
      </c>
      <c r="E27025" t="s">
        <v>6</v>
      </c>
    </row>
    <row r="27026" spans="1:5" x14ac:dyDescent="0.2">
      <c r="A27026">
        <v>37046</v>
      </c>
      <c r="B27026" t="s">
        <v>49</v>
      </c>
      <c r="C27026">
        <v>37046</v>
      </c>
      <c r="D27026" t="str">
        <f>"37046"</f>
        <v>37046</v>
      </c>
      <c r="E27026">
        <v>78.97</v>
      </c>
    </row>
    <row r="27027" spans="1:5" x14ac:dyDescent="0.2">
      <c r="A27027">
        <v>37047</v>
      </c>
      <c r="B27027" t="s">
        <v>49</v>
      </c>
      <c r="C27027">
        <v>37047</v>
      </c>
      <c r="D27027" t="str">
        <f>"37047"</f>
        <v>37047</v>
      </c>
      <c r="E27027">
        <v>71.930000000000007</v>
      </c>
    </row>
    <row r="27028" spans="1:5" x14ac:dyDescent="0.2">
      <c r="A27028">
        <v>37048</v>
      </c>
      <c r="B27028" t="s">
        <v>49</v>
      </c>
      <c r="C27028">
        <v>37048</v>
      </c>
      <c r="D27028" t="str">
        <f>"37048"</f>
        <v>37048</v>
      </c>
      <c r="E27028">
        <v>77.930000000000007</v>
      </c>
    </row>
    <row r="27029" spans="1:5" x14ac:dyDescent="0.2">
      <c r="A27029">
        <v>37049</v>
      </c>
      <c r="B27029" t="s">
        <v>49</v>
      </c>
      <c r="C27029">
        <v>37049</v>
      </c>
      <c r="D27029" t="str">
        <f>"37049"</f>
        <v>37049</v>
      </c>
      <c r="E27029">
        <v>72.94</v>
      </c>
    </row>
    <row r="27030" spans="1:5" x14ac:dyDescent="0.2">
      <c r="A27030">
        <v>37050</v>
      </c>
      <c r="B27030" t="s">
        <v>49</v>
      </c>
      <c r="C27030">
        <v>37050</v>
      </c>
      <c r="D27030" t="str">
        <f>"37050"</f>
        <v>37050</v>
      </c>
      <c r="E27030">
        <v>69.33</v>
      </c>
    </row>
    <row r="27031" spans="1:5" x14ac:dyDescent="0.2">
      <c r="A27031">
        <v>37051</v>
      </c>
      <c r="B27031" t="s">
        <v>49</v>
      </c>
      <c r="C27031">
        <v>37051</v>
      </c>
      <c r="D27031" t="str">
        <f>"37051"</f>
        <v>37051</v>
      </c>
      <c r="E27031">
        <v>68.59</v>
      </c>
    </row>
    <row r="27032" spans="1:5" x14ac:dyDescent="0.2">
      <c r="A27032">
        <v>37052</v>
      </c>
      <c r="B27032" t="s">
        <v>49</v>
      </c>
      <c r="C27032">
        <v>37052</v>
      </c>
      <c r="D27032" t="str">
        <f>"37052"</f>
        <v>37052</v>
      </c>
      <c r="E27032">
        <v>74.14</v>
      </c>
    </row>
    <row r="27033" spans="1:5" x14ac:dyDescent="0.2">
      <c r="A27033">
        <v>37055</v>
      </c>
      <c r="B27033" t="s">
        <v>49</v>
      </c>
      <c r="C27033">
        <v>37055</v>
      </c>
      <c r="D27033" t="str">
        <f>"37055"</f>
        <v>37055</v>
      </c>
      <c r="E27033">
        <v>68.8</v>
      </c>
    </row>
    <row r="27034" spans="1:5" x14ac:dyDescent="0.2">
      <c r="A27034">
        <v>37057</v>
      </c>
      <c r="B27034" t="s">
        <v>49</v>
      </c>
      <c r="C27034">
        <v>37057</v>
      </c>
      <c r="D27034" t="str">
        <f>"37057"</f>
        <v>37057</v>
      </c>
      <c r="E27034">
        <v>70.27</v>
      </c>
    </row>
    <row r="27035" spans="1:5" x14ac:dyDescent="0.2">
      <c r="A27035">
        <v>37058</v>
      </c>
      <c r="B27035" t="s">
        <v>49</v>
      </c>
      <c r="C27035">
        <v>37058</v>
      </c>
      <c r="D27035" t="str">
        <f>"37058"</f>
        <v>37058</v>
      </c>
      <c r="E27035">
        <v>68.84</v>
      </c>
    </row>
    <row r="27036" spans="1:5" x14ac:dyDescent="0.2">
      <c r="A27036">
        <v>37059</v>
      </c>
      <c r="B27036" t="s">
        <v>49</v>
      </c>
      <c r="C27036">
        <v>37059</v>
      </c>
      <c r="D27036" t="str">
        <f>"37059"</f>
        <v>37059</v>
      </c>
      <c r="E27036">
        <v>68.66</v>
      </c>
    </row>
    <row r="27037" spans="1:5" x14ac:dyDescent="0.2">
      <c r="A27037">
        <v>37060</v>
      </c>
      <c r="B27037" t="s">
        <v>49</v>
      </c>
      <c r="C27037">
        <v>37060</v>
      </c>
      <c r="D27037" t="str">
        <f>"37060"</f>
        <v>37060</v>
      </c>
      <c r="E27037">
        <v>73.55</v>
      </c>
    </row>
    <row r="27038" spans="1:5" x14ac:dyDescent="0.2">
      <c r="A27038">
        <v>37061</v>
      </c>
      <c r="B27038" t="s">
        <v>49</v>
      </c>
      <c r="C27038">
        <v>37061</v>
      </c>
      <c r="D27038" t="str">
        <f>"37061"</f>
        <v>37061</v>
      </c>
      <c r="E27038">
        <v>66</v>
      </c>
    </row>
    <row r="27039" spans="1:5" x14ac:dyDescent="0.2">
      <c r="A27039">
        <v>37062</v>
      </c>
      <c r="B27039" t="s">
        <v>49</v>
      </c>
      <c r="C27039">
        <v>37062</v>
      </c>
      <c r="D27039" t="str">
        <f>"37062"</f>
        <v>37062</v>
      </c>
      <c r="E27039">
        <v>75.28</v>
      </c>
    </row>
    <row r="27040" spans="1:5" x14ac:dyDescent="0.2">
      <c r="A27040">
        <v>37064</v>
      </c>
      <c r="B27040" t="s">
        <v>49</v>
      </c>
      <c r="C27040">
        <v>37064</v>
      </c>
      <c r="D27040" t="str">
        <f>"37064"</f>
        <v>37064</v>
      </c>
      <c r="E27040">
        <v>79.11</v>
      </c>
    </row>
    <row r="27041" spans="1:5" x14ac:dyDescent="0.2">
      <c r="A27041">
        <v>37066</v>
      </c>
      <c r="B27041" t="s">
        <v>49</v>
      </c>
      <c r="C27041">
        <v>37066</v>
      </c>
      <c r="D27041" t="str">
        <f>"37066"</f>
        <v>37066</v>
      </c>
      <c r="E27041">
        <v>72.819999999999993</v>
      </c>
    </row>
    <row r="27042" spans="1:5" x14ac:dyDescent="0.2">
      <c r="A27042">
        <v>37067</v>
      </c>
      <c r="B27042" t="s">
        <v>49</v>
      </c>
      <c r="C27042">
        <v>37067</v>
      </c>
      <c r="D27042" t="str">
        <f>"37067"</f>
        <v>37067</v>
      </c>
      <c r="E27042">
        <v>84.1</v>
      </c>
    </row>
    <row r="27043" spans="1:5" x14ac:dyDescent="0.2">
      <c r="A27043">
        <v>37069</v>
      </c>
      <c r="B27043" t="s">
        <v>49</v>
      </c>
      <c r="C27043">
        <v>37069</v>
      </c>
      <c r="D27043" t="str">
        <f>"37069"</f>
        <v>37069</v>
      </c>
      <c r="E27043">
        <v>79.959999999999994</v>
      </c>
    </row>
    <row r="27044" spans="1:5" x14ac:dyDescent="0.2">
      <c r="A27044">
        <v>37072</v>
      </c>
      <c r="B27044" t="s">
        <v>49</v>
      </c>
      <c r="C27044">
        <v>37072</v>
      </c>
      <c r="D27044" t="str">
        <f>"37072"</f>
        <v>37072</v>
      </c>
      <c r="E27044">
        <v>75.55</v>
      </c>
    </row>
    <row r="27045" spans="1:5" x14ac:dyDescent="0.2">
      <c r="A27045">
        <v>37073</v>
      </c>
      <c r="B27045" t="s">
        <v>49</v>
      </c>
      <c r="C27045">
        <v>37073</v>
      </c>
      <c r="D27045" t="str">
        <f>"37073"</f>
        <v>37073</v>
      </c>
      <c r="E27045">
        <v>75.489999999999995</v>
      </c>
    </row>
    <row r="27046" spans="1:5" x14ac:dyDescent="0.2">
      <c r="A27046">
        <v>37074</v>
      </c>
      <c r="B27046" t="s">
        <v>49</v>
      </c>
      <c r="C27046">
        <v>37074</v>
      </c>
      <c r="D27046" t="str">
        <f>"37074"</f>
        <v>37074</v>
      </c>
      <c r="E27046">
        <v>67.59</v>
      </c>
    </row>
    <row r="27047" spans="1:5" x14ac:dyDescent="0.2">
      <c r="A27047">
        <v>37075</v>
      </c>
      <c r="B27047" t="s">
        <v>49</v>
      </c>
      <c r="C27047">
        <v>37075</v>
      </c>
      <c r="D27047" t="str">
        <f>"37075"</f>
        <v>37075</v>
      </c>
      <c r="E27047">
        <v>77.03</v>
      </c>
    </row>
    <row r="27048" spans="1:5" x14ac:dyDescent="0.2">
      <c r="A27048">
        <v>37076</v>
      </c>
      <c r="B27048" t="s">
        <v>49</v>
      </c>
      <c r="C27048">
        <v>37076</v>
      </c>
      <c r="D27048" t="str">
        <f>"37076"</f>
        <v>37076</v>
      </c>
      <c r="E27048">
        <v>76.25</v>
      </c>
    </row>
    <row r="27049" spans="1:5" x14ac:dyDescent="0.2">
      <c r="A27049">
        <v>37078</v>
      </c>
      <c r="B27049" t="s">
        <v>49</v>
      </c>
      <c r="C27049">
        <v>37078</v>
      </c>
      <c r="D27049" t="str">
        <f>"37078"</f>
        <v>37078</v>
      </c>
      <c r="E27049">
        <v>62.5</v>
      </c>
    </row>
    <row r="27050" spans="1:5" x14ac:dyDescent="0.2">
      <c r="A27050">
        <v>37079</v>
      </c>
      <c r="B27050" t="s">
        <v>49</v>
      </c>
      <c r="C27050">
        <v>37079</v>
      </c>
      <c r="D27050" t="str">
        <f>"37079"</f>
        <v>37079</v>
      </c>
      <c r="E27050">
        <v>72.22</v>
      </c>
    </row>
    <row r="27051" spans="1:5" x14ac:dyDescent="0.2">
      <c r="A27051">
        <v>37080</v>
      </c>
      <c r="B27051" t="s">
        <v>49</v>
      </c>
      <c r="C27051">
        <v>37080</v>
      </c>
      <c r="D27051" t="str">
        <f>"37080"</f>
        <v>37080</v>
      </c>
      <c r="E27051">
        <v>75.77</v>
      </c>
    </row>
    <row r="27052" spans="1:5" x14ac:dyDescent="0.2">
      <c r="A27052">
        <v>37082</v>
      </c>
      <c r="B27052" t="s">
        <v>49</v>
      </c>
      <c r="C27052">
        <v>37082</v>
      </c>
      <c r="D27052" t="str">
        <f>"37082"</f>
        <v>37082</v>
      </c>
      <c r="E27052">
        <v>77.92</v>
      </c>
    </row>
    <row r="27053" spans="1:5" x14ac:dyDescent="0.2">
      <c r="A27053">
        <v>37083</v>
      </c>
      <c r="B27053" t="s">
        <v>49</v>
      </c>
      <c r="C27053">
        <v>37083</v>
      </c>
      <c r="D27053" t="str">
        <f>"37083"</f>
        <v>37083</v>
      </c>
      <c r="E27053">
        <v>65.400000000000006</v>
      </c>
    </row>
    <row r="27054" spans="1:5" x14ac:dyDescent="0.2">
      <c r="A27054">
        <v>37085</v>
      </c>
      <c r="B27054" t="s">
        <v>49</v>
      </c>
      <c r="C27054">
        <v>37085</v>
      </c>
      <c r="D27054" t="str">
        <f>"37085"</f>
        <v>37085</v>
      </c>
      <c r="E27054">
        <v>79.02</v>
      </c>
    </row>
    <row r="27055" spans="1:5" x14ac:dyDescent="0.2">
      <c r="A27055">
        <v>37086</v>
      </c>
      <c r="B27055" t="s">
        <v>49</v>
      </c>
      <c r="C27055">
        <v>37086</v>
      </c>
      <c r="D27055" t="str">
        <f>"37086"</f>
        <v>37086</v>
      </c>
      <c r="E27055">
        <v>66.209999999999994</v>
      </c>
    </row>
    <row r="27056" spans="1:5" x14ac:dyDescent="0.2">
      <c r="A27056">
        <v>37087</v>
      </c>
      <c r="B27056" t="s">
        <v>49</v>
      </c>
      <c r="C27056">
        <v>37087</v>
      </c>
      <c r="D27056" t="str">
        <f>"37087"</f>
        <v>37087</v>
      </c>
      <c r="E27056">
        <v>72.540000000000006</v>
      </c>
    </row>
    <row r="27057" spans="1:5" x14ac:dyDescent="0.2">
      <c r="A27057">
        <v>37090</v>
      </c>
      <c r="B27057" t="s">
        <v>49</v>
      </c>
      <c r="C27057">
        <v>37090</v>
      </c>
      <c r="D27057" t="str">
        <f>"37090"</f>
        <v>37090</v>
      </c>
      <c r="E27057">
        <v>77.13</v>
      </c>
    </row>
    <row r="27058" spans="1:5" x14ac:dyDescent="0.2">
      <c r="A27058">
        <v>37091</v>
      </c>
      <c r="B27058" t="s">
        <v>49</v>
      </c>
      <c r="C27058">
        <v>37091</v>
      </c>
      <c r="D27058" t="str">
        <f>"37091"</f>
        <v>37091</v>
      </c>
      <c r="E27058">
        <v>67.77</v>
      </c>
    </row>
    <row r="27059" spans="1:5" x14ac:dyDescent="0.2">
      <c r="A27059">
        <v>37095</v>
      </c>
      <c r="B27059" t="s">
        <v>49</v>
      </c>
      <c r="C27059">
        <v>37095</v>
      </c>
      <c r="D27059" t="str">
        <f>"37095"</f>
        <v>37095</v>
      </c>
      <c r="E27059">
        <v>66.25</v>
      </c>
    </row>
    <row r="27060" spans="1:5" x14ac:dyDescent="0.2">
      <c r="A27060">
        <v>37096</v>
      </c>
      <c r="B27060" t="s">
        <v>49</v>
      </c>
      <c r="C27060">
        <v>37096</v>
      </c>
      <c r="D27060" t="str">
        <f>"37096"</f>
        <v>37096</v>
      </c>
      <c r="E27060">
        <v>63.27</v>
      </c>
    </row>
    <row r="27061" spans="1:5" x14ac:dyDescent="0.2">
      <c r="A27061">
        <v>37097</v>
      </c>
      <c r="B27061" t="s">
        <v>49</v>
      </c>
      <c r="C27061">
        <v>37097</v>
      </c>
      <c r="D27061" t="str">
        <f>"37097"</f>
        <v>37097</v>
      </c>
      <c r="E27061">
        <v>62.65</v>
      </c>
    </row>
    <row r="27062" spans="1:5" x14ac:dyDescent="0.2">
      <c r="A27062">
        <v>37098</v>
      </c>
      <c r="B27062" t="s">
        <v>49</v>
      </c>
      <c r="C27062">
        <v>37098</v>
      </c>
      <c r="D27062" t="str">
        <f>"37098"</f>
        <v>37098</v>
      </c>
      <c r="E27062">
        <v>65.22</v>
      </c>
    </row>
    <row r="27063" spans="1:5" x14ac:dyDescent="0.2">
      <c r="A27063">
        <v>37101</v>
      </c>
      <c r="B27063" t="s">
        <v>49</v>
      </c>
      <c r="C27063">
        <v>37101</v>
      </c>
      <c r="D27063" t="str">
        <f>"37101"</f>
        <v>37101</v>
      </c>
      <c r="E27063">
        <v>68.27</v>
      </c>
    </row>
    <row r="27064" spans="1:5" x14ac:dyDescent="0.2">
      <c r="A27064">
        <v>37110</v>
      </c>
      <c r="B27064" t="s">
        <v>49</v>
      </c>
      <c r="C27064">
        <v>37110</v>
      </c>
      <c r="D27064" t="str">
        <f>"37110"</f>
        <v>37110</v>
      </c>
      <c r="E27064">
        <v>62.89</v>
      </c>
    </row>
    <row r="27065" spans="1:5" x14ac:dyDescent="0.2">
      <c r="A27065">
        <v>37115</v>
      </c>
      <c r="B27065" t="s">
        <v>49</v>
      </c>
      <c r="C27065">
        <v>37115</v>
      </c>
      <c r="D27065" t="str">
        <f>"37115"</f>
        <v>37115</v>
      </c>
      <c r="E27065">
        <v>66.03</v>
      </c>
    </row>
    <row r="27066" spans="1:5" x14ac:dyDescent="0.2">
      <c r="A27066">
        <v>37118</v>
      </c>
      <c r="B27066" t="s">
        <v>49</v>
      </c>
      <c r="C27066">
        <v>37118</v>
      </c>
      <c r="D27066" t="str">
        <f>"37118"</f>
        <v>37118</v>
      </c>
      <c r="E27066">
        <v>80.95</v>
      </c>
    </row>
    <row r="27067" spans="1:5" x14ac:dyDescent="0.2">
      <c r="A27067">
        <v>37122</v>
      </c>
      <c r="B27067" t="s">
        <v>49</v>
      </c>
      <c r="C27067">
        <v>37122</v>
      </c>
      <c r="D27067" t="str">
        <f>"37122"</f>
        <v>37122</v>
      </c>
      <c r="E27067">
        <v>79.62</v>
      </c>
    </row>
    <row r="27068" spans="1:5" x14ac:dyDescent="0.2">
      <c r="A27068">
        <v>37127</v>
      </c>
      <c r="B27068" t="s">
        <v>49</v>
      </c>
      <c r="C27068">
        <v>37127</v>
      </c>
      <c r="D27068" t="str">
        <f>"37127"</f>
        <v>37127</v>
      </c>
      <c r="E27068">
        <v>76.239999999999995</v>
      </c>
    </row>
    <row r="27069" spans="1:5" x14ac:dyDescent="0.2">
      <c r="A27069">
        <v>37128</v>
      </c>
      <c r="B27069" t="s">
        <v>49</v>
      </c>
      <c r="C27069">
        <v>37128</v>
      </c>
      <c r="D27069" t="str">
        <f>"37128"</f>
        <v>37128</v>
      </c>
      <c r="E27069">
        <v>78.47</v>
      </c>
    </row>
    <row r="27070" spans="1:5" x14ac:dyDescent="0.2">
      <c r="A27070">
        <v>37129</v>
      </c>
      <c r="B27070" t="s">
        <v>49</v>
      </c>
      <c r="C27070">
        <v>37129</v>
      </c>
      <c r="D27070" t="str">
        <f>"37129"</f>
        <v>37129</v>
      </c>
      <c r="E27070">
        <v>76.61</v>
      </c>
    </row>
    <row r="27071" spans="1:5" x14ac:dyDescent="0.2">
      <c r="A27071">
        <v>37130</v>
      </c>
      <c r="B27071" t="s">
        <v>49</v>
      </c>
      <c r="C27071">
        <v>37130</v>
      </c>
      <c r="D27071" t="str">
        <f>"37130"</f>
        <v>37130</v>
      </c>
      <c r="E27071">
        <v>67.540000000000006</v>
      </c>
    </row>
    <row r="27072" spans="1:5" x14ac:dyDescent="0.2">
      <c r="A27072">
        <v>37134</v>
      </c>
      <c r="B27072" t="s">
        <v>49</v>
      </c>
      <c r="C27072">
        <v>37134</v>
      </c>
      <c r="D27072" t="str">
        <f>"37134"</f>
        <v>37134</v>
      </c>
      <c r="E27072">
        <v>72.39</v>
      </c>
    </row>
    <row r="27073" spans="1:5" x14ac:dyDescent="0.2">
      <c r="A27073">
        <v>37135</v>
      </c>
      <c r="B27073" t="s">
        <v>49</v>
      </c>
      <c r="C27073">
        <v>37135</v>
      </c>
      <c r="D27073" t="str">
        <f>"37135"</f>
        <v>37135</v>
      </c>
      <c r="E27073">
        <v>82.77</v>
      </c>
    </row>
    <row r="27074" spans="1:5" x14ac:dyDescent="0.2">
      <c r="A27074">
        <v>37137</v>
      </c>
      <c r="B27074" t="s">
        <v>49</v>
      </c>
      <c r="C27074">
        <v>37137</v>
      </c>
      <c r="D27074" t="str">
        <f>"37137"</f>
        <v>37137</v>
      </c>
      <c r="E27074">
        <v>62.83</v>
      </c>
    </row>
    <row r="27075" spans="1:5" x14ac:dyDescent="0.2">
      <c r="A27075">
        <v>37138</v>
      </c>
      <c r="B27075" t="s">
        <v>49</v>
      </c>
      <c r="C27075">
        <v>37138</v>
      </c>
      <c r="D27075" t="str">
        <f>"37138"</f>
        <v>37138</v>
      </c>
      <c r="E27075">
        <v>76.84</v>
      </c>
    </row>
    <row r="27076" spans="1:5" x14ac:dyDescent="0.2">
      <c r="A27076">
        <v>37140</v>
      </c>
      <c r="B27076" t="s">
        <v>49</v>
      </c>
      <c r="C27076">
        <v>37140</v>
      </c>
      <c r="D27076" t="str">
        <f>"37140"</f>
        <v>37140</v>
      </c>
      <c r="E27076" t="s">
        <v>6</v>
      </c>
    </row>
    <row r="27077" spans="1:5" x14ac:dyDescent="0.2">
      <c r="A27077">
        <v>37141</v>
      </c>
      <c r="B27077" t="s">
        <v>49</v>
      </c>
      <c r="C27077">
        <v>37141</v>
      </c>
      <c r="D27077" t="str">
        <f>"37141"</f>
        <v>37141</v>
      </c>
      <c r="E27077">
        <v>69.09</v>
      </c>
    </row>
    <row r="27078" spans="1:5" x14ac:dyDescent="0.2">
      <c r="A27078">
        <v>37142</v>
      </c>
      <c r="B27078" t="s">
        <v>49</v>
      </c>
      <c r="C27078">
        <v>37142</v>
      </c>
      <c r="D27078" t="str">
        <f>"37142"</f>
        <v>37142</v>
      </c>
      <c r="E27078">
        <v>72.73</v>
      </c>
    </row>
    <row r="27079" spans="1:5" x14ac:dyDescent="0.2">
      <c r="A27079">
        <v>37143</v>
      </c>
      <c r="B27079" t="s">
        <v>49</v>
      </c>
      <c r="C27079">
        <v>37143</v>
      </c>
      <c r="D27079" t="str">
        <f>"37143"</f>
        <v>37143</v>
      </c>
      <c r="E27079">
        <v>74.87</v>
      </c>
    </row>
    <row r="27080" spans="1:5" x14ac:dyDescent="0.2">
      <c r="A27080">
        <v>37144</v>
      </c>
      <c r="B27080" t="s">
        <v>49</v>
      </c>
      <c r="C27080">
        <v>37144</v>
      </c>
      <c r="D27080" t="str">
        <f>"37144"</f>
        <v>37144</v>
      </c>
      <c r="E27080">
        <v>69.78</v>
      </c>
    </row>
    <row r="27081" spans="1:5" x14ac:dyDescent="0.2">
      <c r="A27081">
        <v>37145</v>
      </c>
      <c r="B27081" t="s">
        <v>49</v>
      </c>
      <c r="C27081">
        <v>37145</v>
      </c>
      <c r="D27081" t="str">
        <f>"37145"</f>
        <v>37145</v>
      </c>
      <c r="E27081">
        <v>67.349999999999994</v>
      </c>
    </row>
    <row r="27082" spans="1:5" x14ac:dyDescent="0.2">
      <c r="A27082">
        <v>37146</v>
      </c>
      <c r="B27082" t="s">
        <v>49</v>
      </c>
      <c r="C27082">
        <v>37146</v>
      </c>
      <c r="D27082" t="str">
        <f>"37146"</f>
        <v>37146</v>
      </c>
      <c r="E27082">
        <v>78.81</v>
      </c>
    </row>
    <row r="27083" spans="1:5" x14ac:dyDescent="0.2">
      <c r="A27083">
        <v>37148</v>
      </c>
      <c r="B27083" t="s">
        <v>49</v>
      </c>
      <c r="C27083">
        <v>37148</v>
      </c>
      <c r="D27083" t="str">
        <f>"37148"</f>
        <v>37148</v>
      </c>
      <c r="E27083">
        <v>71.77</v>
      </c>
    </row>
    <row r="27084" spans="1:5" x14ac:dyDescent="0.2">
      <c r="A27084">
        <v>37149</v>
      </c>
      <c r="B27084" t="s">
        <v>49</v>
      </c>
      <c r="C27084">
        <v>37149</v>
      </c>
      <c r="D27084" t="str">
        <f>"37149"</f>
        <v>37149</v>
      </c>
      <c r="E27084">
        <v>75.44</v>
      </c>
    </row>
    <row r="27085" spans="1:5" x14ac:dyDescent="0.2">
      <c r="A27085">
        <v>37150</v>
      </c>
      <c r="B27085" t="s">
        <v>49</v>
      </c>
      <c r="C27085">
        <v>37150</v>
      </c>
      <c r="D27085" t="str">
        <f>"37150"</f>
        <v>37150</v>
      </c>
      <c r="E27085">
        <v>57.14</v>
      </c>
    </row>
    <row r="27086" spans="1:5" x14ac:dyDescent="0.2">
      <c r="A27086">
        <v>37151</v>
      </c>
      <c r="B27086" t="s">
        <v>49</v>
      </c>
      <c r="C27086">
        <v>37151</v>
      </c>
      <c r="D27086" t="str">
        <f>"37151"</f>
        <v>37151</v>
      </c>
      <c r="E27086">
        <v>69.569999999999993</v>
      </c>
    </row>
    <row r="27087" spans="1:5" x14ac:dyDescent="0.2">
      <c r="A27087">
        <v>37152</v>
      </c>
      <c r="B27087" t="s">
        <v>49</v>
      </c>
      <c r="C27087">
        <v>37152</v>
      </c>
      <c r="D27087" t="str">
        <f>"37152"</f>
        <v>37152</v>
      </c>
      <c r="E27087" t="s">
        <v>6</v>
      </c>
    </row>
    <row r="27088" spans="1:5" x14ac:dyDescent="0.2">
      <c r="A27088">
        <v>37153</v>
      </c>
      <c r="B27088" t="s">
        <v>49</v>
      </c>
      <c r="C27088">
        <v>37153</v>
      </c>
      <c r="D27088" t="str">
        <f>"37153"</f>
        <v>37153</v>
      </c>
      <c r="E27088">
        <v>77.95</v>
      </c>
    </row>
    <row r="27089" spans="1:5" x14ac:dyDescent="0.2">
      <c r="A27089">
        <v>37160</v>
      </c>
      <c r="B27089" t="s">
        <v>49</v>
      </c>
      <c r="C27089">
        <v>37160</v>
      </c>
      <c r="D27089" t="str">
        <f>"37160"</f>
        <v>37160</v>
      </c>
      <c r="E27089">
        <v>63.33</v>
      </c>
    </row>
    <row r="27090" spans="1:5" x14ac:dyDescent="0.2">
      <c r="A27090">
        <v>37166</v>
      </c>
      <c r="B27090" t="s">
        <v>49</v>
      </c>
      <c r="C27090">
        <v>37166</v>
      </c>
      <c r="D27090" t="str">
        <f>"37166"</f>
        <v>37166</v>
      </c>
      <c r="E27090">
        <v>63.36</v>
      </c>
    </row>
    <row r="27091" spans="1:5" x14ac:dyDescent="0.2">
      <c r="A27091">
        <v>37167</v>
      </c>
      <c r="B27091" t="s">
        <v>49</v>
      </c>
      <c r="C27091">
        <v>37167</v>
      </c>
      <c r="D27091" t="str">
        <f>"37167"</f>
        <v>37167</v>
      </c>
      <c r="E27091">
        <v>72.61</v>
      </c>
    </row>
    <row r="27092" spans="1:5" x14ac:dyDescent="0.2">
      <c r="A27092">
        <v>37171</v>
      </c>
      <c r="B27092" t="s">
        <v>49</v>
      </c>
      <c r="C27092">
        <v>37171</v>
      </c>
      <c r="D27092" t="str">
        <f>"37171"</f>
        <v>37171</v>
      </c>
      <c r="E27092">
        <v>67.349999999999994</v>
      </c>
    </row>
    <row r="27093" spans="1:5" x14ac:dyDescent="0.2">
      <c r="A27093">
        <v>37172</v>
      </c>
      <c r="B27093" t="s">
        <v>49</v>
      </c>
      <c r="C27093">
        <v>37172</v>
      </c>
      <c r="D27093" t="str">
        <f>"37172"</f>
        <v>37172</v>
      </c>
      <c r="E27093">
        <v>67.599999999999994</v>
      </c>
    </row>
    <row r="27094" spans="1:5" x14ac:dyDescent="0.2">
      <c r="A27094">
        <v>37174</v>
      </c>
      <c r="B27094" t="s">
        <v>49</v>
      </c>
      <c r="C27094">
        <v>37174</v>
      </c>
      <c r="D27094" t="str">
        <f>"37174"</f>
        <v>37174</v>
      </c>
      <c r="E27094">
        <v>79.55</v>
      </c>
    </row>
    <row r="27095" spans="1:5" x14ac:dyDescent="0.2">
      <c r="A27095">
        <v>37175</v>
      </c>
      <c r="B27095" t="s">
        <v>49</v>
      </c>
      <c r="C27095">
        <v>37175</v>
      </c>
      <c r="D27095" t="str">
        <f>"37175"</f>
        <v>37175</v>
      </c>
      <c r="E27095">
        <v>64.099999999999994</v>
      </c>
    </row>
    <row r="27096" spans="1:5" x14ac:dyDescent="0.2">
      <c r="A27096">
        <v>37178</v>
      </c>
      <c r="B27096" t="s">
        <v>49</v>
      </c>
      <c r="C27096">
        <v>37178</v>
      </c>
      <c r="D27096" t="str">
        <f>"37178"</f>
        <v>37178</v>
      </c>
      <c r="E27096">
        <v>68.89</v>
      </c>
    </row>
    <row r="27097" spans="1:5" x14ac:dyDescent="0.2">
      <c r="A27097">
        <v>37179</v>
      </c>
      <c r="B27097" t="s">
        <v>49</v>
      </c>
      <c r="C27097">
        <v>37179</v>
      </c>
      <c r="D27097" t="str">
        <f>"37179"</f>
        <v>37179</v>
      </c>
      <c r="E27097">
        <v>81.83</v>
      </c>
    </row>
    <row r="27098" spans="1:5" x14ac:dyDescent="0.2">
      <c r="A27098">
        <v>37180</v>
      </c>
      <c r="B27098" t="s">
        <v>49</v>
      </c>
      <c r="C27098">
        <v>37180</v>
      </c>
      <c r="D27098" t="str">
        <f>"37180"</f>
        <v>37180</v>
      </c>
      <c r="E27098">
        <v>69.540000000000006</v>
      </c>
    </row>
    <row r="27099" spans="1:5" x14ac:dyDescent="0.2">
      <c r="A27099">
        <v>37181</v>
      </c>
      <c r="B27099" t="s">
        <v>49</v>
      </c>
      <c r="C27099">
        <v>37181</v>
      </c>
      <c r="D27099" t="str">
        <f>"37181"</f>
        <v>37181</v>
      </c>
      <c r="E27099">
        <v>65.08</v>
      </c>
    </row>
    <row r="27100" spans="1:5" x14ac:dyDescent="0.2">
      <c r="A27100">
        <v>37183</v>
      </c>
      <c r="B27100" t="s">
        <v>49</v>
      </c>
      <c r="C27100">
        <v>37183</v>
      </c>
      <c r="D27100" t="str">
        <f>"37183"</f>
        <v>37183</v>
      </c>
      <c r="E27100">
        <v>71.81</v>
      </c>
    </row>
    <row r="27101" spans="1:5" x14ac:dyDescent="0.2">
      <c r="A27101">
        <v>37184</v>
      </c>
      <c r="B27101" t="s">
        <v>49</v>
      </c>
      <c r="C27101">
        <v>37184</v>
      </c>
      <c r="D27101" t="str">
        <f>"37184"</f>
        <v>37184</v>
      </c>
      <c r="E27101">
        <v>70.040000000000006</v>
      </c>
    </row>
    <row r="27102" spans="1:5" x14ac:dyDescent="0.2">
      <c r="A27102">
        <v>37185</v>
      </c>
      <c r="B27102" t="s">
        <v>49</v>
      </c>
      <c r="C27102">
        <v>37185</v>
      </c>
      <c r="D27102" t="str">
        <f>"37185"</f>
        <v>37185</v>
      </c>
      <c r="E27102">
        <v>67.03</v>
      </c>
    </row>
    <row r="27103" spans="1:5" x14ac:dyDescent="0.2">
      <c r="A27103">
        <v>37186</v>
      </c>
      <c r="B27103" t="s">
        <v>49</v>
      </c>
      <c r="C27103">
        <v>37186</v>
      </c>
      <c r="D27103" t="str">
        <f>"37186"</f>
        <v>37186</v>
      </c>
      <c r="E27103">
        <v>64.02</v>
      </c>
    </row>
    <row r="27104" spans="1:5" x14ac:dyDescent="0.2">
      <c r="A27104">
        <v>37187</v>
      </c>
      <c r="B27104" t="s">
        <v>49</v>
      </c>
      <c r="C27104">
        <v>37187</v>
      </c>
      <c r="D27104" t="str">
        <f>"37187"</f>
        <v>37187</v>
      </c>
      <c r="E27104">
        <v>70.69</v>
      </c>
    </row>
    <row r="27105" spans="1:5" x14ac:dyDescent="0.2">
      <c r="A27105">
        <v>37188</v>
      </c>
      <c r="B27105" t="s">
        <v>49</v>
      </c>
      <c r="C27105">
        <v>37188</v>
      </c>
      <c r="D27105" t="str">
        <f>"37188"</f>
        <v>37188</v>
      </c>
      <c r="E27105">
        <v>77.45</v>
      </c>
    </row>
    <row r="27106" spans="1:5" x14ac:dyDescent="0.2">
      <c r="A27106">
        <v>37189</v>
      </c>
      <c r="B27106" t="s">
        <v>49</v>
      </c>
      <c r="C27106">
        <v>37189</v>
      </c>
      <c r="D27106" t="str">
        <f>"37189"</f>
        <v>37189</v>
      </c>
      <c r="E27106">
        <v>71.819999999999993</v>
      </c>
    </row>
    <row r="27107" spans="1:5" x14ac:dyDescent="0.2">
      <c r="A27107">
        <v>37190</v>
      </c>
      <c r="B27107" t="s">
        <v>49</v>
      </c>
      <c r="C27107">
        <v>37190</v>
      </c>
      <c r="D27107" t="str">
        <f>"37190"</f>
        <v>37190</v>
      </c>
      <c r="E27107">
        <v>68.989999999999995</v>
      </c>
    </row>
    <row r="27108" spans="1:5" x14ac:dyDescent="0.2">
      <c r="A27108">
        <v>37191</v>
      </c>
      <c r="B27108" t="s">
        <v>49</v>
      </c>
      <c r="C27108">
        <v>37191</v>
      </c>
      <c r="D27108" t="str">
        <f>"37191"</f>
        <v>37191</v>
      </c>
      <c r="E27108">
        <v>71.510000000000005</v>
      </c>
    </row>
    <row r="27109" spans="1:5" x14ac:dyDescent="0.2">
      <c r="A27109">
        <v>37201</v>
      </c>
      <c r="B27109" t="s">
        <v>49</v>
      </c>
      <c r="C27109">
        <v>37201</v>
      </c>
      <c r="D27109" t="str">
        <f>"37201"</f>
        <v>37201</v>
      </c>
      <c r="E27109">
        <v>92.31</v>
      </c>
    </row>
    <row r="27110" spans="1:5" x14ac:dyDescent="0.2">
      <c r="A27110">
        <v>37203</v>
      </c>
      <c r="B27110" t="s">
        <v>49</v>
      </c>
      <c r="C27110">
        <v>37203</v>
      </c>
      <c r="D27110" t="str">
        <f>"37203"</f>
        <v>37203</v>
      </c>
      <c r="E27110">
        <v>79.88</v>
      </c>
    </row>
    <row r="27111" spans="1:5" x14ac:dyDescent="0.2">
      <c r="A27111">
        <v>37204</v>
      </c>
      <c r="B27111" t="s">
        <v>49</v>
      </c>
      <c r="C27111">
        <v>37204</v>
      </c>
      <c r="D27111" t="str">
        <f>"37204"</f>
        <v>37204</v>
      </c>
      <c r="E27111">
        <v>83.78</v>
      </c>
    </row>
    <row r="27112" spans="1:5" x14ac:dyDescent="0.2">
      <c r="A27112">
        <v>37205</v>
      </c>
      <c r="B27112" t="s">
        <v>49</v>
      </c>
      <c r="C27112">
        <v>37205</v>
      </c>
      <c r="D27112" t="str">
        <f>"37205"</f>
        <v>37205</v>
      </c>
      <c r="E27112">
        <v>83.31</v>
      </c>
    </row>
    <row r="27113" spans="1:5" x14ac:dyDescent="0.2">
      <c r="A27113">
        <v>37206</v>
      </c>
      <c r="B27113" t="s">
        <v>49</v>
      </c>
      <c r="C27113">
        <v>37206</v>
      </c>
      <c r="D27113" t="str">
        <f>"37206"</f>
        <v>37206</v>
      </c>
      <c r="E27113">
        <v>74.84</v>
      </c>
    </row>
    <row r="27114" spans="1:5" x14ac:dyDescent="0.2">
      <c r="A27114">
        <v>37207</v>
      </c>
      <c r="B27114" t="s">
        <v>49</v>
      </c>
      <c r="C27114">
        <v>37207</v>
      </c>
      <c r="D27114" t="str">
        <f>"37207"</f>
        <v>37207</v>
      </c>
      <c r="E27114">
        <v>61.69</v>
      </c>
    </row>
    <row r="27115" spans="1:5" x14ac:dyDescent="0.2">
      <c r="A27115">
        <v>37208</v>
      </c>
      <c r="B27115" t="s">
        <v>49</v>
      </c>
      <c r="C27115">
        <v>37208</v>
      </c>
      <c r="D27115" t="str">
        <f>"37208"</f>
        <v>37208</v>
      </c>
      <c r="E27115">
        <v>66.63</v>
      </c>
    </row>
    <row r="27116" spans="1:5" x14ac:dyDescent="0.2">
      <c r="A27116">
        <v>37209</v>
      </c>
      <c r="B27116" t="s">
        <v>49</v>
      </c>
      <c r="C27116">
        <v>37209</v>
      </c>
      <c r="D27116" t="str">
        <f>"37209"</f>
        <v>37209</v>
      </c>
      <c r="E27116">
        <v>76.33</v>
      </c>
    </row>
    <row r="27117" spans="1:5" x14ac:dyDescent="0.2">
      <c r="A27117">
        <v>37210</v>
      </c>
      <c r="B27117" t="s">
        <v>49</v>
      </c>
      <c r="C27117">
        <v>37210</v>
      </c>
      <c r="D27117" t="str">
        <f>"37210"</f>
        <v>37210</v>
      </c>
      <c r="E27117">
        <v>64.12</v>
      </c>
    </row>
    <row r="27118" spans="1:5" x14ac:dyDescent="0.2">
      <c r="A27118">
        <v>37211</v>
      </c>
      <c r="B27118" t="s">
        <v>49</v>
      </c>
      <c r="C27118">
        <v>37211</v>
      </c>
      <c r="D27118" t="str">
        <f>"37211"</f>
        <v>37211</v>
      </c>
      <c r="E27118">
        <v>70.45</v>
      </c>
    </row>
    <row r="27119" spans="1:5" x14ac:dyDescent="0.2">
      <c r="A27119">
        <v>37212</v>
      </c>
      <c r="B27119" t="s">
        <v>49</v>
      </c>
      <c r="C27119">
        <v>37212</v>
      </c>
      <c r="D27119" t="str">
        <f>"37212"</f>
        <v>37212</v>
      </c>
      <c r="E27119">
        <v>82.82</v>
      </c>
    </row>
    <row r="27120" spans="1:5" x14ac:dyDescent="0.2">
      <c r="A27120">
        <v>37213</v>
      </c>
      <c r="B27120" t="s">
        <v>49</v>
      </c>
      <c r="C27120">
        <v>37213</v>
      </c>
      <c r="D27120" t="str">
        <f>"37213"</f>
        <v>37213</v>
      </c>
      <c r="E27120" t="s">
        <v>6</v>
      </c>
    </row>
    <row r="27121" spans="1:5" x14ac:dyDescent="0.2">
      <c r="A27121">
        <v>37214</v>
      </c>
      <c r="B27121" t="s">
        <v>49</v>
      </c>
      <c r="C27121">
        <v>37214</v>
      </c>
      <c r="D27121" t="str">
        <f>"37214"</f>
        <v>37214</v>
      </c>
      <c r="E27121">
        <v>78.180000000000007</v>
      </c>
    </row>
    <row r="27122" spans="1:5" x14ac:dyDescent="0.2">
      <c r="A27122">
        <v>37215</v>
      </c>
      <c r="B27122" t="s">
        <v>49</v>
      </c>
      <c r="C27122">
        <v>37215</v>
      </c>
      <c r="D27122" t="str">
        <f>"37215"</f>
        <v>37215</v>
      </c>
      <c r="E27122">
        <v>84.8</v>
      </c>
    </row>
    <row r="27123" spans="1:5" x14ac:dyDescent="0.2">
      <c r="A27123">
        <v>37216</v>
      </c>
      <c r="B27123" t="s">
        <v>49</v>
      </c>
      <c r="C27123">
        <v>37216</v>
      </c>
      <c r="D27123" t="str">
        <f>"37216"</f>
        <v>37216</v>
      </c>
      <c r="E27123">
        <v>79.36</v>
      </c>
    </row>
    <row r="27124" spans="1:5" x14ac:dyDescent="0.2">
      <c r="A27124">
        <v>37217</v>
      </c>
      <c r="B27124" t="s">
        <v>49</v>
      </c>
      <c r="C27124">
        <v>37217</v>
      </c>
      <c r="D27124" t="str">
        <f>"37217"</f>
        <v>37217</v>
      </c>
      <c r="E27124">
        <v>65.2</v>
      </c>
    </row>
    <row r="27125" spans="1:5" x14ac:dyDescent="0.2">
      <c r="A27125">
        <v>37218</v>
      </c>
      <c r="B27125" t="s">
        <v>49</v>
      </c>
      <c r="C27125">
        <v>37218</v>
      </c>
      <c r="D27125" t="str">
        <f>"37218"</f>
        <v>37218</v>
      </c>
      <c r="E27125">
        <v>65.31</v>
      </c>
    </row>
    <row r="27126" spans="1:5" x14ac:dyDescent="0.2">
      <c r="A27126">
        <v>37219</v>
      </c>
      <c r="B27126" t="s">
        <v>49</v>
      </c>
      <c r="C27126">
        <v>37219</v>
      </c>
      <c r="D27126" t="str">
        <f>"37219"</f>
        <v>37219</v>
      </c>
      <c r="E27126">
        <v>90.08</v>
      </c>
    </row>
    <row r="27127" spans="1:5" x14ac:dyDescent="0.2">
      <c r="A27127">
        <v>37220</v>
      </c>
      <c r="B27127" t="s">
        <v>49</v>
      </c>
      <c r="C27127">
        <v>37220</v>
      </c>
      <c r="D27127" t="str">
        <f>"37220"</f>
        <v>37220</v>
      </c>
      <c r="E27127">
        <v>83.74</v>
      </c>
    </row>
    <row r="27128" spans="1:5" x14ac:dyDescent="0.2">
      <c r="A27128">
        <v>37221</v>
      </c>
      <c r="B27128" t="s">
        <v>49</v>
      </c>
      <c r="C27128">
        <v>37221</v>
      </c>
      <c r="D27128" t="str">
        <f>"37221"</f>
        <v>37221</v>
      </c>
      <c r="E27128">
        <v>81.180000000000007</v>
      </c>
    </row>
    <row r="27129" spans="1:5" x14ac:dyDescent="0.2">
      <c r="A27129">
        <v>37228</v>
      </c>
      <c r="B27129" t="s">
        <v>49</v>
      </c>
      <c r="C27129">
        <v>37228</v>
      </c>
      <c r="D27129" t="str">
        <f>"37228"</f>
        <v>37228</v>
      </c>
      <c r="E27129">
        <v>74.34</v>
      </c>
    </row>
    <row r="27130" spans="1:5" x14ac:dyDescent="0.2">
      <c r="A27130">
        <v>37232</v>
      </c>
      <c r="B27130" t="s">
        <v>49</v>
      </c>
      <c r="C27130">
        <v>37232</v>
      </c>
      <c r="D27130" t="str">
        <f>"37232"</f>
        <v>37232</v>
      </c>
      <c r="E27130" t="s">
        <v>6</v>
      </c>
    </row>
    <row r="27131" spans="1:5" x14ac:dyDescent="0.2">
      <c r="A27131">
        <v>37238</v>
      </c>
      <c r="B27131" t="s">
        <v>49</v>
      </c>
      <c r="C27131">
        <v>37238</v>
      </c>
      <c r="D27131" t="str">
        <f>"37238"</f>
        <v>37238</v>
      </c>
      <c r="E27131" t="s">
        <v>6</v>
      </c>
    </row>
    <row r="27132" spans="1:5" x14ac:dyDescent="0.2">
      <c r="A27132">
        <v>37240</v>
      </c>
      <c r="B27132" t="s">
        <v>49</v>
      </c>
      <c r="C27132">
        <v>37240</v>
      </c>
      <c r="D27132" t="str">
        <f>"37240"</f>
        <v>37240</v>
      </c>
      <c r="E27132" t="s">
        <v>6</v>
      </c>
    </row>
    <row r="27133" spans="1:5" x14ac:dyDescent="0.2">
      <c r="A27133">
        <v>37243</v>
      </c>
      <c r="B27133" t="s">
        <v>49</v>
      </c>
      <c r="C27133">
        <v>37243</v>
      </c>
      <c r="D27133" t="str">
        <f>"37243"</f>
        <v>37243</v>
      </c>
      <c r="E27133" t="s">
        <v>6</v>
      </c>
    </row>
    <row r="27134" spans="1:5" x14ac:dyDescent="0.2">
      <c r="A27134">
        <v>37301</v>
      </c>
      <c r="B27134" t="s">
        <v>49</v>
      </c>
      <c r="C27134">
        <v>37301</v>
      </c>
      <c r="D27134" t="str">
        <f>"37301"</f>
        <v>37301</v>
      </c>
      <c r="E27134">
        <v>60.61</v>
      </c>
    </row>
    <row r="27135" spans="1:5" x14ac:dyDescent="0.2">
      <c r="A27135">
        <v>37302</v>
      </c>
      <c r="B27135" t="s">
        <v>49</v>
      </c>
      <c r="C27135">
        <v>37302</v>
      </c>
      <c r="D27135" t="str">
        <f>"37302"</f>
        <v>37302</v>
      </c>
      <c r="E27135">
        <v>75.650000000000006</v>
      </c>
    </row>
    <row r="27136" spans="1:5" x14ac:dyDescent="0.2">
      <c r="A27136">
        <v>37303</v>
      </c>
      <c r="B27136" t="s">
        <v>49</v>
      </c>
      <c r="C27136">
        <v>37303</v>
      </c>
      <c r="D27136" t="str">
        <f>"37303"</f>
        <v>37303</v>
      </c>
      <c r="E27136">
        <v>66.25</v>
      </c>
    </row>
    <row r="27137" spans="1:5" x14ac:dyDescent="0.2">
      <c r="A27137">
        <v>37305</v>
      </c>
      <c r="B27137" t="s">
        <v>49</v>
      </c>
      <c r="C27137">
        <v>37305</v>
      </c>
      <c r="D27137" t="str">
        <f>"37305"</f>
        <v>37305</v>
      </c>
      <c r="E27137">
        <v>55.56</v>
      </c>
    </row>
    <row r="27138" spans="1:5" x14ac:dyDescent="0.2">
      <c r="A27138">
        <v>37306</v>
      </c>
      <c r="B27138" t="s">
        <v>49</v>
      </c>
      <c r="C27138">
        <v>37306</v>
      </c>
      <c r="D27138" t="str">
        <f>"37306"</f>
        <v>37306</v>
      </c>
      <c r="E27138">
        <v>68.97</v>
      </c>
    </row>
    <row r="27139" spans="1:5" x14ac:dyDescent="0.2">
      <c r="A27139">
        <v>37307</v>
      </c>
      <c r="B27139" t="s">
        <v>49</v>
      </c>
      <c r="C27139">
        <v>37307</v>
      </c>
      <c r="D27139" t="str">
        <f>"37307"</f>
        <v>37307</v>
      </c>
      <c r="E27139">
        <v>66.67</v>
      </c>
    </row>
    <row r="27140" spans="1:5" x14ac:dyDescent="0.2">
      <c r="A27140">
        <v>37308</v>
      </c>
      <c r="B27140" t="s">
        <v>49</v>
      </c>
      <c r="C27140">
        <v>37308</v>
      </c>
      <c r="D27140" t="str">
        <f>"37308"</f>
        <v>37308</v>
      </c>
      <c r="E27140">
        <v>71.67</v>
      </c>
    </row>
    <row r="27141" spans="1:5" x14ac:dyDescent="0.2">
      <c r="A27141">
        <v>37309</v>
      </c>
      <c r="B27141" t="s">
        <v>49</v>
      </c>
      <c r="C27141">
        <v>37309</v>
      </c>
      <c r="D27141" t="str">
        <f>"37309"</f>
        <v>37309</v>
      </c>
      <c r="E27141">
        <v>68.89</v>
      </c>
    </row>
    <row r="27142" spans="1:5" x14ac:dyDescent="0.2">
      <c r="A27142">
        <v>37310</v>
      </c>
      <c r="B27142" t="s">
        <v>49</v>
      </c>
      <c r="C27142">
        <v>37310</v>
      </c>
      <c r="D27142" t="str">
        <f>"37310"</f>
        <v>37310</v>
      </c>
      <c r="E27142">
        <v>72.680000000000007</v>
      </c>
    </row>
    <row r="27143" spans="1:5" x14ac:dyDescent="0.2">
      <c r="A27143">
        <v>37311</v>
      </c>
      <c r="B27143" t="s">
        <v>49</v>
      </c>
      <c r="C27143">
        <v>37311</v>
      </c>
      <c r="D27143" t="str">
        <f>"37311"</f>
        <v>37311</v>
      </c>
      <c r="E27143">
        <v>60.34</v>
      </c>
    </row>
    <row r="27144" spans="1:5" x14ac:dyDescent="0.2">
      <c r="A27144">
        <v>37312</v>
      </c>
      <c r="B27144" t="s">
        <v>49</v>
      </c>
      <c r="C27144">
        <v>37312</v>
      </c>
      <c r="D27144" t="str">
        <f>"37312"</f>
        <v>37312</v>
      </c>
      <c r="E27144">
        <v>70.8</v>
      </c>
    </row>
    <row r="27145" spans="1:5" x14ac:dyDescent="0.2">
      <c r="A27145">
        <v>37313</v>
      </c>
      <c r="B27145" t="s">
        <v>49</v>
      </c>
      <c r="C27145">
        <v>37313</v>
      </c>
      <c r="D27145" t="str">
        <f>"37313"</f>
        <v>37313</v>
      </c>
      <c r="E27145">
        <v>61.54</v>
      </c>
    </row>
    <row r="27146" spans="1:5" x14ac:dyDescent="0.2">
      <c r="A27146">
        <v>37315</v>
      </c>
      <c r="B27146" t="s">
        <v>49</v>
      </c>
      <c r="C27146">
        <v>37315</v>
      </c>
      <c r="D27146" t="str">
        <f>"37315"</f>
        <v>37315</v>
      </c>
      <c r="E27146" t="s">
        <v>6</v>
      </c>
    </row>
    <row r="27147" spans="1:5" x14ac:dyDescent="0.2">
      <c r="A27147">
        <v>37317</v>
      </c>
      <c r="B27147" t="s">
        <v>49</v>
      </c>
      <c r="C27147">
        <v>37317</v>
      </c>
      <c r="D27147" t="str">
        <f>"37317"</f>
        <v>37317</v>
      </c>
      <c r="E27147">
        <v>58</v>
      </c>
    </row>
    <row r="27148" spans="1:5" x14ac:dyDescent="0.2">
      <c r="A27148">
        <v>37318</v>
      </c>
      <c r="B27148" t="s">
        <v>49</v>
      </c>
      <c r="C27148">
        <v>37318</v>
      </c>
      <c r="D27148" t="str">
        <f>"37318"</f>
        <v>37318</v>
      </c>
      <c r="E27148">
        <v>62.65</v>
      </c>
    </row>
    <row r="27149" spans="1:5" x14ac:dyDescent="0.2">
      <c r="A27149">
        <v>37321</v>
      </c>
      <c r="B27149" t="s">
        <v>49</v>
      </c>
      <c r="C27149">
        <v>37321</v>
      </c>
      <c r="D27149" t="str">
        <f>"37321"</f>
        <v>37321</v>
      </c>
      <c r="E27149">
        <v>64.709999999999994</v>
      </c>
    </row>
    <row r="27150" spans="1:5" x14ac:dyDescent="0.2">
      <c r="A27150">
        <v>37322</v>
      </c>
      <c r="B27150" t="s">
        <v>49</v>
      </c>
      <c r="C27150">
        <v>37322</v>
      </c>
      <c r="D27150" t="str">
        <f>"37322"</f>
        <v>37322</v>
      </c>
      <c r="E27150">
        <v>65.33</v>
      </c>
    </row>
    <row r="27151" spans="1:5" x14ac:dyDescent="0.2">
      <c r="A27151">
        <v>37323</v>
      </c>
      <c r="B27151" t="s">
        <v>49</v>
      </c>
      <c r="C27151">
        <v>37323</v>
      </c>
      <c r="D27151" t="str">
        <f>"37323"</f>
        <v>37323</v>
      </c>
      <c r="E27151">
        <v>67.25</v>
      </c>
    </row>
    <row r="27152" spans="1:5" x14ac:dyDescent="0.2">
      <c r="A27152">
        <v>37324</v>
      </c>
      <c r="B27152" t="s">
        <v>49</v>
      </c>
      <c r="C27152">
        <v>37324</v>
      </c>
      <c r="D27152" t="str">
        <f>"37324"</f>
        <v>37324</v>
      </c>
      <c r="E27152">
        <v>66.52</v>
      </c>
    </row>
    <row r="27153" spans="1:5" x14ac:dyDescent="0.2">
      <c r="A27153">
        <v>37325</v>
      </c>
      <c r="B27153" t="s">
        <v>49</v>
      </c>
      <c r="C27153">
        <v>37325</v>
      </c>
      <c r="D27153" t="str">
        <f>"37325"</f>
        <v>37325</v>
      </c>
      <c r="E27153">
        <v>72.22</v>
      </c>
    </row>
    <row r="27154" spans="1:5" x14ac:dyDescent="0.2">
      <c r="A27154">
        <v>37326</v>
      </c>
      <c r="B27154" t="s">
        <v>49</v>
      </c>
      <c r="C27154">
        <v>37326</v>
      </c>
      <c r="D27154" t="str">
        <f>"37326"</f>
        <v>37326</v>
      </c>
      <c r="E27154" t="s">
        <v>6</v>
      </c>
    </row>
    <row r="27155" spans="1:5" x14ac:dyDescent="0.2">
      <c r="A27155">
        <v>37327</v>
      </c>
      <c r="B27155" t="s">
        <v>49</v>
      </c>
      <c r="C27155">
        <v>37327</v>
      </c>
      <c r="D27155" t="str">
        <f>"37327"</f>
        <v>37327</v>
      </c>
      <c r="E27155">
        <v>65.099999999999994</v>
      </c>
    </row>
    <row r="27156" spans="1:5" x14ac:dyDescent="0.2">
      <c r="A27156">
        <v>37328</v>
      </c>
      <c r="B27156" t="s">
        <v>49</v>
      </c>
      <c r="C27156">
        <v>37328</v>
      </c>
      <c r="D27156" t="str">
        <f>"37328"</f>
        <v>37328</v>
      </c>
      <c r="E27156">
        <v>63.79</v>
      </c>
    </row>
    <row r="27157" spans="1:5" x14ac:dyDescent="0.2">
      <c r="A27157">
        <v>37329</v>
      </c>
      <c r="B27157" t="s">
        <v>49</v>
      </c>
      <c r="C27157">
        <v>37329</v>
      </c>
      <c r="D27157" t="str">
        <f>"37329"</f>
        <v>37329</v>
      </c>
      <c r="E27157">
        <v>67.7</v>
      </c>
    </row>
    <row r="27158" spans="1:5" x14ac:dyDescent="0.2">
      <c r="A27158">
        <v>37330</v>
      </c>
      <c r="B27158" t="s">
        <v>49</v>
      </c>
      <c r="C27158">
        <v>37330</v>
      </c>
      <c r="D27158" t="str">
        <f>"37330"</f>
        <v>37330</v>
      </c>
      <c r="E27158">
        <v>72.150000000000006</v>
      </c>
    </row>
    <row r="27159" spans="1:5" x14ac:dyDescent="0.2">
      <c r="A27159">
        <v>37331</v>
      </c>
      <c r="B27159" t="s">
        <v>49</v>
      </c>
      <c r="C27159">
        <v>37331</v>
      </c>
      <c r="D27159" t="str">
        <f>"37331"</f>
        <v>37331</v>
      </c>
      <c r="E27159">
        <v>65.06</v>
      </c>
    </row>
    <row r="27160" spans="1:5" x14ac:dyDescent="0.2">
      <c r="A27160">
        <v>37332</v>
      </c>
      <c r="B27160" t="s">
        <v>49</v>
      </c>
      <c r="C27160">
        <v>37332</v>
      </c>
      <c r="D27160" t="str">
        <f>"37332"</f>
        <v>37332</v>
      </c>
      <c r="E27160">
        <v>67.89</v>
      </c>
    </row>
    <row r="27161" spans="1:5" x14ac:dyDescent="0.2">
      <c r="A27161">
        <v>37333</v>
      </c>
      <c r="B27161" t="s">
        <v>49</v>
      </c>
      <c r="C27161">
        <v>37333</v>
      </c>
      <c r="D27161" t="str">
        <f>"37333"</f>
        <v>37333</v>
      </c>
      <c r="E27161">
        <v>47.37</v>
      </c>
    </row>
    <row r="27162" spans="1:5" x14ac:dyDescent="0.2">
      <c r="A27162">
        <v>37334</v>
      </c>
      <c r="B27162" t="s">
        <v>49</v>
      </c>
      <c r="C27162">
        <v>37334</v>
      </c>
      <c r="D27162" t="str">
        <f>"37334"</f>
        <v>37334</v>
      </c>
      <c r="E27162">
        <v>69.349999999999994</v>
      </c>
    </row>
    <row r="27163" spans="1:5" x14ac:dyDescent="0.2">
      <c r="A27163">
        <v>37335</v>
      </c>
      <c r="B27163" t="s">
        <v>49</v>
      </c>
      <c r="C27163">
        <v>37335</v>
      </c>
      <c r="D27163" t="str">
        <f>"37335"</f>
        <v>37335</v>
      </c>
      <c r="E27163">
        <v>68.75</v>
      </c>
    </row>
    <row r="27164" spans="1:5" x14ac:dyDescent="0.2">
      <c r="A27164">
        <v>37336</v>
      </c>
      <c r="B27164" t="s">
        <v>49</v>
      </c>
      <c r="C27164">
        <v>37336</v>
      </c>
      <c r="D27164" t="str">
        <f>"37336"</f>
        <v>37336</v>
      </c>
      <c r="E27164">
        <v>73.2</v>
      </c>
    </row>
    <row r="27165" spans="1:5" x14ac:dyDescent="0.2">
      <c r="A27165">
        <v>37337</v>
      </c>
      <c r="B27165" t="s">
        <v>49</v>
      </c>
      <c r="C27165">
        <v>37337</v>
      </c>
      <c r="D27165" t="str">
        <f>"37337"</f>
        <v>37337</v>
      </c>
      <c r="E27165">
        <v>64.41</v>
      </c>
    </row>
    <row r="27166" spans="1:5" x14ac:dyDescent="0.2">
      <c r="A27166">
        <v>37338</v>
      </c>
      <c r="B27166" t="s">
        <v>49</v>
      </c>
      <c r="C27166">
        <v>37338</v>
      </c>
      <c r="D27166" t="str">
        <f>"37338"</f>
        <v>37338</v>
      </c>
      <c r="E27166">
        <v>64.62</v>
      </c>
    </row>
    <row r="27167" spans="1:5" x14ac:dyDescent="0.2">
      <c r="A27167">
        <v>37339</v>
      </c>
      <c r="B27167" t="s">
        <v>49</v>
      </c>
      <c r="C27167">
        <v>37339</v>
      </c>
      <c r="D27167" t="str">
        <f>"37339"</f>
        <v>37339</v>
      </c>
      <c r="E27167">
        <v>62.5</v>
      </c>
    </row>
    <row r="27168" spans="1:5" x14ac:dyDescent="0.2">
      <c r="A27168">
        <v>37340</v>
      </c>
      <c r="B27168" t="s">
        <v>49</v>
      </c>
      <c r="C27168">
        <v>37340</v>
      </c>
      <c r="D27168" t="str">
        <f>"37340"</f>
        <v>37340</v>
      </c>
      <c r="E27168">
        <v>58.62</v>
      </c>
    </row>
    <row r="27169" spans="1:5" x14ac:dyDescent="0.2">
      <c r="A27169">
        <v>37341</v>
      </c>
      <c r="B27169" t="s">
        <v>49</v>
      </c>
      <c r="C27169">
        <v>37341</v>
      </c>
      <c r="D27169" t="str">
        <f>"37341"</f>
        <v>37341</v>
      </c>
      <c r="E27169">
        <v>72.77</v>
      </c>
    </row>
    <row r="27170" spans="1:5" x14ac:dyDescent="0.2">
      <c r="A27170">
        <v>37342</v>
      </c>
      <c r="B27170" t="s">
        <v>49</v>
      </c>
      <c r="C27170">
        <v>37342</v>
      </c>
      <c r="D27170" t="str">
        <f>"37342"</f>
        <v>37342</v>
      </c>
      <c r="E27170">
        <v>68.790000000000006</v>
      </c>
    </row>
    <row r="27171" spans="1:5" x14ac:dyDescent="0.2">
      <c r="A27171">
        <v>37343</v>
      </c>
      <c r="B27171" t="s">
        <v>49</v>
      </c>
      <c r="C27171">
        <v>37343</v>
      </c>
      <c r="D27171" t="str">
        <f>"37343"</f>
        <v>37343</v>
      </c>
      <c r="E27171">
        <v>74.349999999999994</v>
      </c>
    </row>
    <row r="27172" spans="1:5" x14ac:dyDescent="0.2">
      <c r="A27172">
        <v>37345</v>
      </c>
      <c r="B27172" t="s">
        <v>49</v>
      </c>
      <c r="C27172">
        <v>37345</v>
      </c>
      <c r="D27172" t="str">
        <f>"37345"</f>
        <v>37345</v>
      </c>
      <c r="E27172">
        <v>68.13</v>
      </c>
    </row>
    <row r="27173" spans="1:5" x14ac:dyDescent="0.2">
      <c r="A27173">
        <v>37347</v>
      </c>
      <c r="B27173" t="s">
        <v>49</v>
      </c>
      <c r="C27173">
        <v>37347</v>
      </c>
      <c r="D27173" t="str">
        <f>"37347"</f>
        <v>37347</v>
      </c>
      <c r="E27173">
        <v>70.88</v>
      </c>
    </row>
    <row r="27174" spans="1:5" x14ac:dyDescent="0.2">
      <c r="A27174">
        <v>37348</v>
      </c>
      <c r="B27174" t="s">
        <v>49</v>
      </c>
      <c r="C27174">
        <v>37348</v>
      </c>
      <c r="D27174" t="str">
        <f>"37348"</f>
        <v>37348</v>
      </c>
      <c r="E27174">
        <v>66.67</v>
      </c>
    </row>
    <row r="27175" spans="1:5" x14ac:dyDescent="0.2">
      <c r="A27175">
        <v>37350</v>
      </c>
      <c r="B27175" t="s">
        <v>49</v>
      </c>
      <c r="C27175">
        <v>37350</v>
      </c>
      <c r="D27175" t="str">
        <f>"37350"</f>
        <v>37350</v>
      </c>
      <c r="E27175">
        <v>81.819999999999993</v>
      </c>
    </row>
    <row r="27176" spans="1:5" x14ac:dyDescent="0.2">
      <c r="A27176">
        <v>37351</v>
      </c>
      <c r="B27176" t="s">
        <v>49</v>
      </c>
      <c r="C27176">
        <v>37351</v>
      </c>
      <c r="D27176" t="str">
        <f>"37351"</f>
        <v>37351</v>
      </c>
      <c r="E27176">
        <v>75</v>
      </c>
    </row>
    <row r="27177" spans="1:5" x14ac:dyDescent="0.2">
      <c r="A27177">
        <v>37352</v>
      </c>
      <c r="B27177" t="s">
        <v>49</v>
      </c>
      <c r="C27177">
        <v>37352</v>
      </c>
      <c r="D27177" t="str">
        <f>"37352"</f>
        <v>37352</v>
      </c>
      <c r="E27177">
        <v>74.31</v>
      </c>
    </row>
    <row r="27178" spans="1:5" x14ac:dyDescent="0.2">
      <c r="A27178">
        <v>37353</v>
      </c>
      <c r="B27178" t="s">
        <v>49</v>
      </c>
      <c r="C27178">
        <v>37353</v>
      </c>
      <c r="D27178" t="str">
        <f>"37353"</f>
        <v>37353</v>
      </c>
      <c r="E27178">
        <v>71.430000000000007</v>
      </c>
    </row>
    <row r="27179" spans="1:5" x14ac:dyDescent="0.2">
      <c r="A27179">
        <v>37354</v>
      </c>
      <c r="B27179" t="s">
        <v>49</v>
      </c>
      <c r="C27179">
        <v>37354</v>
      </c>
      <c r="D27179" t="str">
        <f>"37354"</f>
        <v>37354</v>
      </c>
      <c r="E27179">
        <v>67.25</v>
      </c>
    </row>
    <row r="27180" spans="1:5" x14ac:dyDescent="0.2">
      <c r="A27180">
        <v>37355</v>
      </c>
      <c r="B27180" t="s">
        <v>49</v>
      </c>
      <c r="C27180">
        <v>37355</v>
      </c>
      <c r="D27180" t="str">
        <f>"37355"</f>
        <v>37355</v>
      </c>
      <c r="E27180">
        <v>67.92</v>
      </c>
    </row>
    <row r="27181" spans="1:5" x14ac:dyDescent="0.2">
      <c r="A27181">
        <v>37356</v>
      </c>
      <c r="B27181" t="s">
        <v>49</v>
      </c>
      <c r="C27181">
        <v>37356</v>
      </c>
      <c r="D27181" t="str">
        <f>"37356"</f>
        <v>37356</v>
      </c>
      <c r="E27181">
        <v>62.93</v>
      </c>
    </row>
    <row r="27182" spans="1:5" x14ac:dyDescent="0.2">
      <c r="A27182">
        <v>37357</v>
      </c>
      <c r="B27182" t="s">
        <v>49</v>
      </c>
      <c r="C27182">
        <v>37357</v>
      </c>
      <c r="D27182" t="str">
        <f>"37357"</f>
        <v>37357</v>
      </c>
      <c r="E27182">
        <v>68.239999999999995</v>
      </c>
    </row>
    <row r="27183" spans="1:5" x14ac:dyDescent="0.2">
      <c r="A27183">
        <v>37359</v>
      </c>
      <c r="B27183" t="s">
        <v>49</v>
      </c>
      <c r="C27183">
        <v>37359</v>
      </c>
      <c r="D27183" t="str">
        <f>"37359"</f>
        <v>37359</v>
      </c>
      <c r="E27183">
        <v>71.430000000000007</v>
      </c>
    </row>
    <row r="27184" spans="1:5" x14ac:dyDescent="0.2">
      <c r="A27184">
        <v>37360</v>
      </c>
      <c r="B27184" t="s">
        <v>49</v>
      </c>
      <c r="C27184">
        <v>37360</v>
      </c>
      <c r="D27184" t="str">
        <f>"37360"</f>
        <v>37360</v>
      </c>
      <c r="E27184">
        <v>73.33</v>
      </c>
    </row>
    <row r="27185" spans="1:5" x14ac:dyDescent="0.2">
      <c r="A27185">
        <v>37361</v>
      </c>
      <c r="B27185" t="s">
        <v>49</v>
      </c>
      <c r="C27185">
        <v>37361</v>
      </c>
      <c r="D27185" t="str">
        <f>"37361"</f>
        <v>37361</v>
      </c>
      <c r="E27185">
        <v>61.76</v>
      </c>
    </row>
    <row r="27186" spans="1:5" x14ac:dyDescent="0.2">
      <c r="A27186">
        <v>37362</v>
      </c>
      <c r="B27186" t="s">
        <v>49</v>
      </c>
      <c r="C27186">
        <v>37362</v>
      </c>
      <c r="D27186" t="str">
        <f>"37362"</f>
        <v>37362</v>
      </c>
      <c r="E27186">
        <v>66.44</v>
      </c>
    </row>
    <row r="27187" spans="1:5" x14ac:dyDescent="0.2">
      <c r="A27187">
        <v>37363</v>
      </c>
      <c r="B27187" t="s">
        <v>49</v>
      </c>
      <c r="C27187">
        <v>37363</v>
      </c>
      <c r="D27187" t="str">
        <f>"37363"</f>
        <v>37363</v>
      </c>
      <c r="E27187">
        <v>77.63</v>
      </c>
    </row>
    <row r="27188" spans="1:5" x14ac:dyDescent="0.2">
      <c r="A27188">
        <v>37365</v>
      </c>
      <c r="B27188" t="s">
        <v>49</v>
      </c>
      <c r="C27188">
        <v>37365</v>
      </c>
      <c r="D27188" t="str">
        <f>"37365"</f>
        <v>37365</v>
      </c>
      <c r="E27188">
        <v>58.82</v>
      </c>
    </row>
    <row r="27189" spans="1:5" x14ac:dyDescent="0.2">
      <c r="A27189">
        <v>37366</v>
      </c>
      <c r="B27189" t="s">
        <v>49</v>
      </c>
      <c r="C27189">
        <v>37366</v>
      </c>
      <c r="D27189" t="str">
        <f>"37366"</f>
        <v>37366</v>
      </c>
      <c r="E27189">
        <v>67.44</v>
      </c>
    </row>
    <row r="27190" spans="1:5" x14ac:dyDescent="0.2">
      <c r="A27190">
        <v>37367</v>
      </c>
      <c r="B27190" t="s">
        <v>49</v>
      </c>
      <c r="C27190">
        <v>37367</v>
      </c>
      <c r="D27190" t="str">
        <f>"37367"</f>
        <v>37367</v>
      </c>
      <c r="E27190">
        <v>61.58</v>
      </c>
    </row>
    <row r="27191" spans="1:5" x14ac:dyDescent="0.2">
      <c r="A27191">
        <v>37369</v>
      </c>
      <c r="B27191" t="s">
        <v>49</v>
      </c>
      <c r="C27191">
        <v>37369</v>
      </c>
      <c r="D27191" t="str">
        <f>"37369"</f>
        <v>37369</v>
      </c>
      <c r="E27191">
        <v>66.67</v>
      </c>
    </row>
    <row r="27192" spans="1:5" x14ac:dyDescent="0.2">
      <c r="A27192">
        <v>37370</v>
      </c>
      <c r="B27192" t="s">
        <v>49</v>
      </c>
      <c r="C27192">
        <v>37370</v>
      </c>
      <c r="D27192" t="str">
        <f>"37370"</f>
        <v>37370</v>
      </c>
      <c r="E27192">
        <v>69.459999999999994</v>
      </c>
    </row>
    <row r="27193" spans="1:5" x14ac:dyDescent="0.2">
      <c r="A27193">
        <v>37373</v>
      </c>
      <c r="B27193" t="s">
        <v>49</v>
      </c>
      <c r="C27193">
        <v>37373</v>
      </c>
      <c r="D27193" t="str">
        <f>"37373"</f>
        <v>37373</v>
      </c>
      <c r="E27193">
        <v>71.64</v>
      </c>
    </row>
    <row r="27194" spans="1:5" x14ac:dyDescent="0.2">
      <c r="A27194">
        <v>37374</v>
      </c>
      <c r="B27194" t="s">
        <v>49</v>
      </c>
      <c r="C27194">
        <v>37374</v>
      </c>
      <c r="D27194" t="str">
        <f>"37374"</f>
        <v>37374</v>
      </c>
      <c r="E27194">
        <v>63.64</v>
      </c>
    </row>
    <row r="27195" spans="1:5" x14ac:dyDescent="0.2">
      <c r="A27195">
        <v>37375</v>
      </c>
      <c r="B27195" t="s">
        <v>49</v>
      </c>
      <c r="C27195">
        <v>37375</v>
      </c>
      <c r="D27195" t="str">
        <f>"37375"</f>
        <v>37375</v>
      </c>
      <c r="E27195">
        <v>73.91</v>
      </c>
    </row>
    <row r="27196" spans="1:5" x14ac:dyDescent="0.2">
      <c r="A27196">
        <v>37376</v>
      </c>
      <c r="B27196" t="s">
        <v>49</v>
      </c>
      <c r="C27196">
        <v>37376</v>
      </c>
      <c r="D27196" t="str">
        <f>"37376"</f>
        <v>37376</v>
      </c>
      <c r="E27196">
        <v>70.59</v>
      </c>
    </row>
    <row r="27197" spans="1:5" x14ac:dyDescent="0.2">
      <c r="A27197">
        <v>37377</v>
      </c>
      <c r="B27197" t="s">
        <v>49</v>
      </c>
      <c r="C27197">
        <v>37377</v>
      </c>
      <c r="D27197" t="str">
        <f>"37377"</f>
        <v>37377</v>
      </c>
      <c r="E27197">
        <v>79.03</v>
      </c>
    </row>
    <row r="27198" spans="1:5" x14ac:dyDescent="0.2">
      <c r="A27198">
        <v>37379</v>
      </c>
      <c r="B27198" t="s">
        <v>49</v>
      </c>
      <c r="C27198">
        <v>37379</v>
      </c>
      <c r="D27198" t="str">
        <f>"37379"</f>
        <v>37379</v>
      </c>
      <c r="E27198">
        <v>74.53</v>
      </c>
    </row>
    <row r="27199" spans="1:5" x14ac:dyDescent="0.2">
      <c r="A27199">
        <v>37380</v>
      </c>
      <c r="B27199" t="s">
        <v>49</v>
      </c>
      <c r="C27199">
        <v>37380</v>
      </c>
      <c r="D27199" t="str">
        <f>"37380"</f>
        <v>37380</v>
      </c>
      <c r="E27199">
        <v>68.12</v>
      </c>
    </row>
    <row r="27200" spans="1:5" x14ac:dyDescent="0.2">
      <c r="A27200">
        <v>37381</v>
      </c>
      <c r="B27200" t="s">
        <v>49</v>
      </c>
      <c r="C27200">
        <v>37381</v>
      </c>
      <c r="D27200" t="str">
        <f>"37381"</f>
        <v>37381</v>
      </c>
      <c r="E27200">
        <v>66.84</v>
      </c>
    </row>
    <row r="27201" spans="1:5" x14ac:dyDescent="0.2">
      <c r="A27201">
        <v>37385</v>
      </c>
      <c r="B27201" t="s">
        <v>49</v>
      </c>
      <c r="C27201">
        <v>37385</v>
      </c>
      <c r="D27201" t="str">
        <f>"37385"</f>
        <v>37385</v>
      </c>
      <c r="E27201">
        <v>63.82</v>
      </c>
    </row>
    <row r="27202" spans="1:5" x14ac:dyDescent="0.2">
      <c r="A27202">
        <v>37387</v>
      </c>
      <c r="B27202" t="s">
        <v>49</v>
      </c>
      <c r="C27202">
        <v>37387</v>
      </c>
      <c r="D27202" t="str">
        <f>"37387"</f>
        <v>37387</v>
      </c>
      <c r="E27202">
        <v>59.24</v>
      </c>
    </row>
    <row r="27203" spans="1:5" x14ac:dyDescent="0.2">
      <c r="A27203">
        <v>37388</v>
      </c>
      <c r="B27203" t="s">
        <v>49</v>
      </c>
      <c r="C27203">
        <v>37388</v>
      </c>
      <c r="D27203" t="str">
        <f>"37388"</f>
        <v>37388</v>
      </c>
      <c r="E27203">
        <v>69.67</v>
      </c>
    </row>
    <row r="27204" spans="1:5" x14ac:dyDescent="0.2">
      <c r="A27204">
        <v>37389</v>
      </c>
      <c r="B27204" t="s">
        <v>49</v>
      </c>
      <c r="C27204">
        <v>37389</v>
      </c>
      <c r="D27204" t="str">
        <f>"37389"</f>
        <v>37389</v>
      </c>
      <c r="E27204" t="s">
        <v>6</v>
      </c>
    </row>
    <row r="27205" spans="1:5" x14ac:dyDescent="0.2">
      <c r="A27205">
        <v>37391</v>
      </c>
      <c r="B27205" t="s">
        <v>49</v>
      </c>
      <c r="C27205">
        <v>37391</v>
      </c>
      <c r="D27205" t="str">
        <f>"37391"</f>
        <v>37391</v>
      </c>
      <c r="E27205">
        <v>62.5</v>
      </c>
    </row>
    <row r="27206" spans="1:5" x14ac:dyDescent="0.2">
      <c r="A27206">
        <v>37394</v>
      </c>
      <c r="B27206" t="s">
        <v>49</v>
      </c>
      <c r="C27206">
        <v>37394</v>
      </c>
      <c r="D27206" t="str">
        <f>"37394"</f>
        <v>37394</v>
      </c>
      <c r="E27206" t="s">
        <v>6</v>
      </c>
    </row>
    <row r="27207" spans="1:5" x14ac:dyDescent="0.2">
      <c r="A27207">
        <v>37396</v>
      </c>
      <c r="B27207" t="s">
        <v>49</v>
      </c>
      <c r="C27207">
        <v>37396</v>
      </c>
      <c r="D27207" t="str">
        <f>"37396"</f>
        <v>37396</v>
      </c>
      <c r="E27207">
        <v>50</v>
      </c>
    </row>
    <row r="27208" spans="1:5" x14ac:dyDescent="0.2">
      <c r="A27208">
        <v>37397</v>
      </c>
      <c r="B27208" t="s">
        <v>49</v>
      </c>
      <c r="C27208">
        <v>37397</v>
      </c>
      <c r="D27208" t="str">
        <f>"37397"</f>
        <v>37397</v>
      </c>
      <c r="E27208">
        <v>68.31</v>
      </c>
    </row>
    <row r="27209" spans="1:5" x14ac:dyDescent="0.2">
      <c r="A27209">
        <v>37398</v>
      </c>
      <c r="B27209" t="s">
        <v>49</v>
      </c>
      <c r="C27209">
        <v>37398</v>
      </c>
      <c r="D27209" t="str">
        <f>"37398"</f>
        <v>37398</v>
      </c>
      <c r="E27209">
        <v>70</v>
      </c>
    </row>
    <row r="27210" spans="1:5" x14ac:dyDescent="0.2">
      <c r="A27210">
        <v>37402</v>
      </c>
      <c r="B27210" t="s">
        <v>49</v>
      </c>
      <c r="C27210">
        <v>37402</v>
      </c>
      <c r="D27210" t="str">
        <f>"37402"</f>
        <v>37402</v>
      </c>
      <c r="E27210">
        <v>59.87</v>
      </c>
    </row>
    <row r="27211" spans="1:5" x14ac:dyDescent="0.2">
      <c r="A27211">
        <v>37403</v>
      </c>
      <c r="B27211" t="s">
        <v>49</v>
      </c>
      <c r="C27211">
        <v>37403</v>
      </c>
      <c r="D27211" t="str">
        <f>"37403"</f>
        <v>37403</v>
      </c>
      <c r="E27211">
        <v>70.8</v>
      </c>
    </row>
    <row r="27212" spans="1:5" x14ac:dyDescent="0.2">
      <c r="A27212">
        <v>37404</v>
      </c>
      <c r="B27212" t="s">
        <v>49</v>
      </c>
      <c r="C27212">
        <v>37404</v>
      </c>
      <c r="D27212" t="str">
        <f>"37404"</f>
        <v>37404</v>
      </c>
      <c r="E27212">
        <v>55.79</v>
      </c>
    </row>
    <row r="27213" spans="1:5" x14ac:dyDescent="0.2">
      <c r="A27213">
        <v>37405</v>
      </c>
      <c r="B27213" t="s">
        <v>49</v>
      </c>
      <c r="C27213">
        <v>37405</v>
      </c>
      <c r="D27213" t="str">
        <f>"37405"</f>
        <v>37405</v>
      </c>
      <c r="E27213">
        <v>78.760000000000005</v>
      </c>
    </row>
    <row r="27214" spans="1:5" x14ac:dyDescent="0.2">
      <c r="A27214">
        <v>37406</v>
      </c>
      <c r="B27214" t="s">
        <v>49</v>
      </c>
      <c r="C27214">
        <v>37406</v>
      </c>
      <c r="D27214" t="str">
        <f>"37406"</f>
        <v>37406</v>
      </c>
      <c r="E27214">
        <v>50.64</v>
      </c>
    </row>
    <row r="27215" spans="1:5" x14ac:dyDescent="0.2">
      <c r="A27215">
        <v>37407</v>
      </c>
      <c r="B27215" t="s">
        <v>49</v>
      </c>
      <c r="C27215">
        <v>37407</v>
      </c>
      <c r="D27215" t="str">
        <f>"37407"</f>
        <v>37407</v>
      </c>
      <c r="E27215">
        <v>38.96</v>
      </c>
    </row>
    <row r="27216" spans="1:5" x14ac:dyDescent="0.2">
      <c r="A27216">
        <v>37408</v>
      </c>
      <c r="B27216" t="s">
        <v>49</v>
      </c>
      <c r="C27216">
        <v>37408</v>
      </c>
      <c r="D27216" t="str">
        <f>"37408"</f>
        <v>37408</v>
      </c>
      <c r="E27216">
        <v>77.31</v>
      </c>
    </row>
    <row r="27217" spans="1:5" x14ac:dyDescent="0.2">
      <c r="A27217">
        <v>37409</v>
      </c>
      <c r="B27217" t="s">
        <v>49</v>
      </c>
      <c r="C27217">
        <v>37409</v>
      </c>
      <c r="D27217" t="str">
        <f>"37409"</f>
        <v>37409</v>
      </c>
      <c r="E27217">
        <v>74.83</v>
      </c>
    </row>
    <row r="27218" spans="1:5" x14ac:dyDescent="0.2">
      <c r="A27218">
        <v>37410</v>
      </c>
      <c r="B27218" t="s">
        <v>49</v>
      </c>
      <c r="C27218">
        <v>37410</v>
      </c>
      <c r="D27218" t="str">
        <f>"37410"</f>
        <v>37410</v>
      </c>
      <c r="E27218">
        <v>37.659999999999997</v>
      </c>
    </row>
    <row r="27219" spans="1:5" x14ac:dyDescent="0.2">
      <c r="A27219">
        <v>37411</v>
      </c>
      <c r="B27219" t="s">
        <v>49</v>
      </c>
      <c r="C27219">
        <v>37411</v>
      </c>
      <c r="D27219" t="str">
        <f>"37411"</f>
        <v>37411</v>
      </c>
      <c r="E27219">
        <v>63.39</v>
      </c>
    </row>
    <row r="27220" spans="1:5" x14ac:dyDescent="0.2">
      <c r="A27220">
        <v>37412</v>
      </c>
      <c r="B27220" t="s">
        <v>49</v>
      </c>
      <c r="C27220">
        <v>37412</v>
      </c>
      <c r="D27220" t="str">
        <f>"37412"</f>
        <v>37412</v>
      </c>
      <c r="E27220">
        <v>67.72</v>
      </c>
    </row>
    <row r="27221" spans="1:5" x14ac:dyDescent="0.2">
      <c r="A27221">
        <v>37415</v>
      </c>
      <c r="B27221" t="s">
        <v>49</v>
      </c>
      <c r="C27221">
        <v>37415</v>
      </c>
      <c r="D27221" t="str">
        <f>"37415"</f>
        <v>37415</v>
      </c>
      <c r="E27221">
        <v>75.58</v>
      </c>
    </row>
    <row r="27222" spans="1:5" x14ac:dyDescent="0.2">
      <c r="A27222">
        <v>37416</v>
      </c>
      <c r="B27222" t="s">
        <v>49</v>
      </c>
      <c r="C27222">
        <v>37416</v>
      </c>
      <c r="D27222" t="str">
        <f>"37416"</f>
        <v>37416</v>
      </c>
      <c r="E27222">
        <v>69.61</v>
      </c>
    </row>
    <row r="27223" spans="1:5" x14ac:dyDescent="0.2">
      <c r="A27223">
        <v>37419</v>
      </c>
      <c r="B27223" t="s">
        <v>49</v>
      </c>
      <c r="C27223">
        <v>37419</v>
      </c>
      <c r="D27223" t="str">
        <f>"37419"</f>
        <v>37419</v>
      </c>
      <c r="E27223">
        <v>75.5</v>
      </c>
    </row>
    <row r="27224" spans="1:5" x14ac:dyDescent="0.2">
      <c r="A27224">
        <v>37421</v>
      </c>
      <c r="B27224" t="s">
        <v>49</v>
      </c>
      <c r="C27224">
        <v>37421</v>
      </c>
      <c r="D27224" t="str">
        <f>"37421"</f>
        <v>37421</v>
      </c>
      <c r="E27224">
        <v>74.03</v>
      </c>
    </row>
    <row r="27225" spans="1:5" x14ac:dyDescent="0.2">
      <c r="A27225">
        <v>37450</v>
      </c>
      <c r="B27225" t="s">
        <v>49</v>
      </c>
      <c r="C27225">
        <v>37450</v>
      </c>
      <c r="D27225" t="str">
        <f>"37450"</f>
        <v>37450</v>
      </c>
      <c r="E27225" t="s">
        <v>6</v>
      </c>
    </row>
    <row r="27226" spans="1:5" x14ac:dyDescent="0.2">
      <c r="A27226">
        <v>37601</v>
      </c>
      <c r="B27226" t="s">
        <v>49</v>
      </c>
      <c r="C27226">
        <v>37601</v>
      </c>
      <c r="D27226" t="str">
        <f>"37601"</f>
        <v>37601</v>
      </c>
      <c r="E27226">
        <v>65.61</v>
      </c>
    </row>
    <row r="27227" spans="1:5" x14ac:dyDescent="0.2">
      <c r="A27227">
        <v>37604</v>
      </c>
      <c r="B27227" t="s">
        <v>49</v>
      </c>
      <c r="C27227">
        <v>37604</v>
      </c>
      <c r="D27227" t="str">
        <f>"37604"</f>
        <v>37604</v>
      </c>
      <c r="E27227">
        <v>69.709999999999994</v>
      </c>
    </row>
    <row r="27228" spans="1:5" x14ac:dyDescent="0.2">
      <c r="A27228">
        <v>37615</v>
      </c>
      <c r="B27228" t="s">
        <v>49</v>
      </c>
      <c r="C27228">
        <v>37615</v>
      </c>
      <c r="D27228" t="str">
        <f>"37615"</f>
        <v>37615</v>
      </c>
      <c r="E27228">
        <v>76.010000000000005</v>
      </c>
    </row>
    <row r="27229" spans="1:5" x14ac:dyDescent="0.2">
      <c r="A27229">
        <v>37616</v>
      </c>
      <c r="B27229" t="s">
        <v>49</v>
      </c>
      <c r="C27229">
        <v>37616</v>
      </c>
      <c r="D27229" t="str">
        <f>"37616"</f>
        <v>37616</v>
      </c>
      <c r="E27229">
        <v>68.66</v>
      </c>
    </row>
    <row r="27230" spans="1:5" x14ac:dyDescent="0.2">
      <c r="A27230">
        <v>37617</v>
      </c>
      <c r="B27230" t="s">
        <v>49</v>
      </c>
      <c r="C27230">
        <v>37617</v>
      </c>
      <c r="D27230" t="str">
        <f>"37617"</f>
        <v>37617</v>
      </c>
      <c r="E27230">
        <v>70.73</v>
      </c>
    </row>
    <row r="27231" spans="1:5" x14ac:dyDescent="0.2">
      <c r="A27231">
        <v>37618</v>
      </c>
      <c r="B27231" t="s">
        <v>49</v>
      </c>
      <c r="C27231">
        <v>37618</v>
      </c>
      <c r="D27231" t="str">
        <f>"37618"</f>
        <v>37618</v>
      </c>
      <c r="E27231">
        <v>69.150000000000006</v>
      </c>
    </row>
    <row r="27232" spans="1:5" x14ac:dyDescent="0.2">
      <c r="A27232">
        <v>37620</v>
      </c>
      <c r="B27232" t="s">
        <v>49</v>
      </c>
      <c r="C27232">
        <v>37620</v>
      </c>
      <c r="D27232" t="str">
        <f>"37620"</f>
        <v>37620</v>
      </c>
      <c r="E27232">
        <v>68.150000000000006</v>
      </c>
    </row>
    <row r="27233" spans="1:5" x14ac:dyDescent="0.2">
      <c r="A27233">
        <v>37640</v>
      </c>
      <c r="B27233" t="s">
        <v>49</v>
      </c>
      <c r="C27233">
        <v>37640</v>
      </c>
      <c r="D27233" t="str">
        <f>"37640"</f>
        <v>37640</v>
      </c>
      <c r="E27233">
        <v>68.42</v>
      </c>
    </row>
    <row r="27234" spans="1:5" x14ac:dyDescent="0.2">
      <c r="A27234">
        <v>37641</v>
      </c>
      <c r="B27234" t="s">
        <v>49</v>
      </c>
      <c r="C27234">
        <v>37641</v>
      </c>
      <c r="D27234" t="str">
        <f>"37641"</f>
        <v>37641</v>
      </c>
      <c r="E27234">
        <v>67.56</v>
      </c>
    </row>
    <row r="27235" spans="1:5" x14ac:dyDescent="0.2">
      <c r="A27235">
        <v>37642</v>
      </c>
      <c r="B27235" t="s">
        <v>49</v>
      </c>
      <c r="C27235">
        <v>37642</v>
      </c>
      <c r="D27235" t="str">
        <f>"37642"</f>
        <v>37642</v>
      </c>
      <c r="E27235">
        <v>68.25</v>
      </c>
    </row>
    <row r="27236" spans="1:5" x14ac:dyDescent="0.2">
      <c r="A27236">
        <v>37643</v>
      </c>
      <c r="B27236" t="s">
        <v>49</v>
      </c>
      <c r="C27236">
        <v>37643</v>
      </c>
      <c r="D27236" t="str">
        <f>"37643"</f>
        <v>37643</v>
      </c>
      <c r="E27236">
        <v>66.06</v>
      </c>
    </row>
    <row r="27237" spans="1:5" x14ac:dyDescent="0.2">
      <c r="A27237">
        <v>37645</v>
      </c>
      <c r="B27237" t="s">
        <v>49</v>
      </c>
      <c r="C27237">
        <v>37645</v>
      </c>
      <c r="D27237" t="str">
        <f>"37645"</f>
        <v>37645</v>
      </c>
      <c r="E27237">
        <v>72.31</v>
      </c>
    </row>
    <row r="27238" spans="1:5" x14ac:dyDescent="0.2">
      <c r="A27238">
        <v>37650</v>
      </c>
      <c r="B27238" t="s">
        <v>49</v>
      </c>
      <c r="C27238">
        <v>37650</v>
      </c>
      <c r="D27238" t="str">
        <f>"37650"</f>
        <v>37650</v>
      </c>
      <c r="E27238">
        <v>66.069999999999993</v>
      </c>
    </row>
    <row r="27239" spans="1:5" x14ac:dyDescent="0.2">
      <c r="A27239">
        <v>37656</v>
      </c>
      <c r="B27239" t="s">
        <v>49</v>
      </c>
      <c r="C27239">
        <v>37656</v>
      </c>
      <c r="D27239" t="str">
        <f>"37656"</f>
        <v>37656</v>
      </c>
      <c r="E27239">
        <v>69.75</v>
      </c>
    </row>
    <row r="27240" spans="1:5" x14ac:dyDescent="0.2">
      <c r="A27240">
        <v>37657</v>
      </c>
      <c r="B27240" t="s">
        <v>49</v>
      </c>
      <c r="C27240">
        <v>37657</v>
      </c>
      <c r="D27240" t="str">
        <f>"37657"</f>
        <v>37657</v>
      </c>
      <c r="E27240">
        <v>68.569999999999993</v>
      </c>
    </row>
    <row r="27241" spans="1:5" x14ac:dyDescent="0.2">
      <c r="A27241">
        <v>37658</v>
      </c>
      <c r="B27241" t="s">
        <v>49</v>
      </c>
      <c r="C27241">
        <v>37658</v>
      </c>
      <c r="D27241" t="str">
        <f>"37658"</f>
        <v>37658</v>
      </c>
      <c r="E27241">
        <v>63.69</v>
      </c>
    </row>
    <row r="27242" spans="1:5" x14ac:dyDescent="0.2">
      <c r="A27242">
        <v>37659</v>
      </c>
      <c r="B27242" t="s">
        <v>49</v>
      </c>
      <c r="C27242">
        <v>37659</v>
      </c>
      <c r="D27242" t="str">
        <f>"37659"</f>
        <v>37659</v>
      </c>
      <c r="E27242">
        <v>72.48</v>
      </c>
    </row>
    <row r="27243" spans="1:5" x14ac:dyDescent="0.2">
      <c r="A27243">
        <v>37660</v>
      </c>
      <c r="B27243" t="s">
        <v>49</v>
      </c>
      <c r="C27243">
        <v>37660</v>
      </c>
      <c r="D27243" t="str">
        <f>"37660"</f>
        <v>37660</v>
      </c>
      <c r="E27243">
        <v>66.25</v>
      </c>
    </row>
    <row r="27244" spans="1:5" x14ac:dyDescent="0.2">
      <c r="A27244">
        <v>37663</v>
      </c>
      <c r="B27244" t="s">
        <v>49</v>
      </c>
      <c r="C27244">
        <v>37663</v>
      </c>
      <c r="D27244" t="str">
        <f>"37663"</f>
        <v>37663</v>
      </c>
      <c r="E27244">
        <v>74.61</v>
      </c>
    </row>
    <row r="27245" spans="1:5" x14ac:dyDescent="0.2">
      <c r="A27245">
        <v>37664</v>
      </c>
      <c r="B27245" t="s">
        <v>49</v>
      </c>
      <c r="C27245">
        <v>37664</v>
      </c>
      <c r="D27245" t="str">
        <f>"37664"</f>
        <v>37664</v>
      </c>
      <c r="E27245">
        <v>70.650000000000006</v>
      </c>
    </row>
    <row r="27246" spans="1:5" x14ac:dyDescent="0.2">
      <c r="A27246">
        <v>37665</v>
      </c>
      <c r="B27246" t="s">
        <v>49</v>
      </c>
      <c r="C27246">
        <v>37665</v>
      </c>
      <c r="D27246" t="str">
        <f>"37665"</f>
        <v>37665</v>
      </c>
      <c r="E27246">
        <v>59.81</v>
      </c>
    </row>
    <row r="27247" spans="1:5" x14ac:dyDescent="0.2">
      <c r="A27247">
        <v>37680</v>
      </c>
      <c r="B27247" t="s">
        <v>49</v>
      </c>
      <c r="C27247">
        <v>37680</v>
      </c>
      <c r="D27247" t="str">
        <f>"37680"</f>
        <v>37680</v>
      </c>
      <c r="E27247">
        <v>66.67</v>
      </c>
    </row>
    <row r="27248" spans="1:5" x14ac:dyDescent="0.2">
      <c r="A27248">
        <v>37681</v>
      </c>
      <c r="B27248" t="s">
        <v>49</v>
      </c>
      <c r="C27248">
        <v>37681</v>
      </c>
      <c r="D27248" t="str">
        <f>"37681"</f>
        <v>37681</v>
      </c>
      <c r="E27248">
        <v>67.56</v>
      </c>
    </row>
    <row r="27249" spans="1:5" x14ac:dyDescent="0.2">
      <c r="A27249">
        <v>37683</v>
      </c>
      <c r="B27249" t="s">
        <v>49</v>
      </c>
      <c r="C27249">
        <v>37683</v>
      </c>
      <c r="D27249" t="str">
        <f>"37683"</f>
        <v>37683</v>
      </c>
      <c r="E27249">
        <v>64.489999999999995</v>
      </c>
    </row>
    <row r="27250" spans="1:5" x14ac:dyDescent="0.2">
      <c r="A27250">
        <v>37684</v>
      </c>
      <c r="B27250" t="s">
        <v>49</v>
      </c>
      <c r="C27250">
        <v>37684</v>
      </c>
      <c r="D27250" t="str">
        <f>"37684"</f>
        <v>37684</v>
      </c>
      <c r="E27250" t="s">
        <v>6</v>
      </c>
    </row>
    <row r="27251" spans="1:5" x14ac:dyDescent="0.2">
      <c r="A27251">
        <v>37686</v>
      </c>
      <c r="B27251" t="s">
        <v>49</v>
      </c>
      <c r="C27251">
        <v>37686</v>
      </c>
      <c r="D27251" t="str">
        <f>"37686"</f>
        <v>37686</v>
      </c>
      <c r="E27251">
        <v>74.86</v>
      </c>
    </row>
    <row r="27252" spans="1:5" x14ac:dyDescent="0.2">
      <c r="A27252">
        <v>37687</v>
      </c>
      <c r="B27252" t="s">
        <v>49</v>
      </c>
      <c r="C27252">
        <v>37687</v>
      </c>
      <c r="D27252" t="str">
        <f>"37687"</f>
        <v>37687</v>
      </c>
      <c r="E27252">
        <v>62.98</v>
      </c>
    </row>
    <row r="27253" spans="1:5" x14ac:dyDescent="0.2">
      <c r="A27253">
        <v>37688</v>
      </c>
      <c r="B27253" t="s">
        <v>49</v>
      </c>
      <c r="C27253">
        <v>37688</v>
      </c>
      <c r="D27253" t="str">
        <f>"37688"</f>
        <v>37688</v>
      </c>
      <c r="E27253">
        <v>71.05</v>
      </c>
    </row>
    <row r="27254" spans="1:5" x14ac:dyDescent="0.2">
      <c r="A27254">
        <v>37690</v>
      </c>
      <c r="B27254" t="s">
        <v>49</v>
      </c>
      <c r="C27254">
        <v>37690</v>
      </c>
      <c r="D27254" t="str">
        <f>"37690"</f>
        <v>37690</v>
      </c>
      <c r="E27254">
        <v>68.09</v>
      </c>
    </row>
    <row r="27255" spans="1:5" x14ac:dyDescent="0.2">
      <c r="A27255">
        <v>37691</v>
      </c>
      <c r="B27255" t="s">
        <v>49</v>
      </c>
      <c r="C27255">
        <v>37691</v>
      </c>
      <c r="D27255" t="str">
        <f>"37691"</f>
        <v>37691</v>
      </c>
      <c r="E27255">
        <v>62.5</v>
      </c>
    </row>
    <row r="27256" spans="1:5" x14ac:dyDescent="0.2">
      <c r="A27256">
        <v>37692</v>
      </c>
      <c r="B27256" t="s">
        <v>49</v>
      </c>
      <c r="C27256">
        <v>37692</v>
      </c>
      <c r="D27256" t="str">
        <f>"37692"</f>
        <v>37692</v>
      </c>
      <c r="E27256">
        <v>70.59</v>
      </c>
    </row>
    <row r="27257" spans="1:5" x14ac:dyDescent="0.2">
      <c r="A27257">
        <v>37694</v>
      </c>
      <c r="B27257" t="s">
        <v>49</v>
      </c>
      <c r="C27257">
        <v>37694</v>
      </c>
      <c r="D27257" t="str">
        <f>"37694"</f>
        <v>37694</v>
      </c>
      <c r="E27257">
        <v>68</v>
      </c>
    </row>
    <row r="27258" spans="1:5" x14ac:dyDescent="0.2">
      <c r="A27258">
        <v>37701</v>
      </c>
      <c r="B27258" t="s">
        <v>49</v>
      </c>
      <c r="C27258">
        <v>37701</v>
      </c>
      <c r="D27258" t="str">
        <f>"37701"</f>
        <v>37701</v>
      </c>
      <c r="E27258">
        <v>70.739999999999995</v>
      </c>
    </row>
    <row r="27259" spans="1:5" x14ac:dyDescent="0.2">
      <c r="A27259">
        <v>37705</v>
      </c>
      <c r="B27259" t="s">
        <v>49</v>
      </c>
      <c r="C27259">
        <v>37705</v>
      </c>
      <c r="D27259" t="str">
        <f>"37705"</f>
        <v>37705</v>
      </c>
      <c r="E27259">
        <v>72.86</v>
      </c>
    </row>
    <row r="27260" spans="1:5" x14ac:dyDescent="0.2">
      <c r="A27260">
        <v>37708</v>
      </c>
      <c r="B27260" t="s">
        <v>49</v>
      </c>
      <c r="C27260">
        <v>37708</v>
      </c>
      <c r="D27260" t="str">
        <f>"37708"</f>
        <v>37708</v>
      </c>
      <c r="E27260">
        <v>64.180000000000007</v>
      </c>
    </row>
    <row r="27261" spans="1:5" x14ac:dyDescent="0.2">
      <c r="A27261">
        <v>37709</v>
      </c>
      <c r="B27261" t="s">
        <v>49</v>
      </c>
      <c r="C27261">
        <v>37709</v>
      </c>
      <c r="D27261" t="str">
        <f>"37709"</f>
        <v>37709</v>
      </c>
      <c r="E27261">
        <v>69.459999999999994</v>
      </c>
    </row>
    <row r="27262" spans="1:5" x14ac:dyDescent="0.2">
      <c r="A27262">
        <v>37710</v>
      </c>
      <c r="B27262" t="s">
        <v>49</v>
      </c>
      <c r="C27262">
        <v>37710</v>
      </c>
      <c r="D27262" t="str">
        <f>"37710"</f>
        <v>37710</v>
      </c>
      <c r="E27262">
        <v>59.46</v>
      </c>
    </row>
    <row r="27263" spans="1:5" x14ac:dyDescent="0.2">
      <c r="A27263">
        <v>37711</v>
      </c>
      <c r="B27263" t="s">
        <v>49</v>
      </c>
      <c r="C27263">
        <v>37711</v>
      </c>
      <c r="D27263" t="str">
        <f>"37711"</f>
        <v>37711</v>
      </c>
      <c r="E27263">
        <v>64.680000000000007</v>
      </c>
    </row>
    <row r="27264" spans="1:5" x14ac:dyDescent="0.2">
      <c r="A27264">
        <v>37713</v>
      </c>
      <c r="B27264" t="s">
        <v>49</v>
      </c>
      <c r="C27264">
        <v>37713</v>
      </c>
      <c r="D27264" t="str">
        <f>"37713"</f>
        <v>37713</v>
      </c>
      <c r="E27264">
        <v>62.07</v>
      </c>
    </row>
    <row r="27265" spans="1:5" x14ac:dyDescent="0.2">
      <c r="A27265">
        <v>37714</v>
      </c>
      <c r="B27265" t="s">
        <v>49</v>
      </c>
      <c r="C27265">
        <v>37714</v>
      </c>
      <c r="D27265" t="str">
        <f>"37714"</f>
        <v>37714</v>
      </c>
      <c r="E27265">
        <v>64.739999999999995</v>
      </c>
    </row>
    <row r="27266" spans="1:5" x14ac:dyDescent="0.2">
      <c r="A27266">
        <v>37715</v>
      </c>
      <c r="B27266" t="s">
        <v>49</v>
      </c>
      <c r="C27266">
        <v>37715</v>
      </c>
      <c r="D27266" t="str">
        <f>"37715"</f>
        <v>37715</v>
      </c>
      <c r="E27266">
        <v>51.72</v>
      </c>
    </row>
    <row r="27267" spans="1:5" x14ac:dyDescent="0.2">
      <c r="A27267">
        <v>37716</v>
      </c>
      <c r="B27267" t="s">
        <v>49</v>
      </c>
      <c r="C27267">
        <v>37716</v>
      </c>
      <c r="D27267" t="str">
        <f>"37716"</f>
        <v>37716</v>
      </c>
      <c r="E27267">
        <v>70.290000000000006</v>
      </c>
    </row>
    <row r="27268" spans="1:5" x14ac:dyDescent="0.2">
      <c r="A27268">
        <v>37721</v>
      </c>
      <c r="B27268" t="s">
        <v>49</v>
      </c>
      <c r="C27268">
        <v>37721</v>
      </c>
      <c r="D27268" t="str">
        <f>"37721"</f>
        <v>37721</v>
      </c>
      <c r="E27268">
        <v>73.45</v>
      </c>
    </row>
    <row r="27269" spans="1:5" x14ac:dyDescent="0.2">
      <c r="A27269">
        <v>37722</v>
      </c>
      <c r="B27269" t="s">
        <v>49</v>
      </c>
      <c r="C27269">
        <v>37722</v>
      </c>
      <c r="D27269" t="str">
        <f>"37722"</f>
        <v>37722</v>
      </c>
      <c r="E27269">
        <v>61.48</v>
      </c>
    </row>
    <row r="27270" spans="1:5" x14ac:dyDescent="0.2">
      <c r="A27270">
        <v>37723</v>
      </c>
      <c r="B27270" t="s">
        <v>49</v>
      </c>
      <c r="C27270">
        <v>37723</v>
      </c>
      <c r="D27270" t="str">
        <f>"37723"</f>
        <v>37723</v>
      </c>
      <c r="E27270">
        <v>66.67</v>
      </c>
    </row>
    <row r="27271" spans="1:5" x14ac:dyDescent="0.2">
      <c r="A27271">
        <v>37724</v>
      </c>
      <c r="B27271" t="s">
        <v>49</v>
      </c>
      <c r="C27271">
        <v>37724</v>
      </c>
      <c r="D27271" t="str">
        <f>"37724"</f>
        <v>37724</v>
      </c>
      <c r="E27271">
        <v>61.9</v>
      </c>
    </row>
    <row r="27272" spans="1:5" x14ac:dyDescent="0.2">
      <c r="A27272">
        <v>37725</v>
      </c>
      <c r="B27272" t="s">
        <v>49</v>
      </c>
      <c r="C27272">
        <v>37725</v>
      </c>
      <c r="D27272" t="str">
        <f>"37725"</f>
        <v>37725</v>
      </c>
      <c r="E27272">
        <v>71.16</v>
      </c>
    </row>
    <row r="27273" spans="1:5" x14ac:dyDescent="0.2">
      <c r="A27273">
        <v>37726</v>
      </c>
      <c r="B27273" t="s">
        <v>49</v>
      </c>
      <c r="C27273">
        <v>37726</v>
      </c>
      <c r="D27273" t="str">
        <f>"37726"</f>
        <v>37726</v>
      </c>
      <c r="E27273">
        <v>57.58</v>
      </c>
    </row>
    <row r="27274" spans="1:5" x14ac:dyDescent="0.2">
      <c r="A27274">
        <v>37727</v>
      </c>
      <c r="B27274" t="s">
        <v>49</v>
      </c>
      <c r="C27274">
        <v>37727</v>
      </c>
      <c r="D27274" t="str">
        <f>"37727"</f>
        <v>37727</v>
      </c>
      <c r="E27274">
        <v>63.53</v>
      </c>
    </row>
    <row r="27275" spans="1:5" x14ac:dyDescent="0.2">
      <c r="A27275">
        <v>37729</v>
      </c>
      <c r="B27275" t="s">
        <v>49</v>
      </c>
      <c r="C27275">
        <v>37729</v>
      </c>
      <c r="D27275" t="str">
        <f>"37729"</f>
        <v>37729</v>
      </c>
      <c r="E27275">
        <v>53.49</v>
      </c>
    </row>
    <row r="27276" spans="1:5" x14ac:dyDescent="0.2">
      <c r="A27276">
        <v>37731</v>
      </c>
      <c r="B27276" t="s">
        <v>49</v>
      </c>
      <c r="C27276">
        <v>37731</v>
      </c>
      <c r="D27276" t="str">
        <f>"37731"</f>
        <v>37731</v>
      </c>
      <c r="E27276">
        <v>60</v>
      </c>
    </row>
    <row r="27277" spans="1:5" x14ac:dyDescent="0.2">
      <c r="A27277">
        <v>37732</v>
      </c>
      <c r="B27277" t="s">
        <v>49</v>
      </c>
      <c r="C27277">
        <v>37732</v>
      </c>
      <c r="D27277" t="str">
        <f>"37732"</f>
        <v>37732</v>
      </c>
      <c r="E27277" t="s">
        <v>6</v>
      </c>
    </row>
    <row r="27278" spans="1:5" x14ac:dyDescent="0.2">
      <c r="A27278">
        <v>37733</v>
      </c>
      <c r="B27278" t="s">
        <v>49</v>
      </c>
      <c r="C27278">
        <v>37733</v>
      </c>
      <c r="D27278" t="str">
        <f>"37733"</f>
        <v>37733</v>
      </c>
      <c r="E27278" t="s">
        <v>6</v>
      </c>
    </row>
    <row r="27279" spans="1:5" x14ac:dyDescent="0.2">
      <c r="A27279">
        <v>37737</v>
      </c>
      <c r="B27279" t="s">
        <v>49</v>
      </c>
      <c r="C27279">
        <v>37737</v>
      </c>
      <c r="D27279" t="str">
        <f>"37737"</f>
        <v>37737</v>
      </c>
      <c r="E27279">
        <v>72.83</v>
      </c>
    </row>
    <row r="27280" spans="1:5" x14ac:dyDescent="0.2">
      <c r="A27280">
        <v>37738</v>
      </c>
      <c r="B27280" t="s">
        <v>49</v>
      </c>
      <c r="C27280">
        <v>37738</v>
      </c>
      <c r="D27280" t="str">
        <f>"37738"</f>
        <v>37738</v>
      </c>
      <c r="E27280">
        <v>61.18</v>
      </c>
    </row>
    <row r="27281" spans="1:5" x14ac:dyDescent="0.2">
      <c r="A27281">
        <v>37742</v>
      </c>
      <c r="B27281" t="s">
        <v>49</v>
      </c>
      <c r="C27281">
        <v>37742</v>
      </c>
      <c r="D27281" t="str">
        <f>"37742"</f>
        <v>37742</v>
      </c>
      <c r="E27281">
        <v>73.650000000000006</v>
      </c>
    </row>
    <row r="27282" spans="1:5" x14ac:dyDescent="0.2">
      <c r="A27282">
        <v>37743</v>
      </c>
      <c r="B27282" t="s">
        <v>49</v>
      </c>
      <c r="C27282">
        <v>37743</v>
      </c>
      <c r="D27282" t="str">
        <f>"37743"</f>
        <v>37743</v>
      </c>
      <c r="E27282">
        <v>66.09</v>
      </c>
    </row>
    <row r="27283" spans="1:5" x14ac:dyDescent="0.2">
      <c r="A27283">
        <v>37745</v>
      </c>
      <c r="B27283" t="s">
        <v>49</v>
      </c>
      <c r="C27283">
        <v>37745</v>
      </c>
      <c r="D27283" t="str">
        <f>"37745"</f>
        <v>37745</v>
      </c>
      <c r="E27283">
        <v>67.44</v>
      </c>
    </row>
    <row r="27284" spans="1:5" x14ac:dyDescent="0.2">
      <c r="A27284">
        <v>37748</v>
      </c>
      <c r="B27284" t="s">
        <v>49</v>
      </c>
      <c r="C27284">
        <v>37748</v>
      </c>
      <c r="D27284" t="str">
        <f>"37748"</f>
        <v>37748</v>
      </c>
      <c r="E27284">
        <v>67.61</v>
      </c>
    </row>
    <row r="27285" spans="1:5" x14ac:dyDescent="0.2">
      <c r="A27285">
        <v>37752</v>
      </c>
      <c r="B27285" t="s">
        <v>49</v>
      </c>
      <c r="C27285">
        <v>37752</v>
      </c>
      <c r="D27285" t="str">
        <f>"37752"</f>
        <v>37752</v>
      </c>
      <c r="E27285">
        <v>66.94</v>
      </c>
    </row>
    <row r="27286" spans="1:5" x14ac:dyDescent="0.2">
      <c r="A27286">
        <v>37753</v>
      </c>
      <c r="B27286" t="s">
        <v>49</v>
      </c>
      <c r="C27286">
        <v>37753</v>
      </c>
      <c r="D27286" t="str">
        <f>"37753"</f>
        <v>37753</v>
      </c>
      <c r="E27286">
        <v>57.58</v>
      </c>
    </row>
    <row r="27287" spans="1:5" x14ac:dyDescent="0.2">
      <c r="A27287">
        <v>37754</v>
      </c>
      <c r="B27287" t="s">
        <v>49</v>
      </c>
      <c r="C27287">
        <v>37754</v>
      </c>
      <c r="D27287" t="str">
        <f>"37754"</f>
        <v>37754</v>
      </c>
      <c r="E27287">
        <v>69.150000000000006</v>
      </c>
    </row>
    <row r="27288" spans="1:5" x14ac:dyDescent="0.2">
      <c r="A27288">
        <v>37755</v>
      </c>
      <c r="B27288" t="s">
        <v>49</v>
      </c>
      <c r="C27288">
        <v>37755</v>
      </c>
      <c r="D27288" t="str">
        <f>"37755"</f>
        <v>37755</v>
      </c>
      <c r="E27288">
        <v>58.12</v>
      </c>
    </row>
    <row r="27289" spans="1:5" x14ac:dyDescent="0.2">
      <c r="A27289">
        <v>37756</v>
      </c>
      <c r="B27289" t="s">
        <v>49</v>
      </c>
      <c r="C27289">
        <v>37756</v>
      </c>
      <c r="D27289" t="str">
        <f>"37756"</f>
        <v>37756</v>
      </c>
      <c r="E27289">
        <v>60.4</v>
      </c>
    </row>
    <row r="27290" spans="1:5" x14ac:dyDescent="0.2">
      <c r="A27290">
        <v>37757</v>
      </c>
      <c r="B27290" t="s">
        <v>49</v>
      </c>
      <c r="C27290">
        <v>37757</v>
      </c>
      <c r="D27290" t="str">
        <f>"37757"</f>
        <v>37757</v>
      </c>
      <c r="E27290">
        <v>69.87</v>
      </c>
    </row>
    <row r="27291" spans="1:5" x14ac:dyDescent="0.2">
      <c r="A27291">
        <v>37760</v>
      </c>
      <c r="B27291" t="s">
        <v>49</v>
      </c>
      <c r="C27291">
        <v>37760</v>
      </c>
      <c r="D27291" t="str">
        <f>"37760"</f>
        <v>37760</v>
      </c>
      <c r="E27291">
        <v>66.540000000000006</v>
      </c>
    </row>
    <row r="27292" spans="1:5" x14ac:dyDescent="0.2">
      <c r="A27292">
        <v>37762</v>
      </c>
      <c r="B27292" t="s">
        <v>49</v>
      </c>
      <c r="C27292">
        <v>37762</v>
      </c>
      <c r="D27292" t="str">
        <f>"37762"</f>
        <v>37762</v>
      </c>
      <c r="E27292">
        <v>58.18</v>
      </c>
    </row>
    <row r="27293" spans="1:5" x14ac:dyDescent="0.2">
      <c r="A27293">
        <v>37763</v>
      </c>
      <c r="B27293" t="s">
        <v>49</v>
      </c>
      <c r="C27293">
        <v>37763</v>
      </c>
      <c r="D27293" t="str">
        <f>"37763"</f>
        <v>37763</v>
      </c>
      <c r="E27293">
        <v>74.23</v>
      </c>
    </row>
    <row r="27294" spans="1:5" x14ac:dyDescent="0.2">
      <c r="A27294">
        <v>37764</v>
      </c>
      <c r="B27294" t="s">
        <v>49</v>
      </c>
      <c r="C27294">
        <v>37764</v>
      </c>
      <c r="D27294" t="str">
        <f>"37764"</f>
        <v>37764</v>
      </c>
      <c r="E27294">
        <v>65.67</v>
      </c>
    </row>
    <row r="27295" spans="1:5" x14ac:dyDescent="0.2">
      <c r="A27295">
        <v>37765</v>
      </c>
      <c r="B27295" t="s">
        <v>49</v>
      </c>
      <c r="C27295">
        <v>37765</v>
      </c>
      <c r="D27295" t="str">
        <f>"37765"</f>
        <v>37765</v>
      </c>
      <c r="E27295">
        <v>56.25</v>
      </c>
    </row>
    <row r="27296" spans="1:5" x14ac:dyDescent="0.2">
      <c r="A27296">
        <v>37766</v>
      </c>
      <c r="B27296" t="s">
        <v>49</v>
      </c>
      <c r="C27296">
        <v>37766</v>
      </c>
      <c r="D27296" t="str">
        <f>"37766"</f>
        <v>37766</v>
      </c>
      <c r="E27296">
        <v>60.71</v>
      </c>
    </row>
    <row r="27297" spans="1:5" x14ac:dyDescent="0.2">
      <c r="A27297">
        <v>37769</v>
      </c>
      <c r="B27297" t="s">
        <v>49</v>
      </c>
      <c r="C27297">
        <v>37769</v>
      </c>
      <c r="D27297" t="str">
        <f>"37769"</f>
        <v>37769</v>
      </c>
      <c r="E27297">
        <v>63.97</v>
      </c>
    </row>
    <row r="27298" spans="1:5" x14ac:dyDescent="0.2">
      <c r="A27298">
        <v>37770</v>
      </c>
      <c r="B27298" t="s">
        <v>49</v>
      </c>
      <c r="C27298">
        <v>37770</v>
      </c>
      <c r="D27298" t="str">
        <f>"37770"</f>
        <v>37770</v>
      </c>
      <c r="E27298">
        <v>66.34</v>
      </c>
    </row>
    <row r="27299" spans="1:5" x14ac:dyDescent="0.2">
      <c r="A27299">
        <v>37771</v>
      </c>
      <c r="B27299" t="s">
        <v>49</v>
      </c>
      <c r="C27299">
        <v>37771</v>
      </c>
      <c r="D27299" t="str">
        <f>"37771"</f>
        <v>37771</v>
      </c>
      <c r="E27299">
        <v>69.48</v>
      </c>
    </row>
    <row r="27300" spans="1:5" x14ac:dyDescent="0.2">
      <c r="A27300">
        <v>37772</v>
      </c>
      <c r="B27300" t="s">
        <v>49</v>
      </c>
      <c r="C27300">
        <v>37772</v>
      </c>
      <c r="D27300" t="str">
        <f>"37772"</f>
        <v>37772</v>
      </c>
      <c r="E27300">
        <v>78.040000000000006</v>
      </c>
    </row>
    <row r="27301" spans="1:5" x14ac:dyDescent="0.2">
      <c r="A27301">
        <v>37774</v>
      </c>
      <c r="B27301" t="s">
        <v>49</v>
      </c>
      <c r="C27301">
        <v>37774</v>
      </c>
      <c r="D27301" t="str">
        <f>"37774"</f>
        <v>37774</v>
      </c>
      <c r="E27301">
        <v>76.900000000000006</v>
      </c>
    </row>
    <row r="27302" spans="1:5" x14ac:dyDescent="0.2">
      <c r="A27302">
        <v>37777</v>
      </c>
      <c r="B27302" t="s">
        <v>49</v>
      </c>
      <c r="C27302">
        <v>37777</v>
      </c>
      <c r="D27302" t="str">
        <f>"37777"</f>
        <v>37777</v>
      </c>
      <c r="E27302">
        <v>74.87</v>
      </c>
    </row>
    <row r="27303" spans="1:5" x14ac:dyDescent="0.2">
      <c r="A27303">
        <v>37779</v>
      </c>
      <c r="B27303" t="s">
        <v>49</v>
      </c>
      <c r="C27303">
        <v>37779</v>
      </c>
      <c r="D27303" t="str">
        <f>"37779"</f>
        <v>37779</v>
      </c>
      <c r="E27303">
        <v>61.64</v>
      </c>
    </row>
    <row r="27304" spans="1:5" x14ac:dyDescent="0.2">
      <c r="A27304">
        <v>37801</v>
      </c>
      <c r="B27304" t="s">
        <v>49</v>
      </c>
      <c r="C27304">
        <v>37801</v>
      </c>
      <c r="D27304" t="str">
        <f>"37801"</f>
        <v>37801</v>
      </c>
      <c r="E27304">
        <v>71.099999999999994</v>
      </c>
    </row>
    <row r="27305" spans="1:5" x14ac:dyDescent="0.2">
      <c r="A27305">
        <v>37803</v>
      </c>
      <c r="B27305" t="s">
        <v>49</v>
      </c>
      <c r="C27305">
        <v>37803</v>
      </c>
      <c r="D27305" t="str">
        <f>"37803"</f>
        <v>37803</v>
      </c>
      <c r="E27305">
        <v>75.760000000000005</v>
      </c>
    </row>
    <row r="27306" spans="1:5" x14ac:dyDescent="0.2">
      <c r="A27306">
        <v>37804</v>
      </c>
      <c r="B27306" t="s">
        <v>49</v>
      </c>
      <c r="C27306">
        <v>37804</v>
      </c>
      <c r="D27306" t="str">
        <f>"37804"</f>
        <v>37804</v>
      </c>
      <c r="E27306">
        <v>71.03</v>
      </c>
    </row>
    <row r="27307" spans="1:5" x14ac:dyDescent="0.2">
      <c r="A27307">
        <v>37806</v>
      </c>
      <c r="B27307" t="s">
        <v>49</v>
      </c>
      <c r="C27307">
        <v>37806</v>
      </c>
      <c r="D27307" t="str">
        <f>"37806"</f>
        <v>37806</v>
      </c>
      <c r="E27307">
        <v>68.22</v>
      </c>
    </row>
    <row r="27308" spans="1:5" x14ac:dyDescent="0.2">
      <c r="A27308">
        <v>37807</v>
      </c>
      <c r="B27308" t="s">
        <v>49</v>
      </c>
      <c r="C27308">
        <v>37807</v>
      </c>
      <c r="D27308" t="str">
        <f>"37807"</f>
        <v>37807</v>
      </c>
      <c r="E27308">
        <v>63.54</v>
      </c>
    </row>
    <row r="27309" spans="1:5" x14ac:dyDescent="0.2">
      <c r="A27309">
        <v>37809</v>
      </c>
      <c r="B27309" t="s">
        <v>49</v>
      </c>
      <c r="C27309">
        <v>37809</v>
      </c>
      <c r="D27309" t="str">
        <f>"37809"</f>
        <v>37809</v>
      </c>
      <c r="E27309">
        <v>63.64</v>
      </c>
    </row>
    <row r="27310" spans="1:5" x14ac:dyDescent="0.2">
      <c r="A27310">
        <v>37810</v>
      </c>
      <c r="B27310" t="s">
        <v>49</v>
      </c>
      <c r="C27310">
        <v>37810</v>
      </c>
      <c r="D27310" t="str">
        <f>"37810"</f>
        <v>37810</v>
      </c>
      <c r="E27310">
        <v>62.67</v>
      </c>
    </row>
    <row r="27311" spans="1:5" x14ac:dyDescent="0.2">
      <c r="A27311">
        <v>37811</v>
      </c>
      <c r="B27311" t="s">
        <v>49</v>
      </c>
      <c r="C27311">
        <v>37811</v>
      </c>
      <c r="D27311" t="str">
        <f>"37811"</f>
        <v>37811</v>
      </c>
      <c r="E27311">
        <v>67.63</v>
      </c>
    </row>
    <row r="27312" spans="1:5" x14ac:dyDescent="0.2">
      <c r="A27312">
        <v>37813</v>
      </c>
      <c r="B27312" t="s">
        <v>49</v>
      </c>
      <c r="C27312">
        <v>37813</v>
      </c>
      <c r="D27312" t="str">
        <f>"37813"</f>
        <v>37813</v>
      </c>
      <c r="E27312">
        <v>59.14</v>
      </c>
    </row>
    <row r="27313" spans="1:5" x14ac:dyDescent="0.2">
      <c r="A27313">
        <v>37814</v>
      </c>
      <c r="B27313" t="s">
        <v>49</v>
      </c>
      <c r="C27313">
        <v>37814</v>
      </c>
      <c r="D27313" t="str">
        <f>"37814"</f>
        <v>37814</v>
      </c>
      <c r="E27313">
        <v>65.599999999999994</v>
      </c>
    </row>
    <row r="27314" spans="1:5" x14ac:dyDescent="0.2">
      <c r="A27314">
        <v>37818</v>
      </c>
      <c r="B27314" t="s">
        <v>49</v>
      </c>
      <c r="C27314">
        <v>37818</v>
      </c>
      <c r="D27314" t="str">
        <f>"37818"</f>
        <v>37818</v>
      </c>
      <c r="E27314">
        <v>64.81</v>
      </c>
    </row>
    <row r="27315" spans="1:5" x14ac:dyDescent="0.2">
      <c r="A27315">
        <v>37819</v>
      </c>
      <c r="B27315" t="s">
        <v>49</v>
      </c>
      <c r="C27315">
        <v>37819</v>
      </c>
      <c r="D27315" t="str">
        <f>"37819"</f>
        <v>37819</v>
      </c>
      <c r="E27315">
        <v>57.14</v>
      </c>
    </row>
    <row r="27316" spans="1:5" x14ac:dyDescent="0.2">
      <c r="A27316">
        <v>37820</v>
      </c>
      <c r="B27316" t="s">
        <v>49</v>
      </c>
      <c r="C27316">
        <v>37820</v>
      </c>
      <c r="D27316" t="str">
        <f>"37820"</f>
        <v>37820</v>
      </c>
      <c r="E27316">
        <v>67.16</v>
      </c>
    </row>
    <row r="27317" spans="1:5" x14ac:dyDescent="0.2">
      <c r="A27317">
        <v>37821</v>
      </c>
      <c r="B27317" t="s">
        <v>49</v>
      </c>
      <c r="C27317">
        <v>37821</v>
      </c>
      <c r="D27317" t="str">
        <f>"37821"</f>
        <v>37821</v>
      </c>
      <c r="E27317">
        <v>59.65</v>
      </c>
    </row>
    <row r="27318" spans="1:5" x14ac:dyDescent="0.2">
      <c r="A27318">
        <v>37825</v>
      </c>
      <c r="B27318" t="s">
        <v>49</v>
      </c>
      <c r="C27318">
        <v>37825</v>
      </c>
      <c r="D27318" t="str">
        <f>"37825"</f>
        <v>37825</v>
      </c>
      <c r="E27318">
        <v>65.86</v>
      </c>
    </row>
    <row r="27319" spans="1:5" x14ac:dyDescent="0.2">
      <c r="A27319">
        <v>37826</v>
      </c>
      <c r="B27319" t="s">
        <v>49</v>
      </c>
      <c r="C27319">
        <v>37826</v>
      </c>
      <c r="D27319" t="str">
        <f>"37826"</f>
        <v>37826</v>
      </c>
      <c r="E27319">
        <v>66.319999999999993</v>
      </c>
    </row>
    <row r="27320" spans="1:5" x14ac:dyDescent="0.2">
      <c r="A27320">
        <v>37828</v>
      </c>
      <c r="B27320" t="s">
        <v>49</v>
      </c>
      <c r="C27320">
        <v>37828</v>
      </c>
      <c r="D27320" t="str">
        <f>"37828"</f>
        <v>37828</v>
      </c>
      <c r="E27320" t="s">
        <v>6</v>
      </c>
    </row>
    <row r="27321" spans="1:5" x14ac:dyDescent="0.2">
      <c r="A27321">
        <v>37829</v>
      </c>
      <c r="B27321" t="s">
        <v>49</v>
      </c>
      <c r="C27321">
        <v>37829</v>
      </c>
      <c r="D27321" t="str">
        <f>"37829"</f>
        <v>37829</v>
      </c>
      <c r="E27321">
        <v>67.16</v>
      </c>
    </row>
    <row r="27322" spans="1:5" x14ac:dyDescent="0.2">
      <c r="A27322">
        <v>37830</v>
      </c>
      <c r="B27322" t="s">
        <v>49</v>
      </c>
      <c r="C27322">
        <v>37830</v>
      </c>
      <c r="D27322" t="str">
        <f>"37830"</f>
        <v>37830</v>
      </c>
      <c r="E27322">
        <v>72.61</v>
      </c>
    </row>
    <row r="27323" spans="1:5" x14ac:dyDescent="0.2">
      <c r="A27323">
        <v>37840</v>
      </c>
      <c r="B27323" t="s">
        <v>49</v>
      </c>
      <c r="C27323">
        <v>37840</v>
      </c>
      <c r="D27323" t="str">
        <f>"37840"</f>
        <v>37840</v>
      </c>
      <c r="E27323">
        <v>67.180000000000007</v>
      </c>
    </row>
    <row r="27324" spans="1:5" x14ac:dyDescent="0.2">
      <c r="A27324">
        <v>37841</v>
      </c>
      <c r="B27324" t="s">
        <v>49</v>
      </c>
      <c r="C27324">
        <v>37841</v>
      </c>
      <c r="D27324" t="str">
        <f>"37841"</f>
        <v>37841</v>
      </c>
      <c r="E27324">
        <v>61.32</v>
      </c>
    </row>
    <row r="27325" spans="1:5" x14ac:dyDescent="0.2">
      <c r="A27325">
        <v>37843</v>
      </c>
      <c r="B27325" t="s">
        <v>49</v>
      </c>
      <c r="C27325">
        <v>37843</v>
      </c>
      <c r="D27325" t="str">
        <f>"37843"</f>
        <v>37843</v>
      </c>
      <c r="E27325">
        <v>65</v>
      </c>
    </row>
    <row r="27326" spans="1:5" x14ac:dyDescent="0.2">
      <c r="A27326">
        <v>37845</v>
      </c>
      <c r="B27326" t="s">
        <v>49</v>
      </c>
      <c r="C27326">
        <v>37845</v>
      </c>
      <c r="D27326" t="str">
        <f>"37845"</f>
        <v>37845</v>
      </c>
      <c r="E27326" t="s">
        <v>6</v>
      </c>
    </row>
    <row r="27327" spans="1:5" x14ac:dyDescent="0.2">
      <c r="A27327">
        <v>37846</v>
      </c>
      <c r="B27327" t="s">
        <v>49</v>
      </c>
      <c r="C27327">
        <v>37846</v>
      </c>
      <c r="D27327" t="str">
        <f>"37846"</f>
        <v>37846</v>
      </c>
      <c r="E27327">
        <v>65.66</v>
      </c>
    </row>
    <row r="27328" spans="1:5" x14ac:dyDescent="0.2">
      <c r="A27328">
        <v>37847</v>
      </c>
      <c r="B27328" t="s">
        <v>49</v>
      </c>
      <c r="C27328">
        <v>37847</v>
      </c>
      <c r="D27328" t="str">
        <f>"37847"</f>
        <v>37847</v>
      </c>
      <c r="E27328">
        <v>59.57</v>
      </c>
    </row>
    <row r="27329" spans="1:5" x14ac:dyDescent="0.2">
      <c r="A27329">
        <v>37848</v>
      </c>
      <c r="B27329" t="s">
        <v>49</v>
      </c>
      <c r="C27329">
        <v>37848</v>
      </c>
      <c r="D27329" t="str">
        <f>"37848"</f>
        <v>37848</v>
      </c>
      <c r="E27329">
        <v>58.33</v>
      </c>
    </row>
    <row r="27330" spans="1:5" x14ac:dyDescent="0.2">
      <c r="A27330">
        <v>37849</v>
      </c>
      <c r="B27330" t="s">
        <v>49</v>
      </c>
      <c r="C27330">
        <v>37849</v>
      </c>
      <c r="D27330" t="str">
        <f>"37849"</f>
        <v>37849</v>
      </c>
      <c r="E27330">
        <v>73.08</v>
      </c>
    </row>
    <row r="27331" spans="1:5" x14ac:dyDescent="0.2">
      <c r="A27331">
        <v>37852</v>
      </c>
      <c r="B27331" t="s">
        <v>49</v>
      </c>
      <c r="C27331">
        <v>37852</v>
      </c>
      <c r="D27331" t="str">
        <f>"37852"</f>
        <v>37852</v>
      </c>
      <c r="E27331">
        <v>59.34</v>
      </c>
    </row>
    <row r="27332" spans="1:5" x14ac:dyDescent="0.2">
      <c r="A27332">
        <v>37853</v>
      </c>
      <c r="B27332" t="s">
        <v>49</v>
      </c>
      <c r="C27332">
        <v>37853</v>
      </c>
      <c r="D27332" t="str">
        <f>"37853"</f>
        <v>37853</v>
      </c>
      <c r="E27332">
        <v>66.86</v>
      </c>
    </row>
    <row r="27333" spans="1:5" x14ac:dyDescent="0.2">
      <c r="A27333">
        <v>37854</v>
      </c>
      <c r="B27333" t="s">
        <v>49</v>
      </c>
      <c r="C27333">
        <v>37854</v>
      </c>
      <c r="D27333" t="str">
        <f>"37854"</f>
        <v>37854</v>
      </c>
      <c r="E27333">
        <v>65.819999999999993</v>
      </c>
    </row>
    <row r="27334" spans="1:5" x14ac:dyDescent="0.2">
      <c r="A27334">
        <v>37857</v>
      </c>
      <c r="B27334" t="s">
        <v>49</v>
      </c>
      <c r="C27334">
        <v>37857</v>
      </c>
      <c r="D27334" t="str">
        <f>"37857"</f>
        <v>37857</v>
      </c>
      <c r="E27334">
        <v>64.239999999999995</v>
      </c>
    </row>
    <row r="27335" spans="1:5" x14ac:dyDescent="0.2">
      <c r="A27335">
        <v>37860</v>
      </c>
      <c r="B27335" t="s">
        <v>49</v>
      </c>
      <c r="C27335">
        <v>37860</v>
      </c>
      <c r="D27335" t="str">
        <f>"37860"</f>
        <v>37860</v>
      </c>
      <c r="E27335">
        <v>72.28</v>
      </c>
    </row>
    <row r="27336" spans="1:5" x14ac:dyDescent="0.2">
      <c r="A27336">
        <v>37861</v>
      </c>
      <c r="B27336" t="s">
        <v>49</v>
      </c>
      <c r="C27336">
        <v>37861</v>
      </c>
      <c r="D27336" t="str">
        <f>"37861"</f>
        <v>37861</v>
      </c>
      <c r="E27336">
        <v>65.569999999999993</v>
      </c>
    </row>
    <row r="27337" spans="1:5" x14ac:dyDescent="0.2">
      <c r="A27337">
        <v>37862</v>
      </c>
      <c r="B27337" t="s">
        <v>49</v>
      </c>
      <c r="C27337">
        <v>37862</v>
      </c>
      <c r="D27337" t="str">
        <f>"37862"</f>
        <v>37862</v>
      </c>
      <c r="E27337">
        <v>63.69</v>
      </c>
    </row>
    <row r="27338" spans="1:5" x14ac:dyDescent="0.2">
      <c r="A27338">
        <v>37863</v>
      </c>
      <c r="B27338" t="s">
        <v>49</v>
      </c>
      <c r="C27338">
        <v>37863</v>
      </c>
      <c r="D27338" t="str">
        <f>"37863"</f>
        <v>37863</v>
      </c>
      <c r="E27338">
        <v>53.92</v>
      </c>
    </row>
    <row r="27339" spans="1:5" x14ac:dyDescent="0.2">
      <c r="A27339">
        <v>37865</v>
      </c>
      <c r="B27339" t="s">
        <v>49</v>
      </c>
      <c r="C27339">
        <v>37865</v>
      </c>
      <c r="D27339" t="str">
        <f>"37865"</f>
        <v>37865</v>
      </c>
      <c r="E27339">
        <v>72.37</v>
      </c>
    </row>
    <row r="27340" spans="1:5" x14ac:dyDescent="0.2">
      <c r="A27340">
        <v>37866</v>
      </c>
      <c r="B27340" t="s">
        <v>49</v>
      </c>
      <c r="C27340">
        <v>37866</v>
      </c>
      <c r="D27340" t="str">
        <f>"37866"</f>
        <v>37866</v>
      </c>
      <c r="E27340">
        <v>70.27</v>
      </c>
    </row>
    <row r="27341" spans="1:5" x14ac:dyDescent="0.2">
      <c r="A27341">
        <v>37869</v>
      </c>
      <c r="B27341" t="s">
        <v>49</v>
      </c>
      <c r="C27341">
        <v>37869</v>
      </c>
      <c r="D27341" t="str">
        <f>"37869"</f>
        <v>37869</v>
      </c>
      <c r="E27341">
        <v>57.54</v>
      </c>
    </row>
    <row r="27342" spans="1:5" x14ac:dyDescent="0.2">
      <c r="A27342">
        <v>37870</v>
      </c>
      <c r="B27342" t="s">
        <v>49</v>
      </c>
      <c r="C27342">
        <v>37870</v>
      </c>
      <c r="D27342" t="str">
        <f>"37870"</f>
        <v>37870</v>
      </c>
      <c r="E27342">
        <v>62.5</v>
      </c>
    </row>
    <row r="27343" spans="1:5" x14ac:dyDescent="0.2">
      <c r="A27343">
        <v>37871</v>
      </c>
      <c r="B27343" t="s">
        <v>49</v>
      </c>
      <c r="C27343">
        <v>37871</v>
      </c>
      <c r="D27343" t="str">
        <f>"37871"</f>
        <v>37871</v>
      </c>
      <c r="E27343">
        <v>70.5</v>
      </c>
    </row>
    <row r="27344" spans="1:5" x14ac:dyDescent="0.2">
      <c r="A27344">
        <v>37872</v>
      </c>
      <c r="B27344" t="s">
        <v>49</v>
      </c>
      <c r="C27344">
        <v>37872</v>
      </c>
      <c r="D27344" t="str">
        <f>"37872"</f>
        <v>37872</v>
      </c>
      <c r="E27344">
        <v>62.5</v>
      </c>
    </row>
    <row r="27345" spans="1:5" x14ac:dyDescent="0.2">
      <c r="A27345">
        <v>37873</v>
      </c>
      <c r="B27345" t="s">
        <v>49</v>
      </c>
      <c r="C27345">
        <v>37873</v>
      </c>
      <c r="D27345" t="str">
        <f>"37873"</f>
        <v>37873</v>
      </c>
      <c r="E27345">
        <v>67.900000000000006</v>
      </c>
    </row>
    <row r="27346" spans="1:5" x14ac:dyDescent="0.2">
      <c r="A27346">
        <v>37874</v>
      </c>
      <c r="B27346" t="s">
        <v>49</v>
      </c>
      <c r="C27346">
        <v>37874</v>
      </c>
      <c r="D27346" t="str">
        <f>"37874"</f>
        <v>37874</v>
      </c>
      <c r="E27346">
        <v>64.790000000000006</v>
      </c>
    </row>
    <row r="27347" spans="1:5" x14ac:dyDescent="0.2">
      <c r="A27347">
        <v>37876</v>
      </c>
      <c r="B27347" t="s">
        <v>49</v>
      </c>
      <c r="C27347">
        <v>37876</v>
      </c>
      <c r="D27347" t="str">
        <f>"37876"</f>
        <v>37876</v>
      </c>
      <c r="E27347">
        <v>66.45</v>
      </c>
    </row>
    <row r="27348" spans="1:5" x14ac:dyDescent="0.2">
      <c r="A27348">
        <v>37877</v>
      </c>
      <c r="B27348" t="s">
        <v>49</v>
      </c>
      <c r="C27348">
        <v>37877</v>
      </c>
      <c r="D27348" t="str">
        <f>"37877"</f>
        <v>37877</v>
      </c>
      <c r="E27348">
        <v>71.239999999999995</v>
      </c>
    </row>
    <row r="27349" spans="1:5" x14ac:dyDescent="0.2">
      <c r="A27349">
        <v>37878</v>
      </c>
      <c r="B27349" t="s">
        <v>49</v>
      </c>
      <c r="C27349">
        <v>37878</v>
      </c>
      <c r="D27349" t="str">
        <f>"37878"</f>
        <v>37878</v>
      </c>
      <c r="E27349">
        <v>63.64</v>
      </c>
    </row>
    <row r="27350" spans="1:5" x14ac:dyDescent="0.2">
      <c r="A27350">
        <v>37879</v>
      </c>
      <c r="B27350" t="s">
        <v>49</v>
      </c>
      <c r="C27350">
        <v>37879</v>
      </c>
      <c r="D27350" t="str">
        <f>"37879"</f>
        <v>37879</v>
      </c>
      <c r="E27350">
        <v>63.57</v>
      </c>
    </row>
    <row r="27351" spans="1:5" x14ac:dyDescent="0.2">
      <c r="A27351">
        <v>37880</v>
      </c>
      <c r="B27351" t="s">
        <v>49</v>
      </c>
      <c r="C27351">
        <v>37880</v>
      </c>
      <c r="D27351" t="str">
        <f>"37880"</f>
        <v>37880</v>
      </c>
      <c r="E27351">
        <v>71.33</v>
      </c>
    </row>
    <row r="27352" spans="1:5" x14ac:dyDescent="0.2">
      <c r="A27352">
        <v>37881</v>
      </c>
      <c r="B27352" t="s">
        <v>49</v>
      </c>
      <c r="C27352">
        <v>37881</v>
      </c>
      <c r="D27352" t="str">
        <f>"37881"</f>
        <v>37881</v>
      </c>
      <c r="E27352">
        <v>61.84</v>
      </c>
    </row>
    <row r="27353" spans="1:5" x14ac:dyDescent="0.2">
      <c r="A27353">
        <v>37882</v>
      </c>
      <c r="B27353" t="s">
        <v>49</v>
      </c>
      <c r="C27353">
        <v>37882</v>
      </c>
      <c r="D27353" t="str">
        <f>"37882"</f>
        <v>37882</v>
      </c>
      <c r="E27353">
        <v>72.73</v>
      </c>
    </row>
    <row r="27354" spans="1:5" x14ac:dyDescent="0.2">
      <c r="A27354">
        <v>37885</v>
      </c>
      <c r="B27354" t="s">
        <v>49</v>
      </c>
      <c r="C27354">
        <v>37885</v>
      </c>
      <c r="D27354" t="str">
        <f>"37885"</f>
        <v>37885</v>
      </c>
      <c r="E27354">
        <v>76.98</v>
      </c>
    </row>
    <row r="27355" spans="1:5" x14ac:dyDescent="0.2">
      <c r="A27355">
        <v>37886</v>
      </c>
      <c r="B27355" t="s">
        <v>49</v>
      </c>
      <c r="C27355">
        <v>37886</v>
      </c>
      <c r="D27355" t="str">
        <f>"37886"</f>
        <v>37886</v>
      </c>
      <c r="E27355">
        <v>70.92</v>
      </c>
    </row>
    <row r="27356" spans="1:5" x14ac:dyDescent="0.2">
      <c r="A27356">
        <v>37887</v>
      </c>
      <c r="B27356" t="s">
        <v>49</v>
      </c>
      <c r="C27356">
        <v>37887</v>
      </c>
      <c r="D27356" t="str">
        <f>"37887"</f>
        <v>37887</v>
      </c>
      <c r="E27356">
        <v>70.5</v>
      </c>
    </row>
    <row r="27357" spans="1:5" x14ac:dyDescent="0.2">
      <c r="A27357">
        <v>37888</v>
      </c>
      <c r="B27357" t="s">
        <v>49</v>
      </c>
      <c r="C27357">
        <v>37888</v>
      </c>
      <c r="D27357" t="str">
        <f>"37888"</f>
        <v>37888</v>
      </c>
      <c r="E27357">
        <v>66.33</v>
      </c>
    </row>
    <row r="27358" spans="1:5" x14ac:dyDescent="0.2">
      <c r="A27358">
        <v>37890</v>
      </c>
      <c r="B27358" t="s">
        <v>49</v>
      </c>
      <c r="C27358">
        <v>37890</v>
      </c>
      <c r="D27358" t="str">
        <f>"37890"</f>
        <v>37890</v>
      </c>
      <c r="E27358">
        <v>64.58</v>
      </c>
    </row>
    <row r="27359" spans="1:5" x14ac:dyDescent="0.2">
      <c r="A27359">
        <v>37891</v>
      </c>
      <c r="B27359" t="s">
        <v>49</v>
      </c>
      <c r="C27359">
        <v>37891</v>
      </c>
      <c r="D27359" t="str">
        <f>"37891"</f>
        <v>37891</v>
      </c>
      <c r="E27359">
        <v>67.739999999999995</v>
      </c>
    </row>
    <row r="27360" spans="1:5" x14ac:dyDescent="0.2">
      <c r="A27360">
        <v>37892</v>
      </c>
      <c r="B27360" t="s">
        <v>49</v>
      </c>
      <c r="C27360">
        <v>37892</v>
      </c>
      <c r="D27360" t="str">
        <f>"37892"</f>
        <v>37892</v>
      </c>
      <c r="E27360">
        <v>57.97</v>
      </c>
    </row>
    <row r="27361" spans="1:5" x14ac:dyDescent="0.2">
      <c r="A27361">
        <v>37902</v>
      </c>
      <c r="B27361" t="s">
        <v>49</v>
      </c>
      <c r="C27361">
        <v>37902</v>
      </c>
      <c r="D27361" t="str">
        <f>"37902"</f>
        <v>37902</v>
      </c>
      <c r="E27361">
        <v>84.55</v>
      </c>
    </row>
    <row r="27362" spans="1:5" x14ac:dyDescent="0.2">
      <c r="A27362">
        <v>37909</v>
      </c>
      <c r="B27362" t="s">
        <v>49</v>
      </c>
      <c r="C27362">
        <v>37909</v>
      </c>
      <c r="D27362" t="str">
        <f>"37909"</f>
        <v>37909</v>
      </c>
      <c r="E27362">
        <v>73.95</v>
      </c>
    </row>
    <row r="27363" spans="1:5" x14ac:dyDescent="0.2">
      <c r="A27363">
        <v>37912</v>
      </c>
      <c r="B27363" t="s">
        <v>49</v>
      </c>
      <c r="C27363">
        <v>37912</v>
      </c>
      <c r="D27363" t="str">
        <f>"37912"</f>
        <v>37912</v>
      </c>
      <c r="E27363">
        <v>67.58</v>
      </c>
    </row>
    <row r="27364" spans="1:5" x14ac:dyDescent="0.2">
      <c r="A27364">
        <v>37914</v>
      </c>
      <c r="B27364" t="s">
        <v>49</v>
      </c>
      <c r="C27364">
        <v>37914</v>
      </c>
      <c r="D27364" t="str">
        <f>"37914"</f>
        <v>37914</v>
      </c>
      <c r="E27364">
        <v>63.55</v>
      </c>
    </row>
    <row r="27365" spans="1:5" x14ac:dyDescent="0.2">
      <c r="A27365">
        <v>37915</v>
      </c>
      <c r="B27365" t="s">
        <v>49</v>
      </c>
      <c r="C27365">
        <v>37915</v>
      </c>
      <c r="D27365" t="str">
        <f>"37915"</f>
        <v>37915</v>
      </c>
      <c r="E27365">
        <v>48.69</v>
      </c>
    </row>
    <row r="27366" spans="1:5" x14ac:dyDescent="0.2">
      <c r="A27366">
        <v>37916</v>
      </c>
      <c r="B27366" t="s">
        <v>49</v>
      </c>
      <c r="C27366">
        <v>37916</v>
      </c>
      <c r="D27366" t="str">
        <f>"37916"</f>
        <v>37916</v>
      </c>
      <c r="E27366">
        <v>54.1</v>
      </c>
    </row>
    <row r="27367" spans="1:5" x14ac:dyDescent="0.2">
      <c r="A27367">
        <v>37917</v>
      </c>
      <c r="B27367" t="s">
        <v>49</v>
      </c>
      <c r="C27367">
        <v>37917</v>
      </c>
      <c r="D27367" t="str">
        <f>"37917"</f>
        <v>37917</v>
      </c>
      <c r="E27367">
        <v>66.790000000000006</v>
      </c>
    </row>
    <row r="27368" spans="1:5" x14ac:dyDescent="0.2">
      <c r="A27368">
        <v>37918</v>
      </c>
      <c r="B27368" t="s">
        <v>49</v>
      </c>
      <c r="C27368">
        <v>37918</v>
      </c>
      <c r="D27368" t="str">
        <f>"37918"</f>
        <v>37918</v>
      </c>
      <c r="E27368">
        <v>72.239999999999995</v>
      </c>
    </row>
    <row r="27369" spans="1:5" x14ac:dyDescent="0.2">
      <c r="A27369">
        <v>37919</v>
      </c>
      <c r="B27369" t="s">
        <v>49</v>
      </c>
      <c r="C27369">
        <v>37919</v>
      </c>
      <c r="D27369" t="str">
        <f>"37919"</f>
        <v>37919</v>
      </c>
      <c r="E27369">
        <v>77.930000000000007</v>
      </c>
    </row>
    <row r="27370" spans="1:5" x14ac:dyDescent="0.2">
      <c r="A27370">
        <v>37920</v>
      </c>
      <c r="B27370" t="s">
        <v>49</v>
      </c>
      <c r="C27370">
        <v>37920</v>
      </c>
      <c r="D27370" t="str">
        <f>"37920"</f>
        <v>37920</v>
      </c>
      <c r="E27370">
        <v>70.34</v>
      </c>
    </row>
    <row r="27371" spans="1:5" x14ac:dyDescent="0.2">
      <c r="A27371">
        <v>37921</v>
      </c>
      <c r="B27371" t="s">
        <v>49</v>
      </c>
      <c r="C27371">
        <v>37921</v>
      </c>
      <c r="D27371" t="str">
        <f>"37921"</f>
        <v>37921</v>
      </c>
      <c r="E27371">
        <v>65.34</v>
      </c>
    </row>
    <row r="27372" spans="1:5" x14ac:dyDescent="0.2">
      <c r="A27372">
        <v>37922</v>
      </c>
      <c r="B27372" t="s">
        <v>49</v>
      </c>
      <c r="C27372">
        <v>37922</v>
      </c>
      <c r="D27372" t="str">
        <f>"37922"</f>
        <v>37922</v>
      </c>
      <c r="E27372">
        <v>81.67</v>
      </c>
    </row>
    <row r="27373" spans="1:5" x14ac:dyDescent="0.2">
      <c r="A27373">
        <v>37923</v>
      </c>
      <c r="B27373" t="s">
        <v>49</v>
      </c>
      <c r="C27373">
        <v>37923</v>
      </c>
      <c r="D27373" t="str">
        <f>"37923"</f>
        <v>37923</v>
      </c>
      <c r="E27373">
        <v>76.41</v>
      </c>
    </row>
    <row r="27374" spans="1:5" x14ac:dyDescent="0.2">
      <c r="A27374">
        <v>37924</v>
      </c>
      <c r="B27374" t="s">
        <v>49</v>
      </c>
      <c r="C27374">
        <v>37924</v>
      </c>
      <c r="D27374" t="str">
        <f>"37924"</f>
        <v>37924</v>
      </c>
      <c r="E27374">
        <v>71.81</v>
      </c>
    </row>
    <row r="27375" spans="1:5" x14ac:dyDescent="0.2">
      <c r="A27375">
        <v>37929</v>
      </c>
      <c r="B27375" t="s">
        <v>49</v>
      </c>
      <c r="C27375">
        <v>37929</v>
      </c>
      <c r="D27375" t="str">
        <f>"37929"</f>
        <v>37929</v>
      </c>
      <c r="E27375" t="s">
        <v>6</v>
      </c>
    </row>
    <row r="27376" spans="1:5" x14ac:dyDescent="0.2">
      <c r="A27376">
        <v>37931</v>
      </c>
      <c r="B27376" t="s">
        <v>49</v>
      </c>
      <c r="C27376">
        <v>37931</v>
      </c>
      <c r="D27376" t="str">
        <f>"37931"</f>
        <v>37931</v>
      </c>
      <c r="E27376">
        <v>77.66</v>
      </c>
    </row>
    <row r="27377" spans="1:5" x14ac:dyDescent="0.2">
      <c r="A27377">
        <v>37932</v>
      </c>
      <c r="B27377" t="s">
        <v>49</v>
      </c>
      <c r="C27377">
        <v>37932</v>
      </c>
      <c r="D27377" t="str">
        <f>"37932"</f>
        <v>37932</v>
      </c>
      <c r="E27377">
        <v>78.97</v>
      </c>
    </row>
    <row r="27378" spans="1:5" x14ac:dyDescent="0.2">
      <c r="A27378">
        <v>37934</v>
      </c>
      <c r="B27378" t="s">
        <v>49</v>
      </c>
      <c r="C27378">
        <v>37934</v>
      </c>
      <c r="D27378" t="str">
        <f>"37934"</f>
        <v>37934</v>
      </c>
      <c r="E27378">
        <v>81.150000000000006</v>
      </c>
    </row>
    <row r="27379" spans="1:5" x14ac:dyDescent="0.2">
      <c r="A27379">
        <v>37938</v>
      </c>
      <c r="B27379" t="s">
        <v>49</v>
      </c>
      <c r="C27379">
        <v>37938</v>
      </c>
      <c r="D27379" t="str">
        <f>"37938"</f>
        <v>37938</v>
      </c>
      <c r="E27379">
        <v>76.86</v>
      </c>
    </row>
    <row r="27380" spans="1:5" x14ac:dyDescent="0.2">
      <c r="A27380">
        <v>37996</v>
      </c>
      <c r="B27380" t="s">
        <v>49</v>
      </c>
      <c r="C27380">
        <v>37996</v>
      </c>
      <c r="D27380" t="str">
        <f>"37996"</f>
        <v>37996</v>
      </c>
      <c r="E27380" t="s">
        <v>6</v>
      </c>
    </row>
    <row r="27381" spans="1:5" x14ac:dyDescent="0.2">
      <c r="A27381">
        <v>37998</v>
      </c>
      <c r="B27381" t="s">
        <v>49</v>
      </c>
      <c r="C27381">
        <v>37998</v>
      </c>
      <c r="D27381" t="str">
        <f>"37998"</f>
        <v>37998</v>
      </c>
      <c r="E27381" t="s">
        <v>6</v>
      </c>
    </row>
    <row r="27382" spans="1:5" x14ac:dyDescent="0.2">
      <c r="A27382">
        <v>38001</v>
      </c>
      <c r="B27382" t="s">
        <v>49</v>
      </c>
      <c r="C27382">
        <v>38001</v>
      </c>
      <c r="D27382" t="str">
        <f>"38001"</f>
        <v>38001</v>
      </c>
      <c r="E27382">
        <v>63.93</v>
      </c>
    </row>
    <row r="27383" spans="1:5" x14ac:dyDescent="0.2">
      <c r="A27383">
        <v>38002</v>
      </c>
      <c r="B27383" t="s">
        <v>49</v>
      </c>
      <c r="C27383">
        <v>38002</v>
      </c>
      <c r="D27383" t="str">
        <f>"38002"</f>
        <v>38002</v>
      </c>
      <c r="E27383">
        <v>78.11</v>
      </c>
    </row>
    <row r="27384" spans="1:5" x14ac:dyDescent="0.2">
      <c r="A27384">
        <v>38004</v>
      </c>
      <c r="B27384" t="s">
        <v>49</v>
      </c>
      <c r="C27384">
        <v>38004</v>
      </c>
      <c r="D27384" t="str">
        <f>"38004"</f>
        <v>38004</v>
      </c>
      <c r="E27384">
        <v>77.08</v>
      </c>
    </row>
    <row r="27385" spans="1:5" x14ac:dyDescent="0.2">
      <c r="A27385">
        <v>38006</v>
      </c>
      <c r="B27385" t="s">
        <v>49</v>
      </c>
      <c r="C27385">
        <v>38006</v>
      </c>
      <c r="D27385" t="str">
        <f>"38006"</f>
        <v>38006</v>
      </c>
      <c r="E27385">
        <v>66.37</v>
      </c>
    </row>
    <row r="27386" spans="1:5" x14ac:dyDescent="0.2">
      <c r="A27386">
        <v>38007</v>
      </c>
      <c r="B27386" t="s">
        <v>49</v>
      </c>
      <c r="C27386">
        <v>38007</v>
      </c>
      <c r="D27386" t="str">
        <f>"38007"</f>
        <v>38007</v>
      </c>
      <c r="E27386" t="s">
        <v>6</v>
      </c>
    </row>
    <row r="27387" spans="1:5" x14ac:dyDescent="0.2">
      <c r="A27387">
        <v>38008</v>
      </c>
      <c r="B27387" t="s">
        <v>49</v>
      </c>
      <c r="C27387">
        <v>38008</v>
      </c>
      <c r="D27387" t="str">
        <f>"38008"</f>
        <v>38008</v>
      </c>
      <c r="E27387">
        <v>57.46</v>
      </c>
    </row>
    <row r="27388" spans="1:5" x14ac:dyDescent="0.2">
      <c r="A27388">
        <v>38011</v>
      </c>
      <c r="B27388" t="s">
        <v>49</v>
      </c>
      <c r="C27388">
        <v>38011</v>
      </c>
      <c r="D27388" t="str">
        <f>"38011"</f>
        <v>38011</v>
      </c>
      <c r="E27388">
        <v>69.72</v>
      </c>
    </row>
    <row r="27389" spans="1:5" x14ac:dyDescent="0.2">
      <c r="A27389">
        <v>38012</v>
      </c>
      <c r="B27389" t="s">
        <v>49</v>
      </c>
      <c r="C27389">
        <v>38012</v>
      </c>
      <c r="D27389" t="str">
        <f>"38012"</f>
        <v>38012</v>
      </c>
      <c r="E27389">
        <v>60.29</v>
      </c>
    </row>
    <row r="27390" spans="1:5" x14ac:dyDescent="0.2">
      <c r="A27390">
        <v>38015</v>
      </c>
      <c r="B27390" t="s">
        <v>49</v>
      </c>
      <c r="C27390">
        <v>38015</v>
      </c>
      <c r="D27390" t="str">
        <f>"38015"</f>
        <v>38015</v>
      </c>
      <c r="E27390">
        <v>70</v>
      </c>
    </row>
    <row r="27391" spans="1:5" x14ac:dyDescent="0.2">
      <c r="A27391">
        <v>38016</v>
      </c>
      <c r="B27391" t="s">
        <v>49</v>
      </c>
      <c r="C27391">
        <v>38016</v>
      </c>
      <c r="D27391" t="str">
        <f>"38016"</f>
        <v>38016</v>
      </c>
      <c r="E27391">
        <v>71.38</v>
      </c>
    </row>
    <row r="27392" spans="1:5" x14ac:dyDescent="0.2">
      <c r="A27392">
        <v>38017</v>
      </c>
      <c r="B27392" t="s">
        <v>49</v>
      </c>
      <c r="C27392">
        <v>38017</v>
      </c>
      <c r="D27392" t="str">
        <f>"38017"</f>
        <v>38017</v>
      </c>
      <c r="E27392">
        <v>80.87</v>
      </c>
    </row>
    <row r="27393" spans="1:5" x14ac:dyDescent="0.2">
      <c r="A27393">
        <v>38018</v>
      </c>
      <c r="B27393" t="s">
        <v>49</v>
      </c>
      <c r="C27393">
        <v>38018</v>
      </c>
      <c r="D27393" t="str">
        <f>"38018"</f>
        <v>38018</v>
      </c>
      <c r="E27393">
        <v>72.17</v>
      </c>
    </row>
    <row r="27394" spans="1:5" x14ac:dyDescent="0.2">
      <c r="A27394">
        <v>38019</v>
      </c>
      <c r="B27394" t="s">
        <v>49</v>
      </c>
      <c r="C27394">
        <v>38019</v>
      </c>
      <c r="D27394" t="str">
        <f>"38019"</f>
        <v>38019</v>
      </c>
      <c r="E27394">
        <v>60.16</v>
      </c>
    </row>
    <row r="27395" spans="1:5" x14ac:dyDescent="0.2">
      <c r="A27395">
        <v>38021</v>
      </c>
      <c r="B27395" t="s">
        <v>49</v>
      </c>
      <c r="C27395">
        <v>38021</v>
      </c>
      <c r="D27395" t="str">
        <f>"38021"</f>
        <v>38021</v>
      </c>
      <c r="E27395" t="s">
        <v>6</v>
      </c>
    </row>
    <row r="27396" spans="1:5" x14ac:dyDescent="0.2">
      <c r="A27396">
        <v>38023</v>
      </c>
      <c r="B27396" t="s">
        <v>49</v>
      </c>
      <c r="C27396">
        <v>38023</v>
      </c>
      <c r="D27396" t="str">
        <f>"38023"</f>
        <v>38023</v>
      </c>
      <c r="E27396">
        <v>70.64</v>
      </c>
    </row>
    <row r="27397" spans="1:5" x14ac:dyDescent="0.2">
      <c r="A27397">
        <v>38024</v>
      </c>
      <c r="B27397" t="s">
        <v>49</v>
      </c>
      <c r="C27397">
        <v>38024</v>
      </c>
      <c r="D27397" t="str">
        <f>"38024"</f>
        <v>38024</v>
      </c>
      <c r="E27397">
        <v>62.2</v>
      </c>
    </row>
    <row r="27398" spans="1:5" x14ac:dyDescent="0.2">
      <c r="A27398">
        <v>38028</v>
      </c>
      <c r="B27398" t="s">
        <v>49</v>
      </c>
      <c r="C27398">
        <v>38028</v>
      </c>
      <c r="D27398" t="str">
        <f>"38028"</f>
        <v>38028</v>
      </c>
      <c r="E27398">
        <v>80.86</v>
      </c>
    </row>
    <row r="27399" spans="1:5" x14ac:dyDescent="0.2">
      <c r="A27399">
        <v>38030</v>
      </c>
      <c r="B27399" t="s">
        <v>49</v>
      </c>
      <c r="C27399">
        <v>38030</v>
      </c>
      <c r="D27399" t="str">
        <f>"38030"</f>
        <v>38030</v>
      </c>
      <c r="E27399">
        <v>61.11</v>
      </c>
    </row>
    <row r="27400" spans="1:5" x14ac:dyDescent="0.2">
      <c r="A27400">
        <v>38034</v>
      </c>
      <c r="B27400" t="s">
        <v>49</v>
      </c>
      <c r="C27400">
        <v>38034</v>
      </c>
      <c r="D27400" t="str">
        <f>"38034"</f>
        <v>38034</v>
      </c>
      <c r="E27400">
        <v>67.239999999999995</v>
      </c>
    </row>
    <row r="27401" spans="1:5" x14ac:dyDescent="0.2">
      <c r="A27401">
        <v>38036</v>
      </c>
      <c r="B27401" t="s">
        <v>49</v>
      </c>
      <c r="C27401">
        <v>38036</v>
      </c>
      <c r="D27401" t="str">
        <f>"38036"</f>
        <v>38036</v>
      </c>
      <c r="E27401" t="s">
        <v>6</v>
      </c>
    </row>
    <row r="27402" spans="1:5" x14ac:dyDescent="0.2">
      <c r="A27402">
        <v>38037</v>
      </c>
      <c r="B27402" t="s">
        <v>49</v>
      </c>
      <c r="C27402">
        <v>38037</v>
      </c>
      <c r="D27402" t="str">
        <f>"38037"</f>
        <v>38037</v>
      </c>
      <c r="E27402">
        <v>61.43</v>
      </c>
    </row>
    <row r="27403" spans="1:5" x14ac:dyDescent="0.2">
      <c r="A27403">
        <v>38039</v>
      </c>
      <c r="B27403" t="s">
        <v>49</v>
      </c>
      <c r="C27403">
        <v>38039</v>
      </c>
      <c r="D27403" t="str">
        <f>"38039"</f>
        <v>38039</v>
      </c>
      <c r="E27403">
        <v>50.59</v>
      </c>
    </row>
    <row r="27404" spans="1:5" x14ac:dyDescent="0.2">
      <c r="A27404">
        <v>38040</v>
      </c>
      <c r="B27404" t="s">
        <v>49</v>
      </c>
      <c r="C27404">
        <v>38040</v>
      </c>
      <c r="D27404" t="str">
        <f>"38040"</f>
        <v>38040</v>
      </c>
      <c r="E27404">
        <v>65</v>
      </c>
    </row>
    <row r="27405" spans="1:5" x14ac:dyDescent="0.2">
      <c r="A27405">
        <v>38041</v>
      </c>
      <c r="B27405" t="s">
        <v>49</v>
      </c>
      <c r="C27405">
        <v>38041</v>
      </c>
      <c r="D27405" t="str">
        <f>"38041"</f>
        <v>38041</v>
      </c>
      <c r="E27405">
        <v>62.63</v>
      </c>
    </row>
    <row r="27406" spans="1:5" x14ac:dyDescent="0.2">
      <c r="A27406">
        <v>38042</v>
      </c>
      <c r="B27406" t="s">
        <v>49</v>
      </c>
      <c r="C27406">
        <v>38042</v>
      </c>
      <c r="D27406" t="str">
        <f>"38042"</f>
        <v>38042</v>
      </c>
      <c r="E27406">
        <v>62.5</v>
      </c>
    </row>
    <row r="27407" spans="1:5" x14ac:dyDescent="0.2">
      <c r="A27407">
        <v>38044</v>
      </c>
      <c r="B27407" t="s">
        <v>49</v>
      </c>
      <c r="C27407">
        <v>38044</v>
      </c>
      <c r="D27407" t="str">
        <f>"38044"</f>
        <v>38044</v>
      </c>
      <c r="E27407">
        <v>64.709999999999994</v>
      </c>
    </row>
    <row r="27408" spans="1:5" x14ac:dyDescent="0.2">
      <c r="A27408">
        <v>38046</v>
      </c>
      <c r="B27408" t="s">
        <v>49</v>
      </c>
      <c r="C27408">
        <v>38046</v>
      </c>
      <c r="D27408" t="str">
        <f>"38046"</f>
        <v>38046</v>
      </c>
      <c r="E27408" t="s">
        <v>6</v>
      </c>
    </row>
    <row r="27409" spans="1:5" x14ac:dyDescent="0.2">
      <c r="A27409">
        <v>38047</v>
      </c>
      <c r="B27409" t="s">
        <v>49</v>
      </c>
      <c r="C27409">
        <v>38047</v>
      </c>
      <c r="D27409" t="str">
        <f>"38047"</f>
        <v>38047</v>
      </c>
      <c r="E27409" t="s">
        <v>6</v>
      </c>
    </row>
    <row r="27410" spans="1:5" x14ac:dyDescent="0.2">
      <c r="A27410">
        <v>38049</v>
      </c>
      <c r="B27410" t="s">
        <v>49</v>
      </c>
      <c r="C27410">
        <v>38049</v>
      </c>
      <c r="D27410" t="str">
        <f>"38049"</f>
        <v>38049</v>
      </c>
      <c r="E27410">
        <v>63.19</v>
      </c>
    </row>
    <row r="27411" spans="1:5" x14ac:dyDescent="0.2">
      <c r="A27411">
        <v>38052</v>
      </c>
      <c r="B27411" t="s">
        <v>49</v>
      </c>
      <c r="C27411">
        <v>38052</v>
      </c>
      <c r="D27411" t="str">
        <f>"38052"</f>
        <v>38052</v>
      </c>
      <c r="E27411">
        <v>65.33</v>
      </c>
    </row>
    <row r="27412" spans="1:5" x14ac:dyDescent="0.2">
      <c r="A27412">
        <v>38053</v>
      </c>
      <c r="B27412" t="s">
        <v>49</v>
      </c>
      <c r="C27412">
        <v>38053</v>
      </c>
      <c r="D27412" t="str">
        <f>"38053"</f>
        <v>38053</v>
      </c>
      <c r="E27412">
        <v>69.319999999999993</v>
      </c>
    </row>
    <row r="27413" spans="1:5" x14ac:dyDescent="0.2">
      <c r="A27413">
        <v>38057</v>
      </c>
      <c r="B27413" t="s">
        <v>49</v>
      </c>
      <c r="C27413">
        <v>38057</v>
      </c>
      <c r="D27413" t="str">
        <f>"38057"</f>
        <v>38057</v>
      </c>
      <c r="E27413">
        <v>61.63</v>
      </c>
    </row>
    <row r="27414" spans="1:5" x14ac:dyDescent="0.2">
      <c r="A27414">
        <v>38058</v>
      </c>
      <c r="B27414" t="s">
        <v>49</v>
      </c>
      <c r="C27414">
        <v>38058</v>
      </c>
      <c r="D27414" t="str">
        <f>"38058"</f>
        <v>38058</v>
      </c>
      <c r="E27414">
        <v>73.239999999999995</v>
      </c>
    </row>
    <row r="27415" spans="1:5" x14ac:dyDescent="0.2">
      <c r="A27415">
        <v>38059</v>
      </c>
      <c r="B27415" t="s">
        <v>49</v>
      </c>
      <c r="C27415">
        <v>38059</v>
      </c>
      <c r="D27415" t="str">
        <f>"38059"</f>
        <v>38059</v>
      </c>
      <c r="E27415">
        <v>68.42</v>
      </c>
    </row>
    <row r="27416" spans="1:5" x14ac:dyDescent="0.2">
      <c r="A27416">
        <v>38060</v>
      </c>
      <c r="B27416" t="s">
        <v>49</v>
      </c>
      <c r="C27416">
        <v>38060</v>
      </c>
      <c r="D27416" t="str">
        <f>"38060"</f>
        <v>38060</v>
      </c>
      <c r="E27416">
        <v>76.05</v>
      </c>
    </row>
    <row r="27417" spans="1:5" x14ac:dyDescent="0.2">
      <c r="A27417">
        <v>38061</v>
      </c>
      <c r="B27417" t="s">
        <v>49</v>
      </c>
      <c r="C27417">
        <v>38061</v>
      </c>
      <c r="D27417" t="str">
        <f>"38061"</f>
        <v>38061</v>
      </c>
      <c r="E27417">
        <v>66.67</v>
      </c>
    </row>
    <row r="27418" spans="1:5" x14ac:dyDescent="0.2">
      <c r="A27418">
        <v>38063</v>
      </c>
      <c r="B27418" t="s">
        <v>49</v>
      </c>
      <c r="C27418">
        <v>38063</v>
      </c>
      <c r="D27418" t="str">
        <f>"38063"</f>
        <v>38063</v>
      </c>
      <c r="E27418">
        <v>60.26</v>
      </c>
    </row>
    <row r="27419" spans="1:5" x14ac:dyDescent="0.2">
      <c r="A27419">
        <v>38066</v>
      </c>
      <c r="B27419" t="s">
        <v>49</v>
      </c>
      <c r="C27419">
        <v>38066</v>
      </c>
      <c r="D27419" t="str">
        <f>"38066"</f>
        <v>38066</v>
      </c>
      <c r="E27419">
        <v>74.36</v>
      </c>
    </row>
    <row r="27420" spans="1:5" x14ac:dyDescent="0.2">
      <c r="A27420">
        <v>38067</v>
      </c>
      <c r="B27420" t="s">
        <v>49</v>
      </c>
      <c r="C27420">
        <v>38067</v>
      </c>
      <c r="D27420" t="str">
        <f>"38067"</f>
        <v>38067</v>
      </c>
      <c r="E27420">
        <v>64.290000000000006</v>
      </c>
    </row>
    <row r="27421" spans="1:5" x14ac:dyDescent="0.2">
      <c r="A27421">
        <v>38068</v>
      </c>
      <c r="B27421" t="s">
        <v>49</v>
      </c>
      <c r="C27421">
        <v>38068</v>
      </c>
      <c r="D27421" t="str">
        <f>"38068"</f>
        <v>38068</v>
      </c>
      <c r="E27421">
        <v>65.599999999999994</v>
      </c>
    </row>
    <row r="27422" spans="1:5" x14ac:dyDescent="0.2">
      <c r="A27422">
        <v>38069</v>
      </c>
      <c r="B27422" t="s">
        <v>49</v>
      </c>
      <c r="C27422">
        <v>38069</v>
      </c>
      <c r="D27422" t="str">
        <f>"38069"</f>
        <v>38069</v>
      </c>
      <c r="E27422">
        <v>65.09</v>
      </c>
    </row>
    <row r="27423" spans="1:5" x14ac:dyDescent="0.2">
      <c r="A27423">
        <v>38075</v>
      </c>
      <c r="B27423" t="s">
        <v>49</v>
      </c>
      <c r="C27423">
        <v>38075</v>
      </c>
      <c r="D27423" t="str">
        <f>"38075"</f>
        <v>38075</v>
      </c>
      <c r="E27423">
        <v>59.21</v>
      </c>
    </row>
    <row r="27424" spans="1:5" x14ac:dyDescent="0.2">
      <c r="A27424">
        <v>38076</v>
      </c>
      <c r="B27424" t="s">
        <v>49</v>
      </c>
      <c r="C27424">
        <v>38076</v>
      </c>
      <c r="D27424" t="str">
        <f>"38076"</f>
        <v>38076</v>
      </c>
      <c r="E27424">
        <v>69.44</v>
      </c>
    </row>
    <row r="27425" spans="1:5" x14ac:dyDescent="0.2">
      <c r="A27425">
        <v>38079</v>
      </c>
      <c r="B27425" t="s">
        <v>49</v>
      </c>
      <c r="C27425">
        <v>38079</v>
      </c>
      <c r="D27425" t="str">
        <f>"38079"</f>
        <v>38079</v>
      </c>
      <c r="E27425">
        <v>56.91</v>
      </c>
    </row>
    <row r="27426" spans="1:5" x14ac:dyDescent="0.2">
      <c r="A27426">
        <v>38080</v>
      </c>
      <c r="B27426" t="s">
        <v>49</v>
      </c>
      <c r="C27426">
        <v>38080</v>
      </c>
      <c r="D27426" t="str">
        <f>"38080"</f>
        <v>38080</v>
      </c>
      <c r="E27426">
        <v>55.79</v>
      </c>
    </row>
    <row r="27427" spans="1:5" x14ac:dyDescent="0.2">
      <c r="A27427">
        <v>38103</v>
      </c>
      <c r="B27427" t="s">
        <v>49</v>
      </c>
      <c r="C27427">
        <v>38103</v>
      </c>
      <c r="D27427" t="str">
        <f>"38103"</f>
        <v>38103</v>
      </c>
      <c r="E27427">
        <v>87.03</v>
      </c>
    </row>
    <row r="27428" spans="1:5" x14ac:dyDescent="0.2">
      <c r="A27428">
        <v>38104</v>
      </c>
      <c r="B27428" t="s">
        <v>49</v>
      </c>
      <c r="C27428">
        <v>38104</v>
      </c>
      <c r="D27428" t="str">
        <f>"38104"</f>
        <v>38104</v>
      </c>
      <c r="E27428">
        <v>76.81</v>
      </c>
    </row>
    <row r="27429" spans="1:5" x14ac:dyDescent="0.2">
      <c r="A27429">
        <v>38105</v>
      </c>
      <c r="B27429" t="s">
        <v>49</v>
      </c>
      <c r="C27429">
        <v>38105</v>
      </c>
      <c r="D27429" t="str">
        <f>"38105"</f>
        <v>38105</v>
      </c>
      <c r="E27429">
        <v>51.32</v>
      </c>
    </row>
    <row r="27430" spans="1:5" x14ac:dyDescent="0.2">
      <c r="A27430">
        <v>38106</v>
      </c>
      <c r="B27430" t="s">
        <v>49</v>
      </c>
      <c r="C27430">
        <v>38106</v>
      </c>
      <c r="D27430" t="str">
        <f>"38106"</f>
        <v>38106</v>
      </c>
      <c r="E27430">
        <v>42.89</v>
      </c>
    </row>
    <row r="27431" spans="1:5" x14ac:dyDescent="0.2">
      <c r="A27431">
        <v>38107</v>
      </c>
      <c r="B27431" t="s">
        <v>49</v>
      </c>
      <c r="C27431">
        <v>38107</v>
      </c>
      <c r="D27431" t="str">
        <f>"38107"</f>
        <v>38107</v>
      </c>
      <c r="E27431">
        <v>51.27</v>
      </c>
    </row>
    <row r="27432" spans="1:5" x14ac:dyDescent="0.2">
      <c r="A27432">
        <v>38108</v>
      </c>
      <c r="B27432" t="s">
        <v>49</v>
      </c>
      <c r="C27432">
        <v>38108</v>
      </c>
      <c r="D27432" t="str">
        <f>"38108"</f>
        <v>38108</v>
      </c>
      <c r="E27432">
        <v>40.28</v>
      </c>
    </row>
    <row r="27433" spans="1:5" x14ac:dyDescent="0.2">
      <c r="A27433">
        <v>38109</v>
      </c>
      <c r="B27433" t="s">
        <v>49</v>
      </c>
      <c r="C27433">
        <v>38109</v>
      </c>
      <c r="D27433" t="str">
        <f>"38109"</f>
        <v>38109</v>
      </c>
      <c r="E27433">
        <v>47.36</v>
      </c>
    </row>
    <row r="27434" spans="1:5" x14ac:dyDescent="0.2">
      <c r="A27434">
        <v>38111</v>
      </c>
      <c r="B27434" t="s">
        <v>49</v>
      </c>
      <c r="C27434">
        <v>38111</v>
      </c>
      <c r="D27434" t="str">
        <f>"38111"</f>
        <v>38111</v>
      </c>
      <c r="E27434">
        <v>59.36</v>
      </c>
    </row>
    <row r="27435" spans="1:5" x14ac:dyDescent="0.2">
      <c r="A27435">
        <v>38112</v>
      </c>
      <c r="B27435" t="s">
        <v>49</v>
      </c>
      <c r="C27435">
        <v>38112</v>
      </c>
      <c r="D27435" t="str">
        <f>"38112"</f>
        <v>38112</v>
      </c>
      <c r="E27435">
        <v>58.5</v>
      </c>
    </row>
    <row r="27436" spans="1:5" x14ac:dyDescent="0.2">
      <c r="A27436">
        <v>38113</v>
      </c>
      <c r="B27436" t="s">
        <v>49</v>
      </c>
      <c r="C27436">
        <v>38113</v>
      </c>
      <c r="D27436" t="str">
        <f>"38113"</f>
        <v>38113</v>
      </c>
      <c r="E27436" t="s">
        <v>6</v>
      </c>
    </row>
    <row r="27437" spans="1:5" x14ac:dyDescent="0.2">
      <c r="A27437">
        <v>38114</v>
      </c>
      <c r="B27437" t="s">
        <v>49</v>
      </c>
      <c r="C27437">
        <v>38114</v>
      </c>
      <c r="D27437" t="str">
        <f>"38114"</f>
        <v>38114</v>
      </c>
      <c r="E27437">
        <v>43.45</v>
      </c>
    </row>
    <row r="27438" spans="1:5" x14ac:dyDescent="0.2">
      <c r="A27438">
        <v>38115</v>
      </c>
      <c r="B27438" t="s">
        <v>49</v>
      </c>
      <c r="C27438">
        <v>38115</v>
      </c>
      <c r="D27438" t="str">
        <f>"38115"</f>
        <v>38115</v>
      </c>
      <c r="E27438">
        <v>45.53</v>
      </c>
    </row>
    <row r="27439" spans="1:5" x14ac:dyDescent="0.2">
      <c r="A27439">
        <v>38116</v>
      </c>
      <c r="B27439" t="s">
        <v>49</v>
      </c>
      <c r="C27439">
        <v>38116</v>
      </c>
      <c r="D27439" t="str">
        <f>"38116"</f>
        <v>38116</v>
      </c>
      <c r="E27439">
        <v>50.08</v>
      </c>
    </row>
    <row r="27440" spans="1:5" x14ac:dyDescent="0.2">
      <c r="A27440">
        <v>38117</v>
      </c>
      <c r="B27440" t="s">
        <v>49</v>
      </c>
      <c r="C27440">
        <v>38117</v>
      </c>
      <c r="D27440" t="str">
        <f>"38117"</f>
        <v>38117</v>
      </c>
      <c r="E27440">
        <v>78.31</v>
      </c>
    </row>
    <row r="27441" spans="1:5" x14ac:dyDescent="0.2">
      <c r="A27441">
        <v>38118</v>
      </c>
      <c r="B27441" t="s">
        <v>49</v>
      </c>
      <c r="C27441">
        <v>38118</v>
      </c>
      <c r="D27441" t="str">
        <f>"38118"</f>
        <v>38118</v>
      </c>
      <c r="E27441">
        <v>43.04</v>
      </c>
    </row>
    <row r="27442" spans="1:5" x14ac:dyDescent="0.2">
      <c r="A27442">
        <v>38119</v>
      </c>
      <c r="B27442" t="s">
        <v>49</v>
      </c>
      <c r="C27442">
        <v>38119</v>
      </c>
      <c r="D27442" t="str">
        <f>"38119"</f>
        <v>38119</v>
      </c>
      <c r="E27442">
        <v>73.98</v>
      </c>
    </row>
    <row r="27443" spans="1:5" x14ac:dyDescent="0.2">
      <c r="A27443">
        <v>38120</v>
      </c>
      <c r="B27443" t="s">
        <v>49</v>
      </c>
      <c r="C27443">
        <v>38120</v>
      </c>
      <c r="D27443" t="str">
        <f>"38120"</f>
        <v>38120</v>
      </c>
      <c r="E27443">
        <v>81.84</v>
      </c>
    </row>
    <row r="27444" spans="1:5" x14ac:dyDescent="0.2">
      <c r="A27444">
        <v>38122</v>
      </c>
      <c r="B27444" t="s">
        <v>49</v>
      </c>
      <c r="C27444">
        <v>38122</v>
      </c>
      <c r="D27444" t="str">
        <f>"38122"</f>
        <v>38122</v>
      </c>
      <c r="E27444">
        <v>53.93</v>
      </c>
    </row>
    <row r="27445" spans="1:5" x14ac:dyDescent="0.2">
      <c r="A27445">
        <v>38125</v>
      </c>
      <c r="B27445" t="s">
        <v>49</v>
      </c>
      <c r="C27445">
        <v>38125</v>
      </c>
      <c r="D27445" t="str">
        <f>"38125"</f>
        <v>38125</v>
      </c>
      <c r="E27445">
        <v>65.25</v>
      </c>
    </row>
    <row r="27446" spans="1:5" x14ac:dyDescent="0.2">
      <c r="A27446">
        <v>38126</v>
      </c>
      <c r="B27446" t="s">
        <v>49</v>
      </c>
      <c r="C27446">
        <v>38126</v>
      </c>
      <c r="D27446" t="str">
        <f>"38126"</f>
        <v>38126</v>
      </c>
      <c r="E27446">
        <v>31.84</v>
      </c>
    </row>
    <row r="27447" spans="1:5" x14ac:dyDescent="0.2">
      <c r="A27447">
        <v>38127</v>
      </c>
      <c r="B27447" t="s">
        <v>49</v>
      </c>
      <c r="C27447">
        <v>38127</v>
      </c>
      <c r="D27447" t="str">
        <f>"38127"</f>
        <v>38127</v>
      </c>
      <c r="E27447">
        <v>40.22</v>
      </c>
    </row>
    <row r="27448" spans="1:5" x14ac:dyDescent="0.2">
      <c r="A27448">
        <v>38128</v>
      </c>
      <c r="B27448" t="s">
        <v>49</v>
      </c>
      <c r="C27448">
        <v>38128</v>
      </c>
      <c r="D27448" t="str">
        <f>"38128"</f>
        <v>38128</v>
      </c>
      <c r="E27448">
        <v>46.52</v>
      </c>
    </row>
    <row r="27449" spans="1:5" x14ac:dyDescent="0.2">
      <c r="A27449">
        <v>38131</v>
      </c>
      <c r="B27449" t="s">
        <v>49</v>
      </c>
      <c r="C27449">
        <v>38131</v>
      </c>
      <c r="D27449" t="str">
        <f>"38131"</f>
        <v>38131</v>
      </c>
      <c r="E27449" t="s">
        <v>6</v>
      </c>
    </row>
    <row r="27450" spans="1:5" x14ac:dyDescent="0.2">
      <c r="A27450">
        <v>38132</v>
      </c>
      <c r="B27450" t="s">
        <v>49</v>
      </c>
      <c r="C27450">
        <v>38132</v>
      </c>
      <c r="D27450" t="str">
        <f>"38132"</f>
        <v>38132</v>
      </c>
      <c r="E27450" t="s">
        <v>6</v>
      </c>
    </row>
    <row r="27451" spans="1:5" x14ac:dyDescent="0.2">
      <c r="A27451">
        <v>38133</v>
      </c>
      <c r="B27451" t="s">
        <v>49</v>
      </c>
      <c r="C27451">
        <v>38133</v>
      </c>
      <c r="D27451" t="str">
        <f>"38133"</f>
        <v>38133</v>
      </c>
      <c r="E27451">
        <v>69.81</v>
      </c>
    </row>
    <row r="27452" spans="1:5" x14ac:dyDescent="0.2">
      <c r="A27452">
        <v>38134</v>
      </c>
      <c r="B27452" t="s">
        <v>49</v>
      </c>
      <c r="C27452">
        <v>38134</v>
      </c>
      <c r="D27452" t="str">
        <f>"38134"</f>
        <v>38134</v>
      </c>
      <c r="E27452">
        <v>63.19</v>
      </c>
    </row>
    <row r="27453" spans="1:5" x14ac:dyDescent="0.2">
      <c r="A27453">
        <v>38135</v>
      </c>
      <c r="B27453" t="s">
        <v>49</v>
      </c>
      <c r="C27453">
        <v>38135</v>
      </c>
      <c r="D27453" t="str">
        <f>"38135"</f>
        <v>38135</v>
      </c>
      <c r="E27453">
        <v>74.95</v>
      </c>
    </row>
    <row r="27454" spans="1:5" x14ac:dyDescent="0.2">
      <c r="A27454">
        <v>38136</v>
      </c>
      <c r="B27454" t="s">
        <v>49</v>
      </c>
      <c r="C27454">
        <v>38136</v>
      </c>
      <c r="D27454" t="str">
        <f>"38136"</f>
        <v>38136</v>
      </c>
      <c r="E27454" t="s">
        <v>6</v>
      </c>
    </row>
    <row r="27455" spans="1:5" x14ac:dyDescent="0.2">
      <c r="A27455">
        <v>38138</v>
      </c>
      <c r="B27455" t="s">
        <v>49</v>
      </c>
      <c r="C27455">
        <v>38138</v>
      </c>
      <c r="D27455" t="str">
        <f>"38138"</f>
        <v>38138</v>
      </c>
      <c r="E27455">
        <v>82</v>
      </c>
    </row>
    <row r="27456" spans="1:5" x14ac:dyDescent="0.2">
      <c r="A27456">
        <v>38139</v>
      </c>
      <c r="B27456" t="s">
        <v>49</v>
      </c>
      <c r="C27456">
        <v>38139</v>
      </c>
      <c r="D27456" t="str">
        <f>"38139"</f>
        <v>38139</v>
      </c>
      <c r="E27456">
        <v>83.27</v>
      </c>
    </row>
    <row r="27457" spans="1:5" x14ac:dyDescent="0.2">
      <c r="A27457">
        <v>38141</v>
      </c>
      <c r="B27457" t="s">
        <v>49</v>
      </c>
      <c r="C27457">
        <v>38141</v>
      </c>
      <c r="D27457" t="str">
        <f>"38141"</f>
        <v>38141</v>
      </c>
      <c r="E27457">
        <v>53.09</v>
      </c>
    </row>
    <row r="27458" spans="1:5" x14ac:dyDescent="0.2">
      <c r="A27458">
        <v>38152</v>
      </c>
      <c r="B27458" t="s">
        <v>49</v>
      </c>
      <c r="C27458">
        <v>38152</v>
      </c>
      <c r="D27458" t="str">
        <f>"38152"</f>
        <v>38152</v>
      </c>
      <c r="E27458" t="s">
        <v>6</v>
      </c>
    </row>
    <row r="27459" spans="1:5" x14ac:dyDescent="0.2">
      <c r="A27459">
        <v>38188</v>
      </c>
      <c r="B27459" t="s">
        <v>49</v>
      </c>
      <c r="C27459">
        <v>38188</v>
      </c>
      <c r="D27459" t="str">
        <f>"38188"</f>
        <v>38188</v>
      </c>
      <c r="E27459" t="s">
        <v>6</v>
      </c>
    </row>
    <row r="27460" spans="1:5" x14ac:dyDescent="0.2">
      <c r="A27460">
        <v>38201</v>
      </c>
      <c r="B27460" t="s">
        <v>49</v>
      </c>
      <c r="C27460">
        <v>38201</v>
      </c>
      <c r="D27460" t="str">
        <f>"38201"</f>
        <v>38201</v>
      </c>
      <c r="E27460">
        <v>64.38</v>
      </c>
    </row>
    <row r="27461" spans="1:5" x14ac:dyDescent="0.2">
      <c r="A27461">
        <v>38220</v>
      </c>
      <c r="B27461" t="s">
        <v>49</v>
      </c>
      <c r="C27461">
        <v>38220</v>
      </c>
      <c r="D27461" t="str">
        <f>"38220"</f>
        <v>38220</v>
      </c>
      <c r="E27461">
        <v>64.099999999999994</v>
      </c>
    </row>
    <row r="27462" spans="1:5" x14ac:dyDescent="0.2">
      <c r="A27462">
        <v>38221</v>
      </c>
      <c r="B27462" t="s">
        <v>49</v>
      </c>
      <c r="C27462">
        <v>38221</v>
      </c>
      <c r="D27462" t="str">
        <f>"38221"</f>
        <v>38221</v>
      </c>
      <c r="E27462">
        <v>60.8</v>
      </c>
    </row>
    <row r="27463" spans="1:5" x14ac:dyDescent="0.2">
      <c r="A27463">
        <v>38222</v>
      </c>
      <c r="B27463" t="s">
        <v>49</v>
      </c>
      <c r="C27463">
        <v>38222</v>
      </c>
      <c r="D27463" t="str">
        <f>"38222"</f>
        <v>38222</v>
      </c>
      <c r="E27463">
        <v>67.540000000000006</v>
      </c>
    </row>
    <row r="27464" spans="1:5" x14ac:dyDescent="0.2">
      <c r="A27464">
        <v>38224</v>
      </c>
      <c r="B27464" t="s">
        <v>49</v>
      </c>
      <c r="C27464">
        <v>38224</v>
      </c>
      <c r="D27464" t="str">
        <f>"38224"</f>
        <v>38224</v>
      </c>
      <c r="E27464">
        <v>62.5</v>
      </c>
    </row>
    <row r="27465" spans="1:5" x14ac:dyDescent="0.2">
      <c r="A27465">
        <v>38225</v>
      </c>
      <c r="B27465" t="s">
        <v>49</v>
      </c>
      <c r="C27465">
        <v>38225</v>
      </c>
      <c r="D27465" t="str">
        <f>"38225"</f>
        <v>38225</v>
      </c>
      <c r="E27465">
        <v>64.099999999999994</v>
      </c>
    </row>
    <row r="27466" spans="1:5" x14ac:dyDescent="0.2">
      <c r="A27466">
        <v>38226</v>
      </c>
      <c r="B27466" t="s">
        <v>49</v>
      </c>
      <c r="C27466">
        <v>38226</v>
      </c>
      <c r="D27466" t="str">
        <f>"38226"</f>
        <v>38226</v>
      </c>
      <c r="E27466">
        <v>69.23</v>
      </c>
    </row>
    <row r="27467" spans="1:5" x14ac:dyDescent="0.2">
      <c r="A27467">
        <v>38229</v>
      </c>
      <c r="B27467" t="s">
        <v>49</v>
      </c>
      <c r="C27467">
        <v>38229</v>
      </c>
      <c r="D27467" t="str">
        <f>"38229"</f>
        <v>38229</v>
      </c>
      <c r="E27467">
        <v>68.75</v>
      </c>
    </row>
    <row r="27468" spans="1:5" x14ac:dyDescent="0.2">
      <c r="A27468">
        <v>38230</v>
      </c>
      <c r="B27468" t="s">
        <v>49</v>
      </c>
      <c r="C27468">
        <v>38230</v>
      </c>
      <c r="D27468" t="str">
        <f>"38230"</f>
        <v>38230</v>
      </c>
      <c r="E27468">
        <v>65.69</v>
      </c>
    </row>
    <row r="27469" spans="1:5" x14ac:dyDescent="0.2">
      <c r="A27469">
        <v>38231</v>
      </c>
      <c r="B27469" t="s">
        <v>49</v>
      </c>
      <c r="C27469">
        <v>38231</v>
      </c>
      <c r="D27469" t="str">
        <f>"38231"</f>
        <v>38231</v>
      </c>
      <c r="E27469">
        <v>65.33</v>
      </c>
    </row>
    <row r="27470" spans="1:5" x14ac:dyDescent="0.2">
      <c r="A27470">
        <v>38232</v>
      </c>
      <c r="B27470" t="s">
        <v>49</v>
      </c>
      <c r="C27470">
        <v>38232</v>
      </c>
      <c r="D27470" t="str">
        <f>"38232"</f>
        <v>38232</v>
      </c>
      <c r="E27470">
        <v>63.16</v>
      </c>
    </row>
    <row r="27471" spans="1:5" x14ac:dyDescent="0.2">
      <c r="A27471">
        <v>38233</v>
      </c>
      <c r="B27471" t="s">
        <v>49</v>
      </c>
      <c r="C27471">
        <v>38233</v>
      </c>
      <c r="D27471" t="str">
        <f>"38233"</f>
        <v>38233</v>
      </c>
      <c r="E27471">
        <v>67.31</v>
      </c>
    </row>
    <row r="27472" spans="1:5" x14ac:dyDescent="0.2">
      <c r="A27472">
        <v>38236</v>
      </c>
      <c r="B27472" t="s">
        <v>49</v>
      </c>
      <c r="C27472">
        <v>38236</v>
      </c>
      <c r="D27472" t="str">
        <f>"38236"</f>
        <v>38236</v>
      </c>
      <c r="E27472">
        <v>62.5</v>
      </c>
    </row>
    <row r="27473" spans="1:5" x14ac:dyDescent="0.2">
      <c r="A27473">
        <v>38237</v>
      </c>
      <c r="B27473" t="s">
        <v>49</v>
      </c>
      <c r="C27473">
        <v>38237</v>
      </c>
      <c r="D27473" t="str">
        <f>"38237"</f>
        <v>38237</v>
      </c>
      <c r="E27473">
        <v>67</v>
      </c>
    </row>
    <row r="27474" spans="1:5" x14ac:dyDescent="0.2">
      <c r="A27474">
        <v>38240</v>
      </c>
      <c r="B27474" t="s">
        <v>49</v>
      </c>
      <c r="C27474">
        <v>38240</v>
      </c>
      <c r="D27474" t="str">
        <f>"38240"</f>
        <v>38240</v>
      </c>
      <c r="E27474">
        <v>60.76</v>
      </c>
    </row>
    <row r="27475" spans="1:5" x14ac:dyDescent="0.2">
      <c r="A27475">
        <v>38241</v>
      </c>
      <c r="B27475" t="s">
        <v>49</v>
      </c>
      <c r="C27475">
        <v>38241</v>
      </c>
      <c r="D27475" t="str">
        <f>"38241"</f>
        <v>38241</v>
      </c>
      <c r="E27475">
        <v>66.67</v>
      </c>
    </row>
    <row r="27476" spans="1:5" x14ac:dyDescent="0.2">
      <c r="A27476">
        <v>38242</v>
      </c>
      <c r="B27476" t="s">
        <v>49</v>
      </c>
      <c r="C27476">
        <v>38242</v>
      </c>
      <c r="D27476" t="str">
        <f>"38242"</f>
        <v>38242</v>
      </c>
      <c r="E27476">
        <v>63.41</v>
      </c>
    </row>
    <row r="27477" spans="1:5" x14ac:dyDescent="0.2">
      <c r="A27477">
        <v>38251</v>
      </c>
      <c r="B27477" t="s">
        <v>49</v>
      </c>
      <c r="C27477">
        <v>38251</v>
      </c>
      <c r="D27477" t="str">
        <f>"38251"</f>
        <v>38251</v>
      </c>
      <c r="E27477">
        <v>66.39</v>
      </c>
    </row>
    <row r="27478" spans="1:5" x14ac:dyDescent="0.2">
      <c r="A27478">
        <v>38253</v>
      </c>
      <c r="B27478" t="s">
        <v>49</v>
      </c>
      <c r="C27478">
        <v>38253</v>
      </c>
      <c r="D27478" t="str">
        <f>"38253"</f>
        <v>38253</v>
      </c>
      <c r="E27478">
        <v>70.45</v>
      </c>
    </row>
    <row r="27479" spans="1:5" x14ac:dyDescent="0.2">
      <c r="A27479">
        <v>38255</v>
      </c>
      <c r="B27479" t="s">
        <v>49</v>
      </c>
      <c r="C27479">
        <v>38255</v>
      </c>
      <c r="D27479" t="str">
        <f>"38255"</f>
        <v>38255</v>
      </c>
      <c r="E27479">
        <v>68.48</v>
      </c>
    </row>
    <row r="27480" spans="1:5" x14ac:dyDescent="0.2">
      <c r="A27480">
        <v>38256</v>
      </c>
      <c r="B27480" t="s">
        <v>49</v>
      </c>
      <c r="C27480">
        <v>38256</v>
      </c>
      <c r="D27480" t="str">
        <f>"38256"</f>
        <v>38256</v>
      </c>
      <c r="E27480">
        <v>68.84</v>
      </c>
    </row>
    <row r="27481" spans="1:5" x14ac:dyDescent="0.2">
      <c r="A27481">
        <v>38257</v>
      </c>
      <c r="B27481" t="s">
        <v>49</v>
      </c>
      <c r="C27481">
        <v>38257</v>
      </c>
      <c r="D27481" t="str">
        <f>"38257"</f>
        <v>38257</v>
      </c>
      <c r="E27481">
        <v>67.540000000000006</v>
      </c>
    </row>
    <row r="27482" spans="1:5" x14ac:dyDescent="0.2">
      <c r="A27482">
        <v>38258</v>
      </c>
      <c r="B27482" t="s">
        <v>49</v>
      </c>
      <c r="C27482">
        <v>38258</v>
      </c>
      <c r="D27482" t="str">
        <f>"38258"</f>
        <v>38258</v>
      </c>
      <c r="E27482">
        <v>67.19</v>
      </c>
    </row>
    <row r="27483" spans="1:5" x14ac:dyDescent="0.2">
      <c r="A27483">
        <v>38259</v>
      </c>
      <c r="B27483" t="s">
        <v>49</v>
      </c>
      <c r="C27483">
        <v>38259</v>
      </c>
      <c r="D27483" t="str">
        <f>"38259"</f>
        <v>38259</v>
      </c>
      <c r="E27483">
        <v>62.5</v>
      </c>
    </row>
    <row r="27484" spans="1:5" x14ac:dyDescent="0.2">
      <c r="A27484">
        <v>38260</v>
      </c>
      <c r="B27484" t="s">
        <v>49</v>
      </c>
      <c r="C27484">
        <v>38260</v>
      </c>
      <c r="D27484" t="str">
        <f>"38260"</f>
        <v>38260</v>
      </c>
      <c r="E27484">
        <v>68.42</v>
      </c>
    </row>
    <row r="27485" spans="1:5" x14ac:dyDescent="0.2">
      <c r="A27485">
        <v>38261</v>
      </c>
      <c r="B27485" t="s">
        <v>49</v>
      </c>
      <c r="C27485">
        <v>38261</v>
      </c>
      <c r="D27485" t="str">
        <f>"38261"</f>
        <v>38261</v>
      </c>
      <c r="E27485">
        <v>61.29</v>
      </c>
    </row>
    <row r="27486" spans="1:5" x14ac:dyDescent="0.2">
      <c r="A27486">
        <v>38301</v>
      </c>
      <c r="B27486" t="s">
        <v>49</v>
      </c>
      <c r="C27486">
        <v>38301</v>
      </c>
      <c r="D27486" t="str">
        <f>"38301"</f>
        <v>38301</v>
      </c>
      <c r="E27486">
        <v>55.95</v>
      </c>
    </row>
    <row r="27487" spans="1:5" x14ac:dyDescent="0.2">
      <c r="A27487">
        <v>38305</v>
      </c>
      <c r="B27487" t="s">
        <v>49</v>
      </c>
      <c r="C27487">
        <v>38305</v>
      </c>
      <c r="D27487" t="str">
        <f>"38305"</f>
        <v>38305</v>
      </c>
      <c r="E27487">
        <v>68.319999999999993</v>
      </c>
    </row>
    <row r="27488" spans="1:5" x14ac:dyDescent="0.2">
      <c r="A27488">
        <v>38310</v>
      </c>
      <c r="B27488" t="s">
        <v>49</v>
      </c>
      <c r="C27488">
        <v>38310</v>
      </c>
      <c r="D27488" t="str">
        <f>"38310"</f>
        <v>38310</v>
      </c>
      <c r="E27488">
        <v>63.98</v>
      </c>
    </row>
    <row r="27489" spans="1:5" x14ac:dyDescent="0.2">
      <c r="A27489">
        <v>38311</v>
      </c>
      <c r="B27489" t="s">
        <v>49</v>
      </c>
      <c r="C27489">
        <v>38311</v>
      </c>
      <c r="D27489" t="str">
        <f>"38311"</f>
        <v>38311</v>
      </c>
      <c r="E27489">
        <v>71.88</v>
      </c>
    </row>
    <row r="27490" spans="1:5" x14ac:dyDescent="0.2">
      <c r="A27490">
        <v>38313</v>
      </c>
      <c r="B27490" t="s">
        <v>49</v>
      </c>
      <c r="C27490">
        <v>38313</v>
      </c>
      <c r="D27490" t="str">
        <f>"38313"</f>
        <v>38313</v>
      </c>
      <c r="E27490">
        <v>69.23</v>
      </c>
    </row>
    <row r="27491" spans="1:5" x14ac:dyDescent="0.2">
      <c r="A27491">
        <v>38315</v>
      </c>
      <c r="B27491" t="s">
        <v>49</v>
      </c>
      <c r="C27491">
        <v>38315</v>
      </c>
      <c r="D27491" t="str">
        <f>"38315"</f>
        <v>38315</v>
      </c>
      <c r="E27491">
        <v>60.43</v>
      </c>
    </row>
    <row r="27492" spans="1:5" x14ac:dyDescent="0.2">
      <c r="A27492">
        <v>38316</v>
      </c>
      <c r="B27492" t="s">
        <v>49</v>
      </c>
      <c r="C27492">
        <v>38316</v>
      </c>
      <c r="D27492" t="str">
        <f>"38316"</f>
        <v>38316</v>
      </c>
      <c r="E27492">
        <v>66.959999999999994</v>
      </c>
    </row>
    <row r="27493" spans="1:5" x14ac:dyDescent="0.2">
      <c r="A27493">
        <v>38317</v>
      </c>
      <c r="B27493" t="s">
        <v>49</v>
      </c>
      <c r="C27493">
        <v>38317</v>
      </c>
      <c r="D27493" t="str">
        <f>"38317"</f>
        <v>38317</v>
      </c>
      <c r="E27493">
        <v>62.92</v>
      </c>
    </row>
    <row r="27494" spans="1:5" x14ac:dyDescent="0.2">
      <c r="A27494">
        <v>38318</v>
      </c>
      <c r="B27494" t="s">
        <v>49</v>
      </c>
      <c r="C27494">
        <v>38318</v>
      </c>
      <c r="D27494" t="str">
        <f>"38318"</f>
        <v>38318</v>
      </c>
      <c r="E27494">
        <v>57.14</v>
      </c>
    </row>
    <row r="27495" spans="1:5" x14ac:dyDescent="0.2">
      <c r="A27495">
        <v>38320</v>
      </c>
      <c r="B27495" t="s">
        <v>49</v>
      </c>
      <c r="C27495">
        <v>38320</v>
      </c>
      <c r="D27495" t="str">
        <f>"38320"</f>
        <v>38320</v>
      </c>
      <c r="E27495">
        <v>64.64</v>
      </c>
    </row>
    <row r="27496" spans="1:5" x14ac:dyDescent="0.2">
      <c r="A27496">
        <v>38321</v>
      </c>
      <c r="B27496" t="s">
        <v>49</v>
      </c>
      <c r="C27496">
        <v>38321</v>
      </c>
      <c r="D27496" t="str">
        <f>"38321"</f>
        <v>38321</v>
      </c>
      <c r="E27496">
        <v>66.67</v>
      </c>
    </row>
    <row r="27497" spans="1:5" x14ac:dyDescent="0.2">
      <c r="A27497">
        <v>38326</v>
      </c>
      <c r="B27497" t="s">
        <v>49</v>
      </c>
      <c r="C27497">
        <v>38326</v>
      </c>
      <c r="D27497" t="str">
        <f>"38326"</f>
        <v>38326</v>
      </c>
      <c r="E27497">
        <v>69.37</v>
      </c>
    </row>
    <row r="27498" spans="1:5" x14ac:dyDescent="0.2">
      <c r="A27498">
        <v>38327</v>
      </c>
      <c r="B27498" t="s">
        <v>49</v>
      </c>
      <c r="C27498">
        <v>38327</v>
      </c>
      <c r="D27498" t="str">
        <f>"38327"</f>
        <v>38327</v>
      </c>
      <c r="E27498">
        <v>63.64</v>
      </c>
    </row>
    <row r="27499" spans="1:5" x14ac:dyDescent="0.2">
      <c r="A27499">
        <v>38328</v>
      </c>
      <c r="B27499" t="s">
        <v>49</v>
      </c>
      <c r="C27499">
        <v>38328</v>
      </c>
      <c r="D27499" t="str">
        <f>"38328"</f>
        <v>38328</v>
      </c>
      <c r="E27499">
        <v>66.67</v>
      </c>
    </row>
    <row r="27500" spans="1:5" x14ac:dyDescent="0.2">
      <c r="A27500">
        <v>38329</v>
      </c>
      <c r="B27500" t="s">
        <v>49</v>
      </c>
      <c r="C27500">
        <v>38329</v>
      </c>
      <c r="D27500" t="str">
        <f>"38329"</f>
        <v>38329</v>
      </c>
      <c r="E27500">
        <v>60.74</v>
      </c>
    </row>
    <row r="27501" spans="1:5" x14ac:dyDescent="0.2">
      <c r="A27501">
        <v>38330</v>
      </c>
      <c r="B27501" t="s">
        <v>49</v>
      </c>
      <c r="C27501">
        <v>38330</v>
      </c>
      <c r="D27501" t="str">
        <f>"38330"</f>
        <v>38330</v>
      </c>
      <c r="E27501">
        <v>66.459999999999994</v>
      </c>
    </row>
    <row r="27502" spans="1:5" x14ac:dyDescent="0.2">
      <c r="A27502">
        <v>38332</v>
      </c>
      <c r="B27502" t="s">
        <v>49</v>
      </c>
      <c r="C27502">
        <v>38332</v>
      </c>
      <c r="D27502" t="str">
        <f>"38332"</f>
        <v>38332</v>
      </c>
      <c r="E27502">
        <v>63.41</v>
      </c>
    </row>
    <row r="27503" spans="1:5" x14ac:dyDescent="0.2">
      <c r="A27503">
        <v>38333</v>
      </c>
      <c r="B27503" t="s">
        <v>49</v>
      </c>
      <c r="C27503">
        <v>38333</v>
      </c>
      <c r="D27503" t="str">
        <f>"38333"</f>
        <v>38333</v>
      </c>
      <c r="E27503">
        <v>70</v>
      </c>
    </row>
    <row r="27504" spans="1:5" x14ac:dyDescent="0.2">
      <c r="A27504">
        <v>38334</v>
      </c>
      <c r="B27504" t="s">
        <v>49</v>
      </c>
      <c r="C27504">
        <v>38334</v>
      </c>
      <c r="D27504" t="str">
        <f>"38334"</f>
        <v>38334</v>
      </c>
      <c r="E27504">
        <v>64.790000000000006</v>
      </c>
    </row>
    <row r="27505" spans="1:5" x14ac:dyDescent="0.2">
      <c r="A27505">
        <v>38336</v>
      </c>
      <c r="B27505" t="s">
        <v>49</v>
      </c>
      <c r="C27505">
        <v>38336</v>
      </c>
      <c r="D27505" t="str">
        <f>"38336"</f>
        <v>38336</v>
      </c>
      <c r="E27505" t="s">
        <v>6</v>
      </c>
    </row>
    <row r="27506" spans="1:5" x14ac:dyDescent="0.2">
      <c r="A27506">
        <v>38337</v>
      </c>
      <c r="B27506" t="s">
        <v>49</v>
      </c>
      <c r="C27506">
        <v>38337</v>
      </c>
      <c r="D27506" t="str">
        <f>"38337"</f>
        <v>38337</v>
      </c>
      <c r="E27506">
        <v>68.42</v>
      </c>
    </row>
    <row r="27507" spans="1:5" x14ac:dyDescent="0.2">
      <c r="A27507">
        <v>38338</v>
      </c>
      <c r="B27507" t="s">
        <v>49</v>
      </c>
      <c r="C27507">
        <v>38338</v>
      </c>
      <c r="D27507" t="str">
        <f>"38338"</f>
        <v>38338</v>
      </c>
      <c r="E27507" t="s">
        <v>6</v>
      </c>
    </row>
    <row r="27508" spans="1:5" x14ac:dyDescent="0.2">
      <c r="A27508">
        <v>38339</v>
      </c>
      <c r="B27508" t="s">
        <v>49</v>
      </c>
      <c r="C27508">
        <v>38339</v>
      </c>
      <c r="D27508" t="str">
        <f>"38339"</f>
        <v>38339</v>
      </c>
      <c r="E27508">
        <v>65.52</v>
      </c>
    </row>
    <row r="27509" spans="1:5" x14ac:dyDescent="0.2">
      <c r="A27509">
        <v>38340</v>
      </c>
      <c r="B27509" t="s">
        <v>49</v>
      </c>
      <c r="C27509">
        <v>38340</v>
      </c>
      <c r="D27509" t="str">
        <f>"38340"</f>
        <v>38340</v>
      </c>
      <c r="E27509">
        <v>64.290000000000006</v>
      </c>
    </row>
    <row r="27510" spans="1:5" x14ac:dyDescent="0.2">
      <c r="A27510">
        <v>38341</v>
      </c>
      <c r="B27510" t="s">
        <v>49</v>
      </c>
      <c r="C27510">
        <v>38341</v>
      </c>
      <c r="D27510" t="str">
        <f>"38341"</f>
        <v>38341</v>
      </c>
      <c r="E27510">
        <v>63.41</v>
      </c>
    </row>
    <row r="27511" spans="1:5" x14ac:dyDescent="0.2">
      <c r="A27511">
        <v>38342</v>
      </c>
      <c r="B27511" t="s">
        <v>49</v>
      </c>
      <c r="C27511">
        <v>38342</v>
      </c>
      <c r="D27511" t="str">
        <f>"38342"</f>
        <v>38342</v>
      </c>
      <c r="E27511">
        <v>64.290000000000006</v>
      </c>
    </row>
    <row r="27512" spans="1:5" x14ac:dyDescent="0.2">
      <c r="A27512">
        <v>38343</v>
      </c>
      <c r="B27512" t="s">
        <v>49</v>
      </c>
      <c r="C27512">
        <v>38343</v>
      </c>
      <c r="D27512" t="str">
        <f>"38343"</f>
        <v>38343</v>
      </c>
      <c r="E27512">
        <v>64.510000000000005</v>
      </c>
    </row>
    <row r="27513" spans="1:5" x14ac:dyDescent="0.2">
      <c r="A27513">
        <v>38344</v>
      </c>
      <c r="B27513" t="s">
        <v>49</v>
      </c>
      <c r="C27513">
        <v>38344</v>
      </c>
      <c r="D27513" t="str">
        <f>"38344"</f>
        <v>38344</v>
      </c>
      <c r="E27513">
        <v>66.02</v>
      </c>
    </row>
    <row r="27514" spans="1:5" x14ac:dyDescent="0.2">
      <c r="A27514">
        <v>38345</v>
      </c>
      <c r="B27514" t="s">
        <v>49</v>
      </c>
      <c r="C27514">
        <v>38345</v>
      </c>
      <c r="D27514" t="str">
        <f>"38345"</f>
        <v>38345</v>
      </c>
      <c r="E27514">
        <v>61.9</v>
      </c>
    </row>
    <row r="27515" spans="1:5" x14ac:dyDescent="0.2">
      <c r="A27515">
        <v>38347</v>
      </c>
      <c r="B27515" t="s">
        <v>49</v>
      </c>
      <c r="C27515">
        <v>38347</v>
      </c>
      <c r="D27515" t="str">
        <f>"38347"</f>
        <v>38347</v>
      </c>
      <c r="E27515">
        <v>68.75</v>
      </c>
    </row>
    <row r="27516" spans="1:5" x14ac:dyDescent="0.2">
      <c r="A27516">
        <v>38348</v>
      </c>
      <c r="B27516" t="s">
        <v>49</v>
      </c>
      <c r="C27516">
        <v>38348</v>
      </c>
      <c r="D27516" t="str">
        <f>"38348"</f>
        <v>38348</v>
      </c>
      <c r="E27516">
        <v>71.430000000000007</v>
      </c>
    </row>
    <row r="27517" spans="1:5" x14ac:dyDescent="0.2">
      <c r="A27517">
        <v>38351</v>
      </c>
      <c r="B27517" t="s">
        <v>49</v>
      </c>
      <c r="C27517">
        <v>38351</v>
      </c>
      <c r="D27517" t="str">
        <f>"38351"</f>
        <v>38351</v>
      </c>
      <c r="E27517">
        <v>66.53</v>
      </c>
    </row>
    <row r="27518" spans="1:5" x14ac:dyDescent="0.2">
      <c r="A27518">
        <v>38352</v>
      </c>
      <c r="B27518" t="s">
        <v>49</v>
      </c>
      <c r="C27518">
        <v>38352</v>
      </c>
      <c r="D27518" t="str">
        <f>"38352"</f>
        <v>38352</v>
      </c>
      <c r="E27518">
        <v>70.83</v>
      </c>
    </row>
    <row r="27519" spans="1:5" x14ac:dyDescent="0.2">
      <c r="A27519">
        <v>38355</v>
      </c>
      <c r="B27519" t="s">
        <v>49</v>
      </c>
      <c r="C27519">
        <v>38355</v>
      </c>
      <c r="D27519" t="str">
        <f>"38355"</f>
        <v>38355</v>
      </c>
      <c r="E27519">
        <v>75.17</v>
      </c>
    </row>
    <row r="27520" spans="1:5" x14ac:dyDescent="0.2">
      <c r="A27520">
        <v>38356</v>
      </c>
      <c r="B27520" t="s">
        <v>49</v>
      </c>
      <c r="C27520">
        <v>38356</v>
      </c>
      <c r="D27520" t="str">
        <f>"38356"</f>
        <v>38356</v>
      </c>
      <c r="E27520">
        <v>66</v>
      </c>
    </row>
    <row r="27521" spans="1:5" x14ac:dyDescent="0.2">
      <c r="A27521">
        <v>38357</v>
      </c>
      <c r="B27521" t="s">
        <v>49</v>
      </c>
      <c r="C27521">
        <v>38357</v>
      </c>
      <c r="D27521" t="str">
        <f>"38357"</f>
        <v>38357</v>
      </c>
      <c r="E27521">
        <v>64.290000000000006</v>
      </c>
    </row>
    <row r="27522" spans="1:5" x14ac:dyDescent="0.2">
      <c r="A27522">
        <v>38358</v>
      </c>
      <c r="B27522" t="s">
        <v>49</v>
      </c>
      <c r="C27522">
        <v>38358</v>
      </c>
      <c r="D27522" t="str">
        <f>"38358"</f>
        <v>38358</v>
      </c>
      <c r="E27522">
        <v>65.16</v>
      </c>
    </row>
    <row r="27523" spans="1:5" x14ac:dyDescent="0.2">
      <c r="A27523">
        <v>38359</v>
      </c>
      <c r="B27523" t="s">
        <v>49</v>
      </c>
      <c r="C27523">
        <v>38359</v>
      </c>
      <c r="D27523" t="str">
        <f>"38359"</f>
        <v>38359</v>
      </c>
      <c r="E27523">
        <v>58.33</v>
      </c>
    </row>
    <row r="27524" spans="1:5" x14ac:dyDescent="0.2">
      <c r="A27524">
        <v>38361</v>
      </c>
      <c r="B27524" t="s">
        <v>49</v>
      </c>
      <c r="C27524">
        <v>38361</v>
      </c>
      <c r="D27524" t="str">
        <f>"38361"</f>
        <v>38361</v>
      </c>
      <c r="E27524">
        <v>66.67</v>
      </c>
    </row>
    <row r="27525" spans="1:5" x14ac:dyDescent="0.2">
      <c r="A27525">
        <v>38362</v>
      </c>
      <c r="B27525" t="s">
        <v>49</v>
      </c>
      <c r="C27525">
        <v>38362</v>
      </c>
      <c r="D27525" t="str">
        <f>"38362"</f>
        <v>38362</v>
      </c>
      <c r="E27525">
        <v>70</v>
      </c>
    </row>
    <row r="27526" spans="1:5" x14ac:dyDescent="0.2">
      <c r="A27526">
        <v>38363</v>
      </c>
      <c r="B27526" t="s">
        <v>49</v>
      </c>
      <c r="C27526">
        <v>38363</v>
      </c>
      <c r="D27526" t="str">
        <f>"38363"</f>
        <v>38363</v>
      </c>
      <c r="E27526">
        <v>64.349999999999994</v>
      </c>
    </row>
    <row r="27527" spans="1:5" x14ac:dyDescent="0.2">
      <c r="A27527">
        <v>38365</v>
      </c>
      <c r="B27527" t="s">
        <v>49</v>
      </c>
      <c r="C27527">
        <v>38365</v>
      </c>
      <c r="D27527" t="str">
        <f>"38365"</f>
        <v>38365</v>
      </c>
      <c r="E27527" t="s">
        <v>6</v>
      </c>
    </row>
    <row r="27528" spans="1:5" x14ac:dyDescent="0.2">
      <c r="A27528">
        <v>38366</v>
      </c>
      <c r="B27528" t="s">
        <v>49</v>
      </c>
      <c r="C27528">
        <v>38366</v>
      </c>
      <c r="D27528" t="str">
        <f>"38366"</f>
        <v>38366</v>
      </c>
      <c r="E27528">
        <v>69.39</v>
      </c>
    </row>
    <row r="27529" spans="1:5" x14ac:dyDescent="0.2">
      <c r="A27529">
        <v>38367</v>
      </c>
      <c r="B27529" t="s">
        <v>49</v>
      </c>
      <c r="C27529">
        <v>38367</v>
      </c>
      <c r="D27529" t="str">
        <f>"38367"</f>
        <v>38367</v>
      </c>
      <c r="E27529">
        <v>64.08</v>
      </c>
    </row>
    <row r="27530" spans="1:5" x14ac:dyDescent="0.2">
      <c r="A27530">
        <v>38368</v>
      </c>
      <c r="B27530" t="s">
        <v>49</v>
      </c>
      <c r="C27530">
        <v>38368</v>
      </c>
      <c r="D27530" t="str">
        <f>"38368"</f>
        <v>38368</v>
      </c>
      <c r="E27530">
        <v>63.51</v>
      </c>
    </row>
    <row r="27531" spans="1:5" x14ac:dyDescent="0.2">
      <c r="A27531">
        <v>38369</v>
      </c>
      <c r="B27531" t="s">
        <v>49</v>
      </c>
      <c r="C27531">
        <v>38369</v>
      </c>
      <c r="D27531" t="str">
        <f>"38369"</f>
        <v>38369</v>
      </c>
      <c r="E27531">
        <v>65.75</v>
      </c>
    </row>
    <row r="27532" spans="1:5" x14ac:dyDescent="0.2">
      <c r="A27532">
        <v>38370</v>
      </c>
      <c r="B27532" t="s">
        <v>49</v>
      </c>
      <c r="C27532">
        <v>38370</v>
      </c>
      <c r="D27532" t="str">
        <f>"38370"</f>
        <v>38370</v>
      </c>
      <c r="E27532">
        <v>68</v>
      </c>
    </row>
    <row r="27533" spans="1:5" x14ac:dyDescent="0.2">
      <c r="A27533">
        <v>38371</v>
      </c>
      <c r="B27533" t="s">
        <v>49</v>
      </c>
      <c r="C27533">
        <v>38371</v>
      </c>
      <c r="D27533" t="str">
        <f>"38371"</f>
        <v>38371</v>
      </c>
      <c r="E27533">
        <v>62.75</v>
      </c>
    </row>
    <row r="27534" spans="1:5" x14ac:dyDescent="0.2">
      <c r="A27534">
        <v>38372</v>
      </c>
      <c r="B27534" t="s">
        <v>49</v>
      </c>
      <c r="C27534">
        <v>38372</v>
      </c>
      <c r="D27534" t="str">
        <f>"38372"</f>
        <v>38372</v>
      </c>
      <c r="E27534">
        <v>64.09</v>
      </c>
    </row>
    <row r="27535" spans="1:5" x14ac:dyDescent="0.2">
      <c r="A27535">
        <v>38374</v>
      </c>
      <c r="B27535" t="s">
        <v>49</v>
      </c>
      <c r="C27535">
        <v>38374</v>
      </c>
      <c r="D27535" t="str">
        <f>"38374"</f>
        <v>38374</v>
      </c>
      <c r="E27535">
        <v>63.16</v>
      </c>
    </row>
    <row r="27536" spans="1:5" x14ac:dyDescent="0.2">
      <c r="A27536">
        <v>38375</v>
      </c>
      <c r="B27536" t="s">
        <v>49</v>
      </c>
      <c r="C27536">
        <v>38375</v>
      </c>
      <c r="D27536" t="str">
        <f>"38375"</f>
        <v>38375</v>
      </c>
      <c r="E27536">
        <v>63.54</v>
      </c>
    </row>
    <row r="27537" spans="1:5" x14ac:dyDescent="0.2">
      <c r="A27537">
        <v>38376</v>
      </c>
      <c r="B27537" t="s">
        <v>49</v>
      </c>
      <c r="C27537">
        <v>38376</v>
      </c>
      <c r="D27537" t="str">
        <f>"38376"</f>
        <v>38376</v>
      </c>
      <c r="E27537">
        <v>66.67</v>
      </c>
    </row>
    <row r="27538" spans="1:5" x14ac:dyDescent="0.2">
      <c r="A27538">
        <v>38379</v>
      </c>
      <c r="B27538" t="s">
        <v>49</v>
      </c>
      <c r="C27538">
        <v>38379</v>
      </c>
      <c r="D27538" t="str">
        <f>"38379"</f>
        <v>38379</v>
      </c>
      <c r="E27538">
        <v>67.92</v>
      </c>
    </row>
    <row r="27539" spans="1:5" x14ac:dyDescent="0.2">
      <c r="A27539">
        <v>38380</v>
      </c>
      <c r="B27539" t="s">
        <v>49</v>
      </c>
      <c r="C27539">
        <v>38380</v>
      </c>
      <c r="D27539" t="str">
        <f>"38380"</f>
        <v>38380</v>
      </c>
      <c r="E27539">
        <v>65</v>
      </c>
    </row>
    <row r="27540" spans="1:5" x14ac:dyDescent="0.2">
      <c r="A27540">
        <v>38381</v>
      </c>
      <c r="B27540" t="s">
        <v>49</v>
      </c>
      <c r="C27540">
        <v>38381</v>
      </c>
      <c r="D27540" t="str">
        <f>"38381"</f>
        <v>38381</v>
      </c>
      <c r="E27540">
        <v>63.49</v>
      </c>
    </row>
    <row r="27541" spans="1:5" x14ac:dyDescent="0.2">
      <c r="A27541">
        <v>38382</v>
      </c>
      <c r="B27541" t="s">
        <v>49</v>
      </c>
      <c r="C27541">
        <v>38382</v>
      </c>
      <c r="D27541" t="str">
        <f>"38382"</f>
        <v>38382</v>
      </c>
      <c r="E27541">
        <v>65.069999999999993</v>
      </c>
    </row>
    <row r="27542" spans="1:5" x14ac:dyDescent="0.2">
      <c r="A27542">
        <v>38387</v>
      </c>
      <c r="B27542" t="s">
        <v>49</v>
      </c>
      <c r="C27542">
        <v>38387</v>
      </c>
      <c r="D27542" t="str">
        <f>"38387"</f>
        <v>38387</v>
      </c>
      <c r="E27542">
        <v>70.59</v>
      </c>
    </row>
    <row r="27543" spans="1:5" x14ac:dyDescent="0.2">
      <c r="A27543">
        <v>38388</v>
      </c>
      <c r="B27543" t="s">
        <v>49</v>
      </c>
      <c r="C27543">
        <v>38388</v>
      </c>
      <c r="D27543" t="str">
        <f>"38388"</f>
        <v>38388</v>
      </c>
      <c r="E27543">
        <v>62.12</v>
      </c>
    </row>
    <row r="27544" spans="1:5" x14ac:dyDescent="0.2">
      <c r="A27544">
        <v>38390</v>
      </c>
      <c r="B27544" t="s">
        <v>49</v>
      </c>
      <c r="C27544">
        <v>38390</v>
      </c>
      <c r="D27544" t="str">
        <f>"38390"</f>
        <v>38390</v>
      </c>
      <c r="E27544">
        <v>71.05</v>
      </c>
    </row>
    <row r="27545" spans="1:5" x14ac:dyDescent="0.2">
      <c r="A27545">
        <v>38391</v>
      </c>
      <c r="B27545" t="s">
        <v>49</v>
      </c>
      <c r="C27545">
        <v>38391</v>
      </c>
      <c r="D27545" t="str">
        <f>"38391"</f>
        <v>38391</v>
      </c>
      <c r="E27545">
        <v>68.42</v>
      </c>
    </row>
    <row r="27546" spans="1:5" x14ac:dyDescent="0.2">
      <c r="A27546">
        <v>38392</v>
      </c>
      <c r="B27546" t="s">
        <v>49</v>
      </c>
      <c r="C27546">
        <v>38392</v>
      </c>
      <c r="D27546" t="str">
        <f>"38392"</f>
        <v>38392</v>
      </c>
      <c r="E27546">
        <v>62.5</v>
      </c>
    </row>
    <row r="27547" spans="1:5" x14ac:dyDescent="0.2">
      <c r="A27547">
        <v>38401</v>
      </c>
      <c r="B27547" t="s">
        <v>49</v>
      </c>
      <c r="C27547">
        <v>38401</v>
      </c>
      <c r="D27547" t="str">
        <f>"38401"</f>
        <v>38401</v>
      </c>
      <c r="E27547">
        <v>71.61</v>
      </c>
    </row>
    <row r="27548" spans="1:5" x14ac:dyDescent="0.2">
      <c r="A27548">
        <v>38425</v>
      </c>
      <c r="B27548" t="s">
        <v>49</v>
      </c>
      <c r="C27548">
        <v>38425</v>
      </c>
      <c r="D27548" t="str">
        <f>"38425"</f>
        <v>38425</v>
      </c>
      <c r="E27548">
        <v>70.42</v>
      </c>
    </row>
    <row r="27549" spans="1:5" x14ac:dyDescent="0.2">
      <c r="A27549">
        <v>38449</v>
      </c>
      <c r="B27549" t="s">
        <v>49</v>
      </c>
      <c r="C27549">
        <v>38449</v>
      </c>
      <c r="D27549" t="str">
        <f>"38449"</f>
        <v>38449</v>
      </c>
      <c r="E27549">
        <v>71.319999999999993</v>
      </c>
    </row>
    <row r="27550" spans="1:5" x14ac:dyDescent="0.2">
      <c r="A27550">
        <v>38450</v>
      </c>
      <c r="B27550" t="s">
        <v>49</v>
      </c>
      <c r="C27550">
        <v>38450</v>
      </c>
      <c r="D27550" t="str">
        <f>"38450"</f>
        <v>38450</v>
      </c>
      <c r="E27550">
        <v>60.2</v>
      </c>
    </row>
    <row r="27551" spans="1:5" x14ac:dyDescent="0.2">
      <c r="A27551">
        <v>38451</v>
      </c>
      <c r="B27551" t="s">
        <v>49</v>
      </c>
      <c r="C27551">
        <v>38451</v>
      </c>
      <c r="D27551" t="str">
        <f>"38451"</f>
        <v>38451</v>
      </c>
      <c r="E27551">
        <v>73.78</v>
      </c>
    </row>
    <row r="27552" spans="1:5" x14ac:dyDescent="0.2">
      <c r="A27552">
        <v>38452</v>
      </c>
      <c r="B27552" t="s">
        <v>49</v>
      </c>
      <c r="C27552">
        <v>38452</v>
      </c>
      <c r="D27552" t="str">
        <f>"38452"</f>
        <v>38452</v>
      </c>
      <c r="E27552">
        <v>69.23</v>
      </c>
    </row>
    <row r="27553" spans="1:5" x14ac:dyDescent="0.2">
      <c r="A27553">
        <v>38453</v>
      </c>
      <c r="B27553" t="s">
        <v>49</v>
      </c>
      <c r="C27553">
        <v>38453</v>
      </c>
      <c r="D27553" t="str">
        <f>"38453"</f>
        <v>38453</v>
      </c>
      <c r="E27553">
        <v>75</v>
      </c>
    </row>
    <row r="27554" spans="1:5" x14ac:dyDescent="0.2">
      <c r="A27554">
        <v>38454</v>
      </c>
      <c r="B27554" t="s">
        <v>49</v>
      </c>
      <c r="C27554">
        <v>38454</v>
      </c>
      <c r="D27554" t="str">
        <f>"38454"</f>
        <v>38454</v>
      </c>
      <c r="E27554">
        <v>72.09</v>
      </c>
    </row>
    <row r="27555" spans="1:5" x14ac:dyDescent="0.2">
      <c r="A27555">
        <v>38455</v>
      </c>
      <c r="B27555" t="s">
        <v>49</v>
      </c>
      <c r="C27555">
        <v>38455</v>
      </c>
      <c r="D27555" t="str">
        <f>"38455"</f>
        <v>38455</v>
      </c>
      <c r="E27555" t="s">
        <v>6</v>
      </c>
    </row>
    <row r="27556" spans="1:5" x14ac:dyDescent="0.2">
      <c r="A27556">
        <v>38456</v>
      </c>
      <c r="B27556" t="s">
        <v>49</v>
      </c>
      <c r="C27556">
        <v>38456</v>
      </c>
      <c r="D27556" t="str">
        <f>"38456"</f>
        <v>38456</v>
      </c>
      <c r="E27556">
        <v>64.290000000000006</v>
      </c>
    </row>
    <row r="27557" spans="1:5" x14ac:dyDescent="0.2">
      <c r="A27557">
        <v>38457</v>
      </c>
      <c r="B27557" t="s">
        <v>49</v>
      </c>
      <c r="C27557">
        <v>38457</v>
      </c>
      <c r="D27557" t="str">
        <f>"38457"</f>
        <v>38457</v>
      </c>
      <c r="E27557">
        <v>68.97</v>
      </c>
    </row>
    <row r="27558" spans="1:5" x14ac:dyDescent="0.2">
      <c r="A27558">
        <v>38459</v>
      </c>
      <c r="B27558" t="s">
        <v>49</v>
      </c>
      <c r="C27558">
        <v>38459</v>
      </c>
      <c r="D27558" t="str">
        <f>"38459"</f>
        <v>38459</v>
      </c>
      <c r="E27558">
        <v>66.67</v>
      </c>
    </row>
    <row r="27559" spans="1:5" x14ac:dyDescent="0.2">
      <c r="A27559">
        <v>38460</v>
      </c>
      <c r="B27559" t="s">
        <v>49</v>
      </c>
      <c r="C27559">
        <v>38460</v>
      </c>
      <c r="D27559" t="str">
        <f>"38460"</f>
        <v>38460</v>
      </c>
      <c r="E27559">
        <v>69.489999999999995</v>
      </c>
    </row>
    <row r="27560" spans="1:5" x14ac:dyDescent="0.2">
      <c r="A27560">
        <v>38461</v>
      </c>
      <c r="B27560" t="s">
        <v>49</v>
      </c>
      <c r="C27560">
        <v>38461</v>
      </c>
      <c r="D27560" t="str">
        <f>"38461"</f>
        <v>38461</v>
      </c>
      <c r="E27560">
        <v>75</v>
      </c>
    </row>
    <row r="27561" spans="1:5" x14ac:dyDescent="0.2">
      <c r="A27561">
        <v>38462</v>
      </c>
      <c r="B27561" t="s">
        <v>49</v>
      </c>
      <c r="C27561">
        <v>38462</v>
      </c>
      <c r="D27561" t="str">
        <f>"38462"</f>
        <v>38462</v>
      </c>
      <c r="E27561">
        <v>63.01</v>
      </c>
    </row>
    <row r="27562" spans="1:5" x14ac:dyDescent="0.2">
      <c r="A27562">
        <v>38463</v>
      </c>
      <c r="B27562" t="s">
        <v>49</v>
      </c>
      <c r="C27562">
        <v>38463</v>
      </c>
      <c r="D27562" t="str">
        <f>"38463"</f>
        <v>38463</v>
      </c>
      <c r="E27562">
        <v>62.38</v>
      </c>
    </row>
    <row r="27563" spans="1:5" x14ac:dyDescent="0.2">
      <c r="A27563">
        <v>38464</v>
      </c>
      <c r="B27563" t="s">
        <v>49</v>
      </c>
      <c r="C27563">
        <v>38464</v>
      </c>
      <c r="D27563" t="str">
        <f>"38464"</f>
        <v>38464</v>
      </c>
      <c r="E27563">
        <v>65.78</v>
      </c>
    </row>
    <row r="27564" spans="1:5" x14ac:dyDescent="0.2">
      <c r="A27564">
        <v>38468</v>
      </c>
      <c r="B27564" t="s">
        <v>49</v>
      </c>
      <c r="C27564">
        <v>38468</v>
      </c>
      <c r="D27564" t="str">
        <f>"38468"</f>
        <v>38468</v>
      </c>
      <c r="E27564">
        <v>68.81</v>
      </c>
    </row>
    <row r="27565" spans="1:5" x14ac:dyDescent="0.2">
      <c r="A27565">
        <v>38469</v>
      </c>
      <c r="B27565" t="s">
        <v>49</v>
      </c>
      <c r="C27565">
        <v>38469</v>
      </c>
      <c r="D27565" t="str">
        <f>"38469"</f>
        <v>38469</v>
      </c>
      <c r="E27565">
        <v>69.88</v>
      </c>
    </row>
    <row r="27566" spans="1:5" x14ac:dyDescent="0.2">
      <c r="A27566">
        <v>38471</v>
      </c>
      <c r="B27566" t="s">
        <v>49</v>
      </c>
      <c r="C27566">
        <v>38471</v>
      </c>
      <c r="D27566" t="str">
        <f>"38471"</f>
        <v>38471</v>
      </c>
      <c r="E27566">
        <v>66.67</v>
      </c>
    </row>
    <row r="27567" spans="1:5" x14ac:dyDescent="0.2">
      <c r="A27567">
        <v>38472</v>
      </c>
      <c r="B27567" t="s">
        <v>49</v>
      </c>
      <c r="C27567">
        <v>38472</v>
      </c>
      <c r="D27567" t="str">
        <f>"38472"</f>
        <v>38472</v>
      </c>
      <c r="E27567">
        <v>73.5</v>
      </c>
    </row>
    <row r="27568" spans="1:5" x14ac:dyDescent="0.2">
      <c r="A27568">
        <v>38473</v>
      </c>
      <c r="B27568" t="s">
        <v>49</v>
      </c>
      <c r="C27568">
        <v>38473</v>
      </c>
      <c r="D27568" t="str">
        <f>"38473"</f>
        <v>38473</v>
      </c>
      <c r="E27568">
        <v>68.75</v>
      </c>
    </row>
    <row r="27569" spans="1:5" x14ac:dyDescent="0.2">
      <c r="A27569">
        <v>38474</v>
      </c>
      <c r="B27569" t="s">
        <v>49</v>
      </c>
      <c r="C27569">
        <v>38474</v>
      </c>
      <c r="D27569" t="str">
        <f>"38474"</f>
        <v>38474</v>
      </c>
      <c r="E27569">
        <v>67.44</v>
      </c>
    </row>
    <row r="27570" spans="1:5" x14ac:dyDescent="0.2">
      <c r="A27570">
        <v>38475</v>
      </c>
      <c r="B27570" t="s">
        <v>49</v>
      </c>
      <c r="C27570">
        <v>38475</v>
      </c>
      <c r="D27570" t="str">
        <f>"38475"</f>
        <v>38475</v>
      </c>
      <c r="E27570">
        <v>48.15</v>
      </c>
    </row>
    <row r="27571" spans="1:5" x14ac:dyDescent="0.2">
      <c r="A27571">
        <v>38476</v>
      </c>
      <c r="B27571" t="s">
        <v>49</v>
      </c>
      <c r="C27571">
        <v>38476</v>
      </c>
      <c r="D27571" t="str">
        <f>"38476"</f>
        <v>38476</v>
      </c>
      <c r="E27571">
        <v>69.81</v>
      </c>
    </row>
    <row r="27572" spans="1:5" x14ac:dyDescent="0.2">
      <c r="A27572">
        <v>38477</v>
      </c>
      <c r="B27572" t="s">
        <v>49</v>
      </c>
      <c r="C27572">
        <v>38477</v>
      </c>
      <c r="D27572" t="str">
        <f>"38477"</f>
        <v>38477</v>
      </c>
      <c r="E27572">
        <v>70.540000000000006</v>
      </c>
    </row>
    <row r="27573" spans="1:5" x14ac:dyDescent="0.2">
      <c r="A27573">
        <v>38478</v>
      </c>
      <c r="B27573" t="s">
        <v>49</v>
      </c>
      <c r="C27573">
        <v>38478</v>
      </c>
      <c r="D27573" t="str">
        <f>"38478"</f>
        <v>38478</v>
      </c>
      <c r="E27573">
        <v>69.08</v>
      </c>
    </row>
    <row r="27574" spans="1:5" x14ac:dyDescent="0.2">
      <c r="A27574">
        <v>38481</v>
      </c>
      <c r="B27574" t="s">
        <v>49</v>
      </c>
      <c r="C27574">
        <v>38481</v>
      </c>
      <c r="D27574" t="str">
        <f>"38481"</f>
        <v>38481</v>
      </c>
      <c r="E27574">
        <v>67.5</v>
      </c>
    </row>
    <row r="27575" spans="1:5" x14ac:dyDescent="0.2">
      <c r="A27575">
        <v>38482</v>
      </c>
      <c r="B27575" t="s">
        <v>49</v>
      </c>
      <c r="C27575">
        <v>38482</v>
      </c>
      <c r="D27575" t="str">
        <f>"38482"</f>
        <v>38482</v>
      </c>
      <c r="E27575">
        <v>77.22</v>
      </c>
    </row>
    <row r="27576" spans="1:5" x14ac:dyDescent="0.2">
      <c r="A27576">
        <v>38483</v>
      </c>
      <c r="B27576" t="s">
        <v>49</v>
      </c>
      <c r="C27576">
        <v>38483</v>
      </c>
      <c r="D27576" t="str">
        <f>"38483"</f>
        <v>38483</v>
      </c>
      <c r="E27576">
        <v>67.66</v>
      </c>
    </row>
    <row r="27577" spans="1:5" x14ac:dyDescent="0.2">
      <c r="A27577">
        <v>38485</v>
      </c>
      <c r="B27577" t="s">
        <v>49</v>
      </c>
      <c r="C27577">
        <v>38485</v>
      </c>
      <c r="D27577" t="str">
        <f>"38485"</f>
        <v>38485</v>
      </c>
      <c r="E27577">
        <v>63.31</v>
      </c>
    </row>
    <row r="27578" spans="1:5" x14ac:dyDescent="0.2">
      <c r="A27578">
        <v>38486</v>
      </c>
      <c r="B27578" t="s">
        <v>49</v>
      </c>
      <c r="C27578">
        <v>38486</v>
      </c>
      <c r="D27578" t="str">
        <f>"38486"</f>
        <v>38486</v>
      </c>
      <c r="E27578">
        <v>67.5</v>
      </c>
    </row>
    <row r="27579" spans="1:5" x14ac:dyDescent="0.2">
      <c r="A27579">
        <v>38487</v>
      </c>
      <c r="B27579" t="s">
        <v>49</v>
      </c>
      <c r="C27579">
        <v>38487</v>
      </c>
      <c r="D27579" t="str">
        <f>"38487"</f>
        <v>38487</v>
      </c>
      <c r="E27579">
        <v>73.08</v>
      </c>
    </row>
    <row r="27580" spans="1:5" x14ac:dyDescent="0.2">
      <c r="A27580">
        <v>38488</v>
      </c>
      <c r="B27580" t="s">
        <v>49</v>
      </c>
      <c r="C27580">
        <v>38488</v>
      </c>
      <c r="D27580" t="str">
        <f>"38488"</f>
        <v>38488</v>
      </c>
      <c r="E27580">
        <v>72.12</v>
      </c>
    </row>
    <row r="27581" spans="1:5" x14ac:dyDescent="0.2">
      <c r="A27581">
        <v>38501</v>
      </c>
      <c r="B27581" t="s">
        <v>49</v>
      </c>
      <c r="C27581">
        <v>38501</v>
      </c>
      <c r="D27581" t="str">
        <f>"38501"</f>
        <v>38501</v>
      </c>
      <c r="E27581">
        <v>65.63</v>
      </c>
    </row>
    <row r="27582" spans="1:5" x14ac:dyDescent="0.2">
      <c r="A27582">
        <v>38504</v>
      </c>
      <c r="B27582" t="s">
        <v>49</v>
      </c>
      <c r="C27582">
        <v>38504</v>
      </c>
      <c r="D27582" t="str">
        <f>"38504"</f>
        <v>38504</v>
      </c>
      <c r="E27582">
        <v>66.040000000000006</v>
      </c>
    </row>
    <row r="27583" spans="1:5" x14ac:dyDescent="0.2">
      <c r="A27583">
        <v>38505</v>
      </c>
      <c r="B27583" t="s">
        <v>49</v>
      </c>
      <c r="C27583">
        <v>38505</v>
      </c>
      <c r="D27583" t="str">
        <f>"38505"</f>
        <v>38505</v>
      </c>
      <c r="E27583" t="s">
        <v>6</v>
      </c>
    </row>
    <row r="27584" spans="1:5" x14ac:dyDescent="0.2">
      <c r="A27584">
        <v>38506</v>
      </c>
      <c r="B27584" t="s">
        <v>49</v>
      </c>
      <c r="C27584">
        <v>38506</v>
      </c>
      <c r="D27584" t="str">
        <f>"38506"</f>
        <v>38506</v>
      </c>
      <c r="E27584">
        <v>70.989999999999995</v>
      </c>
    </row>
    <row r="27585" spans="1:5" x14ac:dyDescent="0.2">
      <c r="A27585">
        <v>38541</v>
      </c>
      <c r="B27585" t="s">
        <v>49</v>
      </c>
      <c r="C27585">
        <v>38541</v>
      </c>
      <c r="D27585" t="str">
        <f>"38541"</f>
        <v>38541</v>
      </c>
      <c r="E27585">
        <v>64.62</v>
      </c>
    </row>
    <row r="27586" spans="1:5" x14ac:dyDescent="0.2">
      <c r="A27586">
        <v>38542</v>
      </c>
      <c r="B27586" t="s">
        <v>49</v>
      </c>
      <c r="C27586">
        <v>38542</v>
      </c>
      <c r="D27586" t="str">
        <f>"38542"</f>
        <v>38542</v>
      </c>
      <c r="E27586" t="s">
        <v>6</v>
      </c>
    </row>
    <row r="27587" spans="1:5" x14ac:dyDescent="0.2">
      <c r="A27587">
        <v>38543</v>
      </c>
      <c r="B27587" t="s">
        <v>49</v>
      </c>
      <c r="C27587">
        <v>38543</v>
      </c>
      <c r="D27587" t="str">
        <f>"38543"</f>
        <v>38543</v>
      </c>
      <c r="E27587">
        <v>60.87</v>
      </c>
    </row>
    <row r="27588" spans="1:5" x14ac:dyDescent="0.2">
      <c r="A27588">
        <v>38544</v>
      </c>
      <c r="B27588" t="s">
        <v>49</v>
      </c>
      <c r="C27588">
        <v>38544</v>
      </c>
      <c r="D27588" t="str">
        <f>"38544"</f>
        <v>38544</v>
      </c>
      <c r="E27588">
        <v>66.67</v>
      </c>
    </row>
    <row r="27589" spans="1:5" x14ac:dyDescent="0.2">
      <c r="A27589">
        <v>38545</v>
      </c>
      <c r="B27589" t="s">
        <v>49</v>
      </c>
      <c r="C27589">
        <v>38545</v>
      </c>
      <c r="D27589" t="str">
        <f>"38545"</f>
        <v>38545</v>
      </c>
      <c r="E27589">
        <v>65.45</v>
      </c>
    </row>
    <row r="27590" spans="1:5" x14ac:dyDescent="0.2">
      <c r="A27590">
        <v>38547</v>
      </c>
      <c r="B27590" t="s">
        <v>49</v>
      </c>
      <c r="C27590">
        <v>38547</v>
      </c>
      <c r="D27590" t="str">
        <f>"38547"</f>
        <v>38547</v>
      </c>
      <c r="E27590">
        <v>72.53</v>
      </c>
    </row>
    <row r="27591" spans="1:5" x14ac:dyDescent="0.2">
      <c r="A27591">
        <v>38548</v>
      </c>
      <c r="B27591" t="s">
        <v>49</v>
      </c>
      <c r="C27591">
        <v>38548</v>
      </c>
      <c r="D27591" t="str">
        <f>"38548"</f>
        <v>38548</v>
      </c>
      <c r="E27591">
        <v>63.64</v>
      </c>
    </row>
    <row r="27592" spans="1:5" x14ac:dyDescent="0.2">
      <c r="A27592">
        <v>38549</v>
      </c>
      <c r="B27592" t="s">
        <v>49</v>
      </c>
      <c r="C27592">
        <v>38549</v>
      </c>
      <c r="D27592" t="str">
        <f>"38549"</f>
        <v>38549</v>
      </c>
      <c r="E27592">
        <v>65.38</v>
      </c>
    </row>
    <row r="27593" spans="1:5" x14ac:dyDescent="0.2">
      <c r="A27593">
        <v>38551</v>
      </c>
      <c r="B27593" t="s">
        <v>49</v>
      </c>
      <c r="C27593">
        <v>38551</v>
      </c>
      <c r="D27593" t="str">
        <f>"38551"</f>
        <v>38551</v>
      </c>
      <c r="E27593">
        <v>57.42</v>
      </c>
    </row>
    <row r="27594" spans="1:5" x14ac:dyDescent="0.2">
      <c r="A27594">
        <v>38552</v>
      </c>
      <c r="B27594" t="s">
        <v>49</v>
      </c>
      <c r="C27594">
        <v>38552</v>
      </c>
      <c r="D27594" t="str">
        <f>"38552"</f>
        <v>38552</v>
      </c>
      <c r="E27594">
        <v>68.42</v>
      </c>
    </row>
    <row r="27595" spans="1:5" x14ac:dyDescent="0.2">
      <c r="A27595">
        <v>38553</v>
      </c>
      <c r="B27595" t="s">
        <v>49</v>
      </c>
      <c r="C27595">
        <v>38553</v>
      </c>
      <c r="D27595" t="str">
        <f>"38553"</f>
        <v>38553</v>
      </c>
      <c r="E27595">
        <v>60.64</v>
      </c>
    </row>
    <row r="27596" spans="1:5" x14ac:dyDescent="0.2">
      <c r="A27596">
        <v>38554</v>
      </c>
      <c r="B27596" t="s">
        <v>49</v>
      </c>
      <c r="C27596">
        <v>38554</v>
      </c>
      <c r="D27596" t="str">
        <f>"38554"</f>
        <v>38554</v>
      </c>
      <c r="E27596">
        <v>60.61</v>
      </c>
    </row>
    <row r="27597" spans="1:5" x14ac:dyDescent="0.2">
      <c r="A27597">
        <v>38555</v>
      </c>
      <c r="B27597" t="s">
        <v>49</v>
      </c>
      <c r="C27597">
        <v>38555</v>
      </c>
      <c r="D27597" t="str">
        <f>"38555"</f>
        <v>38555</v>
      </c>
      <c r="E27597">
        <v>64.95</v>
      </c>
    </row>
    <row r="27598" spans="1:5" x14ac:dyDescent="0.2">
      <c r="A27598">
        <v>38556</v>
      </c>
      <c r="B27598" t="s">
        <v>49</v>
      </c>
      <c r="C27598">
        <v>38556</v>
      </c>
      <c r="D27598" t="str">
        <f>"38556"</f>
        <v>38556</v>
      </c>
      <c r="E27598">
        <v>58.89</v>
      </c>
    </row>
    <row r="27599" spans="1:5" x14ac:dyDescent="0.2">
      <c r="A27599">
        <v>38558</v>
      </c>
      <c r="B27599" t="s">
        <v>49</v>
      </c>
      <c r="C27599">
        <v>38558</v>
      </c>
      <c r="D27599" t="str">
        <f>"38558"</f>
        <v>38558</v>
      </c>
      <c r="E27599">
        <v>79.27</v>
      </c>
    </row>
    <row r="27600" spans="1:5" x14ac:dyDescent="0.2">
      <c r="A27600">
        <v>38559</v>
      </c>
      <c r="B27600" t="s">
        <v>49</v>
      </c>
      <c r="C27600">
        <v>38559</v>
      </c>
      <c r="D27600" t="str">
        <f>"38559"</f>
        <v>38559</v>
      </c>
      <c r="E27600">
        <v>62</v>
      </c>
    </row>
    <row r="27601" spans="1:5" x14ac:dyDescent="0.2">
      <c r="A27601">
        <v>38560</v>
      </c>
      <c r="B27601" t="s">
        <v>49</v>
      </c>
      <c r="C27601">
        <v>38560</v>
      </c>
      <c r="D27601" t="str">
        <f>"38560"</f>
        <v>38560</v>
      </c>
      <c r="E27601">
        <v>69.489999999999995</v>
      </c>
    </row>
    <row r="27602" spans="1:5" x14ac:dyDescent="0.2">
      <c r="A27602">
        <v>38562</v>
      </c>
      <c r="B27602" t="s">
        <v>49</v>
      </c>
      <c r="C27602">
        <v>38562</v>
      </c>
      <c r="D27602" t="str">
        <f>"38562"</f>
        <v>38562</v>
      </c>
      <c r="E27602">
        <v>64.23</v>
      </c>
    </row>
    <row r="27603" spans="1:5" x14ac:dyDescent="0.2">
      <c r="A27603">
        <v>38563</v>
      </c>
      <c r="B27603" t="s">
        <v>49</v>
      </c>
      <c r="C27603">
        <v>38563</v>
      </c>
      <c r="D27603" t="str">
        <f>"38563"</f>
        <v>38563</v>
      </c>
      <c r="E27603">
        <v>71.19</v>
      </c>
    </row>
    <row r="27604" spans="1:5" x14ac:dyDescent="0.2">
      <c r="A27604">
        <v>38564</v>
      </c>
      <c r="B27604" t="s">
        <v>49</v>
      </c>
      <c r="C27604">
        <v>38564</v>
      </c>
      <c r="D27604" t="str">
        <f>"38564"</f>
        <v>38564</v>
      </c>
      <c r="E27604">
        <v>66.67</v>
      </c>
    </row>
    <row r="27605" spans="1:5" x14ac:dyDescent="0.2">
      <c r="A27605">
        <v>38565</v>
      </c>
      <c r="B27605" t="s">
        <v>49</v>
      </c>
      <c r="C27605">
        <v>38565</v>
      </c>
      <c r="D27605" t="str">
        <f>"38565"</f>
        <v>38565</v>
      </c>
      <c r="E27605">
        <v>60</v>
      </c>
    </row>
    <row r="27606" spans="1:5" x14ac:dyDescent="0.2">
      <c r="A27606">
        <v>38567</v>
      </c>
      <c r="B27606" t="s">
        <v>49</v>
      </c>
      <c r="C27606">
        <v>38567</v>
      </c>
      <c r="D27606" t="str">
        <f>"38567"</f>
        <v>38567</v>
      </c>
      <c r="E27606">
        <v>70.27</v>
      </c>
    </row>
    <row r="27607" spans="1:5" x14ac:dyDescent="0.2">
      <c r="A27607">
        <v>38568</v>
      </c>
      <c r="B27607" t="s">
        <v>49</v>
      </c>
      <c r="C27607">
        <v>38568</v>
      </c>
      <c r="D27607" t="str">
        <f>"38568"</f>
        <v>38568</v>
      </c>
      <c r="E27607">
        <v>62.96</v>
      </c>
    </row>
    <row r="27608" spans="1:5" x14ac:dyDescent="0.2">
      <c r="A27608">
        <v>38569</v>
      </c>
      <c r="B27608" t="s">
        <v>49</v>
      </c>
      <c r="C27608">
        <v>38569</v>
      </c>
      <c r="D27608" t="str">
        <f>"38569"</f>
        <v>38569</v>
      </c>
      <c r="E27608">
        <v>62.5</v>
      </c>
    </row>
    <row r="27609" spans="1:5" x14ac:dyDescent="0.2">
      <c r="A27609">
        <v>38570</v>
      </c>
      <c r="B27609" t="s">
        <v>49</v>
      </c>
      <c r="C27609">
        <v>38570</v>
      </c>
      <c r="D27609" t="str">
        <f>"38570"</f>
        <v>38570</v>
      </c>
      <c r="E27609">
        <v>63.29</v>
      </c>
    </row>
    <row r="27610" spans="1:5" x14ac:dyDescent="0.2">
      <c r="A27610">
        <v>38571</v>
      </c>
      <c r="B27610" t="s">
        <v>49</v>
      </c>
      <c r="C27610">
        <v>38571</v>
      </c>
      <c r="D27610" t="str">
        <f>"38571"</f>
        <v>38571</v>
      </c>
      <c r="E27610">
        <v>65.819999999999993</v>
      </c>
    </row>
    <row r="27611" spans="1:5" x14ac:dyDescent="0.2">
      <c r="A27611">
        <v>38572</v>
      </c>
      <c r="B27611" t="s">
        <v>49</v>
      </c>
      <c r="C27611">
        <v>38572</v>
      </c>
      <c r="D27611" t="str">
        <f>"38572"</f>
        <v>38572</v>
      </c>
      <c r="E27611">
        <v>67.5</v>
      </c>
    </row>
    <row r="27612" spans="1:5" x14ac:dyDescent="0.2">
      <c r="A27612">
        <v>38573</v>
      </c>
      <c r="B27612" t="s">
        <v>49</v>
      </c>
      <c r="C27612">
        <v>38573</v>
      </c>
      <c r="D27612" t="str">
        <f>"38573"</f>
        <v>38573</v>
      </c>
      <c r="E27612">
        <v>63.22</v>
      </c>
    </row>
    <row r="27613" spans="1:5" x14ac:dyDescent="0.2">
      <c r="A27613">
        <v>38574</v>
      </c>
      <c r="B27613" t="s">
        <v>49</v>
      </c>
      <c r="C27613">
        <v>38574</v>
      </c>
      <c r="D27613" t="str">
        <f>"38574"</f>
        <v>38574</v>
      </c>
      <c r="E27613">
        <v>62.68</v>
      </c>
    </row>
    <row r="27614" spans="1:5" x14ac:dyDescent="0.2">
      <c r="A27614">
        <v>38575</v>
      </c>
      <c r="B27614" t="s">
        <v>49</v>
      </c>
      <c r="C27614">
        <v>38575</v>
      </c>
      <c r="D27614" t="str">
        <f>"38575"</f>
        <v>38575</v>
      </c>
      <c r="E27614">
        <v>60</v>
      </c>
    </row>
    <row r="27615" spans="1:5" x14ac:dyDescent="0.2">
      <c r="A27615">
        <v>38577</v>
      </c>
      <c r="B27615" t="s">
        <v>49</v>
      </c>
      <c r="C27615">
        <v>38577</v>
      </c>
      <c r="D27615" t="str">
        <f>"38577"</f>
        <v>38577</v>
      </c>
      <c r="E27615">
        <v>65.12</v>
      </c>
    </row>
    <row r="27616" spans="1:5" x14ac:dyDescent="0.2">
      <c r="A27616">
        <v>38578</v>
      </c>
      <c r="B27616" t="s">
        <v>49</v>
      </c>
      <c r="C27616">
        <v>38578</v>
      </c>
      <c r="D27616" t="str">
        <f>"38578"</f>
        <v>38578</v>
      </c>
      <c r="E27616" t="s">
        <v>6</v>
      </c>
    </row>
    <row r="27617" spans="1:5" x14ac:dyDescent="0.2">
      <c r="A27617">
        <v>38579</v>
      </c>
      <c r="B27617" t="s">
        <v>49</v>
      </c>
      <c r="C27617">
        <v>38579</v>
      </c>
      <c r="D27617" t="str">
        <f>"38579"</f>
        <v>38579</v>
      </c>
      <c r="E27617">
        <v>64.099999999999994</v>
      </c>
    </row>
    <row r="27618" spans="1:5" x14ac:dyDescent="0.2">
      <c r="A27618">
        <v>38580</v>
      </c>
      <c r="B27618" t="s">
        <v>49</v>
      </c>
      <c r="C27618">
        <v>38580</v>
      </c>
      <c r="D27618" t="str">
        <f>"38580"</f>
        <v>38580</v>
      </c>
      <c r="E27618">
        <v>70</v>
      </c>
    </row>
    <row r="27619" spans="1:5" x14ac:dyDescent="0.2">
      <c r="A27619">
        <v>38581</v>
      </c>
      <c r="B27619" t="s">
        <v>49</v>
      </c>
      <c r="C27619">
        <v>38581</v>
      </c>
      <c r="D27619" t="str">
        <f>"38581"</f>
        <v>38581</v>
      </c>
      <c r="E27619">
        <v>64</v>
      </c>
    </row>
    <row r="27620" spans="1:5" x14ac:dyDescent="0.2">
      <c r="A27620">
        <v>38582</v>
      </c>
      <c r="B27620" t="s">
        <v>49</v>
      </c>
      <c r="C27620">
        <v>38582</v>
      </c>
      <c r="D27620" t="str">
        <f>"38582"</f>
        <v>38582</v>
      </c>
      <c r="E27620">
        <v>66.67</v>
      </c>
    </row>
    <row r="27621" spans="1:5" x14ac:dyDescent="0.2">
      <c r="A27621">
        <v>38583</v>
      </c>
      <c r="B27621" t="s">
        <v>49</v>
      </c>
      <c r="C27621">
        <v>38583</v>
      </c>
      <c r="D27621" t="str">
        <f>"38583"</f>
        <v>38583</v>
      </c>
      <c r="E27621">
        <v>63.48</v>
      </c>
    </row>
    <row r="27622" spans="1:5" x14ac:dyDescent="0.2">
      <c r="A27622">
        <v>38585</v>
      </c>
      <c r="B27622" t="s">
        <v>49</v>
      </c>
      <c r="C27622">
        <v>38585</v>
      </c>
      <c r="D27622" t="str">
        <f>"38585"</f>
        <v>38585</v>
      </c>
      <c r="E27622">
        <v>62.34</v>
      </c>
    </row>
    <row r="27623" spans="1:5" x14ac:dyDescent="0.2">
      <c r="A27623">
        <v>38587</v>
      </c>
      <c r="B27623" t="s">
        <v>49</v>
      </c>
      <c r="C27623">
        <v>38587</v>
      </c>
      <c r="D27623" t="str">
        <f>"38587"</f>
        <v>38587</v>
      </c>
      <c r="E27623">
        <v>68.52</v>
      </c>
    </row>
    <row r="27624" spans="1:5" x14ac:dyDescent="0.2">
      <c r="A27624">
        <v>38588</v>
      </c>
      <c r="B27624" t="s">
        <v>49</v>
      </c>
      <c r="C27624">
        <v>38588</v>
      </c>
      <c r="D27624" t="str">
        <f>"38588"</f>
        <v>38588</v>
      </c>
      <c r="E27624">
        <v>60</v>
      </c>
    </row>
    <row r="27625" spans="1:5" x14ac:dyDescent="0.2">
      <c r="A27625">
        <v>38589</v>
      </c>
      <c r="B27625" t="s">
        <v>49</v>
      </c>
      <c r="C27625">
        <v>38589</v>
      </c>
      <c r="D27625" t="str">
        <f>"38589"</f>
        <v>38589</v>
      </c>
      <c r="E27625" t="s">
        <v>6</v>
      </c>
    </row>
    <row r="27626" spans="1:5" x14ac:dyDescent="0.2">
      <c r="A27626">
        <v>42223</v>
      </c>
      <c r="B27626" t="s">
        <v>49</v>
      </c>
      <c r="C27626">
        <v>42223</v>
      </c>
      <c r="D27626" t="str">
        <f>"42223"</f>
        <v>42223</v>
      </c>
      <c r="E27626">
        <v>66.400000000000006</v>
      </c>
    </row>
    <row r="27627" spans="1:5" x14ac:dyDescent="0.2">
      <c r="A27627">
        <v>73960</v>
      </c>
      <c r="B27627" t="s">
        <v>50</v>
      </c>
      <c r="C27627">
        <v>73960</v>
      </c>
      <c r="D27627" t="str">
        <f>"73960"</f>
        <v>73960</v>
      </c>
      <c r="E27627" t="s">
        <v>6</v>
      </c>
    </row>
    <row r="27628" spans="1:5" x14ac:dyDescent="0.2">
      <c r="A27628">
        <v>75001</v>
      </c>
      <c r="B27628" t="s">
        <v>50</v>
      </c>
      <c r="C27628">
        <v>75001</v>
      </c>
      <c r="D27628" t="str">
        <f>"75001"</f>
        <v>75001</v>
      </c>
      <c r="E27628">
        <v>81.69</v>
      </c>
    </row>
    <row r="27629" spans="1:5" x14ac:dyDescent="0.2">
      <c r="A27629">
        <v>75002</v>
      </c>
      <c r="B27629" t="s">
        <v>50</v>
      </c>
      <c r="C27629">
        <v>75002</v>
      </c>
      <c r="D27629" t="str">
        <f>"75002"</f>
        <v>75002</v>
      </c>
      <c r="E27629">
        <v>76.45</v>
      </c>
    </row>
    <row r="27630" spans="1:5" x14ac:dyDescent="0.2">
      <c r="A27630">
        <v>75006</v>
      </c>
      <c r="B27630" t="s">
        <v>50</v>
      </c>
      <c r="C27630">
        <v>75006</v>
      </c>
      <c r="D27630" t="str">
        <f>"75006"</f>
        <v>75006</v>
      </c>
      <c r="E27630">
        <v>70</v>
      </c>
    </row>
    <row r="27631" spans="1:5" x14ac:dyDescent="0.2">
      <c r="A27631">
        <v>75007</v>
      </c>
      <c r="B27631" t="s">
        <v>50</v>
      </c>
      <c r="C27631">
        <v>75007</v>
      </c>
      <c r="D27631" t="str">
        <f>"75007"</f>
        <v>75007</v>
      </c>
      <c r="E27631">
        <v>75.31</v>
      </c>
    </row>
    <row r="27632" spans="1:5" x14ac:dyDescent="0.2">
      <c r="A27632">
        <v>75009</v>
      </c>
      <c r="B27632" t="s">
        <v>50</v>
      </c>
      <c r="C27632">
        <v>75009</v>
      </c>
      <c r="D27632" t="str">
        <f>"75009"</f>
        <v>75009</v>
      </c>
      <c r="E27632">
        <v>78.84</v>
      </c>
    </row>
    <row r="27633" spans="1:5" x14ac:dyDescent="0.2">
      <c r="A27633">
        <v>75010</v>
      </c>
      <c r="B27633" t="s">
        <v>50</v>
      </c>
      <c r="C27633">
        <v>75010</v>
      </c>
      <c r="D27633" t="str">
        <f>"75010"</f>
        <v>75010</v>
      </c>
      <c r="E27633">
        <v>79.27</v>
      </c>
    </row>
    <row r="27634" spans="1:5" x14ac:dyDescent="0.2">
      <c r="A27634">
        <v>75013</v>
      </c>
      <c r="B27634" t="s">
        <v>50</v>
      </c>
      <c r="C27634">
        <v>75013</v>
      </c>
      <c r="D27634" t="str">
        <f>"75013"</f>
        <v>75013</v>
      </c>
      <c r="E27634">
        <v>81.739999999999995</v>
      </c>
    </row>
    <row r="27635" spans="1:5" x14ac:dyDescent="0.2">
      <c r="A27635">
        <v>75019</v>
      </c>
      <c r="B27635" t="s">
        <v>50</v>
      </c>
      <c r="C27635">
        <v>75019</v>
      </c>
      <c r="D27635" t="str">
        <f>"75019"</f>
        <v>75019</v>
      </c>
      <c r="E27635">
        <v>81.5</v>
      </c>
    </row>
    <row r="27636" spans="1:5" x14ac:dyDescent="0.2">
      <c r="A27636">
        <v>75020</v>
      </c>
      <c r="B27636" t="s">
        <v>50</v>
      </c>
      <c r="C27636">
        <v>75020</v>
      </c>
      <c r="D27636" t="str">
        <f>"75020"</f>
        <v>75020</v>
      </c>
      <c r="E27636">
        <v>66.67</v>
      </c>
    </row>
    <row r="27637" spans="1:5" x14ac:dyDescent="0.2">
      <c r="A27637">
        <v>75021</v>
      </c>
      <c r="B27637" t="s">
        <v>50</v>
      </c>
      <c r="C27637">
        <v>75021</v>
      </c>
      <c r="D27637" t="str">
        <f>"75021"</f>
        <v>75021</v>
      </c>
      <c r="E27637">
        <v>68.3</v>
      </c>
    </row>
    <row r="27638" spans="1:5" x14ac:dyDescent="0.2">
      <c r="A27638">
        <v>75022</v>
      </c>
      <c r="B27638" t="s">
        <v>50</v>
      </c>
      <c r="C27638">
        <v>75022</v>
      </c>
      <c r="D27638" t="str">
        <f>"75022"</f>
        <v>75022</v>
      </c>
      <c r="E27638">
        <v>81.209999999999994</v>
      </c>
    </row>
    <row r="27639" spans="1:5" x14ac:dyDescent="0.2">
      <c r="A27639">
        <v>75023</v>
      </c>
      <c r="B27639" t="s">
        <v>50</v>
      </c>
      <c r="C27639">
        <v>75023</v>
      </c>
      <c r="D27639" t="str">
        <f>"75023"</f>
        <v>75023</v>
      </c>
      <c r="E27639">
        <v>76.39</v>
      </c>
    </row>
    <row r="27640" spans="1:5" x14ac:dyDescent="0.2">
      <c r="A27640">
        <v>75024</v>
      </c>
      <c r="B27640" t="s">
        <v>50</v>
      </c>
      <c r="C27640">
        <v>75024</v>
      </c>
      <c r="D27640" t="str">
        <f>"75024"</f>
        <v>75024</v>
      </c>
      <c r="E27640">
        <v>84.4</v>
      </c>
    </row>
    <row r="27641" spans="1:5" x14ac:dyDescent="0.2">
      <c r="A27641">
        <v>75025</v>
      </c>
      <c r="B27641" t="s">
        <v>50</v>
      </c>
      <c r="C27641">
        <v>75025</v>
      </c>
      <c r="D27641" t="str">
        <f>"75025"</f>
        <v>75025</v>
      </c>
      <c r="E27641">
        <v>79.61</v>
      </c>
    </row>
    <row r="27642" spans="1:5" x14ac:dyDescent="0.2">
      <c r="A27642">
        <v>75028</v>
      </c>
      <c r="B27642" t="s">
        <v>50</v>
      </c>
      <c r="C27642">
        <v>75028</v>
      </c>
      <c r="D27642" t="str">
        <f>"75028"</f>
        <v>75028</v>
      </c>
      <c r="E27642">
        <v>81.47</v>
      </c>
    </row>
    <row r="27643" spans="1:5" x14ac:dyDescent="0.2">
      <c r="A27643">
        <v>75032</v>
      </c>
      <c r="B27643" t="s">
        <v>50</v>
      </c>
      <c r="C27643">
        <v>75032</v>
      </c>
      <c r="D27643" t="str">
        <f>"75032"</f>
        <v>75032</v>
      </c>
      <c r="E27643">
        <v>76.31</v>
      </c>
    </row>
    <row r="27644" spans="1:5" x14ac:dyDescent="0.2">
      <c r="A27644">
        <v>75033</v>
      </c>
      <c r="B27644" t="s">
        <v>50</v>
      </c>
      <c r="C27644">
        <v>75033</v>
      </c>
      <c r="D27644" t="str">
        <f>"75033"</f>
        <v>75033</v>
      </c>
      <c r="E27644" t="s">
        <v>6</v>
      </c>
    </row>
    <row r="27645" spans="1:5" x14ac:dyDescent="0.2">
      <c r="A27645">
        <v>75034</v>
      </c>
      <c r="B27645" t="s">
        <v>50</v>
      </c>
      <c r="C27645">
        <v>75034</v>
      </c>
      <c r="D27645" t="str">
        <f>"75034"</f>
        <v>75034</v>
      </c>
      <c r="E27645">
        <v>81.25</v>
      </c>
    </row>
    <row r="27646" spans="1:5" x14ac:dyDescent="0.2">
      <c r="A27646">
        <v>75035</v>
      </c>
      <c r="B27646" t="s">
        <v>50</v>
      </c>
      <c r="C27646">
        <v>75035</v>
      </c>
      <c r="D27646" t="str">
        <f>"75035"</f>
        <v>75035</v>
      </c>
      <c r="E27646">
        <v>82.02</v>
      </c>
    </row>
    <row r="27647" spans="1:5" x14ac:dyDescent="0.2">
      <c r="A27647">
        <v>75036</v>
      </c>
      <c r="B27647" t="s">
        <v>50</v>
      </c>
      <c r="C27647">
        <v>75036</v>
      </c>
      <c r="D27647" t="str">
        <f>"75036"</f>
        <v>75036</v>
      </c>
      <c r="E27647" t="s">
        <v>6</v>
      </c>
    </row>
    <row r="27648" spans="1:5" x14ac:dyDescent="0.2">
      <c r="A27648">
        <v>75038</v>
      </c>
      <c r="B27648" t="s">
        <v>50</v>
      </c>
      <c r="C27648">
        <v>75038</v>
      </c>
      <c r="D27648" t="str">
        <f>"75038"</f>
        <v>75038</v>
      </c>
      <c r="E27648">
        <v>68.81</v>
      </c>
    </row>
    <row r="27649" spans="1:5" x14ac:dyDescent="0.2">
      <c r="A27649">
        <v>75039</v>
      </c>
      <c r="B27649" t="s">
        <v>50</v>
      </c>
      <c r="C27649">
        <v>75039</v>
      </c>
      <c r="D27649" t="str">
        <f>"75039"</f>
        <v>75039</v>
      </c>
      <c r="E27649">
        <v>89.51</v>
      </c>
    </row>
    <row r="27650" spans="1:5" x14ac:dyDescent="0.2">
      <c r="A27650">
        <v>75040</v>
      </c>
      <c r="B27650" t="s">
        <v>50</v>
      </c>
      <c r="C27650">
        <v>75040</v>
      </c>
      <c r="D27650" t="str">
        <f>"75040"</f>
        <v>75040</v>
      </c>
      <c r="E27650">
        <v>63.3</v>
      </c>
    </row>
    <row r="27651" spans="1:5" x14ac:dyDescent="0.2">
      <c r="A27651">
        <v>75041</v>
      </c>
      <c r="B27651" t="s">
        <v>50</v>
      </c>
      <c r="C27651">
        <v>75041</v>
      </c>
      <c r="D27651" t="str">
        <f>"75041"</f>
        <v>75041</v>
      </c>
      <c r="E27651">
        <v>58.22</v>
      </c>
    </row>
    <row r="27652" spans="1:5" x14ac:dyDescent="0.2">
      <c r="A27652">
        <v>75042</v>
      </c>
      <c r="B27652" t="s">
        <v>50</v>
      </c>
      <c r="C27652">
        <v>75042</v>
      </c>
      <c r="D27652" t="str">
        <f>"75042"</f>
        <v>75042</v>
      </c>
      <c r="E27652">
        <v>57.05</v>
      </c>
    </row>
    <row r="27653" spans="1:5" x14ac:dyDescent="0.2">
      <c r="A27653">
        <v>75043</v>
      </c>
      <c r="B27653" t="s">
        <v>50</v>
      </c>
      <c r="C27653">
        <v>75043</v>
      </c>
      <c r="D27653" t="str">
        <f>"75043"</f>
        <v>75043</v>
      </c>
      <c r="E27653">
        <v>65.39</v>
      </c>
    </row>
    <row r="27654" spans="1:5" x14ac:dyDescent="0.2">
      <c r="A27654">
        <v>75044</v>
      </c>
      <c r="B27654" t="s">
        <v>50</v>
      </c>
      <c r="C27654">
        <v>75044</v>
      </c>
      <c r="D27654" t="str">
        <f>"75044"</f>
        <v>75044</v>
      </c>
      <c r="E27654">
        <v>71.900000000000006</v>
      </c>
    </row>
    <row r="27655" spans="1:5" x14ac:dyDescent="0.2">
      <c r="A27655">
        <v>75048</v>
      </c>
      <c r="B27655" t="s">
        <v>50</v>
      </c>
      <c r="C27655">
        <v>75048</v>
      </c>
      <c r="D27655" t="str">
        <f>"75048"</f>
        <v>75048</v>
      </c>
      <c r="E27655">
        <v>78.17</v>
      </c>
    </row>
    <row r="27656" spans="1:5" x14ac:dyDescent="0.2">
      <c r="A27656">
        <v>75050</v>
      </c>
      <c r="B27656" t="s">
        <v>50</v>
      </c>
      <c r="C27656">
        <v>75050</v>
      </c>
      <c r="D27656" t="str">
        <f>"75050"</f>
        <v>75050</v>
      </c>
      <c r="E27656">
        <v>61.9</v>
      </c>
    </row>
    <row r="27657" spans="1:5" x14ac:dyDescent="0.2">
      <c r="A27657">
        <v>75051</v>
      </c>
      <c r="B27657" t="s">
        <v>50</v>
      </c>
      <c r="C27657">
        <v>75051</v>
      </c>
      <c r="D27657" t="str">
        <f>"75051"</f>
        <v>75051</v>
      </c>
      <c r="E27657">
        <v>55.19</v>
      </c>
    </row>
    <row r="27658" spans="1:5" x14ac:dyDescent="0.2">
      <c r="A27658">
        <v>75052</v>
      </c>
      <c r="B27658" t="s">
        <v>50</v>
      </c>
      <c r="C27658">
        <v>75052</v>
      </c>
      <c r="D27658" t="str">
        <f>"75052"</f>
        <v>75052</v>
      </c>
      <c r="E27658">
        <v>68.25</v>
      </c>
    </row>
    <row r="27659" spans="1:5" x14ac:dyDescent="0.2">
      <c r="A27659">
        <v>75054</v>
      </c>
      <c r="B27659" t="s">
        <v>50</v>
      </c>
      <c r="C27659">
        <v>75054</v>
      </c>
      <c r="D27659" t="str">
        <f>"75054"</f>
        <v>75054</v>
      </c>
      <c r="E27659">
        <v>79.97</v>
      </c>
    </row>
    <row r="27660" spans="1:5" x14ac:dyDescent="0.2">
      <c r="A27660">
        <v>75056</v>
      </c>
      <c r="B27660" t="s">
        <v>50</v>
      </c>
      <c r="C27660">
        <v>75056</v>
      </c>
      <c r="D27660" t="str">
        <f>"75056"</f>
        <v>75056</v>
      </c>
      <c r="E27660">
        <v>79.59</v>
      </c>
    </row>
    <row r="27661" spans="1:5" x14ac:dyDescent="0.2">
      <c r="A27661">
        <v>75057</v>
      </c>
      <c r="B27661" t="s">
        <v>50</v>
      </c>
      <c r="C27661">
        <v>75057</v>
      </c>
      <c r="D27661" t="str">
        <f>"75057"</f>
        <v>75057</v>
      </c>
      <c r="E27661">
        <v>65.12</v>
      </c>
    </row>
    <row r="27662" spans="1:5" x14ac:dyDescent="0.2">
      <c r="A27662">
        <v>75058</v>
      </c>
      <c r="B27662" t="s">
        <v>50</v>
      </c>
      <c r="C27662">
        <v>75058</v>
      </c>
      <c r="D27662" t="str">
        <f>"75058"</f>
        <v>75058</v>
      </c>
      <c r="E27662">
        <v>73.38</v>
      </c>
    </row>
    <row r="27663" spans="1:5" x14ac:dyDescent="0.2">
      <c r="A27663">
        <v>75060</v>
      </c>
      <c r="B27663" t="s">
        <v>50</v>
      </c>
      <c r="C27663">
        <v>75060</v>
      </c>
      <c r="D27663" t="str">
        <f>"75060"</f>
        <v>75060</v>
      </c>
      <c r="E27663">
        <v>61.59</v>
      </c>
    </row>
    <row r="27664" spans="1:5" x14ac:dyDescent="0.2">
      <c r="A27664">
        <v>75061</v>
      </c>
      <c r="B27664" t="s">
        <v>50</v>
      </c>
      <c r="C27664">
        <v>75061</v>
      </c>
      <c r="D27664" t="str">
        <f>"75061"</f>
        <v>75061</v>
      </c>
      <c r="E27664">
        <v>59.36</v>
      </c>
    </row>
    <row r="27665" spans="1:5" x14ac:dyDescent="0.2">
      <c r="A27665">
        <v>75062</v>
      </c>
      <c r="B27665" t="s">
        <v>50</v>
      </c>
      <c r="C27665">
        <v>75062</v>
      </c>
      <c r="D27665" t="str">
        <f>"75062"</f>
        <v>75062</v>
      </c>
      <c r="E27665">
        <v>63.94</v>
      </c>
    </row>
    <row r="27666" spans="1:5" x14ac:dyDescent="0.2">
      <c r="A27666">
        <v>75063</v>
      </c>
      <c r="B27666" t="s">
        <v>50</v>
      </c>
      <c r="C27666">
        <v>75063</v>
      </c>
      <c r="D27666" t="str">
        <f>"75063"</f>
        <v>75063</v>
      </c>
      <c r="E27666">
        <v>84.37</v>
      </c>
    </row>
    <row r="27667" spans="1:5" x14ac:dyDescent="0.2">
      <c r="A27667">
        <v>75065</v>
      </c>
      <c r="B27667" t="s">
        <v>50</v>
      </c>
      <c r="C27667">
        <v>75065</v>
      </c>
      <c r="D27667" t="str">
        <f>"75065"</f>
        <v>75065</v>
      </c>
      <c r="E27667">
        <v>75.72</v>
      </c>
    </row>
    <row r="27668" spans="1:5" x14ac:dyDescent="0.2">
      <c r="A27668">
        <v>75067</v>
      </c>
      <c r="B27668" t="s">
        <v>50</v>
      </c>
      <c r="C27668">
        <v>75067</v>
      </c>
      <c r="D27668" t="str">
        <f>"75067"</f>
        <v>75067</v>
      </c>
      <c r="E27668">
        <v>70.430000000000007</v>
      </c>
    </row>
    <row r="27669" spans="1:5" x14ac:dyDescent="0.2">
      <c r="A27669">
        <v>75068</v>
      </c>
      <c r="B27669" t="s">
        <v>50</v>
      </c>
      <c r="C27669">
        <v>75068</v>
      </c>
      <c r="D27669" t="str">
        <f>"75068"</f>
        <v>75068</v>
      </c>
      <c r="E27669">
        <v>76.13</v>
      </c>
    </row>
    <row r="27670" spans="1:5" x14ac:dyDescent="0.2">
      <c r="A27670">
        <v>75069</v>
      </c>
      <c r="B27670" t="s">
        <v>50</v>
      </c>
      <c r="C27670">
        <v>75069</v>
      </c>
      <c r="D27670" t="str">
        <f>"75069"</f>
        <v>75069</v>
      </c>
      <c r="E27670">
        <v>68.8</v>
      </c>
    </row>
    <row r="27671" spans="1:5" x14ac:dyDescent="0.2">
      <c r="A27671">
        <v>75070</v>
      </c>
      <c r="B27671" t="s">
        <v>50</v>
      </c>
      <c r="C27671">
        <v>75070</v>
      </c>
      <c r="D27671" t="str">
        <f>"75070"</f>
        <v>75070</v>
      </c>
      <c r="E27671">
        <v>79.760000000000005</v>
      </c>
    </row>
    <row r="27672" spans="1:5" x14ac:dyDescent="0.2">
      <c r="A27672">
        <v>75071</v>
      </c>
      <c r="B27672" t="s">
        <v>50</v>
      </c>
      <c r="C27672">
        <v>75071</v>
      </c>
      <c r="D27672" t="str">
        <f>"75071"</f>
        <v>75071</v>
      </c>
      <c r="E27672">
        <v>78.260000000000005</v>
      </c>
    </row>
    <row r="27673" spans="1:5" x14ac:dyDescent="0.2">
      <c r="A27673">
        <v>75072</v>
      </c>
      <c r="B27673" t="s">
        <v>50</v>
      </c>
      <c r="C27673">
        <v>75072</v>
      </c>
      <c r="D27673" t="str">
        <f>"75072"</f>
        <v>75072</v>
      </c>
      <c r="E27673" t="s">
        <v>6</v>
      </c>
    </row>
    <row r="27674" spans="1:5" x14ac:dyDescent="0.2">
      <c r="A27674">
        <v>75074</v>
      </c>
      <c r="B27674" t="s">
        <v>50</v>
      </c>
      <c r="C27674">
        <v>75074</v>
      </c>
      <c r="D27674" t="str">
        <f>"75074"</f>
        <v>75074</v>
      </c>
      <c r="E27674">
        <v>69.11</v>
      </c>
    </row>
    <row r="27675" spans="1:5" x14ac:dyDescent="0.2">
      <c r="A27675">
        <v>75075</v>
      </c>
      <c r="B27675" t="s">
        <v>50</v>
      </c>
      <c r="C27675">
        <v>75075</v>
      </c>
      <c r="D27675" t="str">
        <f>"75075"</f>
        <v>75075</v>
      </c>
      <c r="E27675">
        <v>77.489999999999995</v>
      </c>
    </row>
    <row r="27676" spans="1:5" x14ac:dyDescent="0.2">
      <c r="A27676">
        <v>75076</v>
      </c>
      <c r="B27676" t="s">
        <v>50</v>
      </c>
      <c r="C27676">
        <v>75076</v>
      </c>
      <c r="D27676" t="str">
        <f>"75076"</f>
        <v>75076</v>
      </c>
      <c r="E27676">
        <v>73.73</v>
      </c>
    </row>
    <row r="27677" spans="1:5" x14ac:dyDescent="0.2">
      <c r="A27677">
        <v>75077</v>
      </c>
      <c r="B27677" t="s">
        <v>50</v>
      </c>
      <c r="C27677">
        <v>75077</v>
      </c>
      <c r="D27677" t="str">
        <f>"75077"</f>
        <v>75077</v>
      </c>
      <c r="E27677">
        <v>79.41</v>
      </c>
    </row>
    <row r="27678" spans="1:5" x14ac:dyDescent="0.2">
      <c r="A27678">
        <v>75078</v>
      </c>
      <c r="B27678" t="s">
        <v>50</v>
      </c>
      <c r="C27678">
        <v>75078</v>
      </c>
      <c r="D27678" t="str">
        <f>"75078"</f>
        <v>75078</v>
      </c>
      <c r="E27678">
        <v>83.21</v>
      </c>
    </row>
    <row r="27679" spans="1:5" x14ac:dyDescent="0.2">
      <c r="A27679">
        <v>75080</v>
      </c>
      <c r="B27679" t="s">
        <v>50</v>
      </c>
      <c r="C27679">
        <v>75080</v>
      </c>
      <c r="D27679" t="str">
        <f>"75080"</f>
        <v>75080</v>
      </c>
      <c r="E27679">
        <v>76.010000000000005</v>
      </c>
    </row>
    <row r="27680" spans="1:5" x14ac:dyDescent="0.2">
      <c r="A27680">
        <v>75081</v>
      </c>
      <c r="B27680" t="s">
        <v>50</v>
      </c>
      <c r="C27680">
        <v>75081</v>
      </c>
      <c r="D27680" t="str">
        <f>"75081"</f>
        <v>75081</v>
      </c>
      <c r="E27680">
        <v>72.319999999999993</v>
      </c>
    </row>
    <row r="27681" spans="1:5" x14ac:dyDescent="0.2">
      <c r="A27681">
        <v>75082</v>
      </c>
      <c r="B27681" t="s">
        <v>50</v>
      </c>
      <c r="C27681">
        <v>75082</v>
      </c>
      <c r="D27681" t="str">
        <f>"75082"</f>
        <v>75082</v>
      </c>
      <c r="E27681">
        <v>81.59</v>
      </c>
    </row>
    <row r="27682" spans="1:5" x14ac:dyDescent="0.2">
      <c r="A27682">
        <v>75087</v>
      </c>
      <c r="B27682" t="s">
        <v>50</v>
      </c>
      <c r="C27682">
        <v>75087</v>
      </c>
      <c r="D27682" t="str">
        <f>"75087"</f>
        <v>75087</v>
      </c>
      <c r="E27682">
        <v>80.3</v>
      </c>
    </row>
    <row r="27683" spans="1:5" x14ac:dyDescent="0.2">
      <c r="A27683">
        <v>75088</v>
      </c>
      <c r="B27683" t="s">
        <v>50</v>
      </c>
      <c r="C27683">
        <v>75088</v>
      </c>
      <c r="D27683" t="str">
        <f>"75088"</f>
        <v>75088</v>
      </c>
      <c r="E27683">
        <v>75.040000000000006</v>
      </c>
    </row>
    <row r="27684" spans="1:5" x14ac:dyDescent="0.2">
      <c r="A27684">
        <v>75089</v>
      </c>
      <c r="B27684" t="s">
        <v>50</v>
      </c>
      <c r="C27684">
        <v>75089</v>
      </c>
      <c r="D27684" t="str">
        <f>"75089"</f>
        <v>75089</v>
      </c>
      <c r="E27684">
        <v>74.97</v>
      </c>
    </row>
    <row r="27685" spans="1:5" x14ac:dyDescent="0.2">
      <c r="A27685">
        <v>75090</v>
      </c>
      <c r="B27685" t="s">
        <v>50</v>
      </c>
      <c r="C27685">
        <v>75090</v>
      </c>
      <c r="D27685" t="str">
        <f>"75090"</f>
        <v>75090</v>
      </c>
      <c r="E27685">
        <v>59.18</v>
      </c>
    </row>
    <row r="27686" spans="1:5" x14ac:dyDescent="0.2">
      <c r="A27686">
        <v>75092</v>
      </c>
      <c r="B27686" t="s">
        <v>50</v>
      </c>
      <c r="C27686">
        <v>75092</v>
      </c>
      <c r="D27686" t="str">
        <f>"75092"</f>
        <v>75092</v>
      </c>
      <c r="E27686">
        <v>72.11</v>
      </c>
    </row>
    <row r="27687" spans="1:5" x14ac:dyDescent="0.2">
      <c r="A27687">
        <v>75093</v>
      </c>
      <c r="B27687" t="s">
        <v>50</v>
      </c>
      <c r="C27687">
        <v>75093</v>
      </c>
      <c r="D27687" t="str">
        <f>"75093"</f>
        <v>75093</v>
      </c>
      <c r="E27687">
        <v>81.95</v>
      </c>
    </row>
    <row r="27688" spans="1:5" x14ac:dyDescent="0.2">
      <c r="A27688">
        <v>75094</v>
      </c>
      <c r="B27688" t="s">
        <v>50</v>
      </c>
      <c r="C27688">
        <v>75094</v>
      </c>
      <c r="D27688" t="str">
        <f>"75094"</f>
        <v>75094</v>
      </c>
      <c r="E27688">
        <v>78.459999999999994</v>
      </c>
    </row>
    <row r="27689" spans="1:5" x14ac:dyDescent="0.2">
      <c r="A27689">
        <v>75097</v>
      </c>
      <c r="B27689" t="s">
        <v>50</v>
      </c>
      <c r="C27689">
        <v>75097</v>
      </c>
      <c r="D27689" t="str">
        <f>"75097"</f>
        <v>75097</v>
      </c>
      <c r="E27689" t="s">
        <v>6</v>
      </c>
    </row>
    <row r="27690" spans="1:5" x14ac:dyDescent="0.2">
      <c r="A27690">
        <v>75098</v>
      </c>
      <c r="B27690" t="s">
        <v>50</v>
      </c>
      <c r="C27690">
        <v>75098</v>
      </c>
      <c r="D27690" t="str">
        <f>"75098"</f>
        <v>75098</v>
      </c>
      <c r="E27690">
        <v>74.599999999999994</v>
      </c>
    </row>
    <row r="27691" spans="1:5" x14ac:dyDescent="0.2">
      <c r="A27691">
        <v>75099</v>
      </c>
      <c r="B27691" t="s">
        <v>50</v>
      </c>
      <c r="C27691">
        <v>75099</v>
      </c>
      <c r="D27691" t="str">
        <f>"75099"</f>
        <v>75099</v>
      </c>
      <c r="E27691" t="s">
        <v>6</v>
      </c>
    </row>
    <row r="27692" spans="1:5" x14ac:dyDescent="0.2">
      <c r="A27692">
        <v>75101</v>
      </c>
      <c r="B27692" t="s">
        <v>50</v>
      </c>
      <c r="C27692">
        <v>75101</v>
      </c>
      <c r="D27692" t="str">
        <f>"75101"</f>
        <v>75101</v>
      </c>
      <c r="E27692" t="s">
        <v>6</v>
      </c>
    </row>
    <row r="27693" spans="1:5" x14ac:dyDescent="0.2">
      <c r="A27693">
        <v>75102</v>
      </c>
      <c r="B27693" t="s">
        <v>50</v>
      </c>
      <c r="C27693">
        <v>75102</v>
      </c>
      <c r="D27693" t="str">
        <f>"75102"</f>
        <v>75102</v>
      </c>
      <c r="E27693">
        <v>65.45</v>
      </c>
    </row>
    <row r="27694" spans="1:5" x14ac:dyDescent="0.2">
      <c r="A27694">
        <v>75103</v>
      </c>
      <c r="B27694" t="s">
        <v>50</v>
      </c>
      <c r="C27694">
        <v>75103</v>
      </c>
      <c r="D27694" t="str">
        <f>"75103"</f>
        <v>75103</v>
      </c>
      <c r="E27694">
        <v>67.52</v>
      </c>
    </row>
    <row r="27695" spans="1:5" x14ac:dyDescent="0.2">
      <c r="A27695">
        <v>75104</v>
      </c>
      <c r="B27695" t="s">
        <v>50</v>
      </c>
      <c r="C27695">
        <v>75104</v>
      </c>
      <c r="D27695" t="str">
        <f>"75104"</f>
        <v>75104</v>
      </c>
      <c r="E27695">
        <v>67.5</v>
      </c>
    </row>
    <row r="27696" spans="1:5" x14ac:dyDescent="0.2">
      <c r="A27696">
        <v>75105</v>
      </c>
      <c r="B27696" t="s">
        <v>50</v>
      </c>
      <c r="C27696">
        <v>75105</v>
      </c>
      <c r="D27696" t="str">
        <f>"75105"</f>
        <v>75105</v>
      </c>
      <c r="E27696">
        <v>64.290000000000006</v>
      </c>
    </row>
    <row r="27697" spans="1:5" x14ac:dyDescent="0.2">
      <c r="A27697">
        <v>75109</v>
      </c>
      <c r="B27697" t="s">
        <v>50</v>
      </c>
      <c r="C27697">
        <v>75109</v>
      </c>
      <c r="D27697" t="str">
        <f>"75109"</f>
        <v>75109</v>
      </c>
      <c r="E27697">
        <v>69.73</v>
      </c>
    </row>
    <row r="27698" spans="1:5" x14ac:dyDescent="0.2">
      <c r="A27698">
        <v>75110</v>
      </c>
      <c r="B27698" t="s">
        <v>50</v>
      </c>
      <c r="C27698">
        <v>75110</v>
      </c>
      <c r="D27698" t="str">
        <f>"75110"</f>
        <v>75110</v>
      </c>
      <c r="E27698">
        <v>57.5</v>
      </c>
    </row>
    <row r="27699" spans="1:5" x14ac:dyDescent="0.2">
      <c r="A27699">
        <v>75114</v>
      </c>
      <c r="B27699" t="s">
        <v>50</v>
      </c>
      <c r="C27699">
        <v>75114</v>
      </c>
      <c r="D27699" t="str">
        <f>"75114"</f>
        <v>75114</v>
      </c>
      <c r="E27699">
        <v>72.39</v>
      </c>
    </row>
    <row r="27700" spans="1:5" x14ac:dyDescent="0.2">
      <c r="A27700">
        <v>75115</v>
      </c>
      <c r="B27700" t="s">
        <v>50</v>
      </c>
      <c r="C27700">
        <v>75115</v>
      </c>
      <c r="D27700" t="str">
        <f>"75115"</f>
        <v>75115</v>
      </c>
      <c r="E27700">
        <v>66.53</v>
      </c>
    </row>
    <row r="27701" spans="1:5" x14ac:dyDescent="0.2">
      <c r="A27701">
        <v>75116</v>
      </c>
      <c r="B27701" t="s">
        <v>50</v>
      </c>
      <c r="C27701">
        <v>75116</v>
      </c>
      <c r="D27701" t="str">
        <f>"75116"</f>
        <v>75116</v>
      </c>
      <c r="E27701">
        <v>60.71</v>
      </c>
    </row>
    <row r="27702" spans="1:5" x14ac:dyDescent="0.2">
      <c r="A27702">
        <v>75117</v>
      </c>
      <c r="B27702" t="s">
        <v>50</v>
      </c>
      <c r="C27702">
        <v>75117</v>
      </c>
      <c r="D27702" t="str">
        <f>"75117"</f>
        <v>75117</v>
      </c>
      <c r="E27702">
        <v>66.47</v>
      </c>
    </row>
    <row r="27703" spans="1:5" x14ac:dyDescent="0.2">
      <c r="A27703">
        <v>75119</v>
      </c>
      <c r="B27703" t="s">
        <v>50</v>
      </c>
      <c r="C27703">
        <v>75119</v>
      </c>
      <c r="D27703" t="str">
        <f>"75119"</f>
        <v>75119</v>
      </c>
      <c r="E27703">
        <v>64.05</v>
      </c>
    </row>
    <row r="27704" spans="1:5" x14ac:dyDescent="0.2">
      <c r="A27704">
        <v>75123</v>
      </c>
      <c r="B27704" t="s">
        <v>50</v>
      </c>
      <c r="C27704">
        <v>75123</v>
      </c>
      <c r="D27704" t="str">
        <f>"75123"</f>
        <v>75123</v>
      </c>
      <c r="E27704" t="s">
        <v>6</v>
      </c>
    </row>
    <row r="27705" spans="1:5" x14ac:dyDescent="0.2">
      <c r="A27705">
        <v>75124</v>
      </c>
      <c r="B27705" t="s">
        <v>50</v>
      </c>
      <c r="C27705">
        <v>75124</v>
      </c>
      <c r="D27705" t="str">
        <f>"75124"</f>
        <v>75124</v>
      </c>
      <c r="E27705">
        <v>63.92</v>
      </c>
    </row>
    <row r="27706" spans="1:5" x14ac:dyDescent="0.2">
      <c r="A27706">
        <v>75125</v>
      </c>
      <c r="B27706" t="s">
        <v>50</v>
      </c>
      <c r="C27706">
        <v>75125</v>
      </c>
      <c r="D27706" t="str">
        <f>"75125"</f>
        <v>75125</v>
      </c>
      <c r="E27706">
        <v>59.31</v>
      </c>
    </row>
    <row r="27707" spans="1:5" x14ac:dyDescent="0.2">
      <c r="A27707">
        <v>75126</v>
      </c>
      <c r="B27707" t="s">
        <v>50</v>
      </c>
      <c r="C27707">
        <v>75126</v>
      </c>
      <c r="D27707" t="str">
        <f>"75126"</f>
        <v>75126</v>
      </c>
      <c r="E27707">
        <v>75.91</v>
      </c>
    </row>
    <row r="27708" spans="1:5" x14ac:dyDescent="0.2">
      <c r="A27708">
        <v>75127</v>
      </c>
      <c r="B27708" t="s">
        <v>50</v>
      </c>
      <c r="C27708">
        <v>75127</v>
      </c>
      <c r="D27708" t="str">
        <f>"75127"</f>
        <v>75127</v>
      </c>
      <c r="E27708">
        <v>60.87</v>
      </c>
    </row>
    <row r="27709" spans="1:5" x14ac:dyDescent="0.2">
      <c r="A27709">
        <v>75134</v>
      </c>
      <c r="B27709" t="s">
        <v>50</v>
      </c>
      <c r="C27709">
        <v>75134</v>
      </c>
      <c r="D27709" t="str">
        <f>"75134"</f>
        <v>75134</v>
      </c>
      <c r="E27709">
        <v>56.54</v>
      </c>
    </row>
    <row r="27710" spans="1:5" x14ac:dyDescent="0.2">
      <c r="A27710">
        <v>75135</v>
      </c>
      <c r="B27710" t="s">
        <v>50</v>
      </c>
      <c r="C27710">
        <v>75135</v>
      </c>
      <c r="D27710" t="str">
        <f>"75135"</f>
        <v>75135</v>
      </c>
      <c r="E27710">
        <v>72.41</v>
      </c>
    </row>
    <row r="27711" spans="1:5" x14ac:dyDescent="0.2">
      <c r="A27711">
        <v>75137</v>
      </c>
      <c r="B27711" t="s">
        <v>50</v>
      </c>
      <c r="C27711">
        <v>75137</v>
      </c>
      <c r="D27711" t="str">
        <f>"75137"</f>
        <v>75137</v>
      </c>
      <c r="E27711">
        <v>66.14</v>
      </c>
    </row>
    <row r="27712" spans="1:5" x14ac:dyDescent="0.2">
      <c r="A27712">
        <v>75138</v>
      </c>
      <c r="B27712" t="s">
        <v>50</v>
      </c>
      <c r="C27712">
        <v>75138</v>
      </c>
      <c r="D27712" t="str">
        <f>"75138"</f>
        <v>75138</v>
      </c>
      <c r="E27712" t="s">
        <v>6</v>
      </c>
    </row>
    <row r="27713" spans="1:5" x14ac:dyDescent="0.2">
      <c r="A27713">
        <v>75140</v>
      </c>
      <c r="B27713" t="s">
        <v>50</v>
      </c>
      <c r="C27713">
        <v>75140</v>
      </c>
      <c r="D27713" t="str">
        <f>"75140"</f>
        <v>75140</v>
      </c>
      <c r="E27713">
        <v>64.08</v>
      </c>
    </row>
    <row r="27714" spans="1:5" x14ac:dyDescent="0.2">
      <c r="A27714">
        <v>75141</v>
      </c>
      <c r="B27714" t="s">
        <v>50</v>
      </c>
      <c r="C27714">
        <v>75141</v>
      </c>
      <c r="D27714" t="str">
        <f>"75141"</f>
        <v>75141</v>
      </c>
      <c r="E27714">
        <v>53.37</v>
      </c>
    </row>
    <row r="27715" spans="1:5" x14ac:dyDescent="0.2">
      <c r="A27715">
        <v>75142</v>
      </c>
      <c r="B27715" t="s">
        <v>50</v>
      </c>
      <c r="C27715">
        <v>75142</v>
      </c>
      <c r="D27715" t="str">
        <f>"75142"</f>
        <v>75142</v>
      </c>
      <c r="E27715">
        <v>65.88</v>
      </c>
    </row>
    <row r="27716" spans="1:5" x14ac:dyDescent="0.2">
      <c r="A27716">
        <v>75143</v>
      </c>
      <c r="B27716" t="s">
        <v>50</v>
      </c>
      <c r="C27716">
        <v>75143</v>
      </c>
      <c r="D27716" t="str">
        <f>"75143"</f>
        <v>75143</v>
      </c>
      <c r="E27716">
        <v>65.010000000000005</v>
      </c>
    </row>
    <row r="27717" spans="1:5" x14ac:dyDescent="0.2">
      <c r="A27717">
        <v>75144</v>
      </c>
      <c r="B27717" t="s">
        <v>50</v>
      </c>
      <c r="C27717">
        <v>75144</v>
      </c>
      <c r="D27717" t="str">
        <f>"75144"</f>
        <v>75144</v>
      </c>
      <c r="E27717">
        <v>64.709999999999994</v>
      </c>
    </row>
    <row r="27718" spans="1:5" x14ac:dyDescent="0.2">
      <c r="A27718">
        <v>75146</v>
      </c>
      <c r="B27718" t="s">
        <v>50</v>
      </c>
      <c r="C27718">
        <v>75146</v>
      </c>
      <c r="D27718" t="str">
        <f>"75146"</f>
        <v>75146</v>
      </c>
      <c r="E27718">
        <v>61.26</v>
      </c>
    </row>
    <row r="27719" spans="1:5" x14ac:dyDescent="0.2">
      <c r="A27719">
        <v>75147</v>
      </c>
      <c r="B27719" t="s">
        <v>50</v>
      </c>
      <c r="C27719">
        <v>75147</v>
      </c>
      <c r="D27719" t="str">
        <f>"75147"</f>
        <v>75147</v>
      </c>
      <c r="E27719">
        <v>65.260000000000005</v>
      </c>
    </row>
    <row r="27720" spans="1:5" x14ac:dyDescent="0.2">
      <c r="A27720">
        <v>75148</v>
      </c>
      <c r="B27720" t="s">
        <v>50</v>
      </c>
      <c r="C27720">
        <v>75148</v>
      </c>
      <c r="D27720" t="str">
        <f>"75148"</f>
        <v>75148</v>
      </c>
      <c r="E27720">
        <v>64.37</v>
      </c>
    </row>
    <row r="27721" spans="1:5" x14ac:dyDescent="0.2">
      <c r="A27721">
        <v>75149</v>
      </c>
      <c r="B27721" t="s">
        <v>50</v>
      </c>
      <c r="C27721">
        <v>75149</v>
      </c>
      <c r="D27721" t="str">
        <f>"75149"</f>
        <v>75149</v>
      </c>
      <c r="E27721">
        <v>59.18</v>
      </c>
    </row>
    <row r="27722" spans="1:5" x14ac:dyDescent="0.2">
      <c r="A27722">
        <v>75150</v>
      </c>
      <c r="B27722" t="s">
        <v>50</v>
      </c>
      <c r="C27722">
        <v>75150</v>
      </c>
      <c r="D27722" t="str">
        <f>"75150"</f>
        <v>75150</v>
      </c>
      <c r="E27722">
        <v>62.91</v>
      </c>
    </row>
    <row r="27723" spans="1:5" x14ac:dyDescent="0.2">
      <c r="A27723">
        <v>75152</v>
      </c>
      <c r="B27723" t="s">
        <v>50</v>
      </c>
      <c r="C27723">
        <v>75152</v>
      </c>
      <c r="D27723" t="str">
        <f>"75152"</f>
        <v>75152</v>
      </c>
      <c r="E27723">
        <v>68.22</v>
      </c>
    </row>
    <row r="27724" spans="1:5" x14ac:dyDescent="0.2">
      <c r="A27724">
        <v>75153</v>
      </c>
      <c r="B27724" t="s">
        <v>50</v>
      </c>
      <c r="C27724">
        <v>75153</v>
      </c>
      <c r="D27724" t="str">
        <f>"75153"</f>
        <v>75153</v>
      </c>
      <c r="E27724">
        <v>53.33</v>
      </c>
    </row>
    <row r="27725" spans="1:5" x14ac:dyDescent="0.2">
      <c r="A27725">
        <v>75154</v>
      </c>
      <c r="B27725" t="s">
        <v>50</v>
      </c>
      <c r="C27725">
        <v>75154</v>
      </c>
      <c r="D27725" t="str">
        <f>"75154"</f>
        <v>75154</v>
      </c>
      <c r="E27725">
        <v>68.92</v>
      </c>
    </row>
    <row r="27726" spans="1:5" x14ac:dyDescent="0.2">
      <c r="A27726">
        <v>75155</v>
      </c>
      <c r="B27726" t="s">
        <v>50</v>
      </c>
      <c r="C27726">
        <v>75155</v>
      </c>
      <c r="D27726" t="str">
        <f>"75155"</f>
        <v>75155</v>
      </c>
      <c r="E27726">
        <v>56.52</v>
      </c>
    </row>
    <row r="27727" spans="1:5" x14ac:dyDescent="0.2">
      <c r="A27727">
        <v>75156</v>
      </c>
      <c r="B27727" t="s">
        <v>50</v>
      </c>
      <c r="C27727">
        <v>75156</v>
      </c>
      <c r="D27727" t="str">
        <f>"75156"</f>
        <v>75156</v>
      </c>
      <c r="E27727">
        <v>62.84</v>
      </c>
    </row>
    <row r="27728" spans="1:5" x14ac:dyDescent="0.2">
      <c r="A27728">
        <v>75157</v>
      </c>
      <c r="B27728" t="s">
        <v>50</v>
      </c>
      <c r="C27728">
        <v>75157</v>
      </c>
      <c r="D27728" t="str">
        <f>"75157"</f>
        <v>75157</v>
      </c>
      <c r="E27728" t="s">
        <v>6</v>
      </c>
    </row>
    <row r="27729" spans="1:5" x14ac:dyDescent="0.2">
      <c r="A27729">
        <v>75158</v>
      </c>
      <c r="B27729" t="s">
        <v>50</v>
      </c>
      <c r="C27729">
        <v>75158</v>
      </c>
      <c r="D27729" t="str">
        <f>"75158"</f>
        <v>75158</v>
      </c>
      <c r="E27729">
        <v>73.91</v>
      </c>
    </row>
    <row r="27730" spans="1:5" x14ac:dyDescent="0.2">
      <c r="A27730">
        <v>75159</v>
      </c>
      <c r="B27730" t="s">
        <v>50</v>
      </c>
      <c r="C27730">
        <v>75159</v>
      </c>
      <c r="D27730" t="str">
        <f>"75159"</f>
        <v>75159</v>
      </c>
      <c r="E27730">
        <v>61.1</v>
      </c>
    </row>
    <row r="27731" spans="1:5" x14ac:dyDescent="0.2">
      <c r="A27731">
        <v>75160</v>
      </c>
      <c r="B27731" t="s">
        <v>50</v>
      </c>
      <c r="C27731">
        <v>75160</v>
      </c>
      <c r="D27731" t="str">
        <f>"75160"</f>
        <v>75160</v>
      </c>
      <c r="E27731">
        <v>62.52</v>
      </c>
    </row>
    <row r="27732" spans="1:5" x14ac:dyDescent="0.2">
      <c r="A27732">
        <v>75161</v>
      </c>
      <c r="B27732" t="s">
        <v>50</v>
      </c>
      <c r="C27732">
        <v>75161</v>
      </c>
      <c r="D27732" t="str">
        <f>"75161"</f>
        <v>75161</v>
      </c>
      <c r="E27732">
        <v>69.08</v>
      </c>
    </row>
    <row r="27733" spans="1:5" x14ac:dyDescent="0.2">
      <c r="A27733">
        <v>75163</v>
      </c>
      <c r="B27733" t="s">
        <v>50</v>
      </c>
      <c r="C27733">
        <v>75163</v>
      </c>
      <c r="D27733" t="str">
        <f>"75163"</f>
        <v>75163</v>
      </c>
      <c r="E27733">
        <v>66.67</v>
      </c>
    </row>
    <row r="27734" spans="1:5" x14ac:dyDescent="0.2">
      <c r="A27734">
        <v>75165</v>
      </c>
      <c r="B27734" t="s">
        <v>50</v>
      </c>
      <c r="C27734">
        <v>75165</v>
      </c>
      <c r="D27734" t="str">
        <f>"75165"</f>
        <v>75165</v>
      </c>
      <c r="E27734">
        <v>69.349999999999994</v>
      </c>
    </row>
    <row r="27735" spans="1:5" x14ac:dyDescent="0.2">
      <c r="A27735">
        <v>75166</v>
      </c>
      <c r="B27735" t="s">
        <v>50</v>
      </c>
      <c r="C27735">
        <v>75166</v>
      </c>
      <c r="D27735" t="str">
        <f>"75166"</f>
        <v>75166</v>
      </c>
      <c r="E27735">
        <v>80.69</v>
      </c>
    </row>
    <row r="27736" spans="1:5" x14ac:dyDescent="0.2">
      <c r="A27736">
        <v>75167</v>
      </c>
      <c r="B27736" t="s">
        <v>50</v>
      </c>
      <c r="C27736">
        <v>75167</v>
      </c>
      <c r="D27736" t="str">
        <f>"75167"</f>
        <v>75167</v>
      </c>
      <c r="E27736">
        <v>77.180000000000007</v>
      </c>
    </row>
    <row r="27737" spans="1:5" x14ac:dyDescent="0.2">
      <c r="A27737">
        <v>75169</v>
      </c>
      <c r="B27737" t="s">
        <v>50</v>
      </c>
      <c r="C27737">
        <v>75169</v>
      </c>
      <c r="D27737" t="str">
        <f>"75169"</f>
        <v>75169</v>
      </c>
      <c r="E27737">
        <v>65.790000000000006</v>
      </c>
    </row>
    <row r="27738" spans="1:5" x14ac:dyDescent="0.2">
      <c r="A27738">
        <v>75172</v>
      </c>
      <c r="B27738" t="s">
        <v>50</v>
      </c>
      <c r="C27738">
        <v>75172</v>
      </c>
      <c r="D27738" t="str">
        <f>"75172"</f>
        <v>75172</v>
      </c>
      <c r="E27738">
        <v>51.27</v>
      </c>
    </row>
    <row r="27739" spans="1:5" x14ac:dyDescent="0.2">
      <c r="A27739">
        <v>75173</v>
      </c>
      <c r="B27739" t="s">
        <v>50</v>
      </c>
      <c r="C27739">
        <v>75173</v>
      </c>
      <c r="D27739" t="str">
        <f>"75173"</f>
        <v>75173</v>
      </c>
      <c r="E27739">
        <v>71.33</v>
      </c>
    </row>
    <row r="27740" spans="1:5" x14ac:dyDescent="0.2">
      <c r="A27740">
        <v>75180</v>
      </c>
      <c r="B27740" t="s">
        <v>50</v>
      </c>
      <c r="C27740">
        <v>75180</v>
      </c>
      <c r="D27740" t="str">
        <f>"75180"</f>
        <v>75180</v>
      </c>
      <c r="E27740">
        <v>53.18</v>
      </c>
    </row>
    <row r="27741" spans="1:5" x14ac:dyDescent="0.2">
      <c r="A27741">
        <v>75181</v>
      </c>
      <c r="B27741" t="s">
        <v>50</v>
      </c>
      <c r="C27741">
        <v>75181</v>
      </c>
      <c r="D27741" t="str">
        <f>"75181"</f>
        <v>75181</v>
      </c>
      <c r="E27741">
        <v>66.989999999999995</v>
      </c>
    </row>
    <row r="27742" spans="1:5" x14ac:dyDescent="0.2">
      <c r="A27742">
        <v>75182</v>
      </c>
      <c r="B27742" t="s">
        <v>50</v>
      </c>
      <c r="C27742">
        <v>75182</v>
      </c>
      <c r="D27742" t="str">
        <f>"75182"</f>
        <v>75182</v>
      </c>
      <c r="E27742">
        <v>79.02</v>
      </c>
    </row>
    <row r="27743" spans="1:5" x14ac:dyDescent="0.2">
      <c r="A27743">
        <v>75189</v>
      </c>
      <c r="B27743" t="s">
        <v>50</v>
      </c>
      <c r="C27743">
        <v>75189</v>
      </c>
      <c r="D27743" t="str">
        <f>"75189"</f>
        <v>75189</v>
      </c>
      <c r="E27743">
        <v>74.09</v>
      </c>
    </row>
    <row r="27744" spans="1:5" x14ac:dyDescent="0.2">
      <c r="A27744">
        <v>75201</v>
      </c>
      <c r="B27744" t="s">
        <v>50</v>
      </c>
      <c r="C27744">
        <v>75201</v>
      </c>
      <c r="D27744" t="str">
        <f>"75201"</f>
        <v>75201</v>
      </c>
      <c r="E27744">
        <v>88.8</v>
      </c>
    </row>
    <row r="27745" spans="1:5" x14ac:dyDescent="0.2">
      <c r="A27745">
        <v>75202</v>
      </c>
      <c r="B27745" t="s">
        <v>50</v>
      </c>
      <c r="C27745">
        <v>75202</v>
      </c>
      <c r="D27745" t="str">
        <f>"75202"</f>
        <v>75202</v>
      </c>
      <c r="E27745">
        <v>87.5</v>
      </c>
    </row>
    <row r="27746" spans="1:5" x14ac:dyDescent="0.2">
      <c r="A27746">
        <v>75203</v>
      </c>
      <c r="B27746" t="s">
        <v>50</v>
      </c>
      <c r="C27746">
        <v>75203</v>
      </c>
      <c r="D27746" t="str">
        <f>"75203"</f>
        <v>75203</v>
      </c>
      <c r="E27746">
        <v>53.68</v>
      </c>
    </row>
    <row r="27747" spans="1:5" x14ac:dyDescent="0.2">
      <c r="A27747">
        <v>75204</v>
      </c>
      <c r="B27747" t="s">
        <v>50</v>
      </c>
      <c r="C27747">
        <v>75204</v>
      </c>
      <c r="D27747" t="str">
        <f>"75204"</f>
        <v>75204</v>
      </c>
      <c r="E27747">
        <v>84.44</v>
      </c>
    </row>
    <row r="27748" spans="1:5" x14ac:dyDescent="0.2">
      <c r="A27748">
        <v>75205</v>
      </c>
      <c r="B27748" t="s">
        <v>50</v>
      </c>
      <c r="C27748">
        <v>75205</v>
      </c>
      <c r="D27748" t="str">
        <f>"75205"</f>
        <v>75205</v>
      </c>
      <c r="E27748">
        <v>84.11</v>
      </c>
    </row>
    <row r="27749" spans="1:5" x14ac:dyDescent="0.2">
      <c r="A27749">
        <v>75206</v>
      </c>
      <c r="B27749" t="s">
        <v>50</v>
      </c>
      <c r="C27749">
        <v>75206</v>
      </c>
      <c r="D27749" t="str">
        <f>"75206"</f>
        <v>75206</v>
      </c>
      <c r="E27749">
        <v>86.76</v>
      </c>
    </row>
    <row r="27750" spans="1:5" x14ac:dyDescent="0.2">
      <c r="A27750">
        <v>75207</v>
      </c>
      <c r="B27750" t="s">
        <v>50</v>
      </c>
      <c r="C27750">
        <v>75207</v>
      </c>
      <c r="D27750" t="str">
        <f>"75207"</f>
        <v>75207</v>
      </c>
      <c r="E27750">
        <v>88.84</v>
      </c>
    </row>
    <row r="27751" spans="1:5" x14ac:dyDescent="0.2">
      <c r="A27751">
        <v>75208</v>
      </c>
      <c r="B27751" t="s">
        <v>50</v>
      </c>
      <c r="C27751">
        <v>75208</v>
      </c>
      <c r="D27751" t="str">
        <f>"75208"</f>
        <v>75208</v>
      </c>
      <c r="E27751">
        <v>68.58</v>
      </c>
    </row>
    <row r="27752" spans="1:5" x14ac:dyDescent="0.2">
      <c r="A27752">
        <v>75209</v>
      </c>
      <c r="B27752" t="s">
        <v>50</v>
      </c>
      <c r="C27752">
        <v>75209</v>
      </c>
      <c r="D27752" t="str">
        <f>"75209"</f>
        <v>75209</v>
      </c>
      <c r="E27752">
        <v>80.62</v>
      </c>
    </row>
    <row r="27753" spans="1:5" x14ac:dyDescent="0.2">
      <c r="A27753">
        <v>75210</v>
      </c>
      <c r="B27753" t="s">
        <v>50</v>
      </c>
      <c r="C27753">
        <v>75210</v>
      </c>
      <c r="D27753" t="str">
        <f>"75210"</f>
        <v>75210</v>
      </c>
      <c r="E27753">
        <v>36.619999999999997</v>
      </c>
    </row>
    <row r="27754" spans="1:5" x14ac:dyDescent="0.2">
      <c r="A27754">
        <v>75211</v>
      </c>
      <c r="B27754" t="s">
        <v>50</v>
      </c>
      <c r="C27754">
        <v>75211</v>
      </c>
      <c r="D27754" t="str">
        <f>"75211"</f>
        <v>75211</v>
      </c>
      <c r="E27754">
        <v>55.52</v>
      </c>
    </row>
    <row r="27755" spans="1:5" x14ac:dyDescent="0.2">
      <c r="A27755">
        <v>75212</v>
      </c>
      <c r="B27755" t="s">
        <v>50</v>
      </c>
      <c r="C27755">
        <v>75212</v>
      </c>
      <c r="D27755" t="str">
        <f>"75212"</f>
        <v>75212</v>
      </c>
      <c r="E27755">
        <v>49.95</v>
      </c>
    </row>
    <row r="27756" spans="1:5" x14ac:dyDescent="0.2">
      <c r="A27756">
        <v>75214</v>
      </c>
      <c r="B27756" t="s">
        <v>50</v>
      </c>
      <c r="C27756">
        <v>75214</v>
      </c>
      <c r="D27756" t="str">
        <f>"75214"</f>
        <v>75214</v>
      </c>
      <c r="E27756">
        <v>83.84</v>
      </c>
    </row>
    <row r="27757" spans="1:5" x14ac:dyDescent="0.2">
      <c r="A27757">
        <v>75215</v>
      </c>
      <c r="B27757" t="s">
        <v>50</v>
      </c>
      <c r="C27757">
        <v>75215</v>
      </c>
      <c r="D27757" t="str">
        <f>"75215"</f>
        <v>75215</v>
      </c>
      <c r="E27757">
        <v>48.1</v>
      </c>
    </row>
    <row r="27758" spans="1:5" x14ac:dyDescent="0.2">
      <c r="A27758">
        <v>75216</v>
      </c>
      <c r="B27758" t="s">
        <v>50</v>
      </c>
      <c r="C27758">
        <v>75216</v>
      </c>
      <c r="D27758" t="str">
        <f>"75216"</f>
        <v>75216</v>
      </c>
      <c r="E27758">
        <v>45.01</v>
      </c>
    </row>
    <row r="27759" spans="1:5" x14ac:dyDescent="0.2">
      <c r="A27759">
        <v>75217</v>
      </c>
      <c r="B27759" t="s">
        <v>50</v>
      </c>
      <c r="C27759">
        <v>75217</v>
      </c>
      <c r="D27759" t="str">
        <f>"75217"</f>
        <v>75217</v>
      </c>
      <c r="E27759">
        <v>47.96</v>
      </c>
    </row>
    <row r="27760" spans="1:5" x14ac:dyDescent="0.2">
      <c r="A27760">
        <v>75218</v>
      </c>
      <c r="B27760" t="s">
        <v>50</v>
      </c>
      <c r="C27760">
        <v>75218</v>
      </c>
      <c r="D27760" t="str">
        <f>"75218"</f>
        <v>75218</v>
      </c>
      <c r="E27760">
        <v>78.55</v>
      </c>
    </row>
    <row r="27761" spans="1:5" x14ac:dyDescent="0.2">
      <c r="A27761">
        <v>75219</v>
      </c>
      <c r="B27761" t="s">
        <v>50</v>
      </c>
      <c r="C27761">
        <v>75219</v>
      </c>
      <c r="D27761" t="str">
        <f>"75219"</f>
        <v>75219</v>
      </c>
      <c r="E27761">
        <v>85.19</v>
      </c>
    </row>
    <row r="27762" spans="1:5" x14ac:dyDescent="0.2">
      <c r="A27762">
        <v>75220</v>
      </c>
      <c r="B27762" t="s">
        <v>50</v>
      </c>
      <c r="C27762">
        <v>75220</v>
      </c>
      <c r="D27762" t="str">
        <f>"75220"</f>
        <v>75220</v>
      </c>
      <c r="E27762">
        <v>56.55</v>
      </c>
    </row>
    <row r="27763" spans="1:5" x14ac:dyDescent="0.2">
      <c r="A27763">
        <v>75223</v>
      </c>
      <c r="B27763" t="s">
        <v>50</v>
      </c>
      <c r="C27763">
        <v>75223</v>
      </c>
      <c r="D27763" t="str">
        <f>"75223"</f>
        <v>75223</v>
      </c>
      <c r="E27763">
        <v>57.8</v>
      </c>
    </row>
    <row r="27764" spans="1:5" x14ac:dyDescent="0.2">
      <c r="A27764">
        <v>75224</v>
      </c>
      <c r="B27764" t="s">
        <v>50</v>
      </c>
      <c r="C27764">
        <v>75224</v>
      </c>
      <c r="D27764" t="str">
        <f>"75224"</f>
        <v>75224</v>
      </c>
      <c r="E27764">
        <v>53.79</v>
      </c>
    </row>
    <row r="27765" spans="1:5" x14ac:dyDescent="0.2">
      <c r="A27765">
        <v>75225</v>
      </c>
      <c r="B27765" t="s">
        <v>50</v>
      </c>
      <c r="C27765">
        <v>75225</v>
      </c>
      <c r="D27765" t="str">
        <f>"75225"</f>
        <v>75225</v>
      </c>
      <c r="E27765">
        <v>84.53</v>
      </c>
    </row>
    <row r="27766" spans="1:5" x14ac:dyDescent="0.2">
      <c r="A27766">
        <v>75226</v>
      </c>
      <c r="B27766" t="s">
        <v>50</v>
      </c>
      <c r="C27766">
        <v>75226</v>
      </c>
      <c r="D27766" t="str">
        <f>"75226"</f>
        <v>75226</v>
      </c>
      <c r="E27766">
        <v>80.61</v>
      </c>
    </row>
    <row r="27767" spans="1:5" x14ac:dyDescent="0.2">
      <c r="A27767">
        <v>75227</v>
      </c>
      <c r="B27767" t="s">
        <v>50</v>
      </c>
      <c r="C27767">
        <v>75227</v>
      </c>
      <c r="D27767" t="str">
        <f>"75227"</f>
        <v>75227</v>
      </c>
      <c r="E27767">
        <v>52.82</v>
      </c>
    </row>
    <row r="27768" spans="1:5" x14ac:dyDescent="0.2">
      <c r="A27768">
        <v>75228</v>
      </c>
      <c r="B27768" t="s">
        <v>50</v>
      </c>
      <c r="C27768">
        <v>75228</v>
      </c>
      <c r="D27768" t="str">
        <f>"75228"</f>
        <v>75228</v>
      </c>
      <c r="E27768">
        <v>57.28</v>
      </c>
    </row>
    <row r="27769" spans="1:5" x14ac:dyDescent="0.2">
      <c r="A27769">
        <v>75229</v>
      </c>
      <c r="B27769" t="s">
        <v>50</v>
      </c>
      <c r="C27769">
        <v>75229</v>
      </c>
      <c r="D27769" t="str">
        <f>"75229"</f>
        <v>75229</v>
      </c>
      <c r="E27769">
        <v>72.88</v>
      </c>
    </row>
    <row r="27770" spans="1:5" x14ac:dyDescent="0.2">
      <c r="A27770">
        <v>75230</v>
      </c>
      <c r="B27770" t="s">
        <v>50</v>
      </c>
      <c r="C27770">
        <v>75230</v>
      </c>
      <c r="D27770" t="str">
        <f>"75230"</f>
        <v>75230</v>
      </c>
      <c r="E27770">
        <v>79.989999999999995</v>
      </c>
    </row>
    <row r="27771" spans="1:5" x14ac:dyDescent="0.2">
      <c r="A27771">
        <v>75231</v>
      </c>
      <c r="B27771" t="s">
        <v>50</v>
      </c>
      <c r="C27771">
        <v>75231</v>
      </c>
      <c r="D27771" t="str">
        <f>"75231"</f>
        <v>75231</v>
      </c>
      <c r="E27771">
        <v>62.22</v>
      </c>
    </row>
    <row r="27772" spans="1:5" x14ac:dyDescent="0.2">
      <c r="A27772">
        <v>75232</v>
      </c>
      <c r="B27772" t="s">
        <v>50</v>
      </c>
      <c r="C27772">
        <v>75232</v>
      </c>
      <c r="D27772" t="str">
        <f>"75232"</f>
        <v>75232</v>
      </c>
      <c r="E27772">
        <v>56.03</v>
      </c>
    </row>
    <row r="27773" spans="1:5" x14ac:dyDescent="0.2">
      <c r="A27773">
        <v>75233</v>
      </c>
      <c r="B27773" t="s">
        <v>50</v>
      </c>
      <c r="C27773">
        <v>75233</v>
      </c>
      <c r="D27773" t="str">
        <f>"75233"</f>
        <v>75233</v>
      </c>
      <c r="E27773">
        <v>57.42</v>
      </c>
    </row>
    <row r="27774" spans="1:5" x14ac:dyDescent="0.2">
      <c r="A27774">
        <v>75234</v>
      </c>
      <c r="B27774" t="s">
        <v>50</v>
      </c>
      <c r="C27774">
        <v>75234</v>
      </c>
      <c r="D27774" t="str">
        <f>"75234"</f>
        <v>75234</v>
      </c>
      <c r="E27774">
        <v>69.78</v>
      </c>
    </row>
    <row r="27775" spans="1:5" x14ac:dyDescent="0.2">
      <c r="A27775">
        <v>75235</v>
      </c>
      <c r="B27775" t="s">
        <v>50</v>
      </c>
      <c r="C27775">
        <v>75235</v>
      </c>
      <c r="D27775" t="str">
        <f>"75235"</f>
        <v>75235</v>
      </c>
      <c r="E27775">
        <v>69.67</v>
      </c>
    </row>
    <row r="27776" spans="1:5" x14ac:dyDescent="0.2">
      <c r="A27776">
        <v>75236</v>
      </c>
      <c r="B27776" t="s">
        <v>50</v>
      </c>
      <c r="C27776">
        <v>75236</v>
      </c>
      <c r="D27776" t="str">
        <f>"75236"</f>
        <v>75236</v>
      </c>
      <c r="E27776">
        <v>55.97</v>
      </c>
    </row>
    <row r="27777" spans="1:5" x14ac:dyDescent="0.2">
      <c r="A27777">
        <v>75237</v>
      </c>
      <c r="B27777" t="s">
        <v>50</v>
      </c>
      <c r="C27777">
        <v>75237</v>
      </c>
      <c r="D27777" t="str">
        <f>"75237"</f>
        <v>75237</v>
      </c>
      <c r="E27777">
        <v>46.64</v>
      </c>
    </row>
    <row r="27778" spans="1:5" x14ac:dyDescent="0.2">
      <c r="A27778">
        <v>75238</v>
      </c>
      <c r="B27778" t="s">
        <v>50</v>
      </c>
      <c r="C27778">
        <v>75238</v>
      </c>
      <c r="D27778" t="str">
        <f>"75238"</f>
        <v>75238</v>
      </c>
      <c r="E27778">
        <v>70.77</v>
      </c>
    </row>
    <row r="27779" spans="1:5" x14ac:dyDescent="0.2">
      <c r="A27779">
        <v>75240</v>
      </c>
      <c r="B27779" t="s">
        <v>50</v>
      </c>
      <c r="C27779">
        <v>75240</v>
      </c>
      <c r="D27779" t="str">
        <f>"75240"</f>
        <v>75240</v>
      </c>
      <c r="E27779">
        <v>62.17</v>
      </c>
    </row>
    <row r="27780" spans="1:5" x14ac:dyDescent="0.2">
      <c r="A27780">
        <v>75241</v>
      </c>
      <c r="B27780" t="s">
        <v>50</v>
      </c>
      <c r="C27780">
        <v>75241</v>
      </c>
      <c r="D27780" t="str">
        <f>"75241"</f>
        <v>75241</v>
      </c>
      <c r="E27780">
        <v>48.36</v>
      </c>
    </row>
    <row r="27781" spans="1:5" x14ac:dyDescent="0.2">
      <c r="A27781">
        <v>75242</v>
      </c>
      <c r="B27781" t="s">
        <v>50</v>
      </c>
      <c r="C27781">
        <v>75242</v>
      </c>
      <c r="D27781" t="str">
        <f>"75242"</f>
        <v>75242</v>
      </c>
      <c r="E27781" t="s">
        <v>6</v>
      </c>
    </row>
    <row r="27782" spans="1:5" x14ac:dyDescent="0.2">
      <c r="A27782">
        <v>75243</v>
      </c>
      <c r="B27782" t="s">
        <v>50</v>
      </c>
      <c r="C27782">
        <v>75243</v>
      </c>
      <c r="D27782" t="str">
        <f>"75243"</f>
        <v>75243</v>
      </c>
      <c r="E27782">
        <v>58.75</v>
      </c>
    </row>
    <row r="27783" spans="1:5" x14ac:dyDescent="0.2">
      <c r="A27783">
        <v>75244</v>
      </c>
      <c r="B27783" t="s">
        <v>50</v>
      </c>
      <c r="C27783">
        <v>75244</v>
      </c>
      <c r="D27783" t="str">
        <f>"75244"</f>
        <v>75244</v>
      </c>
      <c r="E27783">
        <v>80.819999999999993</v>
      </c>
    </row>
    <row r="27784" spans="1:5" x14ac:dyDescent="0.2">
      <c r="A27784">
        <v>75246</v>
      </c>
      <c r="B27784" t="s">
        <v>50</v>
      </c>
      <c r="C27784">
        <v>75246</v>
      </c>
      <c r="D27784" t="str">
        <f>"75246"</f>
        <v>75246</v>
      </c>
      <c r="E27784">
        <v>67.680000000000007</v>
      </c>
    </row>
    <row r="27785" spans="1:5" x14ac:dyDescent="0.2">
      <c r="A27785">
        <v>75247</v>
      </c>
      <c r="B27785" t="s">
        <v>50</v>
      </c>
      <c r="C27785">
        <v>75247</v>
      </c>
      <c r="D27785" t="str">
        <f>"75247"</f>
        <v>75247</v>
      </c>
      <c r="E27785">
        <v>60</v>
      </c>
    </row>
    <row r="27786" spans="1:5" x14ac:dyDescent="0.2">
      <c r="A27786">
        <v>75248</v>
      </c>
      <c r="B27786" t="s">
        <v>50</v>
      </c>
      <c r="C27786">
        <v>75248</v>
      </c>
      <c r="D27786" t="str">
        <f>"75248"</f>
        <v>75248</v>
      </c>
      <c r="E27786">
        <v>80.37</v>
      </c>
    </row>
    <row r="27787" spans="1:5" x14ac:dyDescent="0.2">
      <c r="A27787">
        <v>75249</v>
      </c>
      <c r="B27787" t="s">
        <v>50</v>
      </c>
      <c r="C27787">
        <v>75249</v>
      </c>
      <c r="D27787" t="str">
        <f>"75249"</f>
        <v>75249</v>
      </c>
      <c r="E27787">
        <v>63.92</v>
      </c>
    </row>
    <row r="27788" spans="1:5" x14ac:dyDescent="0.2">
      <c r="A27788">
        <v>75251</v>
      </c>
      <c r="B27788" t="s">
        <v>50</v>
      </c>
      <c r="C27788">
        <v>75251</v>
      </c>
      <c r="D27788" t="str">
        <f>"75251"</f>
        <v>75251</v>
      </c>
      <c r="E27788">
        <v>81.37</v>
      </c>
    </row>
    <row r="27789" spans="1:5" x14ac:dyDescent="0.2">
      <c r="A27789">
        <v>75252</v>
      </c>
      <c r="B27789" t="s">
        <v>50</v>
      </c>
      <c r="C27789">
        <v>75252</v>
      </c>
      <c r="D27789" t="str">
        <f>"75252"</f>
        <v>75252</v>
      </c>
      <c r="E27789">
        <v>77.72</v>
      </c>
    </row>
    <row r="27790" spans="1:5" x14ac:dyDescent="0.2">
      <c r="A27790">
        <v>75253</v>
      </c>
      <c r="B27790" t="s">
        <v>50</v>
      </c>
      <c r="C27790">
        <v>75253</v>
      </c>
      <c r="D27790" t="str">
        <f>"75253"</f>
        <v>75253</v>
      </c>
      <c r="E27790">
        <v>48.25</v>
      </c>
    </row>
    <row r="27791" spans="1:5" x14ac:dyDescent="0.2">
      <c r="A27791">
        <v>75254</v>
      </c>
      <c r="B27791" t="s">
        <v>50</v>
      </c>
      <c r="C27791">
        <v>75254</v>
      </c>
      <c r="D27791" t="str">
        <f>"75254"</f>
        <v>75254</v>
      </c>
      <c r="E27791">
        <v>72.05</v>
      </c>
    </row>
    <row r="27792" spans="1:5" x14ac:dyDescent="0.2">
      <c r="A27792">
        <v>75261</v>
      </c>
      <c r="B27792" t="s">
        <v>50</v>
      </c>
      <c r="C27792">
        <v>75261</v>
      </c>
      <c r="D27792" t="str">
        <f>"75261"</f>
        <v>75261</v>
      </c>
      <c r="E27792" t="s">
        <v>6</v>
      </c>
    </row>
    <row r="27793" spans="1:5" x14ac:dyDescent="0.2">
      <c r="A27793">
        <v>75270</v>
      </c>
      <c r="B27793" t="s">
        <v>50</v>
      </c>
      <c r="C27793">
        <v>75270</v>
      </c>
      <c r="D27793" t="str">
        <f>"75270"</f>
        <v>75270</v>
      </c>
      <c r="E27793" t="s">
        <v>6</v>
      </c>
    </row>
    <row r="27794" spans="1:5" x14ac:dyDescent="0.2">
      <c r="A27794">
        <v>75287</v>
      </c>
      <c r="B27794" t="s">
        <v>50</v>
      </c>
      <c r="C27794">
        <v>75287</v>
      </c>
      <c r="D27794" t="str">
        <f>"75287"</f>
        <v>75287</v>
      </c>
      <c r="E27794">
        <v>74.010000000000005</v>
      </c>
    </row>
    <row r="27795" spans="1:5" x14ac:dyDescent="0.2">
      <c r="A27795">
        <v>75336</v>
      </c>
      <c r="B27795" t="s">
        <v>50</v>
      </c>
      <c r="C27795">
        <v>75336</v>
      </c>
      <c r="D27795" t="str">
        <f>"75336"</f>
        <v>75336</v>
      </c>
      <c r="E27795" t="s">
        <v>6</v>
      </c>
    </row>
    <row r="27796" spans="1:5" x14ac:dyDescent="0.2">
      <c r="A27796">
        <v>75339</v>
      </c>
      <c r="B27796" t="s">
        <v>50</v>
      </c>
      <c r="C27796">
        <v>75339</v>
      </c>
      <c r="D27796" t="str">
        <f>"75339"</f>
        <v>75339</v>
      </c>
      <c r="E27796" t="s">
        <v>6</v>
      </c>
    </row>
    <row r="27797" spans="1:5" x14ac:dyDescent="0.2">
      <c r="A27797">
        <v>75354</v>
      </c>
      <c r="B27797" t="s">
        <v>50</v>
      </c>
      <c r="C27797">
        <v>75354</v>
      </c>
      <c r="D27797" t="str">
        <f>"75354"</f>
        <v>75354</v>
      </c>
      <c r="E27797" t="s">
        <v>6</v>
      </c>
    </row>
    <row r="27798" spans="1:5" x14ac:dyDescent="0.2">
      <c r="A27798">
        <v>75357</v>
      </c>
      <c r="B27798" t="s">
        <v>50</v>
      </c>
      <c r="C27798">
        <v>75357</v>
      </c>
      <c r="D27798" t="str">
        <f>"75357"</f>
        <v>75357</v>
      </c>
      <c r="E27798" t="s">
        <v>6</v>
      </c>
    </row>
    <row r="27799" spans="1:5" x14ac:dyDescent="0.2">
      <c r="A27799">
        <v>75380</v>
      </c>
      <c r="B27799" t="s">
        <v>50</v>
      </c>
      <c r="C27799">
        <v>75380</v>
      </c>
      <c r="D27799" t="str">
        <f>"75380"</f>
        <v>75380</v>
      </c>
      <c r="E27799" t="s">
        <v>6</v>
      </c>
    </row>
    <row r="27800" spans="1:5" x14ac:dyDescent="0.2">
      <c r="A27800">
        <v>75382</v>
      </c>
      <c r="B27800" t="s">
        <v>50</v>
      </c>
      <c r="C27800">
        <v>75382</v>
      </c>
      <c r="D27800" t="str">
        <f>"75382"</f>
        <v>75382</v>
      </c>
      <c r="E27800" t="s">
        <v>6</v>
      </c>
    </row>
    <row r="27801" spans="1:5" x14ac:dyDescent="0.2">
      <c r="A27801">
        <v>75390</v>
      </c>
      <c r="B27801" t="s">
        <v>50</v>
      </c>
      <c r="C27801">
        <v>75390</v>
      </c>
      <c r="D27801" t="str">
        <f>"75390"</f>
        <v>75390</v>
      </c>
      <c r="E27801" t="s">
        <v>6</v>
      </c>
    </row>
    <row r="27802" spans="1:5" x14ac:dyDescent="0.2">
      <c r="A27802">
        <v>75398</v>
      </c>
      <c r="B27802" t="s">
        <v>50</v>
      </c>
      <c r="C27802">
        <v>75398</v>
      </c>
      <c r="D27802" t="str">
        <f>"75398"</f>
        <v>75398</v>
      </c>
      <c r="E27802" t="s">
        <v>6</v>
      </c>
    </row>
    <row r="27803" spans="1:5" x14ac:dyDescent="0.2">
      <c r="A27803">
        <v>75401</v>
      </c>
      <c r="B27803" t="s">
        <v>50</v>
      </c>
      <c r="C27803">
        <v>75401</v>
      </c>
      <c r="D27803" t="str">
        <f>"75401"</f>
        <v>75401</v>
      </c>
      <c r="E27803">
        <v>56.02</v>
      </c>
    </row>
    <row r="27804" spans="1:5" x14ac:dyDescent="0.2">
      <c r="A27804">
        <v>75402</v>
      </c>
      <c r="B27804" t="s">
        <v>50</v>
      </c>
      <c r="C27804">
        <v>75402</v>
      </c>
      <c r="D27804" t="str">
        <f>"75402"</f>
        <v>75402</v>
      </c>
      <c r="E27804">
        <v>73.34</v>
      </c>
    </row>
    <row r="27805" spans="1:5" x14ac:dyDescent="0.2">
      <c r="A27805">
        <v>75407</v>
      </c>
      <c r="B27805" t="s">
        <v>50</v>
      </c>
      <c r="C27805">
        <v>75407</v>
      </c>
      <c r="D27805" t="str">
        <f>"75407"</f>
        <v>75407</v>
      </c>
      <c r="E27805">
        <v>67.8</v>
      </c>
    </row>
    <row r="27806" spans="1:5" x14ac:dyDescent="0.2">
      <c r="A27806">
        <v>75409</v>
      </c>
      <c r="B27806" t="s">
        <v>50</v>
      </c>
      <c r="C27806">
        <v>75409</v>
      </c>
      <c r="D27806" t="str">
        <f>"75409"</f>
        <v>75409</v>
      </c>
      <c r="E27806">
        <v>74.06</v>
      </c>
    </row>
    <row r="27807" spans="1:5" x14ac:dyDescent="0.2">
      <c r="A27807">
        <v>75410</v>
      </c>
      <c r="B27807" t="s">
        <v>50</v>
      </c>
      <c r="C27807">
        <v>75410</v>
      </c>
      <c r="D27807" t="str">
        <f>"75410"</f>
        <v>75410</v>
      </c>
      <c r="E27807">
        <v>67.010000000000005</v>
      </c>
    </row>
    <row r="27808" spans="1:5" x14ac:dyDescent="0.2">
      <c r="A27808">
        <v>75411</v>
      </c>
      <c r="B27808" t="s">
        <v>50</v>
      </c>
      <c r="C27808">
        <v>75411</v>
      </c>
      <c r="D27808" t="str">
        <f>"75411"</f>
        <v>75411</v>
      </c>
      <c r="E27808">
        <v>66.67</v>
      </c>
    </row>
    <row r="27809" spans="1:5" x14ac:dyDescent="0.2">
      <c r="A27809">
        <v>75412</v>
      </c>
      <c r="B27809" t="s">
        <v>50</v>
      </c>
      <c r="C27809">
        <v>75412</v>
      </c>
      <c r="D27809" t="str">
        <f>"75412"</f>
        <v>75412</v>
      </c>
      <c r="E27809">
        <v>65.38</v>
      </c>
    </row>
    <row r="27810" spans="1:5" x14ac:dyDescent="0.2">
      <c r="A27810">
        <v>75413</v>
      </c>
      <c r="B27810" t="s">
        <v>50</v>
      </c>
      <c r="C27810">
        <v>75413</v>
      </c>
      <c r="D27810" t="str">
        <f>"75413"</f>
        <v>75413</v>
      </c>
      <c r="E27810" t="s">
        <v>6</v>
      </c>
    </row>
    <row r="27811" spans="1:5" x14ac:dyDescent="0.2">
      <c r="A27811">
        <v>75414</v>
      </c>
      <c r="B27811" t="s">
        <v>50</v>
      </c>
      <c r="C27811">
        <v>75414</v>
      </c>
      <c r="D27811" t="str">
        <f>"75414"</f>
        <v>75414</v>
      </c>
      <c r="E27811">
        <v>72.599999999999994</v>
      </c>
    </row>
    <row r="27812" spans="1:5" x14ac:dyDescent="0.2">
      <c r="A27812">
        <v>75415</v>
      </c>
      <c r="B27812" t="s">
        <v>50</v>
      </c>
      <c r="C27812">
        <v>75415</v>
      </c>
      <c r="D27812" t="str">
        <f>"75415"</f>
        <v>75415</v>
      </c>
      <c r="E27812" t="s">
        <v>6</v>
      </c>
    </row>
    <row r="27813" spans="1:5" x14ac:dyDescent="0.2">
      <c r="A27813">
        <v>75416</v>
      </c>
      <c r="B27813" t="s">
        <v>50</v>
      </c>
      <c r="C27813">
        <v>75416</v>
      </c>
      <c r="D27813" t="str">
        <f>"75416"</f>
        <v>75416</v>
      </c>
      <c r="E27813">
        <v>65.040000000000006</v>
      </c>
    </row>
    <row r="27814" spans="1:5" x14ac:dyDescent="0.2">
      <c r="A27814">
        <v>75417</v>
      </c>
      <c r="B27814" t="s">
        <v>50</v>
      </c>
      <c r="C27814">
        <v>75417</v>
      </c>
      <c r="D27814" t="str">
        <f>"75417"</f>
        <v>75417</v>
      </c>
      <c r="E27814">
        <v>65.63</v>
      </c>
    </row>
    <row r="27815" spans="1:5" x14ac:dyDescent="0.2">
      <c r="A27815">
        <v>75418</v>
      </c>
      <c r="B27815" t="s">
        <v>50</v>
      </c>
      <c r="C27815">
        <v>75418</v>
      </c>
      <c r="D27815" t="str">
        <f>"75418"</f>
        <v>75418</v>
      </c>
      <c r="E27815">
        <v>66.73</v>
      </c>
    </row>
    <row r="27816" spans="1:5" x14ac:dyDescent="0.2">
      <c r="A27816">
        <v>75420</v>
      </c>
      <c r="B27816" t="s">
        <v>50</v>
      </c>
      <c r="C27816">
        <v>75420</v>
      </c>
      <c r="D27816" t="str">
        <f>"75420"</f>
        <v>75420</v>
      </c>
      <c r="E27816">
        <v>65</v>
      </c>
    </row>
    <row r="27817" spans="1:5" x14ac:dyDescent="0.2">
      <c r="A27817">
        <v>75421</v>
      </c>
      <c r="B27817" t="s">
        <v>50</v>
      </c>
      <c r="C27817">
        <v>75421</v>
      </c>
      <c r="D27817" t="str">
        <f>"75421"</f>
        <v>75421</v>
      </c>
      <c r="E27817">
        <v>68.180000000000007</v>
      </c>
    </row>
    <row r="27818" spans="1:5" x14ac:dyDescent="0.2">
      <c r="A27818">
        <v>75422</v>
      </c>
      <c r="B27818" t="s">
        <v>50</v>
      </c>
      <c r="C27818">
        <v>75422</v>
      </c>
      <c r="D27818" t="str">
        <f>"75422"</f>
        <v>75422</v>
      </c>
      <c r="E27818">
        <v>74.59</v>
      </c>
    </row>
    <row r="27819" spans="1:5" x14ac:dyDescent="0.2">
      <c r="A27819">
        <v>75423</v>
      </c>
      <c r="B27819" t="s">
        <v>50</v>
      </c>
      <c r="C27819">
        <v>75423</v>
      </c>
      <c r="D27819" t="str">
        <f>"75423"</f>
        <v>75423</v>
      </c>
      <c r="E27819">
        <v>69.11</v>
      </c>
    </row>
    <row r="27820" spans="1:5" x14ac:dyDescent="0.2">
      <c r="A27820">
        <v>75424</v>
      </c>
      <c r="B27820" t="s">
        <v>50</v>
      </c>
      <c r="C27820">
        <v>75424</v>
      </c>
      <c r="D27820" t="str">
        <f>"75424"</f>
        <v>75424</v>
      </c>
      <c r="E27820">
        <v>71.930000000000007</v>
      </c>
    </row>
    <row r="27821" spans="1:5" x14ac:dyDescent="0.2">
      <c r="A27821">
        <v>75426</v>
      </c>
      <c r="B27821" t="s">
        <v>50</v>
      </c>
      <c r="C27821">
        <v>75426</v>
      </c>
      <c r="D27821" t="str">
        <f>"75426"</f>
        <v>75426</v>
      </c>
      <c r="E27821">
        <v>58.25</v>
      </c>
    </row>
    <row r="27822" spans="1:5" x14ac:dyDescent="0.2">
      <c r="A27822">
        <v>75428</v>
      </c>
      <c r="B27822" t="s">
        <v>50</v>
      </c>
      <c r="C27822">
        <v>75428</v>
      </c>
      <c r="D27822" t="str">
        <f>"75428"</f>
        <v>75428</v>
      </c>
      <c r="E27822">
        <v>58.71</v>
      </c>
    </row>
    <row r="27823" spans="1:5" x14ac:dyDescent="0.2">
      <c r="A27823">
        <v>75431</v>
      </c>
      <c r="B27823" t="s">
        <v>50</v>
      </c>
      <c r="C27823">
        <v>75431</v>
      </c>
      <c r="D27823" t="str">
        <f>"75431"</f>
        <v>75431</v>
      </c>
      <c r="E27823">
        <v>59.04</v>
      </c>
    </row>
    <row r="27824" spans="1:5" x14ac:dyDescent="0.2">
      <c r="A27824">
        <v>75432</v>
      </c>
      <c r="B27824" t="s">
        <v>50</v>
      </c>
      <c r="C27824">
        <v>75432</v>
      </c>
      <c r="D27824" t="str">
        <f>"75432"</f>
        <v>75432</v>
      </c>
      <c r="E27824">
        <v>63.16</v>
      </c>
    </row>
    <row r="27825" spans="1:5" x14ac:dyDescent="0.2">
      <c r="A27825">
        <v>75433</v>
      </c>
      <c r="B27825" t="s">
        <v>50</v>
      </c>
      <c r="C27825">
        <v>75433</v>
      </c>
      <c r="D27825" t="str">
        <f>"75433"</f>
        <v>75433</v>
      </c>
      <c r="E27825">
        <v>69.489999999999995</v>
      </c>
    </row>
    <row r="27826" spans="1:5" x14ac:dyDescent="0.2">
      <c r="A27826">
        <v>75435</v>
      </c>
      <c r="B27826" t="s">
        <v>50</v>
      </c>
      <c r="C27826">
        <v>75435</v>
      </c>
      <c r="D27826" t="str">
        <f>"75435"</f>
        <v>75435</v>
      </c>
      <c r="E27826">
        <v>59.46</v>
      </c>
    </row>
    <row r="27827" spans="1:5" x14ac:dyDescent="0.2">
      <c r="A27827">
        <v>75436</v>
      </c>
      <c r="B27827" t="s">
        <v>50</v>
      </c>
      <c r="C27827">
        <v>75436</v>
      </c>
      <c r="D27827" t="str">
        <f>"75436"</f>
        <v>75436</v>
      </c>
      <c r="E27827">
        <v>65.12</v>
      </c>
    </row>
    <row r="27828" spans="1:5" x14ac:dyDescent="0.2">
      <c r="A27828">
        <v>75437</v>
      </c>
      <c r="B27828" t="s">
        <v>50</v>
      </c>
      <c r="C27828">
        <v>75437</v>
      </c>
      <c r="D27828" t="str">
        <f>"75437"</f>
        <v>75437</v>
      </c>
      <c r="E27828">
        <v>75</v>
      </c>
    </row>
    <row r="27829" spans="1:5" x14ac:dyDescent="0.2">
      <c r="A27829">
        <v>75438</v>
      </c>
      <c r="B27829" t="s">
        <v>50</v>
      </c>
      <c r="C27829">
        <v>75438</v>
      </c>
      <c r="D27829" t="str">
        <f>"75438"</f>
        <v>75438</v>
      </c>
      <c r="E27829">
        <v>72.73</v>
      </c>
    </row>
    <row r="27830" spans="1:5" x14ac:dyDescent="0.2">
      <c r="A27830">
        <v>75439</v>
      </c>
      <c r="B27830" t="s">
        <v>50</v>
      </c>
      <c r="C27830">
        <v>75439</v>
      </c>
      <c r="D27830" t="str">
        <f>"75439"</f>
        <v>75439</v>
      </c>
      <c r="E27830">
        <v>64.290000000000006</v>
      </c>
    </row>
    <row r="27831" spans="1:5" x14ac:dyDescent="0.2">
      <c r="A27831">
        <v>75440</v>
      </c>
      <c r="B27831" t="s">
        <v>50</v>
      </c>
      <c r="C27831">
        <v>75440</v>
      </c>
      <c r="D27831" t="str">
        <f>"75440"</f>
        <v>75440</v>
      </c>
      <c r="E27831">
        <v>67.489999999999995</v>
      </c>
    </row>
    <row r="27832" spans="1:5" x14ac:dyDescent="0.2">
      <c r="A27832">
        <v>75441</v>
      </c>
      <c r="B27832" t="s">
        <v>50</v>
      </c>
      <c r="C27832">
        <v>75441</v>
      </c>
      <c r="D27832" t="str">
        <f>"75441"</f>
        <v>75441</v>
      </c>
      <c r="E27832" t="s">
        <v>6</v>
      </c>
    </row>
    <row r="27833" spans="1:5" x14ac:dyDescent="0.2">
      <c r="A27833">
        <v>75442</v>
      </c>
      <c r="B27833" t="s">
        <v>50</v>
      </c>
      <c r="C27833">
        <v>75442</v>
      </c>
      <c r="D27833" t="str">
        <f>"75442"</f>
        <v>75442</v>
      </c>
      <c r="E27833">
        <v>71.430000000000007</v>
      </c>
    </row>
    <row r="27834" spans="1:5" x14ac:dyDescent="0.2">
      <c r="A27834">
        <v>75446</v>
      </c>
      <c r="B27834" t="s">
        <v>50</v>
      </c>
      <c r="C27834">
        <v>75446</v>
      </c>
      <c r="D27834" t="str">
        <f>"75446"</f>
        <v>75446</v>
      </c>
      <c r="E27834">
        <v>62.6</v>
      </c>
    </row>
    <row r="27835" spans="1:5" x14ac:dyDescent="0.2">
      <c r="A27835">
        <v>75447</v>
      </c>
      <c r="B27835" t="s">
        <v>50</v>
      </c>
      <c r="C27835">
        <v>75447</v>
      </c>
      <c r="D27835" t="str">
        <f>"75447"</f>
        <v>75447</v>
      </c>
      <c r="E27835">
        <v>75</v>
      </c>
    </row>
    <row r="27836" spans="1:5" x14ac:dyDescent="0.2">
      <c r="A27836">
        <v>75448</v>
      </c>
      <c r="B27836" t="s">
        <v>50</v>
      </c>
      <c r="C27836">
        <v>75448</v>
      </c>
      <c r="D27836" t="str">
        <f>"75448"</f>
        <v>75448</v>
      </c>
      <c r="E27836">
        <v>68.97</v>
      </c>
    </row>
    <row r="27837" spans="1:5" x14ac:dyDescent="0.2">
      <c r="A27837">
        <v>75449</v>
      </c>
      <c r="B27837" t="s">
        <v>50</v>
      </c>
      <c r="C27837">
        <v>75449</v>
      </c>
      <c r="D27837" t="str">
        <f>"75449"</f>
        <v>75449</v>
      </c>
      <c r="E27837">
        <v>60.98</v>
      </c>
    </row>
    <row r="27838" spans="1:5" x14ac:dyDescent="0.2">
      <c r="A27838">
        <v>75450</v>
      </c>
      <c r="B27838" t="s">
        <v>50</v>
      </c>
      <c r="C27838">
        <v>75450</v>
      </c>
      <c r="D27838" t="str">
        <f>"75450"</f>
        <v>75450</v>
      </c>
      <c r="E27838">
        <v>70</v>
      </c>
    </row>
    <row r="27839" spans="1:5" x14ac:dyDescent="0.2">
      <c r="A27839">
        <v>75451</v>
      </c>
      <c r="B27839" t="s">
        <v>50</v>
      </c>
      <c r="C27839">
        <v>75451</v>
      </c>
      <c r="D27839" t="str">
        <f>"75451"</f>
        <v>75451</v>
      </c>
      <c r="E27839">
        <v>65.31</v>
      </c>
    </row>
    <row r="27840" spans="1:5" x14ac:dyDescent="0.2">
      <c r="A27840">
        <v>75452</v>
      </c>
      <c r="B27840" t="s">
        <v>50</v>
      </c>
      <c r="C27840">
        <v>75452</v>
      </c>
      <c r="D27840" t="str">
        <f>"75452"</f>
        <v>75452</v>
      </c>
      <c r="E27840">
        <v>70</v>
      </c>
    </row>
    <row r="27841" spans="1:5" x14ac:dyDescent="0.2">
      <c r="A27841">
        <v>75453</v>
      </c>
      <c r="B27841" t="s">
        <v>50</v>
      </c>
      <c r="C27841">
        <v>75453</v>
      </c>
      <c r="D27841" t="str">
        <f>"75453"</f>
        <v>75453</v>
      </c>
      <c r="E27841">
        <v>69.59</v>
      </c>
    </row>
    <row r="27842" spans="1:5" x14ac:dyDescent="0.2">
      <c r="A27842">
        <v>75454</v>
      </c>
      <c r="B27842" t="s">
        <v>50</v>
      </c>
      <c r="C27842">
        <v>75454</v>
      </c>
      <c r="D27842" t="str">
        <f>"75454"</f>
        <v>75454</v>
      </c>
      <c r="E27842">
        <v>78.88</v>
      </c>
    </row>
    <row r="27843" spans="1:5" x14ac:dyDescent="0.2">
      <c r="A27843">
        <v>75455</v>
      </c>
      <c r="B27843" t="s">
        <v>50</v>
      </c>
      <c r="C27843">
        <v>75455</v>
      </c>
      <c r="D27843" t="str">
        <f>"75455"</f>
        <v>75455</v>
      </c>
      <c r="E27843">
        <v>58.51</v>
      </c>
    </row>
    <row r="27844" spans="1:5" x14ac:dyDescent="0.2">
      <c r="A27844">
        <v>75457</v>
      </c>
      <c r="B27844" t="s">
        <v>50</v>
      </c>
      <c r="C27844">
        <v>75457</v>
      </c>
      <c r="D27844" t="str">
        <f>"75457"</f>
        <v>75457</v>
      </c>
      <c r="E27844">
        <v>63.5</v>
      </c>
    </row>
    <row r="27845" spans="1:5" x14ac:dyDescent="0.2">
      <c r="A27845">
        <v>75458</v>
      </c>
      <c r="B27845" t="s">
        <v>50</v>
      </c>
      <c r="C27845">
        <v>75458</v>
      </c>
      <c r="D27845" t="str">
        <f>"75458"</f>
        <v>75458</v>
      </c>
      <c r="E27845" t="s">
        <v>6</v>
      </c>
    </row>
    <row r="27846" spans="1:5" x14ac:dyDescent="0.2">
      <c r="A27846">
        <v>75459</v>
      </c>
      <c r="B27846" t="s">
        <v>50</v>
      </c>
      <c r="C27846">
        <v>75459</v>
      </c>
      <c r="D27846" t="str">
        <f>"75459"</f>
        <v>75459</v>
      </c>
      <c r="E27846">
        <v>72.48</v>
      </c>
    </row>
    <row r="27847" spans="1:5" x14ac:dyDescent="0.2">
      <c r="A27847">
        <v>75460</v>
      </c>
      <c r="B27847" t="s">
        <v>50</v>
      </c>
      <c r="C27847">
        <v>75460</v>
      </c>
      <c r="D27847" t="str">
        <f>"75460"</f>
        <v>75460</v>
      </c>
      <c r="E27847">
        <v>55.79</v>
      </c>
    </row>
    <row r="27848" spans="1:5" x14ac:dyDescent="0.2">
      <c r="A27848">
        <v>75462</v>
      </c>
      <c r="B27848" t="s">
        <v>50</v>
      </c>
      <c r="C27848">
        <v>75462</v>
      </c>
      <c r="D27848" t="str">
        <f>"75462"</f>
        <v>75462</v>
      </c>
      <c r="E27848">
        <v>72.239999999999995</v>
      </c>
    </row>
    <row r="27849" spans="1:5" x14ac:dyDescent="0.2">
      <c r="A27849">
        <v>75468</v>
      </c>
      <c r="B27849" t="s">
        <v>50</v>
      </c>
      <c r="C27849">
        <v>75468</v>
      </c>
      <c r="D27849" t="str">
        <f>"75468"</f>
        <v>75468</v>
      </c>
      <c r="E27849">
        <v>69.77</v>
      </c>
    </row>
    <row r="27850" spans="1:5" x14ac:dyDescent="0.2">
      <c r="A27850">
        <v>75469</v>
      </c>
      <c r="B27850" t="s">
        <v>50</v>
      </c>
      <c r="C27850">
        <v>75469</v>
      </c>
      <c r="D27850" t="str">
        <f>"75469"</f>
        <v>75469</v>
      </c>
      <c r="E27850">
        <v>62.5</v>
      </c>
    </row>
    <row r="27851" spans="1:5" x14ac:dyDescent="0.2">
      <c r="A27851">
        <v>75470</v>
      </c>
      <c r="B27851" t="s">
        <v>50</v>
      </c>
      <c r="C27851">
        <v>75470</v>
      </c>
      <c r="D27851" t="str">
        <f>"75470"</f>
        <v>75470</v>
      </c>
      <c r="E27851">
        <v>50</v>
      </c>
    </row>
    <row r="27852" spans="1:5" x14ac:dyDescent="0.2">
      <c r="A27852">
        <v>75471</v>
      </c>
      <c r="B27852" t="s">
        <v>50</v>
      </c>
      <c r="C27852">
        <v>75471</v>
      </c>
      <c r="D27852" t="str">
        <f>"75471"</f>
        <v>75471</v>
      </c>
      <c r="E27852">
        <v>63.16</v>
      </c>
    </row>
    <row r="27853" spans="1:5" x14ac:dyDescent="0.2">
      <c r="A27853">
        <v>75472</v>
      </c>
      <c r="B27853" t="s">
        <v>50</v>
      </c>
      <c r="C27853">
        <v>75472</v>
      </c>
      <c r="D27853" t="str">
        <f>"75472"</f>
        <v>75472</v>
      </c>
      <c r="E27853">
        <v>64.67</v>
      </c>
    </row>
    <row r="27854" spans="1:5" x14ac:dyDescent="0.2">
      <c r="A27854">
        <v>75473</v>
      </c>
      <c r="B27854" t="s">
        <v>50</v>
      </c>
      <c r="C27854">
        <v>75473</v>
      </c>
      <c r="D27854" t="str">
        <f>"75473"</f>
        <v>75473</v>
      </c>
      <c r="E27854">
        <v>73.42</v>
      </c>
    </row>
    <row r="27855" spans="1:5" x14ac:dyDescent="0.2">
      <c r="A27855">
        <v>75474</v>
      </c>
      <c r="B27855" t="s">
        <v>50</v>
      </c>
      <c r="C27855">
        <v>75474</v>
      </c>
      <c r="D27855" t="str">
        <f>"75474"</f>
        <v>75474</v>
      </c>
      <c r="E27855">
        <v>63.93</v>
      </c>
    </row>
    <row r="27856" spans="1:5" x14ac:dyDescent="0.2">
      <c r="A27856">
        <v>75475</v>
      </c>
      <c r="B27856" t="s">
        <v>50</v>
      </c>
      <c r="C27856">
        <v>75475</v>
      </c>
      <c r="D27856" t="str">
        <f>"75475"</f>
        <v>75475</v>
      </c>
      <c r="E27856" t="s">
        <v>6</v>
      </c>
    </row>
    <row r="27857" spans="1:5" x14ac:dyDescent="0.2">
      <c r="A27857">
        <v>75476</v>
      </c>
      <c r="B27857" t="s">
        <v>50</v>
      </c>
      <c r="C27857">
        <v>75476</v>
      </c>
      <c r="D27857" t="str">
        <f>"75476"</f>
        <v>75476</v>
      </c>
      <c r="E27857">
        <v>73.58</v>
      </c>
    </row>
    <row r="27858" spans="1:5" x14ac:dyDescent="0.2">
      <c r="A27858">
        <v>75477</v>
      </c>
      <c r="B27858" t="s">
        <v>50</v>
      </c>
      <c r="C27858">
        <v>75477</v>
      </c>
      <c r="D27858" t="str">
        <f>"75477"</f>
        <v>75477</v>
      </c>
      <c r="E27858">
        <v>64.86</v>
      </c>
    </row>
    <row r="27859" spans="1:5" x14ac:dyDescent="0.2">
      <c r="A27859">
        <v>75478</v>
      </c>
      <c r="B27859" t="s">
        <v>50</v>
      </c>
      <c r="C27859">
        <v>75478</v>
      </c>
      <c r="D27859" t="str">
        <f>"75478"</f>
        <v>75478</v>
      </c>
      <c r="E27859">
        <v>61.54</v>
      </c>
    </row>
    <row r="27860" spans="1:5" x14ac:dyDescent="0.2">
      <c r="A27860">
        <v>75479</v>
      </c>
      <c r="B27860" t="s">
        <v>50</v>
      </c>
      <c r="C27860">
        <v>75479</v>
      </c>
      <c r="D27860" t="str">
        <f>"75479"</f>
        <v>75479</v>
      </c>
      <c r="E27860">
        <v>73.42</v>
      </c>
    </row>
    <row r="27861" spans="1:5" x14ac:dyDescent="0.2">
      <c r="A27861">
        <v>75480</v>
      </c>
      <c r="B27861" t="s">
        <v>50</v>
      </c>
      <c r="C27861">
        <v>75480</v>
      </c>
      <c r="D27861" t="str">
        <f>"75480"</f>
        <v>75480</v>
      </c>
      <c r="E27861">
        <v>68.75</v>
      </c>
    </row>
    <row r="27862" spans="1:5" x14ac:dyDescent="0.2">
      <c r="A27862">
        <v>75481</v>
      </c>
      <c r="B27862" t="s">
        <v>50</v>
      </c>
      <c r="C27862">
        <v>75481</v>
      </c>
      <c r="D27862" t="str">
        <f>"75481"</f>
        <v>75481</v>
      </c>
      <c r="E27862">
        <v>64.709999999999994</v>
      </c>
    </row>
    <row r="27863" spans="1:5" x14ac:dyDescent="0.2">
      <c r="A27863">
        <v>75482</v>
      </c>
      <c r="B27863" t="s">
        <v>50</v>
      </c>
      <c r="C27863">
        <v>75482</v>
      </c>
      <c r="D27863" t="str">
        <f>"75482"</f>
        <v>75482</v>
      </c>
      <c r="E27863">
        <v>63.13</v>
      </c>
    </row>
    <row r="27864" spans="1:5" x14ac:dyDescent="0.2">
      <c r="A27864">
        <v>75486</v>
      </c>
      <c r="B27864" t="s">
        <v>50</v>
      </c>
      <c r="C27864">
        <v>75486</v>
      </c>
      <c r="D27864" t="str">
        <f>"75486"</f>
        <v>75486</v>
      </c>
      <c r="E27864">
        <v>69.52</v>
      </c>
    </row>
    <row r="27865" spans="1:5" x14ac:dyDescent="0.2">
      <c r="A27865">
        <v>75487</v>
      </c>
      <c r="B27865" t="s">
        <v>50</v>
      </c>
      <c r="C27865">
        <v>75487</v>
      </c>
      <c r="D27865" t="str">
        <f>"75487"</f>
        <v>75487</v>
      </c>
      <c r="E27865">
        <v>60.71</v>
      </c>
    </row>
    <row r="27866" spans="1:5" x14ac:dyDescent="0.2">
      <c r="A27866">
        <v>75488</v>
      </c>
      <c r="B27866" t="s">
        <v>50</v>
      </c>
      <c r="C27866">
        <v>75488</v>
      </c>
      <c r="D27866" t="str">
        <f>"75488"</f>
        <v>75488</v>
      </c>
      <c r="E27866">
        <v>63.83</v>
      </c>
    </row>
    <row r="27867" spans="1:5" x14ac:dyDescent="0.2">
      <c r="A27867">
        <v>75489</v>
      </c>
      <c r="B27867" t="s">
        <v>50</v>
      </c>
      <c r="C27867">
        <v>75489</v>
      </c>
      <c r="D27867" t="str">
        <f>"75489"</f>
        <v>75489</v>
      </c>
      <c r="E27867" t="s">
        <v>6</v>
      </c>
    </row>
    <row r="27868" spans="1:5" x14ac:dyDescent="0.2">
      <c r="A27868">
        <v>75490</v>
      </c>
      <c r="B27868" t="s">
        <v>50</v>
      </c>
      <c r="C27868">
        <v>75490</v>
      </c>
      <c r="D27868" t="str">
        <f>"75490"</f>
        <v>75490</v>
      </c>
      <c r="E27868">
        <v>76.069999999999993</v>
      </c>
    </row>
    <row r="27869" spans="1:5" x14ac:dyDescent="0.2">
      <c r="A27869">
        <v>75491</v>
      </c>
      <c r="B27869" t="s">
        <v>50</v>
      </c>
      <c r="C27869">
        <v>75491</v>
      </c>
      <c r="D27869" t="str">
        <f>"75491"</f>
        <v>75491</v>
      </c>
      <c r="E27869">
        <v>68.44</v>
      </c>
    </row>
    <row r="27870" spans="1:5" x14ac:dyDescent="0.2">
      <c r="A27870">
        <v>75492</v>
      </c>
      <c r="B27870" t="s">
        <v>50</v>
      </c>
      <c r="C27870">
        <v>75492</v>
      </c>
      <c r="D27870" t="str">
        <f>"75492"</f>
        <v>75492</v>
      </c>
      <c r="E27870">
        <v>62.5</v>
      </c>
    </row>
    <row r="27871" spans="1:5" x14ac:dyDescent="0.2">
      <c r="A27871">
        <v>75493</v>
      </c>
      <c r="B27871" t="s">
        <v>50</v>
      </c>
      <c r="C27871">
        <v>75493</v>
      </c>
      <c r="D27871" t="str">
        <f>"75493"</f>
        <v>75493</v>
      </c>
      <c r="E27871" t="s">
        <v>6</v>
      </c>
    </row>
    <row r="27872" spans="1:5" x14ac:dyDescent="0.2">
      <c r="A27872">
        <v>75494</v>
      </c>
      <c r="B27872" t="s">
        <v>50</v>
      </c>
      <c r="C27872">
        <v>75494</v>
      </c>
      <c r="D27872" t="str">
        <f>"75494"</f>
        <v>75494</v>
      </c>
      <c r="E27872">
        <v>64.41</v>
      </c>
    </row>
    <row r="27873" spans="1:5" x14ac:dyDescent="0.2">
      <c r="A27873">
        <v>75495</v>
      </c>
      <c r="B27873" t="s">
        <v>50</v>
      </c>
      <c r="C27873">
        <v>75495</v>
      </c>
      <c r="D27873" t="str">
        <f>"75495"</f>
        <v>75495</v>
      </c>
      <c r="E27873">
        <v>75.13</v>
      </c>
    </row>
    <row r="27874" spans="1:5" x14ac:dyDescent="0.2">
      <c r="A27874">
        <v>75496</v>
      </c>
      <c r="B27874" t="s">
        <v>50</v>
      </c>
      <c r="C27874">
        <v>75496</v>
      </c>
      <c r="D27874" t="str">
        <f>"75496"</f>
        <v>75496</v>
      </c>
      <c r="E27874">
        <v>66.91</v>
      </c>
    </row>
    <row r="27875" spans="1:5" x14ac:dyDescent="0.2">
      <c r="A27875">
        <v>75497</v>
      </c>
      <c r="B27875" t="s">
        <v>50</v>
      </c>
      <c r="C27875">
        <v>75497</v>
      </c>
      <c r="D27875" t="str">
        <f>"75497"</f>
        <v>75497</v>
      </c>
      <c r="E27875">
        <v>70.12</v>
      </c>
    </row>
    <row r="27876" spans="1:5" x14ac:dyDescent="0.2">
      <c r="A27876">
        <v>75501</v>
      </c>
      <c r="B27876" t="s">
        <v>50</v>
      </c>
      <c r="C27876">
        <v>75501</v>
      </c>
      <c r="D27876" t="str">
        <f>"75501"</f>
        <v>75501</v>
      </c>
      <c r="E27876">
        <v>59.39</v>
      </c>
    </row>
    <row r="27877" spans="1:5" x14ac:dyDescent="0.2">
      <c r="A27877">
        <v>75503</v>
      </c>
      <c r="B27877" t="s">
        <v>50</v>
      </c>
      <c r="C27877">
        <v>75503</v>
      </c>
      <c r="D27877" t="str">
        <f>"75503"</f>
        <v>75503</v>
      </c>
      <c r="E27877">
        <v>72.069999999999993</v>
      </c>
    </row>
    <row r="27878" spans="1:5" x14ac:dyDescent="0.2">
      <c r="A27878">
        <v>75550</v>
      </c>
      <c r="B27878" t="s">
        <v>50</v>
      </c>
      <c r="C27878">
        <v>75550</v>
      </c>
      <c r="D27878" t="str">
        <f>"75550"</f>
        <v>75550</v>
      </c>
      <c r="E27878">
        <v>67.739999999999995</v>
      </c>
    </row>
    <row r="27879" spans="1:5" x14ac:dyDescent="0.2">
      <c r="A27879">
        <v>75551</v>
      </c>
      <c r="B27879" t="s">
        <v>50</v>
      </c>
      <c r="C27879">
        <v>75551</v>
      </c>
      <c r="D27879" t="str">
        <f>"75551"</f>
        <v>75551</v>
      </c>
      <c r="E27879">
        <v>66.67</v>
      </c>
    </row>
    <row r="27880" spans="1:5" x14ac:dyDescent="0.2">
      <c r="A27880">
        <v>75554</v>
      </c>
      <c r="B27880" t="s">
        <v>50</v>
      </c>
      <c r="C27880">
        <v>75554</v>
      </c>
      <c r="D27880" t="str">
        <f>"75554"</f>
        <v>75554</v>
      </c>
      <c r="E27880">
        <v>67.650000000000006</v>
      </c>
    </row>
    <row r="27881" spans="1:5" x14ac:dyDescent="0.2">
      <c r="A27881">
        <v>75555</v>
      </c>
      <c r="B27881" t="s">
        <v>50</v>
      </c>
      <c r="C27881">
        <v>75555</v>
      </c>
      <c r="D27881" t="str">
        <f>"75555"</f>
        <v>75555</v>
      </c>
      <c r="E27881">
        <v>61.67</v>
      </c>
    </row>
    <row r="27882" spans="1:5" x14ac:dyDescent="0.2">
      <c r="A27882">
        <v>75556</v>
      </c>
      <c r="B27882" t="s">
        <v>50</v>
      </c>
      <c r="C27882">
        <v>75556</v>
      </c>
      <c r="D27882" t="str">
        <f>"75556"</f>
        <v>75556</v>
      </c>
      <c r="E27882">
        <v>66.040000000000006</v>
      </c>
    </row>
    <row r="27883" spans="1:5" x14ac:dyDescent="0.2">
      <c r="A27883">
        <v>75558</v>
      </c>
      <c r="B27883" t="s">
        <v>50</v>
      </c>
      <c r="C27883">
        <v>75558</v>
      </c>
      <c r="D27883" t="str">
        <f>"75558"</f>
        <v>75558</v>
      </c>
      <c r="E27883">
        <v>69.84</v>
      </c>
    </row>
    <row r="27884" spans="1:5" x14ac:dyDescent="0.2">
      <c r="A27884">
        <v>75559</v>
      </c>
      <c r="B27884" t="s">
        <v>50</v>
      </c>
      <c r="C27884">
        <v>75559</v>
      </c>
      <c r="D27884" t="str">
        <f>"75559"</f>
        <v>75559</v>
      </c>
      <c r="E27884">
        <v>66.8</v>
      </c>
    </row>
    <row r="27885" spans="1:5" x14ac:dyDescent="0.2">
      <c r="A27885">
        <v>75560</v>
      </c>
      <c r="B27885" t="s">
        <v>50</v>
      </c>
      <c r="C27885">
        <v>75560</v>
      </c>
      <c r="D27885" t="str">
        <f>"75560"</f>
        <v>75560</v>
      </c>
      <c r="E27885">
        <v>65.12</v>
      </c>
    </row>
    <row r="27886" spans="1:5" x14ac:dyDescent="0.2">
      <c r="A27886">
        <v>75561</v>
      </c>
      <c r="B27886" t="s">
        <v>50</v>
      </c>
      <c r="C27886">
        <v>75561</v>
      </c>
      <c r="D27886" t="str">
        <f>"75561"</f>
        <v>75561</v>
      </c>
      <c r="E27886">
        <v>66.97</v>
      </c>
    </row>
    <row r="27887" spans="1:5" x14ac:dyDescent="0.2">
      <c r="A27887">
        <v>75562</v>
      </c>
      <c r="B27887" t="s">
        <v>50</v>
      </c>
      <c r="C27887">
        <v>75562</v>
      </c>
      <c r="D27887" t="str">
        <f>"75562"</f>
        <v>75562</v>
      </c>
      <c r="E27887" t="s">
        <v>6</v>
      </c>
    </row>
    <row r="27888" spans="1:5" x14ac:dyDescent="0.2">
      <c r="A27888">
        <v>75563</v>
      </c>
      <c r="B27888" t="s">
        <v>50</v>
      </c>
      <c r="C27888">
        <v>75563</v>
      </c>
      <c r="D27888" t="str">
        <f>"75563"</f>
        <v>75563</v>
      </c>
      <c r="E27888">
        <v>64.88</v>
      </c>
    </row>
    <row r="27889" spans="1:5" x14ac:dyDescent="0.2">
      <c r="A27889">
        <v>75564</v>
      </c>
      <c r="B27889" t="s">
        <v>50</v>
      </c>
      <c r="C27889">
        <v>75564</v>
      </c>
      <c r="D27889" t="str">
        <f>"75564"</f>
        <v>75564</v>
      </c>
      <c r="E27889" t="s">
        <v>6</v>
      </c>
    </row>
    <row r="27890" spans="1:5" x14ac:dyDescent="0.2">
      <c r="A27890">
        <v>75565</v>
      </c>
      <c r="B27890" t="s">
        <v>50</v>
      </c>
      <c r="C27890">
        <v>75565</v>
      </c>
      <c r="D27890" t="str">
        <f>"75565"</f>
        <v>75565</v>
      </c>
      <c r="E27890" t="s">
        <v>6</v>
      </c>
    </row>
    <row r="27891" spans="1:5" x14ac:dyDescent="0.2">
      <c r="A27891">
        <v>75566</v>
      </c>
      <c r="B27891" t="s">
        <v>50</v>
      </c>
      <c r="C27891">
        <v>75566</v>
      </c>
      <c r="D27891" t="str">
        <f>"75566"</f>
        <v>75566</v>
      </c>
      <c r="E27891">
        <v>58.62</v>
      </c>
    </row>
    <row r="27892" spans="1:5" x14ac:dyDescent="0.2">
      <c r="A27892">
        <v>75567</v>
      </c>
      <c r="B27892" t="s">
        <v>50</v>
      </c>
      <c r="C27892">
        <v>75567</v>
      </c>
      <c r="D27892" t="str">
        <f>"75567"</f>
        <v>75567</v>
      </c>
      <c r="E27892">
        <v>67.900000000000006</v>
      </c>
    </row>
    <row r="27893" spans="1:5" x14ac:dyDescent="0.2">
      <c r="A27893">
        <v>75568</v>
      </c>
      <c r="B27893" t="s">
        <v>50</v>
      </c>
      <c r="C27893">
        <v>75568</v>
      </c>
      <c r="D27893" t="str">
        <f>"75568"</f>
        <v>75568</v>
      </c>
      <c r="E27893">
        <v>62.07</v>
      </c>
    </row>
    <row r="27894" spans="1:5" x14ac:dyDescent="0.2">
      <c r="A27894">
        <v>75569</v>
      </c>
      <c r="B27894" t="s">
        <v>50</v>
      </c>
      <c r="C27894">
        <v>75569</v>
      </c>
      <c r="D27894" t="str">
        <f>"75569"</f>
        <v>75569</v>
      </c>
      <c r="E27894">
        <v>62.43</v>
      </c>
    </row>
    <row r="27895" spans="1:5" x14ac:dyDescent="0.2">
      <c r="A27895">
        <v>75570</v>
      </c>
      <c r="B27895" t="s">
        <v>50</v>
      </c>
      <c r="C27895">
        <v>75570</v>
      </c>
      <c r="D27895" t="str">
        <f>"75570"</f>
        <v>75570</v>
      </c>
      <c r="E27895">
        <v>66.92</v>
      </c>
    </row>
    <row r="27896" spans="1:5" x14ac:dyDescent="0.2">
      <c r="A27896">
        <v>75571</v>
      </c>
      <c r="B27896" t="s">
        <v>50</v>
      </c>
      <c r="C27896">
        <v>75571</v>
      </c>
      <c r="D27896" t="str">
        <f>"75571"</f>
        <v>75571</v>
      </c>
      <c r="E27896">
        <v>64.349999999999994</v>
      </c>
    </row>
    <row r="27897" spans="1:5" x14ac:dyDescent="0.2">
      <c r="A27897">
        <v>75572</v>
      </c>
      <c r="B27897" t="s">
        <v>50</v>
      </c>
      <c r="C27897">
        <v>75572</v>
      </c>
      <c r="D27897" t="str">
        <f>"75572"</f>
        <v>75572</v>
      </c>
      <c r="E27897">
        <v>66.88</v>
      </c>
    </row>
    <row r="27898" spans="1:5" x14ac:dyDescent="0.2">
      <c r="A27898">
        <v>75574</v>
      </c>
      <c r="B27898" t="s">
        <v>50</v>
      </c>
      <c r="C27898">
        <v>75574</v>
      </c>
      <c r="D27898" t="str">
        <f>"75574"</f>
        <v>75574</v>
      </c>
      <c r="E27898">
        <v>72.37</v>
      </c>
    </row>
    <row r="27899" spans="1:5" x14ac:dyDescent="0.2">
      <c r="A27899">
        <v>75601</v>
      </c>
      <c r="B27899" t="s">
        <v>50</v>
      </c>
      <c r="C27899">
        <v>75601</v>
      </c>
      <c r="D27899" t="str">
        <f>"75601"</f>
        <v>75601</v>
      </c>
      <c r="E27899">
        <v>61.51</v>
      </c>
    </row>
    <row r="27900" spans="1:5" x14ac:dyDescent="0.2">
      <c r="A27900">
        <v>75602</v>
      </c>
      <c r="B27900" t="s">
        <v>50</v>
      </c>
      <c r="C27900">
        <v>75602</v>
      </c>
      <c r="D27900" t="str">
        <f>"75602"</f>
        <v>75602</v>
      </c>
      <c r="E27900">
        <v>49.65</v>
      </c>
    </row>
    <row r="27901" spans="1:5" x14ac:dyDescent="0.2">
      <c r="A27901">
        <v>75603</v>
      </c>
      <c r="B27901" t="s">
        <v>50</v>
      </c>
      <c r="C27901">
        <v>75603</v>
      </c>
      <c r="D27901" t="str">
        <f>"75603"</f>
        <v>75603</v>
      </c>
      <c r="E27901">
        <v>63.49</v>
      </c>
    </row>
    <row r="27902" spans="1:5" x14ac:dyDescent="0.2">
      <c r="A27902">
        <v>75604</v>
      </c>
      <c r="B27902" t="s">
        <v>50</v>
      </c>
      <c r="C27902">
        <v>75604</v>
      </c>
      <c r="D27902" t="str">
        <f>"75604"</f>
        <v>75604</v>
      </c>
      <c r="E27902">
        <v>62.09</v>
      </c>
    </row>
    <row r="27903" spans="1:5" x14ac:dyDescent="0.2">
      <c r="A27903">
        <v>75605</v>
      </c>
      <c r="B27903" t="s">
        <v>50</v>
      </c>
      <c r="C27903">
        <v>75605</v>
      </c>
      <c r="D27903" t="str">
        <f>"75605"</f>
        <v>75605</v>
      </c>
      <c r="E27903">
        <v>72.73</v>
      </c>
    </row>
    <row r="27904" spans="1:5" x14ac:dyDescent="0.2">
      <c r="A27904">
        <v>75630</v>
      </c>
      <c r="B27904" t="s">
        <v>50</v>
      </c>
      <c r="C27904">
        <v>75630</v>
      </c>
      <c r="D27904" t="str">
        <f>"75630"</f>
        <v>75630</v>
      </c>
      <c r="E27904">
        <v>68</v>
      </c>
    </row>
    <row r="27905" spans="1:5" x14ac:dyDescent="0.2">
      <c r="A27905">
        <v>75631</v>
      </c>
      <c r="B27905" t="s">
        <v>50</v>
      </c>
      <c r="C27905">
        <v>75631</v>
      </c>
      <c r="D27905" t="str">
        <f>"75631"</f>
        <v>75631</v>
      </c>
      <c r="E27905">
        <v>68.930000000000007</v>
      </c>
    </row>
    <row r="27906" spans="1:5" x14ac:dyDescent="0.2">
      <c r="A27906">
        <v>75633</v>
      </c>
      <c r="B27906" t="s">
        <v>50</v>
      </c>
      <c r="C27906">
        <v>75633</v>
      </c>
      <c r="D27906" t="str">
        <f>"75633"</f>
        <v>75633</v>
      </c>
      <c r="E27906">
        <v>66.83</v>
      </c>
    </row>
    <row r="27907" spans="1:5" x14ac:dyDescent="0.2">
      <c r="A27907">
        <v>75638</v>
      </c>
      <c r="B27907" t="s">
        <v>50</v>
      </c>
      <c r="C27907">
        <v>75638</v>
      </c>
      <c r="D27907" t="str">
        <f>"75638"</f>
        <v>75638</v>
      </c>
      <c r="E27907">
        <v>58.74</v>
      </c>
    </row>
    <row r="27908" spans="1:5" x14ac:dyDescent="0.2">
      <c r="A27908">
        <v>75639</v>
      </c>
      <c r="B27908" t="s">
        <v>50</v>
      </c>
      <c r="C27908">
        <v>75639</v>
      </c>
      <c r="D27908" t="str">
        <f>"75639"</f>
        <v>75639</v>
      </c>
      <c r="E27908">
        <v>68.180000000000007</v>
      </c>
    </row>
    <row r="27909" spans="1:5" x14ac:dyDescent="0.2">
      <c r="A27909">
        <v>75640</v>
      </c>
      <c r="B27909" t="s">
        <v>50</v>
      </c>
      <c r="C27909">
        <v>75640</v>
      </c>
      <c r="D27909" t="str">
        <f>"75640"</f>
        <v>75640</v>
      </c>
      <c r="E27909">
        <v>69.86</v>
      </c>
    </row>
    <row r="27910" spans="1:5" x14ac:dyDescent="0.2">
      <c r="A27910">
        <v>75641</v>
      </c>
      <c r="B27910" t="s">
        <v>50</v>
      </c>
      <c r="C27910">
        <v>75641</v>
      </c>
      <c r="D27910" t="str">
        <f>"75641"</f>
        <v>75641</v>
      </c>
      <c r="E27910" t="s">
        <v>6</v>
      </c>
    </row>
    <row r="27911" spans="1:5" x14ac:dyDescent="0.2">
      <c r="A27911">
        <v>75642</v>
      </c>
      <c r="B27911" t="s">
        <v>50</v>
      </c>
      <c r="C27911">
        <v>75642</v>
      </c>
      <c r="D27911" t="str">
        <f>"75642"</f>
        <v>75642</v>
      </c>
      <c r="E27911" t="s">
        <v>6</v>
      </c>
    </row>
    <row r="27912" spans="1:5" x14ac:dyDescent="0.2">
      <c r="A27912">
        <v>75643</v>
      </c>
      <c r="B27912" t="s">
        <v>50</v>
      </c>
      <c r="C27912">
        <v>75643</v>
      </c>
      <c r="D27912" t="str">
        <f>"75643"</f>
        <v>75643</v>
      </c>
      <c r="E27912">
        <v>63.75</v>
      </c>
    </row>
    <row r="27913" spans="1:5" x14ac:dyDescent="0.2">
      <c r="A27913">
        <v>75644</v>
      </c>
      <c r="B27913" t="s">
        <v>50</v>
      </c>
      <c r="C27913">
        <v>75644</v>
      </c>
      <c r="D27913" t="str">
        <f>"75644"</f>
        <v>75644</v>
      </c>
      <c r="E27913">
        <v>63.39</v>
      </c>
    </row>
    <row r="27914" spans="1:5" x14ac:dyDescent="0.2">
      <c r="A27914">
        <v>75645</v>
      </c>
      <c r="B27914" t="s">
        <v>50</v>
      </c>
      <c r="C27914">
        <v>75645</v>
      </c>
      <c r="D27914" t="str">
        <f>"75645"</f>
        <v>75645</v>
      </c>
      <c r="E27914">
        <v>64.900000000000006</v>
      </c>
    </row>
    <row r="27915" spans="1:5" x14ac:dyDescent="0.2">
      <c r="A27915">
        <v>75647</v>
      </c>
      <c r="B27915" t="s">
        <v>50</v>
      </c>
      <c r="C27915">
        <v>75647</v>
      </c>
      <c r="D27915" t="str">
        <f>"75647"</f>
        <v>75647</v>
      </c>
      <c r="E27915">
        <v>64.2</v>
      </c>
    </row>
    <row r="27916" spans="1:5" x14ac:dyDescent="0.2">
      <c r="A27916">
        <v>75650</v>
      </c>
      <c r="B27916" t="s">
        <v>50</v>
      </c>
      <c r="C27916">
        <v>75650</v>
      </c>
      <c r="D27916" t="str">
        <f>"75650"</f>
        <v>75650</v>
      </c>
      <c r="E27916">
        <v>69.489999999999995</v>
      </c>
    </row>
    <row r="27917" spans="1:5" x14ac:dyDescent="0.2">
      <c r="A27917">
        <v>75651</v>
      </c>
      <c r="B27917" t="s">
        <v>50</v>
      </c>
      <c r="C27917">
        <v>75651</v>
      </c>
      <c r="D27917" t="str">
        <f>"75651"</f>
        <v>75651</v>
      </c>
      <c r="E27917">
        <v>68.09</v>
      </c>
    </row>
    <row r="27918" spans="1:5" x14ac:dyDescent="0.2">
      <c r="A27918">
        <v>75652</v>
      </c>
      <c r="B27918" t="s">
        <v>50</v>
      </c>
      <c r="C27918">
        <v>75652</v>
      </c>
      <c r="D27918" t="str">
        <f>"75652"</f>
        <v>75652</v>
      </c>
      <c r="E27918">
        <v>63.31</v>
      </c>
    </row>
    <row r="27919" spans="1:5" x14ac:dyDescent="0.2">
      <c r="A27919">
        <v>75654</v>
      </c>
      <c r="B27919" t="s">
        <v>50</v>
      </c>
      <c r="C27919">
        <v>75654</v>
      </c>
      <c r="D27919" t="str">
        <f>"75654"</f>
        <v>75654</v>
      </c>
      <c r="E27919">
        <v>64.599999999999994</v>
      </c>
    </row>
    <row r="27920" spans="1:5" x14ac:dyDescent="0.2">
      <c r="A27920">
        <v>75656</v>
      </c>
      <c r="B27920" t="s">
        <v>50</v>
      </c>
      <c r="C27920">
        <v>75656</v>
      </c>
      <c r="D27920" t="str">
        <f>"75656"</f>
        <v>75656</v>
      </c>
      <c r="E27920">
        <v>61.98</v>
      </c>
    </row>
    <row r="27921" spans="1:5" x14ac:dyDescent="0.2">
      <c r="A27921">
        <v>75657</v>
      </c>
      <c r="B27921" t="s">
        <v>50</v>
      </c>
      <c r="C27921">
        <v>75657</v>
      </c>
      <c r="D27921" t="str">
        <f>"75657"</f>
        <v>75657</v>
      </c>
      <c r="E27921">
        <v>62.38</v>
      </c>
    </row>
    <row r="27922" spans="1:5" x14ac:dyDescent="0.2">
      <c r="A27922">
        <v>75661</v>
      </c>
      <c r="B27922" t="s">
        <v>50</v>
      </c>
      <c r="C27922">
        <v>75661</v>
      </c>
      <c r="D27922" t="str">
        <f>"75661"</f>
        <v>75661</v>
      </c>
      <c r="E27922">
        <v>62.75</v>
      </c>
    </row>
    <row r="27923" spans="1:5" x14ac:dyDescent="0.2">
      <c r="A27923">
        <v>75662</v>
      </c>
      <c r="B27923" t="s">
        <v>50</v>
      </c>
      <c r="C27923">
        <v>75662</v>
      </c>
      <c r="D27923" t="str">
        <f>"75662"</f>
        <v>75662</v>
      </c>
      <c r="E27923">
        <v>63.2</v>
      </c>
    </row>
    <row r="27924" spans="1:5" x14ac:dyDescent="0.2">
      <c r="A27924">
        <v>75667</v>
      </c>
      <c r="B27924" t="s">
        <v>50</v>
      </c>
      <c r="C27924">
        <v>75667</v>
      </c>
      <c r="D27924" t="str">
        <f>"75667"</f>
        <v>75667</v>
      </c>
      <c r="E27924">
        <v>64.58</v>
      </c>
    </row>
    <row r="27925" spans="1:5" x14ac:dyDescent="0.2">
      <c r="A27925">
        <v>75668</v>
      </c>
      <c r="B27925" t="s">
        <v>50</v>
      </c>
      <c r="C27925">
        <v>75668</v>
      </c>
      <c r="D27925" t="str">
        <f>"75668"</f>
        <v>75668</v>
      </c>
      <c r="E27925">
        <v>57.14</v>
      </c>
    </row>
    <row r="27926" spans="1:5" x14ac:dyDescent="0.2">
      <c r="A27926">
        <v>75669</v>
      </c>
      <c r="B27926" t="s">
        <v>50</v>
      </c>
      <c r="C27926">
        <v>75669</v>
      </c>
      <c r="D27926" t="str">
        <f>"75669"</f>
        <v>75669</v>
      </c>
      <c r="E27926">
        <v>72</v>
      </c>
    </row>
    <row r="27927" spans="1:5" x14ac:dyDescent="0.2">
      <c r="A27927">
        <v>75670</v>
      </c>
      <c r="B27927" t="s">
        <v>50</v>
      </c>
      <c r="C27927">
        <v>75670</v>
      </c>
      <c r="D27927" t="str">
        <f>"75670"</f>
        <v>75670</v>
      </c>
      <c r="E27927">
        <v>51.79</v>
      </c>
    </row>
    <row r="27928" spans="1:5" x14ac:dyDescent="0.2">
      <c r="A27928">
        <v>75672</v>
      </c>
      <c r="B27928" t="s">
        <v>50</v>
      </c>
      <c r="C27928">
        <v>75672</v>
      </c>
      <c r="D27928" t="str">
        <f>"75672"</f>
        <v>75672</v>
      </c>
      <c r="E27928">
        <v>66.430000000000007</v>
      </c>
    </row>
    <row r="27929" spans="1:5" x14ac:dyDescent="0.2">
      <c r="A27929">
        <v>75681</v>
      </c>
      <c r="B27929" t="s">
        <v>50</v>
      </c>
      <c r="C27929">
        <v>75681</v>
      </c>
      <c r="D27929" t="str">
        <f>"75681"</f>
        <v>75681</v>
      </c>
      <c r="E27929">
        <v>61.82</v>
      </c>
    </row>
    <row r="27930" spans="1:5" x14ac:dyDescent="0.2">
      <c r="A27930">
        <v>75683</v>
      </c>
      <c r="B27930" t="s">
        <v>50</v>
      </c>
      <c r="C27930">
        <v>75683</v>
      </c>
      <c r="D27930" t="str">
        <f>"75683"</f>
        <v>75683</v>
      </c>
      <c r="E27930">
        <v>59.73</v>
      </c>
    </row>
    <row r="27931" spans="1:5" x14ac:dyDescent="0.2">
      <c r="A27931">
        <v>75684</v>
      </c>
      <c r="B27931" t="s">
        <v>50</v>
      </c>
      <c r="C27931">
        <v>75684</v>
      </c>
      <c r="D27931" t="str">
        <f>"75684"</f>
        <v>75684</v>
      </c>
      <c r="E27931">
        <v>61.14</v>
      </c>
    </row>
    <row r="27932" spans="1:5" x14ac:dyDescent="0.2">
      <c r="A27932">
        <v>75686</v>
      </c>
      <c r="B27932" t="s">
        <v>50</v>
      </c>
      <c r="C27932">
        <v>75686</v>
      </c>
      <c r="D27932" t="str">
        <f>"75686"</f>
        <v>75686</v>
      </c>
      <c r="E27932">
        <v>62.41</v>
      </c>
    </row>
    <row r="27933" spans="1:5" x14ac:dyDescent="0.2">
      <c r="A27933">
        <v>75688</v>
      </c>
      <c r="B27933" t="s">
        <v>50</v>
      </c>
      <c r="C27933">
        <v>75688</v>
      </c>
      <c r="D27933" t="str">
        <f>"75688"</f>
        <v>75688</v>
      </c>
      <c r="E27933" t="s">
        <v>6</v>
      </c>
    </row>
    <row r="27934" spans="1:5" x14ac:dyDescent="0.2">
      <c r="A27934">
        <v>75691</v>
      </c>
      <c r="B27934" t="s">
        <v>50</v>
      </c>
      <c r="C27934">
        <v>75691</v>
      </c>
      <c r="D27934" t="str">
        <f>"75691"</f>
        <v>75691</v>
      </c>
      <c r="E27934">
        <v>67.209999999999994</v>
      </c>
    </row>
    <row r="27935" spans="1:5" x14ac:dyDescent="0.2">
      <c r="A27935">
        <v>75692</v>
      </c>
      <c r="B27935" t="s">
        <v>50</v>
      </c>
      <c r="C27935">
        <v>75692</v>
      </c>
      <c r="D27935" t="str">
        <f>"75692"</f>
        <v>75692</v>
      </c>
      <c r="E27935">
        <v>65.7</v>
      </c>
    </row>
    <row r="27936" spans="1:5" x14ac:dyDescent="0.2">
      <c r="A27936">
        <v>75693</v>
      </c>
      <c r="B27936" t="s">
        <v>50</v>
      </c>
      <c r="C27936">
        <v>75693</v>
      </c>
      <c r="D27936" t="str">
        <f>"75693"</f>
        <v>75693</v>
      </c>
      <c r="E27936">
        <v>69.53</v>
      </c>
    </row>
    <row r="27937" spans="1:5" x14ac:dyDescent="0.2">
      <c r="A27937">
        <v>75701</v>
      </c>
      <c r="B27937" t="s">
        <v>50</v>
      </c>
      <c r="C27937">
        <v>75701</v>
      </c>
      <c r="D27937" t="str">
        <f>"75701"</f>
        <v>75701</v>
      </c>
      <c r="E27937">
        <v>64.12</v>
      </c>
    </row>
    <row r="27938" spans="1:5" x14ac:dyDescent="0.2">
      <c r="A27938">
        <v>75702</v>
      </c>
      <c r="B27938" t="s">
        <v>50</v>
      </c>
      <c r="C27938">
        <v>75702</v>
      </c>
      <c r="D27938" t="str">
        <f>"75702"</f>
        <v>75702</v>
      </c>
      <c r="E27938">
        <v>48.9</v>
      </c>
    </row>
    <row r="27939" spans="1:5" x14ac:dyDescent="0.2">
      <c r="A27939">
        <v>75703</v>
      </c>
      <c r="B27939" t="s">
        <v>50</v>
      </c>
      <c r="C27939">
        <v>75703</v>
      </c>
      <c r="D27939" t="str">
        <f>"75703"</f>
        <v>75703</v>
      </c>
      <c r="E27939">
        <v>74.28</v>
      </c>
    </row>
    <row r="27940" spans="1:5" x14ac:dyDescent="0.2">
      <c r="A27940">
        <v>75704</v>
      </c>
      <c r="B27940" t="s">
        <v>50</v>
      </c>
      <c r="C27940">
        <v>75704</v>
      </c>
      <c r="D27940" t="str">
        <f>"75704"</f>
        <v>75704</v>
      </c>
      <c r="E27940">
        <v>59.8</v>
      </c>
    </row>
    <row r="27941" spans="1:5" x14ac:dyDescent="0.2">
      <c r="A27941">
        <v>75705</v>
      </c>
      <c r="B27941" t="s">
        <v>50</v>
      </c>
      <c r="C27941">
        <v>75705</v>
      </c>
      <c r="D27941" t="str">
        <f>"75705"</f>
        <v>75705</v>
      </c>
      <c r="E27941">
        <v>58.76</v>
      </c>
    </row>
    <row r="27942" spans="1:5" x14ac:dyDescent="0.2">
      <c r="A27942">
        <v>75706</v>
      </c>
      <c r="B27942" t="s">
        <v>50</v>
      </c>
      <c r="C27942">
        <v>75706</v>
      </c>
      <c r="D27942" t="str">
        <f>"75706"</f>
        <v>75706</v>
      </c>
      <c r="E27942">
        <v>55.64</v>
      </c>
    </row>
    <row r="27943" spans="1:5" x14ac:dyDescent="0.2">
      <c r="A27943">
        <v>75707</v>
      </c>
      <c r="B27943" t="s">
        <v>50</v>
      </c>
      <c r="C27943">
        <v>75707</v>
      </c>
      <c r="D27943" t="str">
        <f>"75707"</f>
        <v>75707</v>
      </c>
      <c r="E27943">
        <v>71.88</v>
      </c>
    </row>
    <row r="27944" spans="1:5" x14ac:dyDescent="0.2">
      <c r="A27944">
        <v>75708</v>
      </c>
      <c r="B27944" t="s">
        <v>50</v>
      </c>
      <c r="C27944">
        <v>75708</v>
      </c>
      <c r="D27944" t="str">
        <f>"75708"</f>
        <v>75708</v>
      </c>
      <c r="E27944">
        <v>52.2</v>
      </c>
    </row>
    <row r="27945" spans="1:5" x14ac:dyDescent="0.2">
      <c r="A27945">
        <v>75709</v>
      </c>
      <c r="B27945" t="s">
        <v>50</v>
      </c>
      <c r="C27945">
        <v>75709</v>
      </c>
      <c r="D27945" t="str">
        <f>"75709"</f>
        <v>75709</v>
      </c>
      <c r="E27945">
        <v>69.55</v>
      </c>
    </row>
    <row r="27946" spans="1:5" x14ac:dyDescent="0.2">
      <c r="A27946">
        <v>75750</v>
      </c>
      <c r="B27946" t="s">
        <v>50</v>
      </c>
      <c r="C27946">
        <v>75750</v>
      </c>
      <c r="D27946" t="str">
        <f>"75750"</f>
        <v>75750</v>
      </c>
      <c r="E27946">
        <v>67.47</v>
      </c>
    </row>
    <row r="27947" spans="1:5" x14ac:dyDescent="0.2">
      <c r="A27947">
        <v>75751</v>
      </c>
      <c r="B27947" t="s">
        <v>50</v>
      </c>
      <c r="C27947">
        <v>75751</v>
      </c>
      <c r="D27947" t="str">
        <f>"75751"</f>
        <v>75751</v>
      </c>
      <c r="E27947">
        <v>62.21</v>
      </c>
    </row>
    <row r="27948" spans="1:5" x14ac:dyDescent="0.2">
      <c r="A27948">
        <v>75752</v>
      </c>
      <c r="B27948" t="s">
        <v>50</v>
      </c>
      <c r="C27948">
        <v>75752</v>
      </c>
      <c r="D27948" t="str">
        <f>"75752"</f>
        <v>75752</v>
      </c>
      <c r="E27948">
        <v>67.959999999999994</v>
      </c>
    </row>
    <row r="27949" spans="1:5" x14ac:dyDescent="0.2">
      <c r="A27949">
        <v>75754</v>
      </c>
      <c r="B27949" t="s">
        <v>50</v>
      </c>
      <c r="C27949">
        <v>75754</v>
      </c>
      <c r="D27949" t="str">
        <f>"75754"</f>
        <v>75754</v>
      </c>
      <c r="E27949">
        <v>65.87</v>
      </c>
    </row>
    <row r="27950" spans="1:5" x14ac:dyDescent="0.2">
      <c r="A27950">
        <v>75755</v>
      </c>
      <c r="B27950" t="s">
        <v>50</v>
      </c>
      <c r="C27950">
        <v>75755</v>
      </c>
      <c r="D27950" t="str">
        <f>"75755"</f>
        <v>75755</v>
      </c>
      <c r="E27950">
        <v>63.72</v>
      </c>
    </row>
    <row r="27951" spans="1:5" x14ac:dyDescent="0.2">
      <c r="A27951">
        <v>75756</v>
      </c>
      <c r="B27951" t="s">
        <v>50</v>
      </c>
      <c r="C27951">
        <v>75756</v>
      </c>
      <c r="D27951" t="str">
        <f>"75756"</f>
        <v>75756</v>
      </c>
      <c r="E27951">
        <v>65.709999999999994</v>
      </c>
    </row>
    <row r="27952" spans="1:5" x14ac:dyDescent="0.2">
      <c r="A27952">
        <v>75757</v>
      </c>
      <c r="B27952" t="s">
        <v>50</v>
      </c>
      <c r="C27952">
        <v>75757</v>
      </c>
      <c r="D27952" t="str">
        <f>"75757"</f>
        <v>75757</v>
      </c>
      <c r="E27952">
        <v>73.430000000000007</v>
      </c>
    </row>
    <row r="27953" spans="1:5" x14ac:dyDescent="0.2">
      <c r="A27953">
        <v>75758</v>
      </c>
      <c r="B27953" t="s">
        <v>50</v>
      </c>
      <c r="C27953">
        <v>75758</v>
      </c>
      <c r="D27953" t="str">
        <f>"75758"</f>
        <v>75758</v>
      </c>
      <c r="E27953">
        <v>68.540000000000006</v>
      </c>
    </row>
    <row r="27954" spans="1:5" x14ac:dyDescent="0.2">
      <c r="A27954">
        <v>75759</v>
      </c>
      <c r="B27954" t="s">
        <v>50</v>
      </c>
      <c r="C27954">
        <v>75759</v>
      </c>
      <c r="D27954" t="str">
        <f>"75759"</f>
        <v>75759</v>
      </c>
      <c r="E27954" t="s">
        <v>6</v>
      </c>
    </row>
    <row r="27955" spans="1:5" x14ac:dyDescent="0.2">
      <c r="A27955">
        <v>75760</v>
      </c>
      <c r="B27955" t="s">
        <v>50</v>
      </c>
      <c r="C27955">
        <v>75760</v>
      </c>
      <c r="D27955" t="str">
        <f>"75760"</f>
        <v>75760</v>
      </c>
      <c r="E27955">
        <v>64.58</v>
      </c>
    </row>
    <row r="27956" spans="1:5" x14ac:dyDescent="0.2">
      <c r="A27956">
        <v>75762</v>
      </c>
      <c r="B27956" t="s">
        <v>50</v>
      </c>
      <c r="C27956">
        <v>75762</v>
      </c>
      <c r="D27956" t="str">
        <f>"75762"</f>
        <v>75762</v>
      </c>
      <c r="E27956">
        <v>74.430000000000007</v>
      </c>
    </row>
    <row r="27957" spans="1:5" x14ac:dyDescent="0.2">
      <c r="A27957">
        <v>75763</v>
      </c>
      <c r="B27957" t="s">
        <v>50</v>
      </c>
      <c r="C27957">
        <v>75763</v>
      </c>
      <c r="D27957" t="str">
        <f>"75763"</f>
        <v>75763</v>
      </c>
      <c r="E27957">
        <v>68.44</v>
      </c>
    </row>
    <row r="27958" spans="1:5" x14ac:dyDescent="0.2">
      <c r="A27958">
        <v>75764</v>
      </c>
      <c r="B27958" t="s">
        <v>50</v>
      </c>
      <c r="C27958">
        <v>75764</v>
      </c>
      <c r="D27958" t="str">
        <f>"75764"</f>
        <v>75764</v>
      </c>
      <c r="E27958" t="s">
        <v>6</v>
      </c>
    </row>
    <row r="27959" spans="1:5" x14ac:dyDescent="0.2">
      <c r="A27959">
        <v>75765</v>
      </c>
      <c r="B27959" t="s">
        <v>50</v>
      </c>
      <c r="C27959">
        <v>75765</v>
      </c>
      <c r="D27959" t="str">
        <f>"75765"</f>
        <v>75765</v>
      </c>
      <c r="E27959">
        <v>69.91</v>
      </c>
    </row>
    <row r="27960" spans="1:5" x14ac:dyDescent="0.2">
      <c r="A27960">
        <v>75766</v>
      </c>
      <c r="B27960" t="s">
        <v>50</v>
      </c>
      <c r="C27960">
        <v>75766</v>
      </c>
      <c r="D27960" t="str">
        <f>"75766"</f>
        <v>75766</v>
      </c>
      <c r="E27960">
        <v>57.9</v>
      </c>
    </row>
    <row r="27961" spans="1:5" x14ac:dyDescent="0.2">
      <c r="A27961">
        <v>75770</v>
      </c>
      <c r="B27961" t="s">
        <v>50</v>
      </c>
      <c r="C27961">
        <v>75770</v>
      </c>
      <c r="D27961" t="str">
        <f>"75770"</f>
        <v>75770</v>
      </c>
      <c r="E27961">
        <v>69.23</v>
      </c>
    </row>
    <row r="27962" spans="1:5" x14ac:dyDescent="0.2">
      <c r="A27962">
        <v>75771</v>
      </c>
      <c r="B27962" t="s">
        <v>50</v>
      </c>
      <c r="C27962">
        <v>75771</v>
      </c>
      <c r="D27962" t="str">
        <f>"75771"</f>
        <v>75771</v>
      </c>
      <c r="E27962">
        <v>70.27</v>
      </c>
    </row>
    <row r="27963" spans="1:5" x14ac:dyDescent="0.2">
      <c r="A27963">
        <v>75773</v>
      </c>
      <c r="B27963" t="s">
        <v>50</v>
      </c>
      <c r="C27963">
        <v>75773</v>
      </c>
      <c r="D27963" t="str">
        <f>"75773"</f>
        <v>75773</v>
      </c>
      <c r="E27963">
        <v>65.540000000000006</v>
      </c>
    </row>
    <row r="27964" spans="1:5" x14ac:dyDescent="0.2">
      <c r="A27964">
        <v>75778</v>
      </c>
      <c r="B27964" t="s">
        <v>50</v>
      </c>
      <c r="C27964">
        <v>75778</v>
      </c>
      <c r="D27964" t="str">
        <f>"75778"</f>
        <v>75778</v>
      </c>
      <c r="E27964">
        <v>65.19</v>
      </c>
    </row>
    <row r="27965" spans="1:5" x14ac:dyDescent="0.2">
      <c r="A27965">
        <v>75779</v>
      </c>
      <c r="B27965" t="s">
        <v>50</v>
      </c>
      <c r="C27965">
        <v>75779</v>
      </c>
      <c r="D27965" t="str">
        <f>"75779"</f>
        <v>75779</v>
      </c>
      <c r="E27965" t="s">
        <v>6</v>
      </c>
    </row>
    <row r="27966" spans="1:5" x14ac:dyDescent="0.2">
      <c r="A27966">
        <v>75783</v>
      </c>
      <c r="B27966" t="s">
        <v>50</v>
      </c>
      <c r="C27966">
        <v>75783</v>
      </c>
      <c r="D27966" t="str">
        <f>"75783"</f>
        <v>75783</v>
      </c>
      <c r="E27966">
        <v>68.73</v>
      </c>
    </row>
    <row r="27967" spans="1:5" x14ac:dyDescent="0.2">
      <c r="A27967">
        <v>75784</v>
      </c>
      <c r="B27967" t="s">
        <v>50</v>
      </c>
      <c r="C27967">
        <v>75784</v>
      </c>
      <c r="D27967" t="str">
        <f>"75784"</f>
        <v>75784</v>
      </c>
      <c r="E27967">
        <v>54.84</v>
      </c>
    </row>
    <row r="27968" spans="1:5" x14ac:dyDescent="0.2">
      <c r="A27968">
        <v>75785</v>
      </c>
      <c r="B27968" t="s">
        <v>50</v>
      </c>
      <c r="C27968">
        <v>75785</v>
      </c>
      <c r="D27968" t="str">
        <f>"75785"</f>
        <v>75785</v>
      </c>
      <c r="E27968">
        <v>63.37</v>
      </c>
    </row>
    <row r="27969" spans="1:5" x14ac:dyDescent="0.2">
      <c r="A27969">
        <v>75788</v>
      </c>
      <c r="B27969" t="s">
        <v>50</v>
      </c>
      <c r="C27969">
        <v>75788</v>
      </c>
      <c r="D27969" t="str">
        <f>"75788"</f>
        <v>75788</v>
      </c>
      <c r="E27969" t="s">
        <v>6</v>
      </c>
    </row>
    <row r="27970" spans="1:5" x14ac:dyDescent="0.2">
      <c r="A27970">
        <v>75789</v>
      </c>
      <c r="B27970" t="s">
        <v>50</v>
      </c>
      <c r="C27970">
        <v>75789</v>
      </c>
      <c r="D27970" t="str">
        <f>"75789"</f>
        <v>75789</v>
      </c>
      <c r="E27970">
        <v>67.27</v>
      </c>
    </row>
    <row r="27971" spans="1:5" x14ac:dyDescent="0.2">
      <c r="A27971">
        <v>75790</v>
      </c>
      <c r="B27971" t="s">
        <v>50</v>
      </c>
      <c r="C27971">
        <v>75790</v>
      </c>
      <c r="D27971" t="str">
        <f>"75790"</f>
        <v>75790</v>
      </c>
      <c r="E27971">
        <v>65.5</v>
      </c>
    </row>
    <row r="27972" spans="1:5" x14ac:dyDescent="0.2">
      <c r="A27972">
        <v>75791</v>
      </c>
      <c r="B27972" t="s">
        <v>50</v>
      </c>
      <c r="C27972">
        <v>75791</v>
      </c>
      <c r="D27972" t="str">
        <f>"75791"</f>
        <v>75791</v>
      </c>
      <c r="E27972">
        <v>71.09</v>
      </c>
    </row>
    <row r="27973" spans="1:5" x14ac:dyDescent="0.2">
      <c r="A27973">
        <v>75792</v>
      </c>
      <c r="B27973" t="s">
        <v>50</v>
      </c>
      <c r="C27973">
        <v>75792</v>
      </c>
      <c r="D27973" t="str">
        <f>"75792"</f>
        <v>75792</v>
      </c>
      <c r="E27973">
        <v>65.77</v>
      </c>
    </row>
    <row r="27974" spans="1:5" x14ac:dyDescent="0.2">
      <c r="A27974">
        <v>75799</v>
      </c>
      <c r="B27974" t="s">
        <v>50</v>
      </c>
      <c r="C27974">
        <v>75799</v>
      </c>
      <c r="D27974" t="str">
        <f>"75799"</f>
        <v>75799</v>
      </c>
      <c r="E27974" t="s">
        <v>6</v>
      </c>
    </row>
    <row r="27975" spans="1:5" x14ac:dyDescent="0.2">
      <c r="A27975">
        <v>75801</v>
      </c>
      <c r="B27975" t="s">
        <v>50</v>
      </c>
      <c r="C27975">
        <v>75801</v>
      </c>
      <c r="D27975" t="str">
        <f>"75801"</f>
        <v>75801</v>
      </c>
      <c r="E27975">
        <v>60.98</v>
      </c>
    </row>
    <row r="27976" spans="1:5" x14ac:dyDescent="0.2">
      <c r="A27976">
        <v>75803</v>
      </c>
      <c r="B27976" t="s">
        <v>50</v>
      </c>
      <c r="C27976">
        <v>75803</v>
      </c>
      <c r="D27976" t="str">
        <f>"75803"</f>
        <v>75803</v>
      </c>
      <c r="E27976">
        <v>62.99</v>
      </c>
    </row>
    <row r="27977" spans="1:5" x14ac:dyDescent="0.2">
      <c r="A27977">
        <v>75831</v>
      </c>
      <c r="B27977" t="s">
        <v>50</v>
      </c>
      <c r="C27977">
        <v>75831</v>
      </c>
      <c r="D27977" t="str">
        <f>"75831"</f>
        <v>75831</v>
      </c>
      <c r="E27977">
        <v>64.53</v>
      </c>
    </row>
    <row r="27978" spans="1:5" x14ac:dyDescent="0.2">
      <c r="A27978">
        <v>75833</v>
      </c>
      <c r="B27978" t="s">
        <v>50</v>
      </c>
      <c r="C27978">
        <v>75833</v>
      </c>
      <c r="D27978" t="str">
        <f>"75833"</f>
        <v>75833</v>
      </c>
      <c r="E27978">
        <v>69.44</v>
      </c>
    </row>
    <row r="27979" spans="1:5" x14ac:dyDescent="0.2">
      <c r="A27979">
        <v>75835</v>
      </c>
      <c r="B27979" t="s">
        <v>50</v>
      </c>
      <c r="C27979">
        <v>75835</v>
      </c>
      <c r="D27979" t="str">
        <f>"75835"</f>
        <v>75835</v>
      </c>
      <c r="E27979">
        <v>57.85</v>
      </c>
    </row>
    <row r="27980" spans="1:5" x14ac:dyDescent="0.2">
      <c r="A27980">
        <v>75838</v>
      </c>
      <c r="B27980" t="s">
        <v>50</v>
      </c>
      <c r="C27980">
        <v>75838</v>
      </c>
      <c r="D27980" t="str">
        <f>"75838"</f>
        <v>75838</v>
      </c>
      <c r="E27980">
        <v>72</v>
      </c>
    </row>
    <row r="27981" spans="1:5" x14ac:dyDescent="0.2">
      <c r="A27981">
        <v>75839</v>
      </c>
      <c r="B27981" t="s">
        <v>50</v>
      </c>
      <c r="C27981">
        <v>75839</v>
      </c>
      <c r="D27981" t="str">
        <f>"75839"</f>
        <v>75839</v>
      </c>
      <c r="E27981">
        <v>67.13</v>
      </c>
    </row>
    <row r="27982" spans="1:5" x14ac:dyDescent="0.2">
      <c r="A27982">
        <v>75840</v>
      </c>
      <c r="B27982" t="s">
        <v>50</v>
      </c>
      <c r="C27982">
        <v>75840</v>
      </c>
      <c r="D27982" t="str">
        <f>"75840"</f>
        <v>75840</v>
      </c>
      <c r="E27982">
        <v>68.25</v>
      </c>
    </row>
    <row r="27983" spans="1:5" x14ac:dyDescent="0.2">
      <c r="A27983">
        <v>75844</v>
      </c>
      <c r="B27983" t="s">
        <v>50</v>
      </c>
      <c r="C27983">
        <v>75844</v>
      </c>
      <c r="D27983" t="str">
        <f>"75844"</f>
        <v>75844</v>
      </c>
      <c r="E27983">
        <v>64.81</v>
      </c>
    </row>
    <row r="27984" spans="1:5" x14ac:dyDescent="0.2">
      <c r="A27984">
        <v>75845</v>
      </c>
      <c r="B27984" t="s">
        <v>50</v>
      </c>
      <c r="C27984">
        <v>75845</v>
      </c>
      <c r="D27984" t="str">
        <f>"75845"</f>
        <v>75845</v>
      </c>
      <c r="E27984">
        <v>64.290000000000006</v>
      </c>
    </row>
    <row r="27985" spans="1:5" x14ac:dyDescent="0.2">
      <c r="A27985">
        <v>75846</v>
      </c>
      <c r="B27985" t="s">
        <v>50</v>
      </c>
      <c r="C27985">
        <v>75846</v>
      </c>
      <c r="D27985" t="str">
        <f>"75846"</f>
        <v>75846</v>
      </c>
      <c r="E27985">
        <v>61.54</v>
      </c>
    </row>
    <row r="27986" spans="1:5" x14ac:dyDescent="0.2">
      <c r="A27986">
        <v>75847</v>
      </c>
      <c r="B27986" t="s">
        <v>50</v>
      </c>
      <c r="C27986">
        <v>75847</v>
      </c>
      <c r="D27986" t="str">
        <f>"75847"</f>
        <v>75847</v>
      </c>
      <c r="E27986">
        <v>67.209999999999994</v>
      </c>
    </row>
    <row r="27987" spans="1:5" x14ac:dyDescent="0.2">
      <c r="A27987">
        <v>75848</v>
      </c>
      <c r="B27987" t="s">
        <v>50</v>
      </c>
      <c r="C27987">
        <v>75848</v>
      </c>
      <c r="D27987" t="str">
        <f>"75848"</f>
        <v>75848</v>
      </c>
      <c r="E27987" t="s">
        <v>6</v>
      </c>
    </row>
    <row r="27988" spans="1:5" x14ac:dyDescent="0.2">
      <c r="A27988">
        <v>75850</v>
      </c>
      <c r="B27988" t="s">
        <v>50</v>
      </c>
      <c r="C27988">
        <v>75850</v>
      </c>
      <c r="D27988" t="str">
        <f>"75850"</f>
        <v>75850</v>
      </c>
      <c r="E27988">
        <v>61.9</v>
      </c>
    </row>
    <row r="27989" spans="1:5" x14ac:dyDescent="0.2">
      <c r="A27989">
        <v>75851</v>
      </c>
      <c r="B27989" t="s">
        <v>50</v>
      </c>
      <c r="C27989">
        <v>75851</v>
      </c>
      <c r="D27989" t="str">
        <f>"75851"</f>
        <v>75851</v>
      </c>
      <c r="E27989">
        <v>67.290000000000006</v>
      </c>
    </row>
    <row r="27990" spans="1:5" x14ac:dyDescent="0.2">
      <c r="A27990">
        <v>75852</v>
      </c>
      <c r="B27990" t="s">
        <v>50</v>
      </c>
      <c r="C27990">
        <v>75852</v>
      </c>
      <c r="D27990" t="str">
        <f>"75852"</f>
        <v>75852</v>
      </c>
      <c r="E27990">
        <v>61.97</v>
      </c>
    </row>
    <row r="27991" spans="1:5" x14ac:dyDescent="0.2">
      <c r="A27991">
        <v>75853</v>
      </c>
      <c r="B27991" t="s">
        <v>50</v>
      </c>
      <c r="C27991">
        <v>75853</v>
      </c>
      <c r="D27991" t="str">
        <f>"75853"</f>
        <v>75853</v>
      </c>
      <c r="E27991">
        <v>76.09</v>
      </c>
    </row>
    <row r="27992" spans="1:5" x14ac:dyDescent="0.2">
      <c r="A27992">
        <v>75855</v>
      </c>
      <c r="B27992" t="s">
        <v>50</v>
      </c>
      <c r="C27992">
        <v>75855</v>
      </c>
      <c r="D27992" t="str">
        <f>"75855"</f>
        <v>75855</v>
      </c>
      <c r="E27992">
        <v>65.63</v>
      </c>
    </row>
    <row r="27993" spans="1:5" x14ac:dyDescent="0.2">
      <c r="A27993">
        <v>75856</v>
      </c>
      <c r="B27993" t="s">
        <v>50</v>
      </c>
      <c r="C27993">
        <v>75856</v>
      </c>
      <c r="D27993" t="str">
        <f>"75856"</f>
        <v>75856</v>
      </c>
      <c r="E27993">
        <v>58.33</v>
      </c>
    </row>
    <row r="27994" spans="1:5" x14ac:dyDescent="0.2">
      <c r="A27994">
        <v>75858</v>
      </c>
      <c r="B27994" t="s">
        <v>50</v>
      </c>
      <c r="C27994">
        <v>75858</v>
      </c>
      <c r="D27994" t="str">
        <f>"75858"</f>
        <v>75858</v>
      </c>
      <c r="E27994" t="s">
        <v>6</v>
      </c>
    </row>
    <row r="27995" spans="1:5" x14ac:dyDescent="0.2">
      <c r="A27995">
        <v>75859</v>
      </c>
      <c r="B27995" t="s">
        <v>50</v>
      </c>
      <c r="C27995">
        <v>75859</v>
      </c>
      <c r="D27995" t="str">
        <f>"75859"</f>
        <v>75859</v>
      </c>
      <c r="E27995">
        <v>69.41</v>
      </c>
    </row>
    <row r="27996" spans="1:5" x14ac:dyDescent="0.2">
      <c r="A27996">
        <v>75860</v>
      </c>
      <c r="B27996" t="s">
        <v>50</v>
      </c>
      <c r="C27996">
        <v>75860</v>
      </c>
      <c r="D27996" t="str">
        <f>"75860"</f>
        <v>75860</v>
      </c>
      <c r="E27996">
        <v>64.81</v>
      </c>
    </row>
    <row r="27997" spans="1:5" x14ac:dyDescent="0.2">
      <c r="A27997">
        <v>75861</v>
      </c>
      <c r="B27997" t="s">
        <v>50</v>
      </c>
      <c r="C27997">
        <v>75861</v>
      </c>
      <c r="D27997" t="str">
        <f>"75861"</f>
        <v>75861</v>
      </c>
      <c r="E27997">
        <v>70.27</v>
      </c>
    </row>
    <row r="27998" spans="1:5" x14ac:dyDescent="0.2">
      <c r="A27998">
        <v>75862</v>
      </c>
      <c r="B27998" t="s">
        <v>50</v>
      </c>
      <c r="C27998">
        <v>75862</v>
      </c>
      <c r="D27998" t="str">
        <f>"75862"</f>
        <v>75862</v>
      </c>
      <c r="E27998">
        <v>59.74</v>
      </c>
    </row>
    <row r="27999" spans="1:5" x14ac:dyDescent="0.2">
      <c r="A27999">
        <v>75865</v>
      </c>
      <c r="B27999" t="s">
        <v>50</v>
      </c>
      <c r="C27999">
        <v>75865</v>
      </c>
      <c r="D27999" t="str">
        <f>"75865"</f>
        <v>75865</v>
      </c>
      <c r="E27999" t="s">
        <v>6</v>
      </c>
    </row>
    <row r="28000" spans="1:5" x14ac:dyDescent="0.2">
      <c r="A28000">
        <v>75901</v>
      </c>
      <c r="B28000" t="s">
        <v>50</v>
      </c>
      <c r="C28000">
        <v>75901</v>
      </c>
      <c r="D28000" t="str">
        <f>"75901"</f>
        <v>75901</v>
      </c>
      <c r="E28000">
        <v>61.16</v>
      </c>
    </row>
    <row r="28001" spans="1:5" x14ac:dyDescent="0.2">
      <c r="A28001">
        <v>75904</v>
      </c>
      <c r="B28001" t="s">
        <v>50</v>
      </c>
      <c r="C28001">
        <v>75904</v>
      </c>
      <c r="D28001" t="str">
        <f>"75904"</f>
        <v>75904</v>
      </c>
      <c r="E28001">
        <v>61.9</v>
      </c>
    </row>
    <row r="28002" spans="1:5" x14ac:dyDescent="0.2">
      <c r="A28002">
        <v>75925</v>
      </c>
      <c r="B28002" t="s">
        <v>50</v>
      </c>
      <c r="C28002">
        <v>75925</v>
      </c>
      <c r="D28002" t="str">
        <f>"75925"</f>
        <v>75925</v>
      </c>
      <c r="E28002">
        <v>59.73</v>
      </c>
    </row>
    <row r="28003" spans="1:5" x14ac:dyDescent="0.2">
      <c r="A28003">
        <v>75926</v>
      </c>
      <c r="B28003" t="s">
        <v>50</v>
      </c>
      <c r="C28003">
        <v>75926</v>
      </c>
      <c r="D28003" t="str">
        <f>"75926"</f>
        <v>75926</v>
      </c>
      <c r="E28003">
        <v>65.22</v>
      </c>
    </row>
    <row r="28004" spans="1:5" x14ac:dyDescent="0.2">
      <c r="A28004">
        <v>75928</v>
      </c>
      <c r="B28004" t="s">
        <v>50</v>
      </c>
      <c r="C28004">
        <v>75928</v>
      </c>
      <c r="D28004" t="str">
        <f>"75928"</f>
        <v>75928</v>
      </c>
      <c r="E28004">
        <v>51.11</v>
      </c>
    </row>
    <row r="28005" spans="1:5" x14ac:dyDescent="0.2">
      <c r="A28005">
        <v>75929</v>
      </c>
      <c r="B28005" t="s">
        <v>50</v>
      </c>
      <c r="C28005">
        <v>75929</v>
      </c>
      <c r="D28005" t="str">
        <f>"75929"</f>
        <v>75929</v>
      </c>
      <c r="E28005">
        <v>64.290000000000006</v>
      </c>
    </row>
    <row r="28006" spans="1:5" x14ac:dyDescent="0.2">
      <c r="A28006">
        <v>75930</v>
      </c>
      <c r="B28006" t="s">
        <v>50</v>
      </c>
      <c r="C28006">
        <v>75930</v>
      </c>
      <c r="D28006" t="str">
        <f>"75930"</f>
        <v>75930</v>
      </c>
      <c r="E28006">
        <v>62.32</v>
      </c>
    </row>
    <row r="28007" spans="1:5" x14ac:dyDescent="0.2">
      <c r="A28007">
        <v>75931</v>
      </c>
      <c r="B28007" t="s">
        <v>50</v>
      </c>
      <c r="C28007">
        <v>75931</v>
      </c>
      <c r="D28007" t="str">
        <f>"75931"</f>
        <v>75931</v>
      </c>
      <c r="E28007">
        <v>71</v>
      </c>
    </row>
    <row r="28008" spans="1:5" x14ac:dyDescent="0.2">
      <c r="A28008">
        <v>75932</v>
      </c>
      <c r="B28008" t="s">
        <v>50</v>
      </c>
      <c r="C28008">
        <v>75932</v>
      </c>
      <c r="D28008" t="str">
        <f>"75932"</f>
        <v>75932</v>
      </c>
      <c r="E28008">
        <v>68.52</v>
      </c>
    </row>
    <row r="28009" spans="1:5" x14ac:dyDescent="0.2">
      <c r="A28009">
        <v>75933</v>
      </c>
      <c r="B28009" t="s">
        <v>50</v>
      </c>
      <c r="C28009">
        <v>75933</v>
      </c>
      <c r="D28009" t="str">
        <f>"75933"</f>
        <v>75933</v>
      </c>
      <c r="E28009">
        <v>62.9</v>
      </c>
    </row>
    <row r="28010" spans="1:5" x14ac:dyDescent="0.2">
      <c r="A28010">
        <v>75934</v>
      </c>
      <c r="B28010" t="s">
        <v>50</v>
      </c>
      <c r="C28010">
        <v>75934</v>
      </c>
      <c r="D28010" t="str">
        <f>"75934"</f>
        <v>75934</v>
      </c>
      <c r="E28010" t="s">
        <v>6</v>
      </c>
    </row>
    <row r="28011" spans="1:5" x14ac:dyDescent="0.2">
      <c r="A28011">
        <v>75935</v>
      </c>
      <c r="B28011" t="s">
        <v>50</v>
      </c>
      <c r="C28011">
        <v>75935</v>
      </c>
      <c r="D28011" t="str">
        <f>"75935"</f>
        <v>75935</v>
      </c>
      <c r="E28011">
        <v>57.77</v>
      </c>
    </row>
    <row r="28012" spans="1:5" x14ac:dyDescent="0.2">
      <c r="A28012">
        <v>75936</v>
      </c>
      <c r="B28012" t="s">
        <v>50</v>
      </c>
      <c r="C28012">
        <v>75936</v>
      </c>
      <c r="D28012" t="str">
        <f>"75936"</f>
        <v>75936</v>
      </c>
      <c r="E28012">
        <v>61.54</v>
      </c>
    </row>
    <row r="28013" spans="1:5" x14ac:dyDescent="0.2">
      <c r="A28013">
        <v>75937</v>
      </c>
      <c r="B28013" t="s">
        <v>50</v>
      </c>
      <c r="C28013">
        <v>75937</v>
      </c>
      <c r="D28013" t="str">
        <f>"75937"</f>
        <v>75937</v>
      </c>
      <c r="E28013">
        <v>66.67</v>
      </c>
    </row>
    <row r="28014" spans="1:5" x14ac:dyDescent="0.2">
      <c r="A28014">
        <v>75938</v>
      </c>
      <c r="B28014" t="s">
        <v>50</v>
      </c>
      <c r="C28014">
        <v>75938</v>
      </c>
      <c r="D28014" t="str">
        <f>"75938"</f>
        <v>75938</v>
      </c>
      <c r="E28014">
        <v>68</v>
      </c>
    </row>
    <row r="28015" spans="1:5" x14ac:dyDescent="0.2">
      <c r="A28015">
        <v>75939</v>
      </c>
      <c r="B28015" t="s">
        <v>50</v>
      </c>
      <c r="C28015">
        <v>75939</v>
      </c>
      <c r="D28015" t="str">
        <f>"75939"</f>
        <v>75939</v>
      </c>
      <c r="E28015">
        <v>61.54</v>
      </c>
    </row>
    <row r="28016" spans="1:5" x14ac:dyDescent="0.2">
      <c r="A28016">
        <v>75941</v>
      </c>
      <c r="B28016" t="s">
        <v>50</v>
      </c>
      <c r="C28016">
        <v>75941</v>
      </c>
      <c r="D28016" t="str">
        <f>"75941"</f>
        <v>75941</v>
      </c>
      <c r="E28016">
        <v>59.94</v>
      </c>
    </row>
    <row r="28017" spans="1:5" x14ac:dyDescent="0.2">
      <c r="A28017">
        <v>75942</v>
      </c>
      <c r="B28017" t="s">
        <v>50</v>
      </c>
      <c r="C28017">
        <v>75942</v>
      </c>
      <c r="D28017" t="str">
        <f>"75942"</f>
        <v>75942</v>
      </c>
      <c r="E28017" t="s">
        <v>6</v>
      </c>
    </row>
    <row r="28018" spans="1:5" x14ac:dyDescent="0.2">
      <c r="A28018">
        <v>75943</v>
      </c>
      <c r="B28018" t="s">
        <v>50</v>
      </c>
      <c r="C28018">
        <v>75943</v>
      </c>
      <c r="D28018" t="str">
        <f>"75943"</f>
        <v>75943</v>
      </c>
      <c r="E28018">
        <v>66.099999999999994</v>
      </c>
    </row>
    <row r="28019" spans="1:5" x14ac:dyDescent="0.2">
      <c r="A28019">
        <v>75944</v>
      </c>
      <c r="B28019" t="s">
        <v>50</v>
      </c>
      <c r="C28019">
        <v>75944</v>
      </c>
      <c r="D28019" t="str">
        <f>"75944"</f>
        <v>75944</v>
      </c>
      <c r="E28019">
        <v>68.52</v>
      </c>
    </row>
    <row r="28020" spans="1:5" x14ac:dyDescent="0.2">
      <c r="A28020">
        <v>75946</v>
      </c>
      <c r="B28020" t="s">
        <v>50</v>
      </c>
      <c r="C28020">
        <v>75946</v>
      </c>
      <c r="D28020" t="str">
        <f>"75946"</f>
        <v>75946</v>
      </c>
      <c r="E28020">
        <v>60.29</v>
      </c>
    </row>
    <row r="28021" spans="1:5" x14ac:dyDescent="0.2">
      <c r="A28021">
        <v>75948</v>
      </c>
      <c r="B28021" t="s">
        <v>50</v>
      </c>
      <c r="C28021">
        <v>75948</v>
      </c>
      <c r="D28021" t="str">
        <f>"75948"</f>
        <v>75948</v>
      </c>
      <c r="E28021">
        <v>67.63</v>
      </c>
    </row>
    <row r="28022" spans="1:5" x14ac:dyDescent="0.2">
      <c r="A28022">
        <v>75949</v>
      </c>
      <c r="B28022" t="s">
        <v>50</v>
      </c>
      <c r="C28022">
        <v>75949</v>
      </c>
      <c r="D28022" t="str">
        <f>"75949"</f>
        <v>75949</v>
      </c>
      <c r="E28022">
        <v>64</v>
      </c>
    </row>
    <row r="28023" spans="1:5" x14ac:dyDescent="0.2">
      <c r="A28023">
        <v>75951</v>
      </c>
      <c r="B28023" t="s">
        <v>50</v>
      </c>
      <c r="C28023">
        <v>75951</v>
      </c>
      <c r="D28023" t="str">
        <f>"75951"</f>
        <v>75951</v>
      </c>
      <c r="E28023">
        <v>59.27</v>
      </c>
    </row>
    <row r="28024" spans="1:5" x14ac:dyDescent="0.2">
      <c r="A28024">
        <v>75954</v>
      </c>
      <c r="B28024" t="s">
        <v>50</v>
      </c>
      <c r="C28024">
        <v>75954</v>
      </c>
      <c r="D28024" t="str">
        <f>"75954"</f>
        <v>75954</v>
      </c>
      <c r="E28024">
        <v>63.93</v>
      </c>
    </row>
    <row r="28025" spans="1:5" x14ac:dyDescent="0.2">
      <c r="A28025">
        <v>75956</v>
      </c>
      <c r="B28025" t="s">
        <v>50</v>
      </c>
      <c r="C28025">
        <v>75956</v>
      </c>
      <c r="D28025" t="str">
        <f>"75956"</f>
        <v>75956</v>
      </c>
      <c r="E28025">
        <v>63.96</v>
      </c>
    </row>
    <row r="28026" spans="1:5" x14ac:dyDescent="0.2">
      <c r="A28026">
        <v>75959</v>
      </c>
      <c r="B28026" t="s">
        <v>50</v>
      </c>
      <c r="C28026">
        <v>75959</v>
      </c>
      <c r="D28026" t="str">
        <f>"75959"</f>
        <v>75959</v>
      </c>
      <c r="E28026">
        <v>61.11</v>
      </c>
    </row>
    <row r="28027" spans="1:5" x14ac:dyDescent="0.2">
      <c r="A28027">
        <v>75960</v>
      </c>
      <c r="B28027" t="s">
        <v>50</v>
      </c>
      <c r="C28027">
        <v>75960</v>
      </c>
      <c r="D28027" t="str">
        <f>"75960"</f>
        <v>75960</v>
      </c>
      <c r="E28027">
        <v>66.67</v>
      </c>
    </row>
    <row r="28028" spans="1:5" x14ac:dyDescent="0.2">
      <c r="A28028">
        <v>75961</v>
      </c>
      <c r="B28028" t="s">
        <v>50</v>
      </c>
      <c r="C28028">
        <v>75961</v>
      </c>
      <c r="D28028" t="str">
        <f>"75961"</f>
        <v>75961</v>
      </c>
      <c r="E28028">
        <v>57.47</v>
      </c>
    </row>
    <row r="28029" spans="1:5" x14ac:dyDescent="0.2">
      <c r="A28029">
        <v>75964</v>
      </c>
      <c r="B28029" t="s">
        <v>50</v>
      </c>
      <c r="C28029">
        <v>75964</v>
      </c>
      <c r="D28029" t="str">
        <f>"75964"</f>
        <v>75964</v>
      </c>
      <c r="E28029">
        <v>56.14</v>
      </c>
    </row>
    <row r="28030" spans="1:5" x14ac:dyDescent="0.2">
      <c r="A28030">
        <v>75965</v>
      </c>
      <c r="B28030" t="s">
        <v>50</v>
      </c>
      <c r="C28030">
        <v>75965</v>
      </c>
      <c r="D28030" t="str">
        <f>"75965"</f>
        <v>75965</v>
      </c>
      <c r="E28030">
        <v>71</v>
      </c>
    </row>
    <row r="28031" spans="1:5" x14ac:dyDescent="0.2">
      <c r="A28031">
        <v>75966</v>
      </c>
      <c r="B28031" t="s">
        <v>50</v>
      </c>
      <c r="C28031">
        <v>75966</v>
      </c>
      <c r="D28031" t="str">
        <f>"75966"</f>
        <v>75966</v>
      </c>
      <c r="E28031">
        <v>58.82</v>
      </c>
    </row>
    <row r="28032" spans="1:5" x14ac:dyDescent="0.2">
      <c r="A28032">
        <v>75968</v>
      </c>
      <c r="B28032" t="s">
        <v>50</v>
      </c>
      <c r="C28032">
        <v>75968</v>
      </c>
      <c r="D28032" t="str">
        <f>"75968"</f>
        <v>75968</v>
      </c>
      <c r="E28032">
        <v>62.16</v>
      </c>
    </row>
    <row r="28033" spans="1:5" x14ac:dyDescent="0.2">
      <c r="A28033">
        <v>75969</v>
      </c>
      <c r="B28033" t="s">
        <v>50</v>
      </c>
      <c r="C28033">
        <v>75969</v>
      </c>
      <c r="D28033" t="str">
        <f>"75969"</f>
        <v>75969</v>
      </c>
      <c r="E28033">
        <v>67.760000000000005</v>
      </c>
    </row>
    <row r="28034" spans="1:5" x14ac:dyDescent="0.2">
      <c r="A28034">
        <v>75972</v>
      </c>
      <c r="B28034" t="s">
        <v>50</v>
      </c>
      <c r="C28034">
        <v>75972</v>
      </c>
      <c r="D28034" t="str">
        <f>"75972"</f>
        <v>75972</v>
      </c>
      <c r="E28034">
        <v>57.32</v>
      </c>
    </row>
    <row r="28035" spans="1:5" x14ac:dyDescent="0.2">
      <c r="A28035">
        <v>75973</v>
      </c>
      <c r="B28035" t="s">
        <v>50</v>
      </c>
      <c r="C28035">
        <v>75973</v>
      </c>
      <c r="D28035" t="str">
        <f>"75973"</f>
        <v>75973</v>
      </c>
      <c r="E28035">
        <v>63</v>
      </c>
    </row>
    <row r="28036" spans="1:5" x14ac:dyDescent="0.2">
      <c r="A28036">
        <v>75974</v>
      </c>
      <c r="B28036" t="s">
        <v>50</v>
      </c>
      <c r="C28036">
        <v>75974</v>
      </c>
      <c r="D28036" t="str">
        <f>"75974"</f>
        <v>75974</v>
      </c>
      <c r="E28036">
        <v>56.1</v>
      </c>
    </row>
    <row r="28037" spans="1:5" x14ac:dyDescent="0.2">
      <c r="A28037">
        <v>75975</v>
      </c>
      <c r="B28037" t="s">
        <v>50</v>
      </c>
      <c r="C28037">
        <v>75975</v>
      </c>
      <c r="D28037" t="str">
        <f>"75975"</f>
        <v>75975</v>
      </c>
      <c r="E28037">
        <v>63.24</v>
      </c>
    </row>
    <row r="28038" spans="1:5" x14ac:dyDescent="0.2">
      <c r="A28038">
        <v>75976</v>
      </c>
      <c r="B28038" t="s">
        <v>50</v>
      </c>
      <c r="C28038">
        <v>75976</v>
      </c>
      <c r="D28038" t="str">
        <f>"75976"</f>
        <v>75976</v>
      </c>
      <c r="E28038" t="s">
        <v>6</v>
      </c>
    </row>
    <row r="28039" spans="1:5" x14ac:dyDescent="0.2">
      <c r="A28039">
        <v>75977</v>
      </c>
      <c r="B28039" t="s">
        <v>50</v>
      </c>
      <c r="C28039">
        <v>75977</v>
      </c>
      <c r="D28039" t="str">
        <f>"75977"</f>
        <v>75977</v>
      </c>
      <c r="E28039">
        <v>60</v>
      </c>
    </row>
    <row r="28040" spans="1:5" x14ac:dyDescent="0.2">
      <c r="A28040">
        <v>75979</v>
      </c>
      <c r="B28040" t="s">
        <v>50</v>
      </c>
      <c r="C28040">
        <v>75979</v>
      </c>
      <c r="D28040" t="str">
        <f>"75979"</f>
        <v>75979</v>
      </c>
      <c r="E28040">
        <v>60.76</v>
      </c>
    </row>
    <row r="28041" spans="1:5" x14ac:dyDescent="0.2">
      <c r="A28041">
        <v>75980</v>
      </c>
      <c r="B28041" t="s">
        <v>50</v>
      </c>
      <c r="C28041">
        <v>75980</v>
      </c>
      <c r="D28041" t="str">
        <f>"75980"</f>
        <v>75980</v>
      </c>
      <c r="E28041">
        <v>64.290000000000006</v>
      </c>
    </row>
    <row r="28042" spans="1:5" x14ac:dyDescent="0.2">
      <c r="A28042">
        <v>76001</v>
      </c>
      <c r="B28042" t="s">
        <v>50</v>
      </c>
      <c r="C28042">
        <v>76001</v>
      </c>
      <c r="D28042" t="str">
        <f>"76001"</f>
        <v>76001</v>
      </c>
      <c r="E28042">
        <v>70.52</v>
      </c>
    </row>
    <row r="28043" spans="1:5" x14ac:dyDescent="0.2">
      <c r="A28043">
        <v>76002</v>
      </c>
      <c r="B28043" t="s">
        <v>50</v>
      </c>
      <c r="C28043">
        <v>76002</v>
      </c>
      <c r="D28043" t="str">
        <f>"76002"</f>
        <v>76002</v>
      </c>
      <c r="E28043">
        <v>68.41</v>
      </c>
    </row>
    <row r="28044" spans="1:5" x14ac:dyDescent="0.2">
      <c r="A28044">
        <v>76004</v>
      </c>
      <c r="B28044" t="s">
        <v>50</v>
      </c>
      <c r="C28044">
        <v>76004</v>
      </c>
      <c r="D28044" t="str">
        <f>"76004"</f>
        <v>76004</v>
      </c>
      <c r="E28044" t="s">
        <v>6</v>
      </c>
    </row>
    <row r="28045" spans="1:5" x14ac:dyDescent="0.2">
      <c r="A28045">
        <v>76005</v>
      </c>
      <c r="B28045" t="s">
        <v>50</v>
      </c>
      <c r="C28045">
        <v>76005</v>
      </c>
      <c r="D28045" t="str">
        <f>"76005"</f>
        <v>76005</v>
      </c>
      <c r="E28045" t="s">
        <v>6</v>
      </c>
    </row>
    <row r="28046" spans="1:5" x14ac:dyDescent="0.2">
      <c r="A28046">
        <v>76006</v>
      </c>
      <c r="B28046" t="s">
        <v>50</v>
      </c>
      <c r="C28046">
        <v>76006</v>
      </c>
      <c r="D28046" t="str">
        <f>"76006"</f>
        <v>76006</v>
      </c>
      <c r="E28046">
        <v>69.14</v>
      </c>
    </row>
    <row r="28047" spans="1:5" x14ac:dyDescent="0.2">
      <c r="A28047">
        <v>76008</v>
      </c>
      <c r="B28047" t="s">
        <v>50</v>
      </c>
      <c r="C28047">
        <v>76008</v>
      </c>
      <c r="D28047" t="str">
        <f>"76008"</f>
        <v>76008</v>
      </c>
      <c r="E28047">
        <v>80.56</v>
      </c>
    </row>
    <row r="28048" spans="1:5" x14ac:dyDescent="0.2">
      <c r="A28048">
        <v>76009</v>
      </c>
      <c r="B28048" t="s">
        <v>50</v>
      </c>
      <c r="C28048">
        <v>76009</v>
      </c>
      <c r="D28048" t="str">
        <f>"76009"</f>
        <v>76009</v>
      </c>
      <c r="E28048">
        <v>65.19</v>
      </c>
    </row>
    <row r="28049" spans="1:5" x14ac:dyDescent="0.2">
      <c r="A28049">
        <v>76010</v>
      </c>
      <c r="B28049" t="s">
        <v>50</v>
      </c>
      <c r="C28049">
        <v>76010</v>
      </c>
      <c r="D28049" t="str">
        <f>"76010"</f>
        <v>76010</v>
      </c>
      <c r="E28049">
        <v>48.22</v>
      </c>
    </row>
    <row r="28050" spans="1:5" x14ac:dyDescent="0.2">
      <c r="A28050">
        <v>76011</v>
      </c>
      <c r="B28050" t="s">
        <v>50</v>
      </c>
      <c r="C28050">
        <v>76011</v>
      </c>
      <c r="D28050" t="str">
        <f>"76011"</f>
        <v>76011</v>
      </c>
      <c r="E28050">
        <v>59.81</v>
      </c>
    </row>
    <row r="28051" spans="1:5" x14ac:dyDescent="0.2">
      <c r="A28051">
        <v>76012</v>
      </c>
      <c r="B28051" t="s">
        <v>50</v>
      </c>
      <c r="C28051">
        <v>76012</v>
      </c>
      <c r="D28051" t="str">
        <f>"76012"</f>
        <v>76012</v>
      </c>
      <c r="E28051">
        <v>71.53</v>
      </c>
    </row>
    <row r="28052" spans="1:5" x14ac:dyDescent="0.2">
      <c r="A28052">
        <v>76013</v>
      </c>
      <c r="B28052" t="s">
        <v>50</v>
      </c>
      <c r="C28052">
        <v>76013</v>
      </c>
      <c r="D28052" t="str">
        <f>"76013"</f>
        <v>76013</v>
      </c>
      <c r="E28052">
        <v>69.45</v>
      </c>
    </row>
    <row r="28053" spans="1:5" x14ac:dyDescent="0.2">
      <c r="A28053">
        <v>76014</v>
      </c>
      <c r="B28053" t="s">
        <v>50</v>
      </c>
      <c r="C28053">
        <v>76014</v>
      </c>
      <c r="D28053" t="str">
        <f>"76014"</f>
        <v>76014</v>
      </c>
      <c r="E28053">
        <v>55.62</v>
      </c>
    </row>
    <row r="28054" spans="1:5" x14ac:dyDescent="0.2">
      <c r="A28054">
        <v>76015</v>
      </c>
      <c r="B28054" t="s">
        <v>50</v>
      </c>
      <c r="C28054">
        <v>76015</v>
      </c>
      <c r="D28054" t="str">
        <f>"76015"</f>
        <v>76015</v>
      </c>
      <c r="E28054">
        <v>68.14</v>
      </c>
    </row>
    <row r="28055" spans="1:5" x14ac:dyDescent="0.2">
      <c r="A28055">
        <v>76016</v>
      </c>
      <c r="B28055" t="s">
        <v>50</v>
      </c>
      <c r="C28055">
        <v>76016</v>
      </c>
      <c r="D28055" t="str">
        <f>"76016"</f>
        <v>76016</v>
      </c>
      <c r="E28055">
        <v>77.37</v>
      </c>
    </row>
    <row r="28056" spans="1:5" x14ac:dyDescent="0.2">
      <c r="A28056">
        <v>76017</v>
      </c>
      <c r="B28056" t="s">
        <v>50</v>
      </c>
      <c r="C28056">
        <v>76017</v>
      </c>
      <c r="D28056" t="str">
        <f>"76017"</f>
        <v>76017</v>
      </c>
      <c r="E28056">
        <v>72.53</v>
      </c>
    </row>
    <row r="28057" spans="1:5" x14ac:dyDescent="0.2">
      <c r="A28057">
        <v>76018</v>
      </c>
      <c r="B28057" t="s">
        <v>50</v>
      </c>
      <c r="C28057">
        <v>76018</v>
      </c>
      <c r="D28057" t="str">
        <f>"76018"</f>
        <v>76018</v>
      </c>
      <c r="E28057">
        <v>65.53</v>
      </c>
    </row>
    <row r="28058" spans="1:5" x14ac:dyDescent="0.2">
      <c r="A28058">
        <v>76020</v>
      </c>
      <c r="B28058" t="s">
        <v>50</v>
      </c>
      <c r="C28058">
        <v>76020</v>
      </c>
      <c r="D28058" t="str">
        <f>"76020"</f>
        <v>76020</v>
      </c>
      <c r="E28058">
        <v>72.459999999999994</v>
      </c>
    </row>
    <row r="28059" spans="1:5" x14ac:dyDescent="0.2">
      <c r="A28059">
        <v>76021</v>
      </c>
      <c r="B28059" t="s">
        <v>50</v>
      </c>
      <c r="C28059">
        <v>76021</v>
      </c>
      <c r="D28059" t="str">
        <f>"76021"</f>
        <v>76021</v>
      </c>
      <c r="E28059">
        <v>78.63</v>
      </c>
    </row>
    <row r="28060" spans="1:5" x14ac:dyDescent="0.2">
      <c r="A28060">
        <v>76022</v>
      </c>
      <c r="B28060" t="s">
        <v>50</v>
      </c>
      <c r="C28060">
        <v>76022</v>
      </c>
      <c r="D28060" t="str">
        <f>"76022"</f>
        <v>76022</v>
      </c>
      <c r="E28060">
        <v>72.760000000000005</v>
      </c>
    </row>
    <row r="28061" spans="1:5" x14ac:dyDescent="0.2">
      <c r="A28061">
        <v>76023</v>
      </c>
      <c r="B28061" t="s">
        <v>50</v>
      </c>
      <c r="C28061">
        <v>76023</v>
      </c>
      <c r="D28061" t="str">
        <f>"76023"</f>
        <v>76023</v>
      </c>
      <c r="E28061">
        <v>70.650000000000006</v>
      </c>
    </row>
    <row r="28062" spans="1:5" x14ac:dyDescent="0.2">
      <c r="A28062">
        <v>76028</v>
      </c>
      <c r="B28062" t="s">
        <v>50</v>
      </c>
      <c r="C28062">
        <v>76028</v>
      </c>
      <c r="D28062" t="str">
        <f>"76028"</f>
        <v>76028</v>
      </c>
      <c r="E28062">
        <v>75.16</v>
      </c>
    </row>
    <row r="28063" spans="1:5" x14ac:dyDescent="0.2">
      <c r="A28063">
        <v>76031</v>
      </c>
      <c r="B28063" t="s">
        <v>50</v>
      </c>
      <c r="C28063">
        <v>76031</v>
      </c>
      <c r="D28063" t="str">
        <f>"76031"</f>
        <v>76031</v>
      </c>
      <c r="E28063">
        <v>62.45</v>
      </c>
    </row>
    <row r="28064" spans="1:5" x14ac:dyDescent="0.2">
      <c r="A28064">
        <v>76033</v>
      </c>
      <c r="B28064" t="s">
        <v>50</v>
      </c>
      <c r="C28064">
        <v>76033</v>
      </c>
      <c r="D28064" t="str">
        <f>"76033"</f>
        <v>76033</v>
      </c>
      <c r="E28064">
        <v>68.62</v>
      </c>
    </row>
    <row r="28065" spans="1:5" x14ac:dyDescent="0.2">
      <c r="A28065">
        <v>76034</v>
      </c>
      <c r="B28065" t="s">
        <v>50</v>
      </c>
      <c r="C28065">
        <v>76034</v>
      </c>
      <c r="D28065" t="str">
        <f>"76034"</f>
        <v>76034</v>
      </c>
      <c r="E28065">
        <v>83.47</v>
      </c>
    </row>
    <row r="28066" spans="1:5" x14ac:dyDescent="0.2">
      <c r="A28066">
        <v>76035</v>
      </c>
      <c r="B28066" t="s">
        <v>50</v>
      </c>
      <c r="C28066">
        <v>76035</v>
      </c>
      <c r="D28066" t="str">
        <f>"76035"</f>
        <v>76035</v>
      </c>
      <c r="E28066">
        <v>70.33</v>
      </c>
    </row>
    <row r="28067" spans="1:5" x14ac:dyDescent="0.2">
      <c r="A28067">
        <v>76036</v>
      </c>
      <c r="B28067" t="s">
        <v>50</v>
      </c>
      <c r="C28067">
        <v>76036</v>
      </c>
      <c r="D28067" t="str">
        <f>"76036"</f>
        <v>76036</v>
      </c>
      <c r="E28067">
        <v>71.13</v>
      </c>
    </row>
    <row r="28068" spans="1:5" x14ac:dyDescent="0.2">
      <c r="A28068">
        <v>76039</v>
      </c>
      <c r="B28068" t="s">
        <v>50</v>
      </c>
      <c r="C28068">
        <v>76039</v>
      </c>
      <c r="D28068" t="str">
        <f>"76039"</f>
        <v>76039</v>
      </c>
      <c r="E28068">
        <v>76.39</v>
      </c>
    </row>
    <row r="28069" spans="1:5" x14ac:dyDescent="0.2">
      <c r="A28069">
        <v>76040</v>
      </c>
      <c r="B28069" t="s">
        <v>50</v>
      </c>
      <c r="C28069">
        <v>76040</v>
      </c>
      <c r="D28069" t="str">
        <f>"76040"</f>
        <v>76040</v>
      </c>
      <c r="E28069">
        <v>65.75</v>
      </c>
    </row>
    <row r="28070" spans="1:5" x14ac:dyDescent="0.2">
      <c r="A28070">
        <v>76041</v>
      </c>
      <c r="B28070" t="s">
        <v>50</v>
      </c>
      <c r="C28070">
        <v>76041</v>
      </c>
      <c r="D28070" t="str">
        <f>"76041"</f>
        <v>76041</v>
      </c>
      <c r="E28070">
        <v>66.67</v>
      </c>
    </row>
    <row r="28071" spans="1:5" x14ac:dyDescent="0.2">
      <c r="A28071">
        <v>76043</v>
      </c>
      <c r="B28071" t="s">
        <v>50</v>
      </c>
      <c r="C28071">
        <v>76043</v>
      </c>
      <c r="D28071" t="str">
        <f>"76043"</f>
        <v>76043</v>
      </c>
      <c r="E28071">
        <v>69.62</v>
      </c>
    </row>
    <row r="28072" spans="1:5" x14ac:dyDescent="0.2">
      <c r="A28072">
        <v>76044</v>
      </c>
      <c r="B28072" t="s">
        <v>50</v>
      </c>
      <c r="C28072">
        <v>76044</v>
      </c>
      <c r="D28072" t="str">
        <f>"76044"</f>
        <v>76044</v>
      </c>
      <c r="E28072">
        <v>72.430000000000007</v>
      </c>
    </row>
    <row r="28073" spans="1:5" x14ac:dyDescent="0.2">
      <c r="A28073">
        <v>76048</v>
      </c>
      <c r="B28073" t="s">
        <v>50</v>
      </c>
      <c r="C28073">
        <v>76048</v>
      </c>
      <c r="D28073" t="str">
        <f>"76048"</f>
        <v>76048</v>
      </c>
      <c r="E28073">
        <v>68.569999999999993</v>
      </c>
    </row>
    <row r="28074" spans="1:5" x14ac:dyDescent="0.2">
      <c r="A28074">
        <v>76049</v>
      </c>
      <c r="B28074" t="s">
        <v>50</v>
      </c>
      <c r="C28074">
        <v>76049</v>
      </c>
      <c r="D28074" t="str">
        <f>"76049"</f>
        <v>76049</v>
      </c>
      <c r="E28074">
        <v>75.77</v>
      </c>
    </row>
    <row r="28075" spans="1:5" x14ac:dyDescent="0.2">
      <c r="A28075">
        <v>76050</v>
      </c>
      <c r="B28075" t="s">
        <v>50</v>
      </c>
      <c r="C28075">
        <v>76050</v>
      </c>
      <c r="D28075" t="str">
        <f>"76050"</f>
        <v>76050</v>
      </c>
      <c r="E28075">
        <v>73.31</v>
      </c>
    </row>
    <row r="28076" spans="1:5" x14ac:dyDescent="0.2">
      <c r="A28076">
        <v>76051</v>
      </c>
      <c r="B28076" t="s">
        <v>50</v>
      </c>
      <c r="C28076">
        <v>76051</v>
      </c>
      <c r="D28076" t="str">
        <f>"76051"</f>
        <v>76051</v>
      </c>
      <c r="E28076">
        <v>79.540000000000006</v>
      </c>
    </row>
    <row r="28077" spans="1:5" x14ac:dyDescent="0.2">
      <c r="A28077">
        <v>76052</v>
      </c>
      <c r="B28077" t="s">
        <v>50</v>
      </c>
      <c r="C28077">
        <v>76052</v>
      </c>
      <c r="D28077" t="str">
        <f>"76052"</f>
        <v>76052</v>
      </c>
      <c r="E28077">
        <v>79.05</v>
      </c>
    </row>
    <row r="28078" spans="1:5" x14ac:dyDescent="0.2">
      <c r="A28078">
        <v>76053</v>
      </c>
      <c r="B28078" t="s">
        <v>50</v>
      </c>
      <c r="C28078">
        <v>76053</v>
      </c>
      <c r="D28078" t="str">
        <f>"76053"</f>
        <v>76053</v>
      </c>
      <c r="E28078">
        <v>68.099999999999994</v>
      </c>
    </row>
    <row r="28079" spans="1:5" x14ac:dyDescent="0.2">
      <c r="A28079">
        <v>76054</v>
      </c>
      <c r="B28079" t="s">
        <v>50</v>
      </c>
      <c r="C28079">
        <v>76054</v>
      </c>
      <c r="D28079" t="str">
        <f>"76054"</f>
        <v>76054</v>
      </c>
      <c r="E28079">
        <v>80.78</v>
      </c>
    </row>
    <row r="28080" spans="1:5" x14ac:dyDescent="0.2">
      <c r="A28080">
        <v>76055</v>
      </c>
      <c r="B28080" t="s">
        <v>50</v>
      </c>
      <c r="C28080">
        <v>76055</v>
      </c>
      <c r="D28080" t="str">
        <f>"76055"</f>
        <v>76055</v>
      </c>
      <c r="E28080">
        <v>63.33</v>
      </c>
    </row>
    <row r="28081" spans="1:5" x14ac:dyDescent="0.2">
      <c r="A28081">
        <v>76058</v>
      </c>
      <c r="B28081" t="s">
        <v>50</v>
      </c>
      <c r="C28081">
        <v>76058</v>
      </c>
      <c r="D28081" t="str">
        <f>"76058"</f>
        <v>76058</v>
      </c>
      <c r="E28081">
        <v>65.510000000000005</v>
      </c>
    </row>
    <row r="28082" spans="1:5" x14ac:dyDescent="0.2">
      <c r="A28082">
        <v>76059</v>
      </c>
      <c r="B28082" t="s">
        <v>50</v>
      </c>
      <c r="C28082">
        <v>76059</v>
      </c>
      <c r="D28082" t="str">
        <f>"76059"</f>
        <v>76059</v>
      </c>
      <c r="E28082">
        <v>59.05</v>
      </c>
    </row>
    <row r="28083" spans="1:5" x14ac:dyDescent="0.2">
      <c r="A28083">
        <v>76060</v>
      </c>
      <c r="B28083" t="s">
        <v>50</v>
      </c>
      <c r="C28083">
        <v>76060</v>
      </c>
      <c r="D28083" t="str">
        <f>"76060"</f>
        <v>76060</v>
      </c>
      <c r="E28083">
        <v>73.3</v>
      </c>
    </row>
    <row r="28084" spans="1:5" x14ac:dyDescent="0.2">
      <c r="A28084">
        <v>76063</v>
      </c>
      <c r="B28084" t="s">
        <v>50</v>
      </c>
      <c r="C28084">
        <v>76063</v>
      </c>
      <c r="D28084" t="str">
        <f>"76063"</f>
        <v>76063</v>
      </c>
      <c r="E28084">
        <v>75.45</v>
      </c>
    </row>
    <row r="28085" spans="1:5" x14ac:dyDescent="0.2">
      <c r="A28085">
        <v>76064</v>
      </c>
      <c r="B28085" t="s">
        <v>50</v>
      </c>
      <c r="C28085">
        <v>76064</v>
      </c>
      <c r="D28085" t="str">
        <f>"76064"</f>
        <v>76064</v>
      </c>
      <c r="E28085">
        <v>74.739999999999995</v>
      </c>
    </row>
    <row r="28086" spans="1:5" x14ac:dyDescent="0.2">
      <c r="A28086">
        <v>76065</v>
      </c>
      <c r="B28086" t="s">
        <v>50</v>
      </c>
      <c r="C28086">
        <v>76065</v>
      </c>
      <c r="D28086" t="str">
        <f>"76065"</f>
        <v>76065</v>
      </c>
      <c r="E28086">
        <v>76.98</v>
      </c>
    </row>
    <row r="28087" spans="1:5" x14ac:dyDescent="0.2">
      <c r="A28087">
        <v>76066</v>
      </c>
      <c r="B28087" t="s">
        <v>50</v>
      </c>
      <c r="C28087">
        <v>76066</v>
      </c>
      <c r="D28087" t="str">
        <f>"76066"</f>
        <v>76066</v>
      </c>
      <c r="E28087">
        <v>69.8</v>
      </c>
    </row>
    <row r="28088" spans="1:5" x14ac:dyDescent="0.2">
      <c r="A28088">
        <v>76067</v>
      </c>
      <c r="B28088" t="s">
        <v>50</v>
      </c>
      <c r="C28088">
        <v>76067</v>
      </c>
      <c r="D28088" t="str">
        <f>"76067"</f>
        <v>76067</v>
      </c>
      <c r="E28088">
        <v>61.86</v>
      </c>
    </row>
    <row r="28089" spans="1:5" x14ac:dyDescent="0.2">
      <c r="A28089">
        <v>76070</v>
      </c>
      <c r="B28089" t="s">
        <v>50</v>
      </c>
      <c r="C28089">
        <v>76070</v>
      </c>
      <c r="D28089" t="str">
        <f>"76070"</f>
        <v>76070</v>
      </c>
      <c r="E28089">
        <v>77.27</v>
      </c>
    </row>
    <row r="28090" spans="1:5" x14ac:dyDescent="0.2">
      <c r="A28090">
        <v>76071</v>
      </c>
      <c r="B28090" t="s">
        <v>50</v>
      </c>
      <c r="C28090">
        <v>76071</v>
      </c>
      <c r="D28090" t="str">
        <f>"76071"</f>
        <v>76071</v>
      </c>
      <c r="E28090">
        <v>70.790000000000006</v>
      </c>
    </row>
    <row r="28091" spans="1:5" x14ac:dyDescent="0.2">
      <c r="A28091">
        <v>76073</v>
      </c>
      <c r="B28091" t="s">
        <v>50</v>
      </c>
      <c r="C28091">
        <v>76073</v>
      </c>
      <c r="D28091" t="str">
        <f>"76073"</f>
        <v>76073</v>
      </c>
      <c r="E28091">
        <v>73.209999999999994</v>
      </c>
    </row>
    <row r="28092" spans="1:5" x14ac:dyDescent="0.2">
      <c r="A28092">
        <v>76077</v>
      </c>
      <c r="B28092" t="s">
        <v>50</v>
      </c>
      <c r="C28092">
        <v>76077</v>
      </c>
      <c r="D28092" t="str">
        <f>"76077"</f>
        <v>76077</v>
      </c>
      <c r="E28092">
        <v>85.19</v>
      </c>
    </row>
    <row r="28093" spans="1:5" x14ac:dyDescent="0.2">
      <c r="A28093">
        <v>76078</v>
      </c>
      <c r="B28093" t="s">
        <v>50</v>
      </c>
      <c r="C28093">
        <v>76078</v>
      </c>
      <c r="D28093" t="str">
        <f>"76078"</f>
        <v>76078</v>
      </c>
      <c r="E28093">
        <v>72.75</v>
      </c>
    </row>
    <row r="28094" spans="1:5" x14ac:dyDescent="0.2">
      <c r="A28094">
        <v>76082</v>
      </c>
      <c r="B28094" t="s">
        <v>50</v>
      </c>
      <c r="C28094">
        <v>76082</v>
      </c>
      <c r="D28094" t="str">
        <f>"76082"</f>
        <v>76082</v>
      </c>
      <c r="E28094">
        <v>70.89</v>
      </c>
    </row>
    <row r="28095" spans="1:5" x14ac:dyDescent="0.2">
      <c r="A28095">
        <v>76084</v>
      </c>
      <c r="B28095" t="s">
        <v>50</v>
      </c>
      <c r="C28095">
        <v>76084</v>
      </c>
      <c r="D28095" t="str">
        <f>"76084"</f>
        <v>76084</v>
      </c>
      <c r="E28095">
        <v>66.5</v>
      </c>
    </row>
    <row r="28096" spans="1:5" x14ac:dyDescent="0.2">
      <c r="A28096">
        <v>76085</v>
      </c>
      <c r="B28096" t="s">
        <v>50</v>
      </c>
      <c r="C28096">
        <v>76085</v>
      </c>
      <c r="D28096" t="str">
        <f>"76085"</f>
        <v>76085</v>
      </c>
      <c r="E28096">
        <v>72.98</v>
      </c>
    </row>
    <row r="28097" spans="1:5" x14ac:dyDescent="0.2">
      <c r="A28097">
        <v>76086</v>
      </c>
      <c r="B28097" t="s">
        <v>50</v>
      </c>
      <c r="C28097">
        <v>76086</v>
      </c>
      <c r="D28097" t="str">
        <f>"76086"</f>
        <v>76086</v>
      </c>
      <c r="E28097">
        <v>69.45</v>
      </c>
    </row>
    <row r="28098" spans="1:5" x14ac:dyDescent="0.2">
      <c r="A28098">
        <v>76087</v>
      </c>
      <c r="B28098" t="s">
        <v>50</v>
      </c>
      <c r="C28098">
        <v>76087</v>
      </c>
      <c r="D28098" t="str">
        <f>"76087"</f>
        <v>76087</v>
      </c>
      <c r="E28098">
        <v>77.45</v>
      </c>
    </row>
    <row r="28099" spans="1:5" x14ac:dyDescent="0.2">
      <c r="A28099">
        <v>76088</v>
      </c>
      <c r="B28099" t="s">
        <v>50</v>
      </c>
      <c r="C28099">
        <v>76088</v>
      </c>
      <c r="D28099" t="str">
        <f>"76088"</f>
        <v>76088</v>
      </c>
      <c r="E28099">
        <v>73.040000000000006</v>
      </c>
    </row>
    <row r="28100" spans="1:5" x14ac:dyDescent="0.2">
      <c r="A28100">
        <v>76092</v>
      </c>
      <c r="B28100" t="s">
        <v>50</v>
      </c>
      <c r="C28100">
        <v>76092</v>
      </c>
      <c r="D28100" t="str">
        <f>"76092"</f>
        <v>76092</v>
      </c>
      <c r="E28100">
        <v>82.37</v>
      </c>
    </row>
    <row r="28101" spans="1:5" x14ac:dyDescent="0.2">
      <c r="A28101">
        <v>76093</v>
      </c>
      <c r="B28101" t="s">
        <v>50</v>
      </c>
      <c r="C28101">
        <v>76093</v>
      </c>
      <c r="D28101" t="str">
        <f>"76093"</f>
        <v>76093</v>
      </c>
      <c r="E28101">
        <v>71.03</v>
      </c>
    </row>
    <row r="28102" spans="1:5" x14ac:dyDescent="0.2">
      <c r="A28102">
        <v>76102</v>
      </c>
      <c r="B28102" t="s">
        <v>50</v>
      </c>
      <c r="C28102">
        <v>76102</v>
      </c>
      <c r="D28102" t="str">
        <f>"76102"</f>
        <v>76102</v>
      </c>
      <c r="E28102">
        <v>73.959999999999994</v>
      </c>
    </row>
    <row r="28103" spans="1:5" x14ac:dyDescent="0.2">
      <c r="A28103">
        <v>76103</v>
      </c>
      <c r="B28103" t="s">
        <v>50</v>
      </c>
      <c r="C28103">
        <v>76103</v>
      </c>
      <c r="D28103" t="str">
        <f>"76103"</f>
        <v>76103</v>
      </c>
      <c r="E28103">
        <v>57.99</v>
      </c>
    </row>
    <row r="28104" spans="1:5" x14ac:dyDescent="0.2">
      <c r="A28104">
        <v>76104</v>
      </c>
      <c r="B28104" t="s">
        <v>50</v>
      </c>
      <c r="C28104">
        <v>76104</v>
      </c>
      <c r="D28104" t="str">
        <f>"76104"</f>
        <v>76104</v>
      </c>
      <c r="E28104">
        <v>49.67</v>
      </c>
    </row>
    <row r="28105" spans="1:5" x14ac:dyDescent="0.2">
      <c r="A28105">
        <v>76105</v>
      </c>
      <c r="B28105" t="s">
        <v>50</v>
      </c>
      <c r="C28105">
        <v>76105</v>
      </c>
      <c r="D28105" t="str">
        <f>"76105"</f>
        <v>76105</v>
      </c>
      <c r="E28105">
        <v>42.05</v>
      </c>
    </row>
    <row r="28106" spans="1:5" x14ac:dyDescent="0.2">
      <c r="A28106">
        <v>76106</v>
      </c>
      <c r="B28106" t="s">
        <v>50</v>
      </c>
      <c r="C28106">
        <v>76106</v>
      </c>
      <c r="D28106" t="str">
        <f>"76106"</f>
        <v>76106</v>
      </c>
      <c r="E28106">
        <v>49.65</v>
      </c>
    </row>
    <row r="28107" spans="1:5" x14ac:dyDescent="0.2">
      <c r="A28107">
        <v>76107</v>
      </c>
      <c r="B28107" t="s">
        <v>50</v>
      </c>
      <c r="C28107">
        <v>76107</v>
      </c>
      <c r="D28107" t="str">
        <f>"76107"</f>
        <v>76107</v>
      </c>
      <c r="E28107">
        <v>76.05</v>
      </c>
    </row>
    <row r="28108" spans="1:5" x14ac:dyDescent="0.2">
      <c r="A28108">
        <v>76108</v>
      </c>
      <c r="B28108" t="s">
        <v>50</v>
      </c>
      <c r="C28108">
        <v>76108</v>
      </c>
      <c r="D28108" t="str">
        <f>"76108"</f>
        <v>76108</v>
      </c>
      <c r="E28108">
        <v>72.09</v>
      </c>
    </row>
    <row r="28109" spans="1:5" x14ac:dyDescent="0.2">
      <c r="A28109">
        <v>76109</v>
      </c>
      <c r="B28109" t="s">
        <v>50</v>
      </c>
      <c r="C28109">
        <v>76109</v>
      </c>
      <c r="D28109" t="str">
        <f>"76109"</f>
        <v>76109</v>
      </c>
      <c r="E28109">
        <v>80.680000000000007</v>
      </c>
    </row>
    <row r="28110" spans="1:5" x14ac:dyDescent="0.2">
      <c r="A28110">
        <v>76110</v>
      </c>
      <c r="B28110" t="s">
        <v>50</v>
      </c>
      <c r="C28110">
        <v>76110</v>
      </c>
      <c r="D28110" t="str">
        <f>"76110"</f>
        <v>76110</v>
      </c>
      <c r="E28110">
        <v>60.85</v>
      </c>
    </row>
    <row r="28111" spans="1:5" x14ac:dyDescent="0.2">
      <c r="A28111">
        <v>76111</v>
      </c>
      <c r="B28111" t="s">
        <v>50</v>
      </c>
      <c r="C28111">
        <v>76111</v>
      </c>
      <c r="D28111" t="str">
        <f>"76111"</f>
        <v>76111</v>
      </c>
      <c r="E28111">
        <v>57</v>
      </c>
    </row>
    <row r="28112" spans="1:5" x14ac:dyDescent="0.2">
      <c r="A28112">
        <v>76112</v>
      </c>
      <c r="B28112" t="s">
        <v>50</v>
      </c>
      <c r="C28112">
        <v>76112</v>
      </c>
      <c r="D28112" t="str">
        <f>"76112"</f>
        <v>76112</v>
      </c>
      <c r="E28112">
        <v>57.38</v>
      </c>
    </row>
    <row r="28113" spans="1:5" x14ac:dyDescent="0.2">
      <c r="A28113">
        <v>76114</v>
      </c>
      <c r="B28113" t="s">
        <v>50</v>
      </c>
      <c r="C28113">
        <v>76114</v>
      </c>
      <c r="D28113" t="str">
        <f>"76114"</f>
        <v>76114</v>
      </c>
      <c r="E28113">
        <v>63</v>
      </c>
    </row>
    <row r="28114" spans="1:5" x14ac:dyDescent="0.2">
      <c r="A28114">
        <v>76115</v>
      </c>
      <c r="B28114" t="s">
        <v>50</v>
      </c>
      <c r="C28114">
        <v>76115</v>
      </c>
      <c r="D28114" t="str">
        <f>"76115"</f>
        <v>76115</v>
      </c>
      <c r="E28114">
        <v>47.03</v>
      </c>
    </row>
    <row r="28115" spans="1:5" x14ac:dyDescent="0.2">
      <c r="A28115">
        <v>76116</v>
      </c>
      <c r="B28115" t="s">
        <v>50</v>
      </c>
      <c r="C28115">
        <v>76116</v>
      </c>
      <c r="D28115" t="str">
        <f>"76116"</f>
        <v>76116</v>
      </c>
      <c r="E28115">
        <v>67.03</v>
      </c>
    </row>
    <row r="28116" spans="1:5" x14ac:dyDescent="0.2">
      <c r="A28116">
        <v>76117</v>
      </c>
      <c r="B28116" t="s">
        <v>50</v>
      </c>
      <c r="C28116">
        <v>76117</v>
      </c>
      <c r="D28116" t="str">
        <f>"76117"</f>
        <v>76117</v>
      </c>
      <c r="E28116">
        <v>60.04</v>
      </c>
    </row>
    <row r="28117" spans="1:5" x14ac:dyDescent="0.2">
      <c r="A28117">
        <v>76118</v>
      </c>
      <c r="B28117" t="s">
        <v>50</v>
      </c>
      <c r="C28117">
        <v>76118</v>
      </c>
      <c r="D28117" t="str">
        <f>"76118"</f>
        <v>76118</v>
      </c>
      <c r="E28117">
        <v>70.5</v>
      </c>
    </row>
    <row r="28118" spans="1:5" x14ac:dyDescent="0.2">
      <c r="A28118">
        <v>76119</v>
      </c>
      <c r="B28118" t="s">
        <v>50</v>
      </c>
      <c r="C28118">
        <v>76119</v>
      </c>
      <c r="D28118" t="str">
        <f>"76119"</f>
        <v>76119</v>
      </c>
      <c r="E28118">
        <v>45.67</v>
      </c>
    </row>
    <row r="28119" spans="1:5" x14ac:dyDescent="0.2">
      <c r="A28119">
        <v>76120</v>
      </c>
      <c r="B28119" t="s">
        <v>50</v>
      </c>
      <c r="C28119">
        <v>76120</v>
      </c>
      <c r="D28119" t="str">
        <f>"76120"</f>
        <v>76120</v>
      </c>
      <c r="E28119">
        <v>63.33</v>
      </c>
    </row>
    <row r="28120" spans="1:5" x14ac:dyDescent="0.2">
      <c r="A28120">
        <v>76123</v>
      </c>
      <c r="B28120" t="s">
        <v>50</v>
      </c>
      <c r="C28120">
        <v>76123</v>
      </c>
      <c r="D28120" t="str">
        <f>"76123"</f>
        <v>76123</v>
      </c>
      <c r="E28120">
        <v>66.69</v>
      </c>
    </row>
    <row r="28121" spans="1:5" x14ac:dyDescent="0.2">
      <c r="A28121">
        <v>76124</v>
      </c>
      <c r="B28121" t="s">
        <v>50</v>
      </c>
      <c r="C28121">
        <v>76124</v>
      </c>
      <c r="D28121" t="str">
        <f>"76124"</f>
        <v>76124</v>
      </c>
      <c r="E28121" t="s">
        <v>6</v>
      </c>
    </row>
    <row r="28122" spans="1:5" x14ac:dyDescent="0.2">
      <c r="A28122">
        <v>76126</v>
      </c>
      <c r="B28122" t="s">
        <v>50</v>
      </c>
      <c r="C28122">
        <v>76126</v>
      </c>
      <c r="D28122" t="str">
        <f>"76126"</f>
        <v>76126</v>
      </c>
      <c r="E28122">
        <v>80.33</v>
      </c>
    </row>
    <row r="28123" spans="1:5" x14ac:dyDescent="0.2">
      <c r="A28123">
        <v>76127</v>
      </c>
      <c r="B28123" t="s">
        <v>50</v>
      </c>
      <c r="C28123">
        <v>76127</v>
      </c>
      <c r="D28123" t="str">
        <f>"76127"</f>
        <v>76127</v>
      </c>
      <c r="E28123">
        <v>88.46</v>
      </c>
    </row>
    <row r="28124" spans="1:5" x14ac:dyDescent="0.2">
      <c r="A28124">
        <v>76129</v>
      </c>
      <c r="B28124" t="s">
        <v>50</v>
      </c>
      <c r="C28124">
        <v>76129</v>
      </c>
      <c r="D28124" t="str">
        <f>"76129"</f>
        <v>76129</v>
      </c>
      <c r="E28124" t="s">
        <v>6</v>
      </c>
    </row>
    <row r="28125" spans="1:5" x14ac:dyDescent="0.2">
      <c r="A28125">
        <v>76131</v>
      </c>
      <c r="B28125" t="s">
        <v>50</v>
      </c>
      <c r="C28125">
        <v>76131</v>
      </c>
      <c r="D28125" t="str">
        <f>"76131"</f>
        <v>76131</v>
      </c>
      <c r="E28125">
        <v>72.97</v>
      </c>
    </row>
    <row r="28126" spans="1:5" x14ac:dyDescent="0.2">
      <c r="A28126">
        <v>76132</v>
      </c>
      <c r="B28126" t="s">
        <v>50</v>
      </c>
      <c r="C28126">
        <v>76132</v>
      </c>
      <c r="D28126" t="str">
        <f>"76132"</f>
        <v>76132</v>
      </c>
      <c r="E28126">
        <v>75.02</v>
      </c>
    </row>
    <row r="28127" spans="1:5" x14ac:dyDescent="0.2">
      <c r="A28127">
        <v>76133</v>
      </c>
      <c r="B28127" t="s">
        <v>50</v>
      </c>
      <c r="C28127">
        <v>76133</v>
      </c>
      <c r="D28127" t="str">
        <f>"76133"</f>
        <v>76133</v>
      </c>
      <c r="E28127">
        <v>64.540000000000006</v>
      </c>
    </row>
    <row r="28128" spans="1:5" x14ac:dyDescent="0.2">
      <c r="A28128">
        <v>76134</v>
      </c>
      <c r="B28128" t="s">
        <v>50</v>
      </c>
      <c r="C28128">
        <v>76134</v>
      </c>
      <c r="D28128" t="str">
        <f>"76134"</f>
        <v>76134</v>
      </c>
      <c r="E28128">
        <v>59.35</v>
      </c>
    </row>
    <row r="28129" spans="1:5" x14ac:dyDescent="0.2">
      <c r="A28129">
        <v>76135</v>
      </c>
      <c r="B28129" t="s">
        <v>50</v>
      </c>
      <c r="C28129">
        <v>76135</v>
      </c>
      <c r="D28129" t="str">
        <f>"76135"</f>
        <v>76135</v>
      </c>
      <c r="E28129">
        <v>68.69</v>
      </c>
    </row>
    <row r="28130" spans="1:5" x14ac:dyDescent="0.2">
      <c r="A28130">
        <v>76137</v>
      </c>
      <c r="B28130" t="s">
        <v>50</v>
      </c>
      <c r="C28130">
        <v>76137</v>
      </c>
      <c r="D28130" t="str">
        <f>"76137"</f>
        <v>76137</v>
      </c>
      <c r="E28130">
        <v>72.459999999999994</v>
      </c>
    </row>
    <row r="28131" spans="1:5" x14ac:dyDescent="0.2">
      <c r="A28131">
        <v>76140</v>
      </c>
      <c r="B28131" t="s">
        <v>50</v>
      </c>
      <c r="C28131">
        <v>76140</v>
      </c>
      <c r="D28131" t="str">
        <f>"76140"</f>
        <v>76140</v>
      </c>
      <c r="E28131">
        <v>58.55</v>
      </c>
    </row>
    <row r="28132" spans="1:5" x14ac:dyDescent="0.2">
      <c r="A28132">
        <v>76148</v>
      </c>
      <c r="B28132" t="s">
        <v>50</v>
      </c>
      <c r="C28132">
        <v>76148</v>
      </c>
      <c r="D28132" t="str">
        <f>"76148"</f>
        <v>76148</v>
      </c>
      <c r="E28132">
        <v>72.34</v>
      </c>
    </row>
    <row r="28133" spans="1:5" x14ac:dyDescent="0.2">
      <c r="A28133">
        <v>76155</v>
      </c>
      <c r="B28133" t="s">
        <v>50</v>
      </c>
      <c r="C28133">
        <v>76155</v>
      </c>
      <c r="D28133" t="str">
        <f>"76155"</f>
        <v>76155</v>
      </c>
      <c r="E28133">
        <v>78.62</v>
      </c>
    </row>
    <row r="28134" spans="1:5" x14ac:dyDescent="0.2">
      <c r="A28134">
        <v>76161</v>
      </c>
      <c r="B28134" t="s">
        <v>50</v>
      </c>
      <c r="C28134">
        <v>76161</v>
      </c>
      <c r="D28134" t="str">
        <f>"76161"</f>
        <v>76161</v>
      </c>
      <c r="E28134" t="s">
        <v>6</v>
      </c>
    </row>
    <row r="28135" spans="1:5" x14ac:dyDescent="0.2">
      <c r="A28135">
        <v>76164</v>
      </c>
      <c r="B28135" t="s">
        <v>50</v>
      </c>
      <c r="C28135">
        <v>76164</v>
      </c>
      <c r="D28135" t="str">
        <f>"76164"</f>
        <v>76164</v>
      </c>
      <c r="E28135">
        <v>53.7</v>
      </c>
    </row>
    <row r="28136" spans="1:5" x14ac:dyDescent="0.2">
      <c r="A28136">
        <v>76177</v>
      </c>
      <c r="B28136" t="s">
        <v>50</v>
      </c>
      <c r="C28136">
        <v>76177</v>
      </c>
      <c r="D28136" t="str">
        <f>"76177"</f>
        <v>76177</v>
      </c>
      <c r="E28136">
        <v>80.239999999999995</v>
      </c>
    </row>
    <row r="28137" spans="1:5" x14ac:dyDescent="0.2">
      <c r="A28137">
        <v>76179</v>
      </c>
      <c r="B28137" t="s">
        <v>50</v>
      </c>
      <c r="C28137">
        <v>76179</v>
      </c>
      <c r="D28137" t="str">
        <f>"76179"</f>
        <v>76179</v>
      </c>
      <c r="E28137">
        <v>75.25</v>
      </c>
    </row>
    <row r="28138" spans="1:5" x14ac:dyDescent="0.2">
      <c r="A28138">
        <v>76180</v>
      </c>
      <c r="B28138" t="s">
        <v>50</v>
      </c>
      <c r="C28138">
        <v>76180</v>
      </c>
      <c r="D28138" t="str">
        <f>"76180"</f>
        <v>76180</v>
      </c>
      <c r="E28138">
        <v>72.239999999999995</v>
      </c>
    </row>
    <row r="28139" spans="1:5" x14ac:dyDescent="0.2">
      <c r="A28139">
        <v>76182</v>
      </c>
      <c r="B28139" t="s">
        <v>50</v>
      </c>
      <c r="C28139">
        <v>76182</v>
      </c>
      <c r="D28139" t="str">
        <f>"76182"</f>
        <v>76182</v>
      </c>
      <c r="E28139">
        <v>79.42</v>
      </c>
    </row>
    <row r="28140" spans="1:5" x14ac:dyDescent="0.2">
      <c r="A28140">
        <v>76196</v>
      </c>
      <c r="B28140" t="s">
        <v>50</v>
      </c>
      <c r="C28140">
        <v>76196</v>
      </c>
      <c r="D28140" t="str">
        <f>"76196"</f>
        <v>76196</v>
      </c>
      <c r="E28140" t="s">
        <v>6</v>
      </c>
    </row>
    <row r="28141" spans="1:5" x14ac:dyDescent="0.2">
      <c r="A28141">
        <v>76201</v>
      </c>
      <c r="B28141" t="s">
        <v>50</v>
      </c>
      <c r="C28141">
        <v>76201</v>
      </c>
      <c r="D28141" t="str">
        <f>"76201"</f>
        <v>76201</v>
      </c>
      <c r="E28141">
        <v>65.239999999999995</v>
      </c>
    </row>
    <row r="28142" spans="1:5" x14ac:dyDescent="0.2">
      <c r="A28142">
        <v>76205</v>
      </c>
      <c r="B28142" t="s">
        <v>50</v>
      </c>
      <c r="C28142">
        <v>76205</v>
      </c>
      <c r="D28142" t="str">
        <f>"76205"</f>
        <v>76205</v>
      </c>
      <c r="E28142">
        <v>68.989999999999995</v>
      </c>
    </row>
    <row r="28143" spans="1:5" x14ac:dyDescent="0.2">
      <c r="A28143">
        <v>76207</v>
      </c>
      <c r="B28143" t="s">
        <v>50</v>
      </c>
      <c r="C28143">
        <v>76207</v>
      </c>
      <c r="D28143" t="str">
        <f>"76207"</f>
        <v>76207</v>
      </c>
      <c r="E28143">
        <v>76.099999999999994</v>
      </c>
    </row>
    <row r="28144" spans="1:5" x14ac:dyDescent="0.2">
      <c r="A28144">
        <v>76208</v>
      </c>
      <c r="B28144" t="s">
        <v>50</v>
      </c>
      <c r="C28144">
        <v>76208</v>
      </c>
      <c r="D28144" t="str">
        <f>"76208"</f>
        <v>76208</v>
      </c>
      <c r="E28144">
        <v>71.64</v>
      </c>
    </row>
    <row r="28145" spans="1:5" x14ac:dyDescent="0.2">
      <c r="A28145">
        <v>76209</v>
      </c>
      <c r="B28145" t="s">
        <v>50</v>
      </c>
      <c r="C28145">
        <v>76209</v>
      </c>
      <c r="D28145" t="str">
        <f>"76209"</f>
        <v>76209</v>
      </c>
      <c r="E28145">
        <v>68.709999999999994</v>
      </c>
    </row>
    <row r="28146" spans="1:5" x14ac:dyDescent="0.2">
      <c r="A28146">
        <v>76210</v>
      </c>
      <c r="B28146" t="s">
        <v>50</v>
      </c>
      <c r="C28146">
        <v>76210</v>
      </c>
      <c r="D28146" t="str">
        <f>"76210"</f>
        <v>76210</v>
      </c>
      <c r="E28146">
        <v>76.72</v>
      </c>
    </row>
    <row r="28147" spans="1:5" x14ac:dyDescent="0.2">
      <c r="A28147">
        <v>76225</v>
      </c>
      <c r="B28147" t="s">
        <v>50</v>
      </c>
      <c r="C28147">
        <v>76225</v>
      </c>
      <c r="D28147" t="str">
        <f>"76225"</f>
        <v>76225</v>
      </c>
      <c r="E28147">
        <v>72.97</v>
      </c>
    </row>
    <row r="28148" spans="1:5" x14ac:dyDescent="0.2">
      <c r="A28148">
        <v>76226</v>
      </c>
      <c r="B28148" t="s">
        <v>50</v>
      </c>
      <c r="C28148">
        <v>76226</v>
      </c>
      <c r="D28148" t="str">
        <f>"76226"</f>
        <v>76226</v>
      </c>
      <c r="E28148">
        <v>83.03</v>
      </c>
    </row>
    <row r="28149" spans="1:5" x14ac:dyDescent="0.2">
      <c r="A28149">
        <v>76227</v>
      </c>
      <c r="B28149" t="s">
        <v>50</v>
      </c>
      <c r="C28149">
        <v>76227</v>
      </c>
      <c r="D28149" t="str">
        <f>"76227"</f>
        <v>76227</v>
      </c>
      <c r="E28149">
        <v>77.03</v>
      </c>
    </row>
    <row r="28150" spans="1:5" x14ac:dyDescent="0.2">
      <c r="A28150">
        <v>76228</v>
      </c>
      <c r="B28150" t="s">
        <v>50</v>
      </c>
      <c r="C28150">
        <v>76228</v>
      </c>
      <c r="D28150" t="str">
        <f>"76228"</f>
        <v>76228</v>
      </c>
      <c r="E28150">
        <v>66.67</v>
      </c>
    </row>
    <row r="28151" spans="1:5" x14ac:dyDescent="0.2">
      <c r="A28151">
        <v>76230</v>
      </c>
      <c r="B28151" t="s">
        <v>50</v>
      </c>
      <c r="C28151">
        <v>76230</v>
      </c>
      <c r="D28151" t="str">
        <f>"76230"</f>
        <v>76230</v>
      </c>
      <c r="E28151">
        <v>67.650000000000006</v>
      </c>
    </row>
    <row r="28152" spans="1:5" x14ac:dyDescent="0.2">
      <c r="A28152">
        <v>76233</v>
      </c>
      <c r="B28152" t="s">
        <v>50</v>
      </c>
      <c r="C28152">
        <v>76233</v>
      </c>
      <c r="D28152" t="str">
        <f>"76233"</f>
        <v>76233</v>
      </c>
      <c r="E28152">
        <v>71.97</v>
      </c>
    </row>
    <row r="28153" spans="1:5" x14ac:dyDescent="0.2">
      <c r="A28153">
        <v>76234</v>
      </c>
      <c r="B28153" t="s">
        <v>50</v>
      </c>
      <c r="C28153">
        <v>76234</v>
      </c>
      <c r="D28153" t="str">
        <f>"76234"</f>
        <v>76234</v>
      </c>
      <c r="E28153">
        <v>73.08</v>
      </c>
    </row>
    <row r="28154" spans="1:5" x14ac:dyDescent="0.2">
      <c r="A28154">
        <v>76238</v>
      </c>
      <c r="B28154" t="s">
        <v>50</v>
      </c>
      <c r="C28154">
        <v>76238</v>
      </c>
      <c r="D28154" t="str">
        <f>"76238"</f>
        <v>76238</v>
      </c>
      <c r="E28154">
        <v>75</v>
      </c>
    </row>
    <row r="28155" spans="1:5" x14ac:dyDescent="0.2">
      <c r="A28155">
        <v>76239</v>
      </c>
      <c r="B28155" t="s">
        <v>50</v>
      </c>
      <c r="C28155">
        <v>76239</v>
      </c>
      <c r="D28155" t="str">
        <f>"76239"</f>
        <v>76239</v>
      </c>
      <c r="E28155">
        <v>73.47</v>
      </c>
    </row>
    <row r="28156" spans="1:5" x14ac:dyDescent="0.2">
      <c r="A28156">
        <v>76240</v>
      </c>
      <c r="B28156" t="s">
        <v>50</v>
      </c>
      <c r="C28156">
        <v>76240</v>
      </c>
      <c r="D28156" t="str">
        <f>"76240"</f>
        <v>76240</v>
      </c>
      <c r="E28156">
        <v>66.209999999999994</v>
      </c>
    </row>
    <row r="28157" spans="1:5" x14ac:dyDescent="0.2">
      <c r="A28157">
        <v>76244</v>
      </c>
      <c r="B28157" t="s">
        <v>50</v>
      </c>
      <c r="C28157">
        <v>76244</v>
      </c>
      <c r="D28157" t="str">
        <f>"76244"</f>
        <v>76244</v>
      </c>
      <c r="E28157">
        <v>77.2</v>
      </c>
    </row>
    <row r="28158" spans="1:5" x14ac:dyDescent="0.2">
      <c r="A28158">
        <v>76245</v>
      </c>
      <c r="B28158" t="s">
        <v>50</v>
      </c>
      <c r="C28158">
        <v>76245</v>
      </c>
      <c r="D28158" t="str">
        <f>"76245"</f>
        <v>76245</v>
      </c>
      <c r="E28158">
        <v>65.88</v>
      </c>
    </row>
    <row r="28159" spans="1:5" x14ac:dyDescent="0.2">
      <c r="A28159">
        <v>76247</v>
      </c>
      <c r="B28159" t="s">
        <v>50</v>
      </c>
      <c r="C28159">
        <v>76247</v>
      </c>
      <c r="D28159" t="str">
        <f>"76247"</f>
        <v>76247</v>
      </c>
      <c r="E28159">
        <v>75.069999999999993</v>
      </c>
    </row>
    <row r="28160" spans="1:5" x14ac:dyDescent="0.2">
      <c r="A28160">
        <v>76248</v>
      </c>
      <c r="B28160" t="s">
        <v>50</v>
      </c>
      <c r="C28160">
        <v>76248</v>
      </c>
      <c r="D28160" t="str">
        <f>"76248"</f>
        <v>76248</v>
      </c>
      <c r="E28160">
        <v>81.41</v>
      </c>
    </row>
    <row r="28161" spans="1:5" x14ac:dyDescent="0.2">
      <c r="A28161">
        <v>76249</v>
      </c>
      <c r="B28161" t="s">
        <v>50</v>
      </c>
      <c r="C28161">
        <v>76249</v>
      </c>
      <c r="D28161" t="str">
        <f>"76249"</f>
        <v>76249</v>
      </c>
      <c r="E28161">
        <v>74.94</v>
      </c>
    </row>
    <row r="28162" spans="1:5" x14ac:dyDescent="0.2">
      <c r="A28162">
        <v>76250</v>
      </c>
      <c r="B28162" t="s">
        <v>50</v>
      </c>
      <c r="C28162">
        <v>76250</v>
      </c>
      <c r="D28162" t="str">
        <f>"76250"</f>
        <v>76250</v>
      </c>
      <c r="E28162">
        <v>80.7</v>
      </c>
    </row>
    <row r="28163" spans="1:5" x14ac:dyDescent="0.2">
      <c r="A28163">
        <v>76251</v>
      </c>
      <c r="B28163" t="s">
        <v>50</v>
      </c>
      <c r="C28163">
        <v>76251</v>
      </c>
      <c r="D28163" t="str">
        <f>"76251"</f>
        <v>76251</v>
      </c>
      <c r="E28163">
        <v>68.75</v>
      </c>
    </row>
    <row r="28164" spans="1:5" x14ac:dyDescent="0.2">
      <c r="A28164">
        <v>76252</v>
      </c>
      <c r="B28164" t="s">
        <v>50</v>
      </c>
      <c r="C28164">
        <v>76252</v>
      </c>
      <c r="D28164" t="str">
        <f>"76252"</f>
        <v>76252</v>
      </c>
      <c r="E28164">
        <v>74.13</v>
      </c>
    </row>
    <row r="28165" spans="1:5" x14ac:dyDescent="0.2">
      <c r="A28165">
        <v>76255</v>
      </c>
      <c r="B28165" t="s">
        <v>50</v>
      </c>
      <c r="C28165">
        <v>76255</v>
      </c>
      <c r="D28165" t="str">
        <f>"76255"</f>
        <v>76255</v>
      </c>
      <c r="E28165">
        <v>64.25</v>
      </c>
    </row>
    <row r="28166" spans="1:5" x14ac:dyDescent="0.2">
      <c r="A28166">
        <v>76258</v>
      </c>
      <c r="B28166" t="s">
        <v>50</v>
      </c>
      <c r="C28166">
        <v>76258</v>
      </c>
      <c r="D28166" t="str">
        <f>"76258"</f>
        <v>76258</v>
      </c>
      <c r="E28166">
        <v>70.31</v>
      </c>
    </row>
    <row r="28167" spans="1:5" x14ac:dyDescent="0.2">
      <c r="A28167">
        <v>76259</v>
      </c>
      <c r="B28167" t="s">
        <v>50</v>
      </c>
      <c r="C28167">
        <v>76259</v>
      </c>
      <c r="D28167" t="str">
        <f>"76259"</f>
        <v>76259</v>
      </c>
      <c r="E28167">
        <v>75.48</v>
      </c>
    </row>
    <row r="28168" spans="1:5" x14ac:dyDescent="0.2">
      <c r="A28168">
        <v>76261</v>
      </c>
      <c r="B28168" t="s">
        <v>50</v>
      </c>
      <c r="C28168">
        <v>76261</v>
      </c>
      <c r="D28168" t="str">
        <f>"76261"</f>
        <v>76261</v>
      </c>
      <c r="E28168" t="s">
        <v>6</v>
      </c>
    </row>
    <row r="28169" spans="1:5" x14ac:dyDescent="0.2">
      <c r="A28169">
        <v>76262</v>
      </c>
      <c r="B28169" t="s">
        <v>50</v>
      </c>
      <c r="C28169">
        <v>76262</v>
      </c>
      <c r="D28169" t="str">
        <f>"76262"</f>
        <v>76262</v>
      </c>
      <c r="E28169">
        <v>81.87</v>
      </c>
    </row>
    <row r="28170" spans="1:5" x14ac:dyDescent="0.2">
      <c r="A28170">
        <v>76263</v>
      </c>
      <c r="B28170" t="s">
        <v>50</v>
      </c>
      <c r="C28170">
        <v>76263</v>
      </c>
      <c r="D28170" t="str">
        <f>"76263"</f>
        <v>76263</v>
      </c>
      <c r="E28170" t="s">
        <v>6</v>
      </c>
    </row>
    <row r="28171" spans="1:5" x14ac:dyDescent="0.2">
      <c r="A28171">
        <v>76264</v>
      </c>
      <c r="B28171" t="s">
        <v>50</v>
      </c>
      <c r="C28171">
        <v>76264</v>
      </c>
      <c r="D28171" t="str">
        <f>"76264"</f>
        <v>76264</v>
      </c>
      <c r="E28171">
        <v>73.91</v>
      </c>
    </row>
    <row r="28172" spans="1:5" x14ac:dyDescent="0.2">
      <c r="A28172">
        <v>76265</v>
      </c>
      <c r="B28172" t="s">
        <v>50</v>
      </c>
      <c r="C28172">
        <v>76265</v>
      </c>
      <c r="D28172" t="str">
        <f>"76265"</f>
        <v>76265</v>
      </c>
      <c r="E28172">
        <v>69.010000000000005</v>
      </c>
    </row>
    <row r="28173" spans="1:5" x14ac:dyDescent="0.2">
      <c r="A28173">
        <v>76266</v>
      </c>
      <c r="B28173" t="s">
        <v>50</v>
      </c>
      <c r="C28173">
        <v>76266</v>
      </c>
      <c r="D28173" t="str">
        <f>"76266"</f>
        <v>76266</v>
      </c>
      <c r="E28173">
        <v>74.42</v>
      </c>
    </row>
    <row r="28174" spans="1:5" x14ac:dyDescent="0.2">
      <c r="A28174">
        <v>76267</v>
      </c>
      <c r="B28174" t="s">
        <v>50</v>
      </c>
      <c r="C28174">
        <v>76267</v>
      </c>
      <c r="D28174" t="str">
        <f>"76267"</f>
        <v>76267</v>
      </c>
      <c r="E28174" t="s">
        <v>6</v>
      </c>
    </row>
    <row r="28175" spans="1:5" x14ac:dyDescent="0.2">
      <c r="A28175">
        <v>76268</v>
      </c>
      <c r="B28175" t="s">
        <v>50</v>
      </c>
      <c r="C28175">
        <v>76268</v>
      </c>
      <c r="D28175" t="str">
        <f>"76268"</f>
        <v>76268</v>
      </c>
      <c r="E28175" t="s">
        <v>6</v>
      </c>
    </row>
    <row r="28176" spans="1:5" x14ac:dyDescent="0.2">
      <c r="A28176">
        <v>76270</v>
      </c>
      <c r="B28176" t="s">
        <v>50</v>
      </c>
      <c r="C28176">
        <v>76270</v>
      </c>
      <c r="D28176" t="str">
        <f>"76270"</f>
        <v>76270</v>
      </c>
      <c r="E28176">
        <v>74.739999999999995</v>
      </c>
    </row>
    <row r="28177" spans="1:5" x14ac:dyDescent="0.2">
      <c r="A28177">
        <v>76271</v>
      </c>
      <c r="B28177" t="s">
        <v>50</v>
      </c>
      <c r="C28177">
        <v>76271</v>
      </c>
      <c r="D28177" t="str">
        <f>"76271"</f>
        <v>76271</v>
      </c>
      <c r="E28177">
        <v>73.42</v>
      </c>
    </row>
    <row r="28178" spans="1:5" x14ac:dyDescent="0.2">
      <c r="A28178">
        <v>76272</v>
      </c>
      <c r="B28178" t="s">
        <v>50</v>
      </c>
      <c r="C28178">
        <v>76272</v>
      </c>
      <c r="D28178" t="str">
        <f>"76272"</f>
        <v>76272</v>
      </c>
      <c r="E28178">
        <v>70.61</v>
      </c>
    </row>
    <row r="28179" spans="1:5" x14ac:dyDescent="0.2">
      <c r="A28179">
        <v>76273</v>
      </c>
      <c r="B28179" t="s">
        <v>50</v>
      </c>
      <c r="C28179">
        <v>76273</v>
      </c>
      <c r="D28179" t="str">
        <f>"76273"</f>
        <v>76273</v>
      </c>
      <c r="E28179">
        <v>69.88</v>
      </c>
    </row>
    <row r="28180" spans="1:5" x14ac:dyDescent="0.2">
      <c r="A28180">
        <v>76301</v>
      </c>
      <c r="B28180" t="s">
        <v>50</v>
      </c>
      <c r="C28180">
        <v>76301</v>
      </c>
      <c r="D28180" t="str">
        <f>"76301"</f>
        <v>76301</v>
      </c>
      <c r="E28180">
        <v>54.72</v>
      </c>
    </row>
    <row r="28181" spans="1:5" x14ac:dyDescent="0.2">
      <c r="A28181">
        <v>76302</v>
      </c>
      <c r="B28181" t="s">
        <v>50</v>
      </c>
      <c r="C28181">
        <v>76302</v>
      </c>
      <c r="D28181" t="str">
        <f>"76302"</f>
        <v>76302</v>
      </c>
      <c r="E28181">
        <v>65.81</v>
      </c>
    </row>
    <row r="28182" spans="1:5" x14ac:dyDescent="0.2">
      <c r="A28182">
        <v>76305</v>
      </c>
      <c r="B28182" t="s">
        <v>50</v>
      </c>
      <c r="C28182">
        <v>76305</v>
      </c>
      <c r="D28182" t="str">
        <f>"76305"</f>
        <v>76305</v>
      </c>
      <c r="E28182">
        <v>72.27</v>
      </c>
    </row>
    <row r="28183" spans="1:5" x14ac:dyDescent="0.2">
      <c r="A28183">
        <v>76306</v>
      </c>
      <c r="B28183" t="s">
        <v>50</v>
      </c>
      <c r="C28183">
        <v>76306</v>
      </c>
      <c r="D28183" t="str">
        <f>"76306"</f>
        <v>76306</v>
      </c>
      <c r="E28183">
        <v>63.03</v>
      </c>
    </row>
    <row r="28184" spans="1:5" x14ac:dyDescent="0.2">
      <c r="A28184">
        <v>76308</v>
      </c>
      <c r="B28184" t="s">
        <v>50</v>
      </c>
      <c r="C28184">
        <v>76308</v>
      </c>
      <c r="D28184" t="str">
        <f>"76308"</f>
        <v>76308</v>
      </c>
      <c r="E28184">
        <v>71.739999999999995</v>
      </c>
    </row>
    <row r="28185" spans="1:5" x14ac:dyDescent="0.2">
      <c r="A28185">
        <v>76309</v>
      </c>
      <c r="B28185" t="s">
        <v>50</v>
      </c>
      <c r="C28185">
        <v>76309</v>
      </c>
      <c r="D28185" t="str">
        <f>"76309"</f>
        <v>76309</v>
      </c>
      <c r="E28185">
        <v>65.400000000000006</v>
      </c>
    </row>
    <row r="28186" spans="1:5" x14ac:dyDescent="0.2">
      <c r="A28186">
        <v>76310</v>
      </c>
      <c r="B28186" t="s">
        <v>50</v>
      </c>
      <c r="C28186">
        <v>76310</v>
      </c>
      <c r="D28186" t="str">
        <f>"76310"</f>
        <v>76310</v>
      </c>
      <c r="E28186">
        <v>74.680000000000007</v>
      </c>
    </row>
    <row r="28187" spans="1:5" x14ac:dyDescent="0.2">
      <c r="A28187">
        <v>76311</v>
      </c>
      <c r="B28187" t="s">
        <v>50</v>
      </c>
      <c r="C28187">
        <v>76311</v>
      </c>
      <c r="D28187" t="str">
        <f>"76311"</f>
        <v>76311</v>
      </c>
      <c r="E28187">
        <v>62.96</v>
      </c>
    </row>
    <row r="28188" spans="1:5" x14ac:dyDescent="0.2">
      <c r="A28188">
        <v>76351</v>
      </c>
      <c r="B28188" t="s">
        <v>50</v>
      </c>
      <c r="C28188">
        <v>76351</v>
      </c>
      <c r="D28188" t="str">
        <f>"76351"</f>
        <v>76351</v>
      </c>
      <c r="E28188">
        <v>64.2</v>
      </c>
    </row>
    <row r="28189" spans="1:5" x14ac:dyDescent="0.2">
      <c r="A28189">
        <v>76354</v>
      </c>
      <c r="B28189" t="s">
        <v>50</v>
      </c>
      <c r="C28189">
        <v>76354</v>
      </c>
      <c r="D28189" t="str">
        <f>"76354"</f>
        <v>76354</v>
      </c>
      <c r="E28189">
        <v>69.06</v>
      </c>
    </row>
    <row r="28190" spans="1:5" x14ac:dyDescent="0.2">
      <c r="A28190">
        <v>76357</v>
      </c>
      <c r="B28190" t="s">
        <v>50</v>
      </c>
      <c r="C28190">
        <v>76357</v>
      </c>
      <c r="D28190" t="str">
        <f>"76357"</f>
        <v>76357</v>
      </c>
      <c r="E28190">
        <v>67.86</v>
      </c>
    </row>
    <row r="28191" spans="1:5" x14ac:dyDescent="0.2">
      <c r="A28191">
        <v>76360</v>
      </c>
      <c r="B28191" t="s">
        <v>50</v>
      </c>
      <c r="C28191">
        <v>76360</v>
      </c>
      <c r="D28191" t="str">
        <f>"76360"</f>
        <v>76360</v>
      </c>
      <c r="E28191">
        <v>66.95</v>
      </c>
    </row>
    <row r="28192" spans="1:5" x14ac:dyDescent="0.2">
      <c r="A28192">
        <v>76363</v>
      </c>
      <c r="B28192" t="s">
        <v>50</v>
      </c>
      <c r="C28192">
        <v>76363</v>
      </c>
      <c r="D28192" t="str">
        <f>"76363"</f>
        <v>76363</v>
      </c>
      <c r="E28192">
        <v>53.85</v>
      </c>
    </row>
    <row r="28193" spans="1:5" x14ac:dyDescent="0.2">
      <c r="A28193">
        <v>76364</v>
      </c>
      <c r="B28193" t="s">
        <v>50</v>
      </c>
      <c r="C28193">
        <v>76364</v>
      </c>
      <c r="D28193" t="str">
        <f>"76364"</f>
        <v>76364</v>
      </c>
      <c r="E28193" t="s">
        <v>6</v>
      </c>
    </row>
    <row r="28194" spans="1:5" x14ac:dyDescent="0.2">
      <c r="A28194">
        <v>76365</v>
      </c>
      <c r="B28194" t="s">
        <v>50</v>
      </c>
      <c r="C28194">
        <v>76365</v>
      </c>
      <c r="D28194" t="str">
        <f>"76365"</f>
        <v>76365</v>
      </c>
      <c r="E28194">
        <v>71.84</v>
      </c>
    </row>
    <row r="28195" spans="1:5" x14ac:dyDescent="0.2">
      <c r="A28195">
        <v>76366</v>
      </c>
      <c r="B28195" t="s">
        <v>50</v>
      </c>
      <c r="C28195">
        <v>76366</v>
      </c>
      <c r="D28195" t="str">
        <f>"76366"</f>
        <v>76366</v>
      </c>
      <c r="E28195">
        <v>72.040000000000006</v>
      </c>
    </row>
    <row r="28196" spans="1:5" x14ac:dyDescent="0.2">
      <c r="A28196">
        <v>76367</v>
      </c>
      <c r="B28196" t="s">
        <v>50</v>
      </c>
      <c r="C28196">
        <v>76367</v>
      </c>
      <c r="D28196" t="str">
        <f>"76367"</f>
        <v>76367</v>
      </c>
      <c r="E28196">
        <v>73.430000000000007</v>
      </c>
    </row>
    <row r="28197" spans="1:5" x14ac:dyDescent="0.2">
      <c r="A28197">
        <v>76370</v>
      </c>
      <c r="B28197" t="s">
        <v>50</v>
      </c>
      <c r="C28197">
        <v>76370</v>
      </c>
      <c r="D28197" t="str">
        <f>"76370"</f>
        <v>76370</v>
      </c>
      <c r="E28197" t="s">
        <v>6</v>
      </c>
    </row>
    <row r="28198" spans="1:5" x14ac:dyDescent="0.2">
      <c r="A28198">
        <v>76371</v>
      </c>
      <c r="B28198" t="s">
        <v>50</v>
      </c>
      <c r="C28198">
        <v>76371</v>
      </c>
      <c r="D28198" t="str">
        <f>"76371"</f>
        <v>76371</v>
      </c>
      <c r="E28198">
        <v>63.08</v>
      </c>
    </row>
    <row r="28199" spans="1:5" x14ac:dyDescent="0.2">
      <c r="A28199">
        <v>76372</v>
      </c>
      <c r="B28199" t="s">
        <v>50</v>
      </c>
      <c r="C28199">
        <v>76372</v>
      </c>
      <c r="D28199" t="str">
        <f>"76372"</f>
        <v>76372</v>
      </c>
      <c r="E28199">
        <v>57.58</v>
      </c>
    </row>
    <row r="28200" spans="1:5" x14ac:dyDescent="0.2">
      <c r="A28200">
        <v>76373</v>
      </c>
      <c r="B28200" t="s">
        <v>50</v>
      </c>
      <c r="C28200">
        <v>76373</v>
      </c>
      <c r="D28200" t="str">
        <f>"76373"</f>
        <v>76373</v>
      </c>
      <c r="E28200" t="s">
        <v>6</v>
      </c>
    </row>
    <row r="28201" spans="1:5" x14ac:dyDescent="0.2">
      <c r="A28201">
        <v>76374</v>
      </c>
      <c r="B28201" t="s">
        <v>50</v>
      </c>
      <c r="C28201">
        <v>76374</v>
      </c>
      <c r="D28201" t="str">
        <f>"76374"</f>
        <v>76374</v>
      </c>
      <c r="E28201">
        <v>64.099999999999994</v>
      </c>
    </row>
    <row r="28202" spans="1:5" x14ac:dyDescent="0.2">
      <c r="A28202">
        <v>76377</v>
      </c>
      <c r="B28202" t="s">
        <v>50</v>
      </c>
      <c r="C28202">
        <v>76377</v>
      </c>
      <c r="D28202" t="str">
        <f>"76377"</f>
        <v>76377</v>
      </c>
      <c r="E28202">
        <v>67.739999999999995</v>
      </c>
    </row>
    <row r="28203" spans="1:5" x14ac:dyDescent="0.2">
      <c r="A28203">
        <v>76379</v>
      </c>
      <c r="B28203" t="s">
        <v>50</v>
      </c>
      <c r="C28203">
        <v>76379</v>
      </c>
      <c r="D28203" t="str">
        <f>"76379"</f>
        <v>76379</v>
      </c>
      <c r="E28203">
        <v>73.91</v>
      </c>
    </row>
    <row r="28204" spans="1:5" x14ac:dyDescent="0.2">
      <c r="A28204">
        <v>76380</v>
      </c>
      <c r="B28204" t="s">
        <v>50</v>
      </c>
      <c r="C28204">
        <v>76380</v>
      </c>
      <c r="D28204" t="str">
        <f>"76380"</f>
        <v>76380</v>
      </c>
      <c r="E28204">
        <v>64.34</v>
      </c>
    </row>
    <row r="28205" spans="1:5" x14ac:dyDescent="0.2">
      <c r="A28205">
        <v>76384</v>
      </c>
      <c r="B28205" t="s">
        <v>50</v>
      </c>
      <c r="C28205">
        <v>76384</v>
      </c>
      <c r="D28205" t="str">
        <f>"76384"</f>
        <v>76384</v>
      </c>
      <c r="E28205">
        <v>64.66</v>
      </c>
    </row>
    <row r="28206" spans="1:5" x14ac:dyDescent="0.2">
      <c r="A28206">
        <v>76388</v>
      </c>
      <c r="B28206" t="s">
        <v>50</v>
      </c>
      <c r="C28206">
        <v>76388</v>
      </c>
      <c r="D28206" t="str">
        <f>"76388"</f>
        <v>76388</v>
      </c>
      <c r="E28206" t="s">
        <v>6</v>
      </c>
    </row>
    <row r="28207" spans="1:5" x14ac:dyDescent="0.2">
      <c r="A28207">
        <v>76389</v>
      </c>
      <c r="B28207" t="s">
        <v>50</v>
      </c>
      <c r="C28207">
        <v>76389</v>
      </c>
      <c r="D28207" t="str">
        <f>"76389"</f>
        <v>76389</v>
      </c>
      <c r="E28207">
        <v>71.67</v>
      </c>
    </row>
    <row r="28208" spans="1:5" x14ac:dyDescent="0.2">
      <c r="A28208">
        <v>76401</v>
      </c>
      <c r="B28208" t="s">
        <v>50</v>
      </c>
      <c r="C28208">
        <v>76401</v>
      </c>
      <c r="D28208" t="str">
        <f>"76401"</f>
        <v>76401</v>
      </c>
      <c r="E28208">
        <v>67.61</v>
      </c>
    </row>
    <row r="28209" spans="1:5" x14ac:dyDescent="0.2">
      <c r="A28209">
        <v>76424</v>
      </c>
      <c r="B28209" t="s">
        <v>50</v>
      </c>
      <c r="C28209">
        <v>76424</v>
      </c>
      <c r="D28209" t="str">
        <f>"76424"</f>
        <v>76424</v>
      </c>
      <c r="E28209">
        <v>62.39</v>
      </c>
    </row>
    <row r="28210" spans="1:5" x14ac:dyDescent="0.2">
      <c r="A28210">
        <v>76426</v>
      </c>
      <c r="B28210" t="s">
        <v>50</v>
      </c>
      <c r="C28210">
        <v>76426</v>
      </c>
      <c r="D28210" t="str">
        <f>"76426"</f>
        <v>76426</v>
      </c>
      <c r="E28210">
        <v>68.2</v>
      </c>
    </row>
    <row r="28211" spans="1:5" x14ac:dyDescent="0.2">
      <c r="A28211">
        <v>76427</v>
      </c>
      <c r="B28211" t="s">
        <v>50</v>
      </c>
      <c r="C28211">
        <v>76427</v>
      </c>
      <c r="D28211" t="str">
        <f>"76427"</f>
        <v>76427</v>
      </c>
      <c r="E28211">
        <v>65.63</v>
      </c>
    </row>
    <row r="28212" spans="1:5" x14ac:dyDescent="0.2">
      <c r="A28212">
        <v>76429</v>
      </c>
      <c r="B28212" t="s">
        <v>50</v>
      </c>
      <c r="C28212">
        <v>76429</v>
      </c>
      <c r="D28212" t="str">
        <f>"76429"</f>
        <v>76429</v>
      </c>
      <c r="E28212" t="s">
        <v>6</v>
      </c>
    </row>
    <row r="28213" spans="1:5" x14ac:dyDescent="0.2">
      <c r="A28213">
        <v>76430</v>
      </c>
      <c r="B28213" t="s">
        <v>50</v>
      </c>
      <c r="C28213">
        <v>76430</v>
      </c>
      <c r="D28213" t="str">
        <f>"76430"</f>
        <v>76430</v>
      </c>
      <c r="E28213">
        <v>68.52</v>
      </c>
    </row>
    <row r="28214" spans="1:5" x14ac:dyDescent="0.2">
      <c r="A28214">
        <v>76431</v>
      </c>
      <c r="B28214" t="s">
        <v>50</v>
      </c>
      <c r="C28214">
        <v>76431</v>
      </c>
      <c r="D28214" t="str">
        <f>"76431"</f>
        <v>76431</v>
      </c>
      <c r="E28214">
        <v>68.459999999999994</v>
      </c>
    </row>
    <row r="28215" spans="1:5" x14ac:dyDescent="0.2">
      <c r="A28215">
        <v>76432</v>
      </c>
      <c r="B28215" t="s">
        <v>50</v>
      </c>
      <c r="C28215">
        <v>76432</v>
      </c>
      <c r="D28215" t="str">
        <f>"76432"</f>
        <v>76432</v>
      </c>
      <c r="E28215">
        <v>71.930000000000007</v>
      </c>
    </row>
    <row r="28216" spans="1:5" x14ac:dyDescent="0.2">
      <c r="A28216">
        <v>76433</v>
      </c>
      <c r="B28216" t="s">
        <v>50</v>
      </c>
      <c r="C28216">
        <v>76433</v>
      </c>
      <c r="D28216" t="str">
        <f>"76433"</f>
        <v>76433</v>
      </c>
      <c r="E28216">
        <v>76.06</v>
      </c>
    </row>
    <row r="28217" spans="1:5" x14ac:dyDescent="0.2">
      <c r="A28217">
        <v>76435</v>
      </c>
      <c r="B28217" t="s">
        <v>50</v>
      </c>
      <c r="C28217">
        <v>76435</v>
      </c>
      <c r="D28217" t="str">
        <f>"76435"</f>
        <v>76435</v>
      </c>
      <c r="E28217">
        <v>67.86</v>
      </c>
    </row>
    <row r="28218" spans="1:5" x14ac:dyDescent="0.2">
      <c r="A28218">
        <v>76436</v>
      </c>
      <c r="B28218" t="s">
        <v>50</v>
      </c>
      <c r="C28218">
        <v>76436</v>
      </c>
      <c r="D28218" t="str">
        <f>"76436"</f>
        <v>76436</v>
      </c>
      <c r="E28218">
        <v>70</v>
      </c>
    </row>
    <row r="28219" spans="1:5" x14ac:dyDescent="0.2">
      <c r="A28219">
        <v>76437</v>
      </c>
      <c r="B28219" t="s">
        <v>50</v>
      </c>
      <c r="C28219">
        <v>76437</v>
      </c>
      <c r="D28219" t="str">
        <f>"76437"</f>
        <v>76437</v>
      </c>
      <c r="E28219">
        <v>64.19</v>
      </c>
    </row>
    <row r="28220" spans="1:5" x14ac:dyDescent="0.2">
      <c r="A28220">
        <v>76442</v>
      </c>
      <c r="B28220" t="s">
        <v>50</v>
      </c>
      <c r="C28220">
        <v>76442</v>
      </c>
      <c r="D28220" t="str">
        <f>"76442"</f>
        <v>76442</v>
      </c>
      <c r="E28220">
        <v>62.91</v>
      </c>
    </row>
    <row r="28221" spans="1:5" x14ac:dyDescent="0.2">
      <c r="A28221">
        <v>76443</v>
      </c>
      <c r="B28221" t="s">
        <v>50</v>
      </c>
      <c r="C28221">
        <v>76443</v>
      </c>
      <c r="D28221" t="str">
        <f>"76443"</f>
        <v>76443</v>
      </c>
      <c r="E28221">
        <v>65.28</v>
      </c>
    </row>
    <row r="28222" spans="1:5" x14ac:dyDescent="0.2">
      <c r="A28222">
        <v>76444</v>
      </c>
      <c r="B28222" t="s">
        <v>50</v>
      </c>
      <c r="C28222">
        <v>76444</v>
      </c>
      <c r="D28222" t="str">
        <f>"76444"</f>
        <v>76444</v>
      </c>
      <c r="E28222">
        <v>65.540000000000006</v>
      </c>
    </row>
    <row r="28223" spans="1:5" x14ac:dyDescent="0.2">
      <c r="A28223">
        <v>76445</v>
      </c>
      <c r="B28223" t="s">
        <v>50</v>
      </c>
      <c r="C28223">
        <v>76445</v>
      </c>
      <c r="D28223" t="str">
        <f>"76445"</f>
        <v>76445</v>
      </c>
      <c r="E28223">
        <v>71.430000000000007</v>
      </c>
    </row>
    <row r="28224" spans="1:5" x14ac:dyDescent="0.2">
      <c r="A28224">
        <v>76446</v>
      </c>
      <c r="B28224" t="s">
        <v>50</v>
      </c>
      <c r="C28224">
        <v>76446</v>
      </c>
      <c r="D28224" t="str">
        <f>"76446"</f>
        <v>76446</v>
      </c>
      <c r="E28224">
        <v>62.31</v>
      </c>
    </row>
    <row r="28225" spans="1:5" x14ac:dyDescent="0.2">
      <c r="A28225">
        <v>76448</v>
      </c>
      <c r="B28225" t="s">
        <v>50</v>
      </c>
      <c r="C28225">
        <v>76448</v>
      </c>
      <c r="D28225" t="str">
        <f>"76448"</f>
        <v>76448</v>
      </c>
      <c r="E28225">
        <v>65.819999999999993</v>
      </c>
    </row>
    <row r="28226" spans="1:5" x14ac:dyDescent="0.2">
      <c r="A28226">
        <v>76449</v>
      </c>
      <c r="B28226" t="s">
        <v>50</v>
      </c>
      <c r="C28226">
        <v>76449</v>
      </c>
      <c r="D28226" t="str">
        <f>"76449"</f>
        <v>76449</v>
      </c>
      <c r="E28226">
        <v>69.900000000000006</v>
      </c>
    </row>
    <row r="28227" spans="1:5" x14ac:dyDescent="0.2">
      <c r="A28227">
        <v>76450</v>
      </c>
      <c r="B28227" t="s">
        <v>50</v>
      </c>
      <c r="C28227">
        <v>76450</v>
      </c>
      <c r="D28227" t="str">
        <f>"76450"</f>
        <v>76450</v>
      </c>
      <c r="E28227">
        <v>64.98</v>
      </c>
    </row>
    <row r="28228" spans="1:5" x14ac:dyDescent="0.2">
      <c r="A28228">
        <v>76452</v>
      </c>
      <c r="B28228" t="s">
        <v>50</v>
      </c>
      <c r="C28228">
        <v>76452</v>
      </c>
      <c r="D28228" t="str">
        <f>"76452"</f>
        <v>76452</v>
      </c>
      <c r="E28228" t="s">
        <v>6</v>
      </c>
    </row>
    <row r="28229" spans="1:5" x14ac:dyDescent="0.2">
      <c r="A28229">
        <v>76453</v>
      </c>
      <c r="B28229" t="s">
        <v>50</v>
      </c>
      <c r="C28229">
        <v>76453</v>
      </c>
      <c r="D28229" t="str">
        <f>"76453"</f>
        <v>76453</v>
      </c>
      <c r="E28229">
        <v>72.22</v>
      </c>
    </row>
    <row r="28230" spans="1:5" x14ac:dyDescent="0.2">
      <c r="A28230">
        <v>76454</v>
      </c>
      <c r="B28230" t="s">
        <v>50</v>
      </c>
      <c r="C28230">
        <v>76454</v>
      </c>
      <c r="D28230" t="str">
        <f>"76454"</f>
        <v>76454</v>
      </c>
      <c r="E28230">
        <v>64.62</v>
      </c>
    </row>
    <row r="28231" spans="1:5" x14ac:dyDescent="0.2">
      <c r="A28231">
        <v>76455</v>
      </c>
      <c r="B28231" t="s">
        <v>50</v>
      </c>
      <c r="C28231">
        <v>76455</v>
      </c>
      <c r="D28231" t="str">
        <f>"76455"</f>
        <v>76455</v>
      </c>
      <c r="E28231">
        <v>64.709999999999994</v>
      </c>
    </row>
    <row r="28232" spans="1:5" x14ac:dyDescent="0.2">
      <c r="A28232">
        <v>76457</v>
      </c>
      <c r="B28232" t="s">
        <v>50</v>
      </c>
      <c r="C28232">
        <v>76457</v>
      </c>
      <c r="D28232" t="str">
        <f>"76457"</f>
        <v>76457</v>
      </c>
      <c r="E28232">
        <v>64.150000000000006</v>
      </c>
    </row>
    <row r="28233" spans="1:5" x14ac:dyDescent="0.2">
      <c r="A28233">
        <v>76458</v>
      </c>
      <c r="B28233" t="s">
        <v>50</v>
      </c>
      <c r="C28233">
        <v>76458</v>
      </c>
      <c r="D28233" t="str">
        <f>"76458"</f>
        <v>76458</v>
      </c>
      <c r="E28233">
        <v>65.09</v>
      </c>
    </row>
    <row r="28234" spans="1:5" x14ac:dyDescent="0.2">
      <c r="A28234">
        <v>76459</v>
      </c>
      <c r="B28234" t="s">
        <v>50</v>
      </c>
      <c r="C28234">
        <v>76459</v>
      </c>
      <c r="D28234" t="str">
        <f>"76459"</f>
        <v>76459</v>
      </c>
      <c r="E28234" t="s">
        <v>6</v>
      </c>
    </row>
    <row r="28235" spans="1:5" x14ac:dyDescent="0.2">
      <c r="A28235">
        <v>76460</v>
      </c>
      <c r="B28235" t="s">
        <v>50</v>
      </c>
      <c r="C28235">
        <v>76460</v>
      </c>
      <c r="D28235" t="str">
        <f>"76460"</f>
        <v>76460</v>
      </c>
      <c r="E28235">
        <v>66.67</v>
      </c>
    </row>
    <row r="28236" spans="1:5" x14ac:dyDescent="0.2">
      <c r="A28236">
        <v>76461</v>
      </c>
      <c r="B28236" t="s">
        <v>50</v>
      </c>
      <c r="C28236">
        <v>76461</v>
      </c>
      <c r="D28236" t="str">
        <f>"76461"</f>
        <v>76461</v>
      </c>
      <c r="E28236" t="s">
        <v>6</v>
      </c>
    </row>
    <row r="28237" spans="1:5" x14ac:dyDescent="0.2">
      <c r="A28237">
        <v>76462</v>
      </c>
      <c r="B28237" t="s">
        <v>50</v>
      </c>
      <c r="C28237">
        <v>76462</v>
      </c>
      <c r="D28237" t="str">
        <f>"76462"</f>
        <v>76462</v>
      </c>
      <c r="E28237">
        <v>69.34</v>
      </c>
    </row>
    <row r="28238" spans="1:5" x14ac:dyDescent="0.2">
      <c r="A28238">
        <v>76463</v>
      </c>
      <c r="B28238" t="s">
        <v>50</v>
      </c>
      <c r="C28238">
        <v>76463</v>
      </c>
      <c r="D28238" t="str">
        <f>"76463"</f>
        <v>76463</v>
      </c>
      <c r="E28238">
        <v>63.16</v>
      </c>
    </row>
    <row r="28239" spans="1:5" x14ac:dyDescent="0.2">
      <c r="A28239">
        <v>76464</v>
      </c>
      <c r="B28239" t="s">
        <v>50</v>
      </c>
      <c r="C28239">
        <v>76464</v>
      </c>
      <c r="D28239" t="str">
        <f>"76464"</f>
        <v>76464</v>
      </c>
      <c r="E28239">
        <v>55.56</v>
      </c>
    </row>
    <row r="28240" spans="1:5" x14ac:dyDescent="0.2">
      <c r="A28240">
        <v>76466</v>
      </c>
      <c r="B28240" t="s">
        <v>50</v>
      </c>
      <c r="C28240">
        <v>76466</v>
      </c>
      <c r="D28240" t="str">
        <f>"76466"</f>
        <v>76466</v>
      </c>
      <c r="E28240" t="s">
        <v>6</v>
      </c>
    </row>
    <row r="28241" spans="1:5" x14ac:dyDescent="0.2">
      <c r="A28241">
        <v>76469</v>
      </c>
      <c r="B28241" t="s">
        <v>50</v>
      </c>
      <c r="C28241">
        <v>76469</v>
      </c>
      <c r="D28241" t="str">
        <f>"76469"</f>
        <v>76469</v>
      </c>
      <c r="E28241" t="s">
        <v>6</v>
      </c>
    </row>
    <row r="28242" spans="1:5" x14ac:dyDescent="0.2">
      <c r="A28242">
        <v>76470</v>
      </c>
      <c r="B28242" t="s">
        <v>50</v>
      </c>
      <c r="C28242">
        <v>76470</v>
      </c>
      <c r="D28242" t="str">
        <f>"76470"</f>
        <v>76470</v>
      </c>
      <c r="E28242">
        <v>60</v>
      </c>
    </row>
    <row r="28243" spans="1:5" x14ac:dyDescent="0.2">
      <c r="A28243">
        <v>76471</v>
      </c>
      <c r="B28243" t="s">
        <v>50</v>
      </c>
      <c r="C28243">
        <v>76471</v>
      </c>
      <c r="D28243" t="str">
        <f>"76471"</f>
        <v>76471</v>
      </c>
      <c r="E28243">
        <v>64.06</v>
      </c>
    </row>
    <row r="28244" spans="1:5" x14ac:dyDescent="0.2">
      <c r="A28244">
        <v>76472</v>
      </c>
      <c r="B28244" t="s">
        <v>50</v>
      </c>
      <c r="C28244">
        <v>76472</v>
      </c>
      <c r="D28244" t="str">
        <f>"76472"</f>
        <v>76472</v>
      </c>
      <c r="E28244">
        <v>72.459999999999994</v>
      </c>
    </row>
    <row r="28245" spans="1:5" x14ac:dyDescent="0.2">
      <c r="A28245">
        <v>76474</v>
      </c>
      <c r="B28245" t="s">
        <v>50</v>
      </c>
      <c r="C28245">
        <v>76474</v>
      </c>
      <c r="D28245" t="str">
        <f>"76474"</f>
        <v>76474</v>
      </c>
      <c r="E28245">
        <v>66.67</v>
      </c>
    </row>
    <row r="28246" spans="1:5" x14ac:dyDescent="0.2">
      <c r="A28246">
        <v>76475</v>
      </c>
      <c r="B28246" t="s">
        <v>50</v>
      </c>
      <c r="C28246">
        <v>76475</v>
      </c>
      <c r="D28246" t="str">
        <f>"76475"</f>
        <v>76475</v>
      </c>
      <c r="E28246">
        <v>66.67</v>
      </c>
    </row>
    <row r="28247" spans="1:5" x14ac:dyDescent="0.2">
      <c r="A28247">
        <v>76476</v>
      </c>
      <c r="B28247" t="s">
        <v>50</v>
      </c>
      <c r="C28247">
        <v>76476</v>
      </c>
      <c r="D28247" t="str">
        <f>"76476"</f>
        <v>76476</v>
      </c>
      <c r="E28247">
        <v>70</v>
      </c>
    </row>
    <row r="28248" spans="1:5" x14ac:dyDescent="0.2">
      <c r="A28248">
        <v>76481</v>
      </c>
      <c r="B28248" t="s">
        <v>50</v>
      </c>
      <c r="C28248">
        <v>76481</v>
      </c>
      <c r="D28248" t="str">
        <f>"76481"</f>
        <v>76481</v>
      </c>
      <c r="E28248" t="s">
        <v>6</v>
      </c>
    </row>
    <row r="28249" spans="1:5" x14ac:dyDescent="0.2">
      <c r="A28249">
        <v>76483</v>
      </c>
      <c r="B28249" t="s">
        <v>50</v>
      </c>
      <c r="C28249">
        <v>76483</v>
      </c>
      <c r="D28249" t="str">
        <f>"76483"</f>
        <v>76483</v>
      </c>
      <c r="E28249">
        <v>68.42</v>
      </c>
    </row>
    <row r="28250" spans="1:5" x14ac:dyDescent="0.2">
      <c r="A28250">
        <v>76484</v>
      </c>
      <c r="B28250" t="s">
        <v>50</v>
      </c>
      <c r="C28250">
        <v>76484</v>
      </c>
      <c r="D28250" t="str">
        <f>"76484"</f>
        <v>76484</v>
      </c>
      <c r="E28250">
        <v>70.45</v>
      </c>
    </row>
    <row r="28251" spans="1:5" x14ac:dyDescent="0.2">
      <c r="A28251">
        <v>76486</v>
      </c>
      <c r="B28251" t="s">
        <v>50</v>
      </c>
      <c r="C28251">
        <v>76486</v>
      </c>
      <c r="D28251" t="str">
        <f>"76486"</f>
        <v>76486</v>
      </c>
      <c r="E28251">
        <v>66.67</v>
      </c>
    </row>
    <row r="28252" spans="1:5" x14ac:dyDescent="0.2">
      <c r="A28252">
        <v>76487</v>
      </c>
      <c r="B28252" t="s">
        <v>50</v>
      </c>
      <c r="C28252">
        <v>76487</v>
      </c>
      <c r="D28252" t="str">
        <f>"76487"</f>
        <v>76487</v>
      </c>
      <c r="E28252">
        <v>72.41</v>
      </c>
    </row>
    <row r="28253" spans="1:5" x14ac:dyDescent="0.2">
      <c r="A28253">
        <v>76490</v>
      </c>
      <c r="B28253" t="s">
        <v>50</v>
      </c>
      <c r="C28253">
        <v>76490</v>
      </c>
      <c r="D28253" t="str">
        <f>"76490"</f>
        <v>76490</v>
      </c>
      <c r="E28253" t="s">
        <v>6</v>
      </c>
    </row>
    <row r="28254" spans="1:5" x14ac:dyDescent="0.2">
      <c r="A28254">
        <v>76491</v>
      </c>
      <c r="B28254" t="s">
        <v>50</v>
      </c>
      <c r="C28254">
        <v>76491</v>
      </c>
      <c r="D28254" t="str">
        <f>"76491"</f>
        <v>76491</v>
      </c>
      <c r="E28254">
        <v>75</v>
      </c>
    </row>
    <row r="28255" spans="1:5" x14ac:dyDescent="0.2">
      <c r="A28255">
        <v>76501</v>
      </c>
      <c r="B28255" t="s">
        <v>50</v>
      </c>
      <c r="C28255">
        <v>76501</v>
      </c>
      <c r="D28255" t="str">
        <f>"76501"</f>
        <v>76501</v>
      </c>
      <c r="E28255">
        <v>60.58</v>
      </c>
    </row>
    <row r="28256" spans="1:5" x14ac:dyDescent="0.2">
      <c r="A28256">
        <v>76502</v>
      </c>
      <c r="B28256" t="s">
        <v>50</v>
      </c>
      <c r="C28256">
        <v>76502</v>
      </c>
      <c r="D28256" t="str">
        <f>"76502"</f>
        <v>76502</v>
      </c>
      <c r="E28256">
        <v>73.510000000000005</v>
      </c>
    </row>
    <row r="28257" spans="1:5" x14ac:dyDescent="0.2">
      <c r="A28257">
        <v>76504</v>
      </c>
      <c r="B28257" t="s">
        <v>50</v>
      </c>
      <c r="C28257">
        <v>76504</v>
      </c>
      <c r="D28257" t="str">
        <f>"76504"</f>
        <v>76504</v>
      </c>
      <c r="E28257">
        <v>61.94</v>
      </c>
    </row>
    <row r="28258" spans="1:5" x14ac:dyDescent="0.2">
      <c r="A28258">
        <v>76508</v>
      </c>
      <c r="B28258" t="s">
        <v>50</v>
      </c>
      <c r="C28258">
        <v>76508</v>
      </c>
      <c r="D28258" t="str">
        <f>"76508"</f>
        <v>76508</v>
      </c>
      <c r="E28258" t="s">
        <v>6</v>
      </c>
    </row>
    <row r="28259" spans="1:5" x14ac:dyDescent="0.2">
      <c r="A28259">
        <v>76511</v>
      </c>
      <c r="B28259" t="s">
        <v>50</v>
      </c>
      <c r="C28259">
        <v>76511</v>
      </c>
      <c r="D28259" t="str">
        <f>"76511"</f>
        <v>76511</v>
      </c>
      <c r="E28259">
        <v>63.92</v>
      </c>
    </row>
    <row r="28260" spans="1:5" x14ac:dyDescent="0.2">
      <c r="A28260">
        <v>76513</v>
      </c>
      <c r="B28260" t="s">
        <v>50</v>
      </c>
      <c r="C28260">
        <v>76513</v>
      </c>
      <c r="D28260" t="str">
        <f>"76513"</f>
        <v>76513</v>
      </c>
      <c r="E28260">
        <v>70.38</v>
      </c>
    </row>
    <row r="28261" spans="1:5" x14ac:dyDescent="0.2">
      <c r="A28261">
        <v>76518</v>
      </c>
      <c r="B28261" t="s">
        <v>50</v>
      </c>
      <c r="C28261">
        <v>76518</v>
      </c>
      <c r="D28261" t="str">
        <f>"76518"</f>
        <v>76518</v>
      </c>
      <c r="E28261">
        <v>63.64</v>
      </c>
    </row>
    <row r="28262" spans="1:5" x14ac:dyDescent="0.2">
      <c r="A28262">
        <v>76519</v>
      </c>
      <c r="B28262" t="s">
        <v>50</v>
      </c>
      <c r="C28262">
        <v>76519</v>
      </c>
      <c r="D28262" t="str">
        <f>"76519"</f>
        <v>76519</v>
      </c>
      <c r="E28262">
        <v>65.38</v>
      </c>
    </row>
    <row r="28263" spans="1:5" x14ac:dyDescent="0.2">
      <c r="A28263">
        <v>76520</v>
      </c>
      <c r="B28263" t="s">
        <v>50</v>
      </c>
      <c r="C28263">
        <v>76520</v>
      </c>
      <c r="D28263" t="str">
        <f>"76520"</f>
        <v>76520</v>
      </c>
      <c r="E28263">
        <v>60.24</v>
      </c>
    </row>
    <row r="28264" spans="1:5" x14ac:dyDescent="0.2">
      <c r="A28264">
        <v>76522</v>
      </c>
      <c r="B28264" t="s">
        <v>50</v>
      </c>
      <c r="C28264">
        <v>76522</v>
      </c>
      <c r="D28264" t="str">
        <f>"76522"</f>
        <v>76522</v>
      </c>
      <c r="E28264">
        <v>64.28</v>
      </c>
    </row>
    <row r="28265" spans="1:5" x14ac:dyDescent="0.2">
      <c r="A28265">
        <v>76524</v>
      </c>
      <c r="B28265" t="s">
        <v>50</v>
      </c>
      <c r="C28265">
        <v>76524</v>
      </c>
      <c r="D28265" t="str">
        <f>"76524"</f>
        <v>76524</v>
      </c>
      <c r="E28265">
        <v>65.349999999999994</v>
      </c>
    </row>
    <row r="28266" spans="1:5" x14ac:dyDescent="0.2">
      <c r="A28266">
        <v>76525</v>
      </c>
      <c r="B28266" t="s">
        <v>50</v>
      </c>
      <c r="C28266">
        <v>76525</v>
      </c>
      <c r="D28266" t="str">
        <f>"76525"</f>
        <v>76525</v>
      </c>
      <c r="E28266">
        <v>60</v>
      </c>
    </row>
    <row r="28267" spans="1:5" x14ac:dyDescent="0.2">
      <c r="A28267">
        <v>76527</v>
      </c>
      <c r="B28267" t="s">
        <v>50</v>
      </c>
      <c r="C28267">
        <v>76527</v>
      </c>
      <c r="D28267" t="str">
        <f>"76527"</f>
        <v>76527</v>
      </c>
      <c r="E28267">
        <v>70.77</v>
      </c>
    </row>
    <row r="28268" spans="1:5" x14ac:dyDescent="0.2">
      <c r="A28268">
        <v>76528</v>
      </c>
      <c r="B28268" t="s">
        <v>50</v>
      </c>
      <c r="C28268">
        <v>76528</v>
      </c>
      <c r="D28268" t="str">
        <f>"76528"</f>
        <v>76528</v>
      </c>
      <c r="E28268">
        <v>68.790000000000006</v>
      </c>
    </row>
    <row r="28269" spans="1:5" x14ac:dyDescent="0.2">
      <c r="A28269">
        <v>76530</v>
      </c>
      <c r="B28269" t="s">
        <v>50</v>
      </c>
      <c r="C28269">
        <v>76530</v>
      </c>
      <c r="D28269" t="str">
        <f>"76530"</f>
        <v>76530</v>
      </c>
      <c r="E28269">
        <v>73.77</v>
      </c>
    </row>
    <row r="28270" spans="1:5" x14ac:dyDescent="0.2">
      <c r="A28270">
        <v>76531</v>
      </c>
      <c r="B28270" t="s">
        <v>50</v>
      </c>
      <c r="C28270">
        <v>76531</v>
      </c>
      <c r="D28270" t="str">
        <f>"76531"</f>
        <v>76531</v>
      </c>
      <c r="E28270">
        <v>67.459999999999994</v>
      </c>
    </row>
    <row r="28271" spans="1:5" x14ac:dyDescent="0.2">
      <c r="A28271">
        <v>76533</v>
      </c>
      <c r="B28271" t="s">
        <v>50</v>
      </c>
      <c r="C28271">
        <v>76533</v>
      </c>
      <c r="D28271" t="str">
        <f>"76533"</f>
        <v>76533</v>
      </c>
      <c r="E28271" t="s">
        <v>6</v>
      </c>
    </row>
    <row r="28272" spans="1:5" x14ac:dyDescent="0.2">
      <c r="A28272">
        <v>76534</v>
      </c>
      <c r="B28272" t="s">
        <v>50</v>
      </c>
      <c r="C28272">
        <v>76534</v>
      </c>
      <c r="D28272" t="str">
        <f>"76534"</f>
        <v>76534</v>
      </c>
      <c r="E28272">
        <v>70.430000000000007</v>
      </c>
    </row>
    <row r="28273" spans="1:5" x14ac:dyDescent="0.2">
      <c r="A28273">
        <v>76537</v>
      </c>
      <c r="B28273" t="s">
        <v>50</v>
      </c>
      <c r="C28273">
        <v>76537</v>
      </c>
      <c r="D28273" t="str">
        <f>"76537"</f>
        <v>76537</v>
      </c>
      <c r="E28273">
        <v>73.430000000000007</v>
      </c>
    </row>
    <row r="28274" spans="1:5" x14ac:dyDescent="0.2">
      <c r="A28274">
        <v>76538</v>
      </c>
      <c r="B28274" t="s">
        <v>50</v>
      </c>
      <c r="C28274">
        <v>76538</v>
      </c>
      <c r="D28274" t="str">
        <f>"76538"</f>
        <v>76538</v>
      </c>
      <c r="E28274">
        <v>70.59</v>
      </c>
    </row>
    <row r="28275" spans="1:5" x14ac:dyDescent="0.2">
      <c r="A28275">
        <v>76539</v>
      </c>
      <c r="B28275" t="s">
        <v>50</v>
      </c>
      <c r="C28275">
        <v>76539</v>
      </c>
      <c r="D28275" t="str">
        <f>"76539"</f>
        <v>76539</v>
      </c>
      <c r="E28275">
        <v>73.260000000000005</v>
      </c>
    </row>
    <row r="28276" spans="1:5" x14ac:dyDescent="0.2">
      <c r="A28276">
        <v>76541</v>
      </c>
      <c r="B28276" t="s">
        <v>50</v>
      </c>
      <c r="C28276">
        <v>76541</v>
      </c>
      <c r="D28276" t="str">
        <f>"76541"</f>
        <v>76541</v>
      </c>
      <c r="E28276">
        <v>50.76</v>
      </c>
    </row>
    <row r="28277" spans="1:5" x14ac:dyDescent="0.2">
      <c r="A28277">
        <v>76542</v>
      </c>
      <c r="B28277" t="s">
        <v>50</v>
      </c>
      <c r="C28277">
        <v>76542</v>
      </c>
      <c r="D28277" t="str">
        <f>"76542"</f>
        <v>76542</v>
      </c>
      <c r="E28277">
        <v>64.209999999999994</v>
      </c>
    </row>
    <row r="28278" spans="1:5" x14ac:dyDescent="0.2">
      <c r="A28278">
        <v>76543</v>
      </c>
      <c r="B28278" t="s">
        <v>50</v>
      </c>
      <c r="C28278">
        <v>76543</v>
      </c>
      <c r="D28278" t="str">
        <f>"76543"</f>
        <v>76543</v>
      </c>
      <c r="E28278">
        <v>56.87</v>
      </c>
    </row>
    <row r="28279" spans="1:5" x14ac:dyDescent="0.2">
      <c r="A28279">
        <v>76544</v>
      </c>
      <c r="B28279" t="s">
        <v>50</v>
      </c>
      <c r="C28279">
        <v>76544</v>
      </c>
      <c r="D28279" t="str">
        <f>"76544"</f>
        <v>76544</v>
      </c>
      <c r="E28279">
        <v>57.51</v>
      </c>
    </row>
    <row r="28280" spans="1:5" x14ac:dyDescent="0.2">
      <c r="A28280">
        <v>76548</v>
      </c>
      <c r="B28280" t="s">
        <v>50</v>
      </c>
      <c r="C28280">
        <v>76548</v>
      </c>
      <c r="D28280" t="str">
        <f>"76548"</f>
        <v>76548</v>
      </c>
      <c r="E28280">
        <v>67.91</v>
      </c>
    </row>
    <row r="28281" spans="1:5" x14ac:dyDescent="0.2">
      <c r="A28281">
        <v>76549</v>
      </c>
      <c r="B28281" t="s">
        <v>50</v>
      </c>
      <c r="C28281">
        <v>76549</v>
      </c>
      <c r="D28281" t="str">
        <f>"76549"</f>
        <v>76549</v>
      </c>
      <c r="E28281">
        <v>58.56</v>
      </c>
    </row>
    <row r="28282" spans="1:5" x14ac:dyDescent="0.2">
      <c r="A28282">
        <v>76550</v>
      </c>
      <c r="B28282" t="s">
        <v>50</v>
      </c>
      <c r="C28282">
        <v>76550</v>
      </c>
      <c r="D28282" t="str">
        <f>"76550"</f>
        <v>76550</v>
      </c>
      <c r="E28282">
        <v>68.17</v>
      </c>
    </row>
    <row r="28283" spans="1:5" x14ac:dyDescent="0.2">
      <c r="A28283">
        <v>76554</v>
      </c>
      <c r="B28283" t="s">
        <v>50</v>
      </c>
      <c r="C28283">
        <v>76554</v>
      </c>
      <c r="D28283" t="str">
        <f>"76554"</f>
        <v>76554</v>
      </c>
      <c r="E28283">
        <v>65.63</v>
      </c>
    </row>
    <row r="28284" spans="1:5" x14ac:dyDescent="0.2">
      <c r="A28284">
        <v>76556</v>
      </c>
      <c r="B28284" t="s">
        <v>50</v>
      </c>
      <c r="C28284">
        <v>76556</v>
      </c>
      <c r="D28284" t="str">
        <f>"76556"</f>
        <v>76556</v>
      </c>
      <c r="E28284">
        <v>68.33</v>
      </c>
    </row>
    <row r="28285" spans="1:5" x14ac:dyDescent="0.2">
      <c r="A28285">
        <v>76557</v>
      </c>
      <c r="B28285" t="s">
        <v>50</v>
      </c>
      <c r="C28285">
        <v>76557</v>
      </c>
      <c r="D28285" t="str">
        <f>"76557"</f>
        <v>76557</v>
      </c>
      <c r="E28285">
        <v>68.3</v>
      </c>
    </row>
    <row r="28286" spans="1:5" x14ac:dyDescent="0.2">
      <c r="A28286">
        <v>76559</v>
      </c>
      <c r="B28286" t="s">
        <v>50</v>
      </c>
      <c r="C28286">
        <v>76559</v>
      </c>
      <c r="D28286" t="str">
        <f>"76559"</f>
        <v>76559</v>
      </c>
      <c r="E28286">
        <v>66.67</v>
      </c>
    </row>
    <row r="28287" spans="1:5" x14ac:dyDescent="0.2">
      <c r="A28287">
        <v>76561</v>
      </c>
      <c r="B28287" t="s">
        <v>50</v>
      </c>
      <c r="C28287">
        <v>76561</v>
      </c>
      <c r="D28287" t="str">
        <f>"76561"</f>
        <v>76561</v>
      </c>
      <c r="E28287">
        <v>71.11</v>
      </c>
    </row>
    <row r="28288" spans="1:5" x14ac:dyDescent="0.2">
      <c r="A28288">
        <v>76565</v>
      </c>
      <c r="B28288" t="s">
        <v>50</v>
      </c>
      <c r="C28288">
        <v>76565</v>
      </c>
      <c r="D28288" t="str">
        <f>"76565"</f>
        <v>76565</v>
      </c>
      <c r="E28288" t="s">
        <v>6</v>
      </c>
    </row>
    <row r="28289" spans="1:5" x14ac:dyDescent="0.2">
      <c r="A28289">
        <v>76566</v>
      </c>
      <c r="B28289" t="s">
        <v>50</v>
      </c>
      <c r="C28289">
        <v>76566</v>
      </c>
      <c r="D28289" t="str">
        <f>"76566"</f>
        <v>76566</v>
      </c>
      <c r="E28289">
        <v>69.23</v>
      </c>
    </row>
    <row r="28290" spans="1:5" x14ac:dyDescent="0.2">
      <c r="A28290">
        <v>76567</v>
      </c>
      <c r="B28290" t="s">
        <v>50</v>
      </c>
      <c r="C28290">
        <v>76567</v>
      </c>
      <c r="D28290" t="str">
        <f>"76567"</f>
        <v>76567</v>
      </c>
      <c r="E28290">
        <v>64.81</v>
      </c>
    </row>
    <row r="28291" spans="1:5" x14ac:dyDescent="0.2">
      <c r="A28291">
        <v>76569</v>
      </c>
      <c r="B28291" t="s">
        <v>50</v>
      </c>
      <c r="C28291">
        <v>76569</v>
      </c>
      <c r="D28291" t="str">
        <f>"76569"</f>
        <v>76569</v>
      </c>
      <c r="E28291">
        <v>66.959999999999994</v>
      </c>
    </row>
    <row r="28292" spans="1:5" x14ac:dyDescent="0.2">
      <c r="A28292">
        <v>76570</v>
      </c>
      <c r="B28292" t="s">
        <v>50</v>
      </c>
      <c r="C28292">
        <v>76570</v>
      </c>
      <c r="D28292" t="str">
        <f>"76570"</f>
        <v>76570</v>
      </c>
      <c r="E28292">
        <v>63.46</v>
      </c>
    </row>
    <row r="28293" spans="1:5" x14ac:dyDescent="0.2">
      <c r="A28293">
        <v>76571</v>
      </c>
      <c r="B28293" t="s">
        <v>50</v>
      </c>
      <c r="C28293">
        <v>76571</v>
      </c>
      <c r="D28293" t="str">
        <f>"76571"</f>
        <v>76571</v>
      </c>
      <c r="E28293">
        <v>76.8</v>
      </c>
    </row>
    <row r="28294" spans="1:5" x14ac:dyDescent="0.2">
      <c r="A28294">
        <v>76573</v>
      </c>
      <c r="B28294" t="s">
        <v>50</v>
      </c>
      <c r="C28294">
        <v>76573</v>
      </c>
      <c r="D28294" t="str">
        <f>"76573"</f>
        <v>76573</v>
      </c>
      <c r="E28294" t="s">
        <v>6</v>
      </c>
    </row>
    <row r="28295" spans="1:5" x14ac:dyDescent="0.2">
      <c r="A28295">
        <v>76574</v>
      </c>
      <c r="B28295" t="s">
        <v>50</v>
      </c>
      <c r="C28295">
        <v>76574</v>
      </c>
      <c r="D28295" t="str">
        <f>"76574"</f>
        <v>76574</v>
      </c>
      <c r="E28295">
        <v>70</v>
      </c>
    </row>
    <row r="28296" spans="1:5" x14ac:dyDescent="0.2">
      <c r="A28296">
        <v>76577</v>
      </c>
      <c r="B28296" t="s">
        <v>50</v>
      </c>
      <c r="C28296">
        <v>76577</v>
      </c>
      <c r="D28296" t="str">
        <f>"76577"</f>
        <v>76577</v>
      </c>
      <c r="E28296">
        <v>71.23</v>
      </c>
    </row>
    <row r="28297" spans="1:5" x14ac:dyDescent="0.2">
      <c r="A28297">
        <v>76578</v>
      </c>
      <c r="B28297" t="s">
        <v>50</v>
      </c>
      <c r="C28297">
        <v>76578</v>
      </c>
      <c r="D28297" t="str">
        <f>"76578"</f>
        <v>76578</v>
      </c>
      <c r="E28297">
        <v>70.59</v>
      </c>
    </row>
    <row r="28298" spans="1:5" x14ac:dyDescent="0.2">
      <c r="A28298">
        <v>76579</v>
      </c>
      <c r="B28298" t="s">
        <v>50</v>
      </c>
      <c r="C28298">
        <v>76579</v>
      </c>
      <c r="D28298" t="str">
        <f>"76579"</f>
        <v>76579</v>
      </c>
      <c r="E28298">
        <v>68.66</v>
      </c>
    </row>
    <row r="28299" spans="1:5" x14ac:dyDescent="0.2">
      <c r="A28299">
        <v>76598</v>
      </c>
      <c r="B28299" t="s">
        <v>50</v>
      </c>
      <c r="C28299">
        <v>76598</v>
      </c>
      <c r="D28299" t="str">
        <f>"76598"</f>
        <v>76598</v>
      </c>
      <c r="E28299" t="s">
        <v>6</v>
      </c>
    </row>
    <row r="28300" spans="1:5" x14ac:dyDescent="0.2">
      <c r="A28300">
        <v>76621</v>
      </c>
      <c r="B28300" t="s">
        <v>50</v>
      </c>
      <c r="C28300">
        <v>76621</v>
      </c>
      <c r="D28300" t="str">
        <f>"76621"</f>
        <v>76621</v>
      </c>
      <c r="E28300">
        <v>74</v>
      </c>
    </row>
    <row r="28301" spans="1:5" x14ac:dyDescent="0.2">
      <c r="A28301">
        <v>76622</v>
      </c>
      <c r="B28301" t="s">
        <v>50</v>
      </c>
      <c r="C28301">
        <v>76622</v>
      </c>
      <c r="D28301" t="str">
        <f>"76622"</f>
        <v>76622</v>
      </c>
      <c r="E28301">
        <v>69.39</v>
      </c>
    </row>
    <row r="28302" spans="1:5" x14ac:dyDescent="0.2">
      <c r="A28302">
        <v>76623</v>
      </c>
      <c r="B28302" t="s">
        <v>50</v>
      </c>
      <c r="C28302">
        <v>76623</v>
      </c>
      <c r="D28302" t="str">
        <f>"76623"</f>
        <v>76623</v>
      </c>
      <c r="E28302" t="s">
        <v>6</v>
      </c>
    </row>
    <row r="28303" spans="1:5" x14ac:dyDescent="0.2">
      <c r="A28303">
        <v>76624</v>
      </c>
      <c r="B28303" t="s">
        <v>50</v>
      </c>
      <c r="C28303">
        <v>76624</v>
      </c>
      <c r="D28303" t="str">
        <f>"76624"</f>
        <v>76624</v>
      </c>
      <c r="E28303">
        <v>69.64</v>
      </c>
    </row>
    <row r="28304" spans="1:5" x14ac:dyDescent="0.2">
      <c r="A28304">
        <v>76626</v>
      </c>
      <c r="B28304" t="s">
        <v>50</v>
      </c>
      <c r="C28304">
        <v>76626</v>
      </c>
      <c r="D28304" t="str">
        <f>"76626"</f>
        <v>76626</v>
      </c>
      <c r="E28304">
        <v>71.83</v>
      </c>
    </row>
    <row r="28305" spans="1:5" x14ac:dyDescent="0.2">
      <c r="A28305">
        <v>76627</v>
      </c>
      <c r="B28305" t="s">
        <v>50</v>
      </c>
      <c r="C28305">
        <v>76627</v>
      </c>
      <c r="D28305" t="str">
        <f>"76627"</f>
        <v>76627</v>
      </c>
      <c r="E28305">
        <v>64.06</v>
      </c>
    </row>
    <row r="28306" spans="1:5" x14ac:dyDescent="0.2">
      <c r="A28306">
        <v>76628</v>
      </c>
      <c r="B28306" t="s">
        <v>50</v>
      </c>
      <c r="C28306">
        <v>76628</v>
      </c>
      <c r="D28306" t="str">
        <f>"76628"</f>
        <v>76628</v>
      </c>
      <c r="E28306" t="s">
        <v>6</v>
      </c>
    </row>
    <row r="28307" spans="1:5" x14ac:dyDescent="0.2">
      <c r="A28307">
        <v>76629</v>
      </c>
      <c r="B28307" t="s">
        <v>50</v>
      </c>
      <c r="C28307">
        <v>76629</v>
      </c>
      <c r="D28307" t="str">
        <f>"76629"</f>
        <v>76629</v>
      </c>
      <c r="E28307">
        <v>67.44</v>
      </c>
    </row>
    <row r="28308" spans="1:5" x14ac:dyDescent="0.2">
      <c r="A28308">
        <v>76630</v>
      </c>
      <c r="B28308" t="s">
        <v>50</v>
      </c>
      <c r="C28308">
        <v>76630</v>
      </c>
      <c r="D28308" t="str">
        <f>"76630"</f>
        <v>76630</v>
      </c>
      <c r="E28308">
        <v>70.89</v>
      </c>
    </row>
    <row r="28309" spans="1:5" x14ac:dyDescent="0.2">
      <c r="A28309">
        <v>76631</v>
      </c>
      <c r="B28309" t="s">
        <v>50</v>
      </c>
      <c r="C28309">
        <v>76631</v>
      </c>
      <c r="D28309" t="str">
        <f>"76631"</f>
        <v>76631</v>
      </c>
      <c r="E28309">
        <v>71.430000000000007</v>
      </c>
    </row>
    <row r="28310" spans="1:5" x14ac:dyDescent="0.2">
      <c r="A28310">
        <v>76632</v>
      </c>
      <c r="B28310" t="s">
        <v>50</v>
      </c>
      <c r="C28310">
        <v>76632</v>
      </c>
      <c r="D28310" t="str">
        <f>"76632"</f>
        <v>76632</v>
      </c>
      <c r="E28310">
        <v>56.72</v>
      </c>
    </row>
    <row r="28311" spans="1:5" x14ac:dyDescent="0.2">
      <c r="A28311">
        <v>76633</v>
      </c>
      <c r="B28311" t="s">
        <v>50</v>
      </c>
      <c r="C28311">
        <v>76633</v>
      </c>
      <c r="D28311" t="str">
        <f>"76633"</f>
        <v>76633</v>
      </c>
      <c r="E28311">
        <v>75.099999999999994</v>
      </c>
    </row>
    <row r="28312" spans="1:5" x14ac:dyDescent="0.2">
      <c r="A28312">
        <v>76634</v>
      </c>
      <c r="B28312" t="s">
        <v>50</v>
      </c>
      <c r="C28312">
        <v>76634</v>
      </c>
      <c r="D28312" t="str">
        <f>"76634"</f>
        <v>76634</v>
      </c>
      <c r="E28312">
        <v>67.66</v>
      </c>
    </row>
    <row r="28313" spans="1:5" x14ac:dyDescent="0.2">
      <c r="A28313">
        <v>76635</v>
      </c>
      <c r="B28313" t="s">
        <v>50</v>
      </c>
      <c r="C28313">
        <v>76635</v>
      </c>
      <c r="D28313" t="str">
        <f>"76635"</f>
        <v>76635</v>
      </c>
      <c r="E28313">
        <v>51.06</v>
      </c>
    </row>
    <row r="28314" spans="1:5" x14ac:dyDescent="0.2">
      <c r="A28314">
        <v>76636</v>
      </c>
      <c r="B28314" t="s">
        <v>50</v>
      </c>
      <c r="C28314">
        <v>76636</v>
      </c>
      <c r="D28314" t="str">
        <f>"76636"</f>
        <v>76636</v>
      </c>
      <c r="E28314">
        <v>70</v>
      </c>
    </row>
    <row r="28315" spans="1:5" x14ac:dyDescent="0.2">
      <c r="A28315">
        <v>76637</v>
      </c>
      <c r="B28315" t="s">
        <v>50</v>
      </c>
      <c r="C28315">
        <v>76637</v>
      </c>
      <c r="D28315" t="str">
        <f>"76637"</f>
        <v>76637</v>
      </c>
      <c r="E28315">
        <v>60.87</v>
      </c>
    </row>
    <row r="28316" spans="1:5" x14ac:dyDescent="0.2">
      <c r="A28316">
        <v>76638</v>
      </c>
      <c r="B28316" t="s">
        <v>50</v>
      </c>
      <c r="C28316">
        <v>76638</v>
      </c>
      <c r="D28316" t="str">
        <f>"76638"</f>
        <v>76638</v>
      </c>
      <c r="E28316">
        <v>77.209999999999994</v>
      </c>
    </row>
    <row r="28317" spans="1:5" x14ac:dyDescent="0.2">
      <c r="A28317">
        <v>76639</v>
      </c>
      <c r="B28317" t="s">
        <v>50</v>
      </c>
      <c r="C28317">
        <v>76639</v>
      </c>
      <c r="D28317" t="str">
        <f>"76639"</f>
        <v>76639</v>
      </c>
      <c r="E28317">
        <v>60.66</v>
      </c>
    </row>
    <row r="28318" spans="1:5" x14ac:dyDescent="0.2">
      <c r="A28318">
        <v>76640</v>
      </c>
      <c r="B28318" t="s">
        <v>50</v>
      </c>
      <c r="C28318">
        <v>76640</v>
      </c>
      <c r="D28318" t="str">
        <f>"76640"</f>
        <v>76640</v>
      </c>
      <c r="E28318">
        <v>64.959999999999994</v>
      </c>
    </row>
    <row r="28319" spans="1:5" x14ac:dyDescent="0.2">
      <c r="A28319">
        <v>76641</v>
      </c>
      <c r="B28319" t="s">
        <v>50</v>
      </c>
      <c r="C28319">
        <v>76641</v>
      </c>
      <c r="D28319" t="str">
        <f>"76641"</f>
        <v>76641</v>
      </c>
      <c r="E28319">
        <v>61.64</v>
      </c>
    </row>
    <row r="28320" spans="1:5" x14ac:dyDescent="0.2">
      <c r="A28320">
        <v>76642</v>
      </c>
      <c r="B28320" t="s">
        <v>50</v>
      </c>
      <c r="C28320">
        <v>76642</v>
      </c>
      <c r="D28320" t="str">
        <f>"76642"</f>
        <v>76642</v>
      </c>
      <c r="E28320">
        <v>65.37</v>
      </c>
    </row>
    <row r="28321" spans="1:5" x14ac:dyDescent="0.2">
      <c r="A28321">
        <v>76643</v>
      </c>
      <c r="B28321" t="s">
        <v>50</v>
      </c>
      <c r="C28321">
        <v>76643</v>
      </c>
      <c r="D28321" t="str">
        <f>"76643"</f>
        <v>76643</v>
      </c>
      <c r="E28321">
        <v>75.75</v>
      </c>
    </row>
    <row r="28322" spans="1:5" x14ac:dyDescent="0.2">
      <c r="A28322">
        <v>76645</v>
      </c>
      <c r="B28322" t="s">
        <v>50</v>
      </c>
      <c r="C28322">
        <v>76645</v>
      </c>
      <c r="D28322" t="str">
        <f>"76645"</f>
        <v>76645</v>
      </c>
      <c r="E28322">
        <v>60.63</v>
      </c>
    </row>
    <row r="28323" spans="1:5" x14ac:dyDescent="0.2">
      <c r="A28323">
        <v>76648</v>
      </c>
      <c r="B28323" t="s">
        <v>50</v>
      </c>
      <c r="C28323">
        <v>76648</v>
      </c>
      <c r="D28323" t="str">
        <f>"76648"</f>
        <v>76648</v>
      </c>
      <c r="E28323">
        <v>62.75</v>
      </c>
    </row>
    <row r="28324" spans="1:5" x14ac:dyDescent="0.2">
      <c r="A28324">
        <v>76649</v>
      </c>
      <c r="B28324" t="s">
        <v>50</v>
      </c>
      <c r="C28324">
        <v>76649</v>
      </c>
      <c r="D28324" t="str">
        <f>"76649"</f>
        <v>76649</v>
      </c>
      <c r="E28324">
        <v>70</v>
      </c>
    </row>
    <row r="28325" spans="1:5" x14ac:dyDescent="0.2">
      <c r="A28325">
        <v>76650</v>
      </c>
      <c r="B28325" t="s">
        <v>50</v>
      </c>
      <c r="C28325">
        <v>76650</v>
      </c>
      <c r="D28325" t="str">
        <f>"76650"</f>
        <v>76650</v>
      </c>
      <c r="E28325" t="s">
        <v>6</v>
      </c>
    </row>
    <row r="28326" spans="1:5" x14ac:dyDescent="0.2">
      <c r="A28326">
        <v>76651</v>
      </c>
      <c r="B28326" t="s">
        <v>50</v>
      </c>
      <c r="C28326">
        <v>76651</v>
      </c>
      <c r="D28326" t="str">
        <f>"76651"</f>
        <v>76651</v>
      </c>
      <c r="E28326">
        <v>64.03</v>
      </c>
    </row>
    <row r="28327" spans="1:5" x14ac:dyDescent="0.2">
      <c r="A28327">
        <v>76652</v>
      </c>
      <c r="B28327" t="s">
        <v>50</v>
      </c>
      <c r="C28327">
        <v>76652</v>
      </c>
      <c r="D28327" t="str">
        <f>"76652"</f>
        <v>76652</v>
      </c>
      <c r="E28327">
        <v>69.23</v>
      </c>
    </row>
    <row r="28328" spans="1:5" x14ac:dyDescent="0.2">
      <c r="A28328">
        <v>76653</v>
      </c>
      <c r="B28328" t="s">
        <v>50</v>
      </c>
      <c r="C28328">
        <v>76653</v>
      </c>
      <c r="D28328" t="str">
        <f>"76653"</f>
        <v>76653</v>
      </c>
      <c r="E28328">
        <v>70.209999999999994</v>
      </c>
    </row>
    <row r="28329" spans="1:5" x14ac:dyDescent="0.2">
      <c r="A28329">
        <v>76655</v>
      </c>
      <c r="B28329" t="s">
        <v>50</v>
      </c>
      <c r="C28329">
        <v>76655</v>
      </c>
      <c r="D28329" t="str">
        <f>"76655"</f>
        <v>76655</v>
      </c>
      <c r="E28329">
        <v>75.180000000000007</v>
      </c>
    </row>
    <row r="28330" spans="1:5" x14ac:dyDescent="0.2">
      <c r="A28330">
        <v>76656</v>
      </c>
      <c r="B28330" t="s">
        <v>50</v>
      </c>
      <c r="C28330">
        <v>76656</v>
      </c>
      <c r="D28330" t="str">
        <f>"76656"</f>
        <v>76656</v>
      </c>
      <c r="E28330">
        <v>72.73</v>
      </c>
    </row>
    <row r="28331" spans="1:5" x14ac:dyDescent="0.2">
      <c r="A28331">
        <v>76657</v>
      </c>
      <c r="B28331" t="s">
        <v>50</v>
      </c>
      <c r="C28331">
        <v>76657</v>
      </c>
      <c r="D28331" t="str">
        <f>"76657"</f>
        <v>76657</v>
      </c>
      <c r="E28331">
        <v>70.819999999999993</v>
      </c>
    </row>
    <row r="28332" spans="1:5" x14ac:dyDescent="0.2">
      <c r="A28332">
        <v>76660</v>
      </c>
      <c r="B28332" t="s">
        <v>50</v>
      </c>
      <c r="C28332">
        <v>76660</v>
      </c>
      <c r="D28332" t="str">
        <f>"76660"</f>
        <v>76660</v>
      </c>
      <c r="E28332">
        <v>52.63</v>
      </c>
    </row>
    <row r="28333" spans="1:5" x14ac:dyDescent="0.2">
      <c r="A28333">
        <v>76661</v>
      </c>
      <c r="B28333" t="s">
        <v>50</v>
      </c>
      <c r="C28333">
        <v>76661</v>
      </c>
      <c r="D28333" t="str">
        <f>"76661"</f>
        <v>76661</v>
      </c>
      <c r="E28333">
        <v>56</v>
      </c>
    </row>
    <row r="28334" spans="1:5" x14ac:dyDescent="0.2">
      <c r="A28334">
        <v>76664</v>
      </c>
      <c r="B28334" t="s">
        <v>50</v>
      </c>
      <c r="C28334">
        <v>76664</v>
      </c>
      <c r="D28334" t="str">
        <f>"76664"</f>
        <v>76664</v>
      </c>
      <c r="E28334">
        <v>64.89</v>
      </c>
    </row>
    <row r="28335" spans="1:5" x14ac:dyDescent="0.2">
      <c r="A28335">
        <v>76665</v>
      </c>
      <c r="B28335" t="s">
        <v>50</v>
      </c>
      <c r="C28335">
        <v>76665</v>
      </c>
      <c r="D28335" t="str">
        <f>"76665"</f>
        <v>76665</v>
      </c>
      <c r="E28335">
        <v>65.05</v>
      </c>
    </row>
    <row r="28336" spans="1:5" x14ac:dyDescent="0.2">
      <c r="A28336">
        <v>76666</v>
      </c>
      <c r="B28336" t="s">
        <v>50</v>
      </c>
      <c r="C28336">
        <v>76666</v>
      </c>
      <c r="D28336" t="str">
        <f>"76666"</f>
        <v>76666</v>
      </c>
      <c r="E28336">
        <v>72.73</v>
      </c>
    </row>
    <row r="28337" spans="1:5" x14ac:dyDescent="0.2">
      <c r="A28337">
        <v>76667</v>
      </c>
      <c r="B28337" t="s">
        <v>50</v>
      </c>
      <c r="C28337">
        <v>76667</v>
      </c>
      <c r="D28337" t="str">
        <f>"76667"</f>
        <v>76667</v>
      </c>
      <c r="E28337">
        <v>59.74</v>
      </c>
    </row>
    <row r="28338" spans="1:5" x14ac:dyDescent="0.2">
      <c r="A28338">
        <v>76670</v>
      </c>
      <c r="B28338" t="s">
        <v>50</v>
      </c>
      <c r="C28338">
        <v>76670</v>
      </c>
      <c r="D28338" t="str">
        <f>"76670"</f>
        <v>76670</v>
      </c>
      <c r="E28338">
        <v>60</v>
      </c>
    </row>
    <row r="28339" spans="1:5" x14ac:dyDescent="0.2">
      <c r="A28339">
        <v>76671</v>
      </c>
      <c r="B28339" t="s">
        <v>50</v>
      </c>
      <c r="C28339">
        <v>76671</v>
      </c>
      <c r="D28339" t="str">
        <f>"76671"</f>
        <v>76671</v>
      </c>
      <c r="E28339">
        <v>68.489999999999995</v>
      </c>
    </row>
    <row r="28340" spans="1:5" x14ac:dyDescent="0.2">
      <c r="A28340">
        <v>76673</v>
      </c>
      <c r="B28340" t="s">
        <v>50</v>
      </c>
      <c r="C28340">
        <v>76673</v>
      </c>
      <c r="D28340" t="str">
        <f>"76673"</f>
        <v>76673</v>
      </c>
      <c r="E28340">
        <v>67.39</v>
      </c>
    </row>
    <row r="28341" spans="1:5" x14ac:dyDescent="0.2">
      <c r="A28341">
        <v>76676</v>
      </c>
      <c r="B28341" t="s">
        <v>50</v>
      </c>
      <c r="C28341">
        <v>76676</v>
      </c>
      <c r="D28341" t="str">
        <f>"76676"</f>
        <v>76676</v>
      </c>
      <c r="E28341">
        <v>70.59</v>
      </c>
    </row>
    <row r="28342" spans="1:5" x14ac:dyDescent="0.2">
      <c r="A28342">
        <v>76678</v>
      </c>
      <c r="B28342" t="s">
        <v>50</v>
      </c>
      <c r="C28342">
        <v>76678</v>
      </c>
      <c r="D28342" t="str">
        <f>"76678"</f>
        <v>76678</v>
      </c>
      <c r="E28342" t="s">
        <v>6</v>
      </c>
    </row>
    <row r="28343" spans="1:5" x14ac:dyDescent="0.2">
      <c r="A28343">
        <v>76679</v>
      </c>
      <c r="B28343" t="s">
        <v>50</v>
      </c>
      <c r="C28343">
        <v>76679</v>
      </c>
      <c r="D28343" t="str">
        <f>"76679"</f>
        <v>76679</v>
      </c>
      <c r="E28343">
        <v>67.86</v>
      </c>
    </row>
    <row r="28344" spans="1:5" x14ac:dyDescent="0.2">
      <c r="A28344">
        <v>76680</v>
      </c>
      <c r="B28344" t="s">
        <v>50</v>
      </c>
      <c r="C28344">
        <v>76680</v>
      </c>
      <c r="D28344" t="str">
        <f>"76680"</f>
        <v>76680</v>
      </c>
      <c r="E28344" t="s">
        <v>6</v>
      </c>
    </row>
    <row r="28345" spans="1:5" x14ac:dyDescent="0.2">
      <c r="A28345">
        <v>76681</v>
      </c>
      <c r="B28345" t="s">
        <v>50</v>
      </c>
      <c r="C28345">
        <v>76681</v>
      </c>
      <c r="D28345" t="str">
        <f>"76681"</f>
        <v>76681</v>
      </c>
      <c r="E28345">
        <v>55.56</v>
      </c>
    </row>
    <row r="28346" spans="1:5" x14ac:dyDescent="0.2">
      <c r="A28346">
        <v>76682</v>
      </c>
      <c r="B28346" t="s">
        <v>50</v>
      </c>
      <c r="C28346">
        <v>76682</v>
      </c>
      <c r="D28346" t="str">
        <f>"76682"</f>
        <v>76682</v>
      </c>
      <c r="E28346">
        <v>71.2</v>
      </c>
    </row>
    <row r="28347" spans="1:5" x14ac:dyDescent="0.2">
      <c r="A28347">
        <v>76685</v>
      </c>
      <c r="B28347" t="s">
        <v>50</v>
      </c>
      <c r="C28347">
        <v>76685</v>
      </c>
      <c r="D28347" t="str">
        <f>"76685"</f>
        <v>76685</v>
      </c>
      <c r="E28347" t="s">
        <v>6</v>
      </c>
    </row>
    <row r="28348" spans="1:5" x14ac:dyDescent="0.2">
      <c r="A28348">
        <v>76686</v>
      </c>
      <c r="B28348" t="s">
        <v>50</v>
      </c>
      <c r="C28348">
        <v>76686</v>
      </c>
      <c r="D28348" t="str">
        <f>"76686"</f>
        <v>76686</v>
      </c>
      <c r="E28348" t="s">
        <v>6</v>
      </c>
    </row>
    <row r="28349" spans="1:5" x14ac:dyDescent="0.2">
      <c r="A28349">
        <v>76687</v>
      </c>
      <c r="B28349" t="s">
        <v>50</v>
      </c>
      <c r="C28349">
        <v>76687</v>
      </c>
      <c r="D28349" t="str">
        <f>"76687"</f>
        <v>76687</v>
      </c>
      <c r="E28349">
        <v>68.75</v>
      </c>
    </row>
    <row r="28350" spans="1:5" x14ac:dyDescent="0.2">
      <c r="A28350">
        <v>76689</v>
      </c>
      <c r="B28350" t="s">
        <v>50</v>
      </c>
      <c r="C28350">
        <v>76689</v>
      </c>
      <c r="D28350" t="str">
        <f>"76689"</f>
        <v>76689</v>
      </c>
      <c r="E28350">
        <v>71.510000000000005</v>
      </c>
    </row>
    <row r="28351" spans="1:5" x14ac:dyDescent="0.2">
      <c r="A28351">
        <v>76690</v>
      </c>
      <c r="B28351" t="s">
        <v>50</v>
      </c>
      <c r="C28351">
        <v>76690</v>
      </c>
      <c r="D28351" t="str">
        <f>"76690"</f>
        <v>76690</v>
      </c>
      <c r="E28351">
        <v>64.709999999999994</v>
      </c>
    </row>
    <row r="28352" spans="1:5" x14ac:dyDescent="0.2">
      <c r="A28352">
        <v>76691</v>
      </c>
      <c r="B28352" t="s">
        <v>50</v>
      </c>
      <c r="C28352">
        <v>76691</v>
      </c>
      <c r="D28352" t="str">
        <f>"76691"</f>
        <v>76691</v>
      </c>
      <c r="E28352">
        <v>73.400000000000006</v>
      </c>
    </row>
    <row r="28353" spans="1:5" x14ac:dyDescent="0.2">
      <c r="A28353">
        <v>76692</v>
      </c>
      <c r="B28353" t="s">
        <v>50</v>
      </c>
      <c r="C28353">
        <v>76692</v>
      </c>
      <c r="D28353" t="str">
        <f>"76692"</f>
        <v>76692</v>
      </c>
      <c r="E28353">
        <v>65.2</v>
      </c>
    </row>
    <row r="28354" spans="1:5" x14ac:dyDescent="0.2">
      <c r="A28354">
        <v>76693</v>
      </c>
      <c r="B28354" t="s">
        <v>50</v>
      </c>
      <c r="C28354">
        <v>76693</v>
      </c>
      <c r="D28354" t="str">
        <f>"76693"</f>
        <v>76693</v>
      </c>
      <c r="E28354">
        <v>62.86</v>
      </c>
    </row>
    <row r="28355" spans="1:5" x14ac:dyDescent="0.2">
      <c r="A28355">
        <v>76701</v>
      </c>
      <c r="B28355" t="s">
        <v>50</v>
      </c>
      <c r="C28355">
        <v>76701</v>
      </c>
      <c r="D28355" t="str">
        <f>"76701"</f>
        <v>76701</v>
      </c>
      <c r="E28355">
        <v>65.75</v>
      </c>
    </row>
    <row r="28356" spans="1:5" x14ac:dyDescent="0.2">
      <c r="A28356">
        <v>76702</v>
      </c>
      <c r="B28356" t="s">
        <v>50</v>
      </c>
      <c r="C28356">
        <v>76702</v>
      </c>
      <c r="D28356" t="str">
        <f>"76702"</f>
        <v>76702</v>
      </c>
      <c r="E28356" t="s">
        <v>6</v>
      </c>
    </row>
    <row r="28357" spans="1:5" x14ac:dyDescent="0.2">
      <c r="A28357">
        <v>76704</v>
      </c>
      <c r="B28357" t="s">
        <v>50</v>
      </c>
      <c r="C28357">
        <v>76704</v>
      </c>
      <c r="D28357" t="str">
        <f>"76704"</f>
        <v>76704</v>
      </c>
      <c r="E28357">
        <v>46.37</v>
      </c>
    </row>
    <row r="28358" spans="1:5" x14ac:dyDescent="0.2">
      <c r="A28358">
        <v>76705</v>
      </c>
      <c r="B28358" t="s">
        <v>50</v>
      </c>
      <c r="C28358">
        <v>76705</v>
      </c>
      <c r="D28358" t="str">
        <f>"76705"</f>
        <v>76705</v>
      </c>
      <c r="E28358">
        <v>59.09</v>
      </c>
    </row>
    <row r="28359" spans="1:5" x14ac:dyDescent="0.2">
      <c r="A28359">
        <v>76706</v>
      </c>
      <c r="B28359" t="s">
        <v>50</v>
      </c>
      <c r="C28359">
        <v>76706</v>
      </c>
      <c r="D28359" t="str">
        <f>"76706"</f>
        <v>76706</v>
      </c>
      <c r="E28359">
        <v>61.6</v>
      </c>
    </row>
    <row r="28360" spans="1:5" x14ac:dyDescent="0.2">
      <c r="A28360">
        <v>76707</v>
      </c>
      <c r="B28360" t="s">
        <v>50</v>
      </c>
      <c r="C28360">
        <v>76707</v>
      </c>
      <c r="D28360" t="str">
        <f>"76707"</f>
        <v>76707</v>
      </c>
      <c r="E28360">
        <v>48.93</v>
      </c>
    </row>
    <row r="28361" spans="1:5" x14ac:dyDescent="0.2">
      <c r="A28361">
        <v>76708</v>
      </c>
      <c r="B28361" t="s">
        <v>50</v>
      </c>
      <c r="C28361">
        <v>76708</v>
      </c>
      <c r="D28361" t="str">
        <f>"76708"</f>
        <v>76708</v>
      </c>
      <c r="E28361">
        <v>62.85</v>
      </c>
    </row>
    <row r="28362" spans="1:5" x14ac:dyDescent="0.2">
      <c r="A28362">
        <v>76710</v>
      </c>
      <c r="B28362" t="s">
        <v>50</v>
      </c>
      <c r="C28362">
        <v>76710</v>
      </c>
      <c r="D28362" t="str">
        <f>"76710"</f>
        <v>76710</v>
      </c>
      <c r="E28362">
        <v>68.7</v>
      </c>
    </row>
    <row r="28363" spans="1:5" x14ac:dyDescent="0.2">
      <c r="A28363">
        <v>76711</v>
      </c>
      <c r="B28363" t="s">
        <v>50</v>
      </c>
      <c r="C28363">
        <v>76711</v>
      </c>
      <c r="D28363" t="str">
        <f>"76711"</f>
        <v>76711</v>
      </c>
      <c r="E28363">
        <v>58.02</v>
      </c>
    </row>
    <row r="28364" spans="1:5" x14ac:dyDescent="0.2">
      <c r="A28364">
        <v>76712</v>
      </c>
      <c r="B28364" t="s">
        <v>50</v>
      </c>
      <c r="C28364">
        <v>76712</v>
      </c>
      <c r="D28364" t="str">
        <f>"76712"</f>
        <v>76712</v>
      </c>
      <c r="E28364">
        <v>77.11</v>
      </c>
    </row>
    <row r="28365" spans="1:5" x14ac:dyDescent="0.2">
      <c r="A28365">
        <v>76798</v>
      </c>
      <c r="B28365" t="s">
        <v>50</v>
      </c>
      <c r="C28365">
        <v>76798</v>
      </c>
      <c r="D28365" t="str">
        <f>"76798"</f>
        <v>76798</v>
      </c>
      <c r="E28365" t="s">
        <v>6</v>
      </c>
    </row>
    <row r="28366" spans="1:5" x14ac:dyDescent="0.2">
      <c r="A28366">
        <v>76801</v>
      </c>
      <c r="B28366" t="s">
        <v>50</v>
      </c>
      <c r="C28366">
        <v>76801</v>
      </c>
      <c r="D28366" t="str">
        <f>"76801"</f>
        <v>76801</v>
      </c>
      <c r="E28366">
        <v>65.42</v>
      </c>
    </row>
    <row r="28367" spans="1:5" x14ac:dyDescent="0.2">
      <c r="A28367">
        <v>76802</v>
      </c>
      <c r="B28367" t="s">
        <v>50</v>
      </c>
      <c r="C28367">
        <v>76802</v>
      </c>
      <c r="D28367" t="str">
        <f>"76802"</f>
        <v>76802</v>
      </c>
      <c r="E28367">
        <v>68.78</v>
      </c>
    </row>
    <row r="28368" spans="1:5" x14ac:dyDescent="0.2">
      <c r="A28368">
        <v>76820</v>
      </c>
      <c r="B28368" t="s">
        <v>50</v>
      </c>
      <c r="C28368">
        <v>76820</v>
      </c>
      <c r="D28368" t="str">
        <f>"76820"</f>
        <v>76820</v>
      </c>
      <c r="E28368" t="s">
        <v>6</v>
      </c>
    </row>
    <row r="28369" spans="1:5" x14ac:dyDescent="0.2">
      <c r="A28369">
        <v>76821</v>
      </c>
      <c r="B28369" t="s">
        <v>50</v>
      </c>
      <c r="C28369">
        <v>76821</v>
      </c>
      <c r="D28369" t="str">
        <f>"76821"</f>
        <v>76821</v>
      </c>
      <c r="E28369">
        <v>65.55</v>
      </c>
    </row>
    <row r="28370" spans="1:5" x14ac:dyDescent="0.2">
      <c r="A28370">
        <v>76823</v>
      </c>
      <c r="B28370" t="s">
        <v>50</v>
      </c>
      <c r="C28370">
        <v>76823</v>
      </c>
      <c r="D28370" t="str">
        <f>"76823"</f>
        <v>76823</v>
      </c>
      <c r="E28370">
        <v>67.2</v>
      </c>
    </row>
    <row r="28371" spans="1:5" x14ac:dyDescent="0.2">
      <c r="A28371">
        <v>76825</v>
      </c>
      <c r="B28371" t="s">
        <v>50</v>
      </c>
      <c r="C28371">
        <v>76825</v>
      </c>
      <c r="D28371" t="str">
        <f>"76825"</f>
        <v>76825</v>
      </c>
      <c r="E28371">
        <v>63.55</v>
      </c>
    </row>
    <row r="28372" spans="1:5" x14ac:dyDescent="0.2">
      <c r="A28372">
        <v>76827</v>
      </c>
      <c r="B28372" t="s">
        <v>50</v>
      </c>
      <c r="C28372">
        <v>76827</v>
      </c>
      <c r="D28372" t="str">
        <f>"76827"</f>
        <v>76827</v>
      </c>
      <c r="E28372">
        <v>77.78</v>
      </c>
    </row>
    <row r="28373" spans="1:5" x14ac:dyDescent="0.2">
      <c r="A28373">
        <v>76828</v>
      </c>
      <c r="B28373" t="s">
        <v>50</v>
      </c>
      <c r="C28373">
        <v>76828</v>
      </c>
      <c r="D28373" t="str">
        <f>"76828"</f>
        <v>76828</v>
      </c>
      <c r="E28373" t="s">
        <v>6</v>
      </c>
    </row>
    <row r="28374" spans="1:5" x14ac:dyDescent="0.2">
      <c r="A28374">
        <v>76831</v>
      </c>
      <c r="B28374" t="s">
        <v>50</v>
      </c>
      <c r="C28374">
        <v>76831</v>
      </c>
      <c r="D28374" t="str">
        <f>"76831"</f>
        <v>76831</v>
      </c>
      <c r="E28374" t="s">
        <v>6</v>
      </c>
    </row>
    <row r="28375" spans="1:5" x14ac:dyDescent="0.2">
      <c r="A28375">
        <v>76832</v>
      </c>
      <c r="B28375" t="s">
        <v>50</v>
      </c>
      <c r="C28375">
        <v>76832</v>
      </c>
      <c r="D28375" t="str">
        <f>"76832"</f>
        <v>76832</v>
      </c>
      <c r="E28375">
        <v>69.23</v>
      </c>
    </row>
    <row r="28376" spans="1:5" x14ac:dyDescent="0.2">
      <c r="A28376">
        <v>76834</v>
      </c>
      <c r="B28376" t="s">
        <v>50</v>
      </c>
      <c r="C28376">
        <v>76834</v>
      </c>
      <c r="D28376" t="str">
        <f>"76834"</f>
        <v>76834</v>
      </c>
      <c r="E28376">
        <v>62.39</v>
      </c>
    </row>
    <row r="28377" spans="1:5" x14ac:dyDescent="0.2">
      <c r="A28377">
        <v>76836</v>
      </c>
      <c r="B28377" t="s">
        <v>50</v>
      </c>
      <c r="C28377">
        <v>76836</v>
      </c>
      <c r="D28377" t="str">
        <f>"76836"</f>
        <v>76836</v>
      </c>
      <c r="E28377" t="s">
        <v>6</v>
      </c>
    </row>
    <row r="28378" spans="1:5" x14ac:dyDescent="0.2">
      <c r="A28378">
        <v>76837</v>
      </c>
      <c r="B28378" t="s">
        <v>50</v>
      </c>
      <c r="C28378">
        <v>76837</v>
      </c>
      <c r="D28378" t="str">
        <f>"76837"</f>
        <v>76837</v>
      </c>
      <c r="E28378">
        <v>64.150000000000006</v>
      </c>
    </row>
    <row r="28379" spans="1:5" x14ac:dyDescent="0.2">
      <c r="A28379">
        <v>76841</v>
      </c>
      <c r="B28379" t="s">
        <v>50</v>
      </c>
      <c r="C28379">
        <v>76841</v>
      </c>
      <c r="D28379" t="str">
        <f>"76841"</f>
        <v>76841</v>
      </c>
      <c r="E28379" t="s">
        <v>6</v>
      </c>
    </row>
    <row r="28380" spans="1:5" x14ac:dyDescent="0.2">
      <c r="A28380">
        <v>76842</v>
      </c>
      <c r="B28380" t="s">
        <v>50</v>
      </c>
      <c r="C28380">
        <v>76842</v>
      </c>
      <c r="D28380" t="str">
        <f>"76842"</f>
        <v>76842</v>
      </c>
      <c r="E28380" t="s">
        <v>6</v>
      </c>
    </row>
    <row r="28381" spans="1:5" x14ac:dyDescent="0.2">
      <c r="A28381">
        <v>76844</v>
      </c>
      <c r="B28381" t="s">
        <v>50</v>
      </c>
      <c r="C28381">
        <v>76844</v>
      </c>
      <c r="D28381" t="str">
        <f>"76844"</f>
        <v>76844</v>
      </c>
      <c r="E28381">
        <v>65.989999999999995</v>
      </c>
    </row>
    <row r="28382" spans="1:5" x14ac:dyDescent="0.2">
      <c r="A28382">
        <v>76845</v>
      </c>
      <c r="B28382" t="s">
        <v>50</v>
      </c>
      <c r="C28382">
        <v>76845</v>
      </c>
      <c r="D28382" t="str">
        <f>"76845"</f>
        <v>76845</v>
      </c>
      <c r="E28382" t="s">
        <v>6</v>
      </c>
    </row>
    <row r="28383" spans="1:5" x14ac:dyDescent="0.2">
      <c r="A28383">
        <v>76848</v>
      </c>
      <c r="B28383" t="s">
        <v>50</v>
      </c>
      <c r="C28383">
        <v>76848</v>
      </c>
      <c r="D28383" t="str">
        <f>"76848"</f>
        <v>76848</v>
      </c>
      <c r="E28383" t="s">
        <v>6</v>
      </c>
    </row>
    <row r="28384" spans="1:5" x14ac:dyDescent="0.2">
      <c r="A28384">
        <v>76849</v>
      </c>
      <c r="B28384" t="s">
        <v>50</v>
      </c>
      <c r="C28384">
        <v>76849</v>
      </c>
      <c r="D28384" t="str">
        <f>"76849"</f>
        <v>76849</v>
      </c>
      <c r="E28384">
        <v>61.68</v>
      </c>
    </row>
    <row r="28385" spans="1:5" x14ac:dyDescent="0.2">
      <c r="A28385">
        <v>76852</v>
      </c>
      <c r="B28385" t="s">
        <v>50</v>
      </c>
      <c r="C28385">
        <v>76852</v>
      </c>
      <c r="D28385" t="str">
        <f>"76852"</f>
        <v>76852</v>
      </c>
      <c r="E28385">
        <v>66.67</v>
      </c>
    </row>
    <row r="28386" spans="1:5" x14ac:dyDescent="0.2">
      <c r="A28386">
        <v>76853</v>
      </c>
      <c r="B28386" t="s">
        <v>50</v>
      </c>
      <c r="C28386">
        <v>76853</v>
      </c>
      <c r="D28386" t="str">
        <f>"76853"</f>
        <v>76853</v>
      </c>
      <c r="E28386">
        <v>61.02</v>
      </c>
    </row>
    <row r="28387" spans="1:5" x14ac:dyDescent="0.2">
      <c r="A28387">
        <v>76854</v>
      </c>
      <c r="B28387" t="s">
        <v>50</v>
      </c>
      <c r="C28387">
        <v>76854</v>
      </c>
      <c r="D28387" t="str">
        <f>"76854"</f>
        <v>76854</v>
      </c>
      <c r="E28387">
        <v>57.14</v>
      </c>
    </row>
    <row r="28388" spans="1:5" x14ac:dyDescent="0.2">
      <c r="A28388">
        <v>76856</v>
      </c>
      <c r="B28388" t="s">
        <v>50</v>
      </c>
      <c r="C28388">
        <v>76856</v>
      </c>
      <c r="D28388" t="str">
        <f>"76856"</f>
        <v>76856</v>
      </c>
      <c r="E28388">
        <v>63.37</v>
      </c>
    </row>
    <row r="28389" spans="1:5" x14ac:dyDescent="0.2">
      <c r="A28389">
        <v>76857</v>
      </c>
      <c r="B28389" t="s">
        <v>50</v>
      </c>
      <c r="C28389">
        <v>76857</v>
      </c>
      <c r="D28389" t="str">
        <f>"76857"</f>
        <v>76857</v>
      </c>
      <c r="E28389">
        <v>67.14</v>
      </c>
    </row>
    <row r="28390" spans="1:5" x14ac:dyDescent="0.2">
      <c r="A28390">
        <v>76858</v>
      </c>
      <c r="B28390" t="s">
        <v>50</v>
      </c>
      <c r="C28390">
        <v>76858</v>
      </c>
      <c r="D28390" t="str">
        <f>"76858"</f>
        <v>76858</v>
      </c>
      <c r="E28390">
        <v>72.73</v>
      </c>
    </row>
    <row r="28391" spans="1:5" x14ac:dyDescent="0.2">
      <c r="A28391">
        <v>76859</v>
      </c>
      <c r="B28391" t="s">
        <v>50</v>
      </c>
      <c r="C28391">
        <v>76859</v>
      </c>
      <c r="D28391" t="str">
        <f>"76859"</f>
        <v>76859</v>
      </c>
      <c r="E28391">
        <v>61.54</v>
      </c>
    </row>
    <row r="28392" spans="1:5" x14ac:dyDescent="0.2">
      <c r="A28392">
        <v>76861</v>
      </c>
      <c r="B28392" t="s">
        <v>50</v>
      </c>
      <c r="C28392">
        <v>76861</v>
      </c>
      <c r="D28392" t="str">
        <f>"76861"</f>
        <v>76861</v>
      </c>
      <c r="E28392">
        <v>70.209999999999994</v>
      </c>
    </row>
    <row r="28393" spans="1:5" x14ac:dyDescent="0.2">
      <c r="A28393">
        <v>76862</v>
      </c>
      <c r="B28393" t="s">
        <v>50</v>
      </c>
      <c r="C28393">
        <v>76862</v>
      </c>
      <c r="D28393" t="str">
        <f>"76862"</f>
        <v>76862</v>
      </c>
      <c r="E28393" t="s">
        <v>6</v>
      </c>
    </row>
    <row r="28394" spans="1:5" x14ac:dyDescent="0.2">
      <c r="A28394">
        <v>76864</v>
      </c>
      <c r="B28394" t="s">
        <v>50</v>
      </c>
      <c r="C28394">
        <v>76864</v>
      </c>
      <c r="D28394" t="str">
        <f>"76864"</f>
        <v>76864</v>
      </c>
      <c r="E28394">
        <v>58.06</v>
      </c>
    </row>
    <row r="28395" spans="1:5" x14ac:dyDescent="0.2">
      <c r="A28395">
        <v>76865</v>
      </c>
      <c r="B28395" t="s">
        <v>50</v>
      </c>
      <c r="C28395">
        <v>76865</v>
      </c>
      <c r="D28395" t="str">
        <f>"76865"</f>
        <v>76865</v>
      </c>
      <c r="E28395" t="s">
        <v>6</v>
      </c>
    </row>
    <row r="28396" spans="1:5" x14ac:dyDescent="0.2">
      <c r="A28396">
        <v>76866</v>
      </c>
      <c r="B28396" t="s">
        <v>50</v>
      </c>
      <c r="C28396">
        <v>76866</v>
      </c>
      <c r="D28396" t="str">
        <f>"76866"</f>
        <v>76866</v>
      </c>
      <c r="E28396">
        <v>65.22</v>
      </c>
    </row>
    <row r="28397" spans="1:5" x14ac:dyDescent="0.2">
      <c r="A28397">
        <v>76869</v>
      </c>
      <c r="B28397" t="s">
        <v>50</v>
      </c>
      <c r="C28397">
        <v>76869</v>
      </c>
      <c r="D28397" t="str">
        <f>"76869"</f>
        <v>76869</v>
      </c>
      <c r="E28397" t="s">
        <v>6</v>
      </c>
    </row>
    <row r="28398" spans="1:5" x14ac:dyDescent="0.2">
      <c r="A28398">
        <v>76870</v>
      </c>
      <c r="B28398" t="s">
        <v>50</v>
      </c>
      <c r="C28398">
        <v>76870</v>
      </c>
      <c r="D28398" t="str">
        <f>"76870"</f>
        <v>76870</v>
      </c>
      <c r="E28398" t="s">
        <v>6</v>
      </c>
    </row>
    <row r="28399" spans="1:5" x14ac:dyDescent="0.2">
      <c r="A28399">
        <v>76871</v>
      </c>
      <c r="B28399" t="s">
        <v>50</v>
      </c>
      <c r="C28399">
        <v>76871</v>
      </c>
      <c r="D28399" t="str">
        <f>"76871"</f>
        <v>76871</v>
      </c>
      <c r="E28399">
        <v>68.75</v>
      </c>
    </row>
    <row r="28400" spans="1:5" x14ac:dyDescent="0.2">
      <c r="A28400">
        <v>76872</v>
      </c>
      <c r="B28400" t="s">
        <v>50</v>
      </c>
      <c r="C28400">
        <v>76872</v>
      </c>
      <c r="D28400" t="str">
        <f>"76872"</f>
        <v>76872</v>
      </c>
      <c r="E28400">
        <v>66.67</v>
      </c>
    </row>
    <row r="28401" spans="1:5" x14ac:dyDescent="0.2">
      <c r="A28401">
        <v>76873</v>
      </c>
      <c r="B28401" t="s">
        <v>50</v>
      </c>
      <c r="C28401">
        <v>76873</v>
      </c>
      <c r="D28401" t="str">
        <f>"76873"</f>
        <v>76873</v>
      </c>
      <c r="E28401" t="s">
        <v>6</v>
      </c>
    </row>
    <row r="28402" spans="1:5" x14ac:dyDescent="0.2">
      <c r="A28402">
        <v>76874</v>
      </c>
      <c r="B28402" t="s">
        <v>50</v>
      </c>
      <c r="C28402">
        <v>76874</v>
      </c>
      <c r="D28402" t="str">
        <f>"76874"</f>
        <v>76874</v>
      </c>
      <c r="E28402" t="s">
        <v>6</v>
      </c>
    </row>
    <row r="28403" spans="1:5" x14ac:dyDescent="0.2">
      <c r="A28403">
        <v>76875</v>
      </c>
      <c r="B28403" t="s">
        <v>50</v>
      </c>
      <c r="C28403">
        <v>76875</v>
      </c>
      <c r="D28403" t="str">
        <f>"76875"</f>
        <v>76875</v>
      </c>
      <c r="E28403">
        <v>71.430000000000007</v>
      </c>
    </row>
    <row r="28404" spans="1:5" x14ac:dyDescent="0.2">
      <c r="A28404">
        <v>76877</v>
      </c>
      <c r="B28404" t="s">
        <v>50</v>
      </c>
      <c r="C28404">
        <v>76877</v>
      </c>
      <c r="D28404" t="str">
        <f>"76877"</f>
        <v>76877</v>
      </c>
      <c r="E28404">
        <v>62.05</v>
      </c>
    </row>
    <row r="28405" spans="1:5" x14ac:dyDescent="0.2">
      <c r="A28405">
        <v>76878</v>
      </c>
      <c r="B28405" t="s">
        <v>50</v>
      </c>
      <c r="C28405">
        <v>76878</v>
      </c>
      <c r="D28405" t="str">
        <f>"76878"</f>
        <v>76878</v>
      </c>
      <c r="E28405">
        <v>67.19</v>
      </c>
    </row>
    <row r="28406" spans="1:5" x14ac:dyDescent="0.2">
      <c r="A28406">
        <v>76880</v>
      </c>
      <c r="B28406" t="s">
        <v>50</v>
      </c>
      <c r="C28406">
        <v>76880</v>
      </c>
      <c r="D28406" t="str">
        <f>"76880"</f>
        <v>76880</v>
      </c>
      <c r="E28406" t="s">
        <v>6</v>
      </c>
    </row>
    <row r="28407" spans="1:5" x14ac:dyDescent="0.2">
      <c r="A28407">
        <v>76882</v>
      </c>
      <c r="B28407" t="s">
        <v>50</v>
      </c>
      <c r="C28407">
        <v>76882</v>
      </c>
      <c r="D28407" t="str">
        <f>"76882"</f>
        <v>76882</v>
      </c>
      <c r="E28407">
        <v>60</v>
      </c>
    </row>
    <row r="28408" spans="1:5" x14ac:dyDescent="0.2">
      <c r="A28408">
        <v>76884</v>
      </c>
      <c r="B28408" t="s">
        <v>50</v>
      </c>
      <c r="C28408">
        <v>76884</v>
      </c>
      <c r="D28408" t="str">
        <f>"76884"</f>
        <v>76884</v>
      </c>
      <c r="E28408" t="s">
        <v>6</v>
      </c>
    </row>
    <row r="28409" spans="1:5" x14ac:dyDescent="0.2">
      <c r="A28409">
        <v>76885</v>
      </c>
      <c r="B28409" t="s">
        <v>50</v>
      </c>
      <c r="C28409">
        <v>76885</v>
      </c>
      <c r="D28409" t="str">
        <f>"76885"</f>
        <v>76885</v>
      </c>
      <c r="E28409" t="s">
        <v>6</v>
      </c>
    </row>
    <row r="28410" spans="1:5" x14ac:dyDescent="0.2">
      <c r="A28410">
        <v>76887</v>
      </c>
      <c r="B28410" t="s">
        <v>50</v>
      </c>
      <c r="C28410">
        <v>76887</v>
      </c>
      <c r="D28410" t="str">
        <f>"76887"</f>
        <v>76887</v>
      </c>
      <c r="E28410" t="s">
        <v>6</v>
      </c>
    </row>
    <row r="28411" spans="1:5" x14ac:dyDescent="0.2">
      <c r="A28411">
        <v>76888</v>
      </c>
      <c r="B28411" t="s">
        <v>50</v>
      </c>
      <c r="C28411">
        <v>76888</v>
      </c>
      <c r="D28411" t="str">
        <f>"76888"</f>
        <v>76888</v>
      </c>
      <c r="E28411" t="s">
        <v>6</v>
      </c>
    </row>
    <row r="28412" spans="1:5" x14ac:dyDescent="0.2">
      <c r="A28412">
        <v>76890</v>
      </c>
      <c r="B28412" t="s">
        <v>50</v>
      </c>
      <c r="C28412">
        <v>76890</v>
      </c>
      <c r="D28412" t="str">
        <f>"76890"</f>
        <v>76890</v>
      </c>
      <c r="E28412">
        <v>65</v>
      </c>
    </row>
    <row r="28413" spans="1:5" x14ac:dyDescent="0.2">
      <c r="A28413">
        <v>76901</v>
      </c>
      <c r="B28413" t="s">
        <v>50</v>
      </c>
      <c r="C28413">
        <v>76901</v>
      </c>
      <c r="D28413" t="str">
        <f>"76901"</f>
        <v>76901</v>
      </c>
      <c r="E28413">
        <v>69.650000000000006</v>
      </c>
    </row>
    <row r="28414" spans="1:5" x14ac:dyDescent="0.2">
      <c r="A28414">
        <v>76903</v>
      </c>
      <c r="B28414" t="s">
        <v>50</v>
      </c>
      <c r="C28414">
        <v>76903</v>
      </c>
      <c r="D28414" t="str">
        <f>"76903"</f>
        <v>76903</v>
      </c>
      <c r="E28414">
        <v>60.63</v>
      </c>
    </row>
    <row r="28415" spans="1:5" x14ac:dyDescent="0.2">
      <c r="A28415">
        <v>76904</v>
      </c>
      <c r="B28415" t="s">
        <v>50</v>
      </c>
      <c r="C28415">
        <v>76904</v>
      </c>
      <c r="D28415" t="str">
        <f>"76904"</f>
        <v>76904</v>
      </c>
      <c r="E28415">
        <v>76.69</v>
      </c>
    </row>
    <row r="28416" spans="1:5" x14ac:dyDescent="0.2">
      <c r="A28416">
        <v>76905</v>
      </c>
      <c r="B28416" t="s">
        <v>50</v>
      </c>
      <c r="C28416">
        <v>76905</v>
      </c>
      <c r="D28416" t="str">
        <f>"76905"</f>
        <v>76905</v>
      </c>
      <c r="E28416">
        <v>66.47</v>
      </c>
    </row>
    <row r="28417" spans="1:5" x14ac:dyDescent="0.2">
      <c r="A28417">
        <v>76906</v>
      </c>
      <c r="B28417" t="s">
        <v>50</v>
      </c>
      <c r="C28417">
        <v>76906</v>
      </c>
      <c r="D28417" t="str">
        <f>"76906"</f>
        <v>76906</v>
      </c>
      <c r="E28417" t="s">
        <v>6</v>
      </c>
    </row>
    <row r="28418" spans="1:5" x14ac:dyDescent="0.2">
      <c r="A28418">
        <v>76908</v>
      </c>
      <c r="B28418" t="s">
        <v>50</v>
      </c>
      <c r="C28418">
        <v>76908</v>
      </c>
      <c r="D28418" t="str">
        <f>"76908"</f>
        <v>76908</v>
      </c>
      <c r="E28418" t="s">
        <v>6</v>
      </c>
    </row>
    <row r="28419" spans="1:5" x14ac:dyDescent="0.2">
      <c r="A28419">
        <v>76909</v>
      </c>
      <c r="B28419" t="s">
        <v>50</v>
      </c>
      <c r="C28419">
        <v>76909</v>
      </c>
      <c r="D28419" t="str">
        <f>"76909"</f>
        <v>76909</v>
      </c>
      <c r="E28419" t="s">
        <v>6</v>
      </c>
    </row>
    <row r="28420" spans="1:5" x14ac:dyDescent="0.2">
      <c r="A28420">
        <v>76930</v>
      </c>
      <c r="B28420" t="s">
        <v>50</v>
      </c>
      <c r="C28420">
        <v>76930</v>
      </c>
      <c r="D28420" t="str">
        <f>"76930"</f>
        <v>76930</v>
      </c>
      <c r="E28420" t="s">
        <v>6</v>
      </c>
    </row>
    <row r="28421" spans="1:5" x14ac:dyDescent="0.2">
      <c r="A28421">
        <v>76932</v>
      </c>
      <c r="B28421" t="s">
        <v>50</v>
      </c>
      <c r="C28421">
        <v>76932</v>
      </c>
      <c r="D28421" t="str">
        <f>"76932"</f>
        <v>76932</v>
      </c>
      <c r="E28421">
        <v>69.680000000000007</v>
      </c>
    </row>
    <row r="28422" spans="1:5" x14ac:dyDescent="0.2">
      <c r="A28422">
        <v>76933</v>
      </c>
      <c r="B28422" t="s">
        <v>50</v>
      </c>
      <c r="C28422">
        <v>76933</v>
      </c>
      <c r="D28422" t="str">
        <f>"76933"</f>
        <v>76933</v>
      </c>
      <c r="E28422">
        <v>66.67</v>
      </c>
    </row>
    <row r="28423" spans="1:5" x14ac:dyDescent="0.2">
      <c r="A28423">
        <v>76934</v>
      </c>
      <c r="B28423" t="s">
        <v>50</v>
      </c>
      <c r="C28423">
        <v>76934</v>
      </c>
      <c r="D28423" t="str">
        <f>"76934"</f>
        <v>76934</v>
      </c>
      <c r="E28423">
        <v>71.430000000000007</v>
      </c>
    </row>
    <row r="28424" spans="1:5" x14ac:dyDescent="0.2">
      <c r="A28424">
        <v>76935</v>
      </c>
      <c r="B28424" t="s">
        <v>50</v>
      </c>
      <c r="C28424">
        <v>76935</v>
      </c>
      <c r="D28424" t="str">
        <f>"76935"</f>
        <v>76935</v>
      </c>
      <c r="E28424">
        <v>75</v>
      </c>
    </row>
    <row r="28425" spans="1:5" x14ac:dyDescent="0.2">
      <c r="A28425">
        <v>76936</v>
      </c>
      <c r="B28425" t="s">
        <v>50</v>
      </c>
      <c r="C28425">
        <v>76936</v>
      </c>
      <c r="D28425" t="str">
        <f>"76936"</f>
        <v>76936</v>
      </c>
      <c r="E28425">
        <v>66.97</v>
      </c>
    </row>
    <row r="28426" spans="1:5" x14ac:dyDescent="0.2">
      <c r="A28426">
        <v>76937</v>
      </c>
      <c r="B28426" t="s">
        <v>50</v>
      </c>
      <c r="C28426">
        <v>76937</v>
      </c>
      <c r="D28426" t="str">
        <f>"76937"</f>
        <v>76937</v>
      </c>
      <c r="E28426">
        <v>70</v>
      </c>
    </row>
    <row r="28427" spans="1:5" x14ac:dyDescent="0.2">
      <c r="A28427">
        <v>76940</v>
      </c>
      <c r="B28427" t="s">
        <v>50</v>
      </c>
      <c r="C28427">
        <v>76940</v>
      </c>
      <c r="D28427" t="str">
        <f>"76940"</f>
        <v>76940</v>
      </c>
      <c r="E28427">
        <v>60</v>
      </c>
    </row>
    <row r="28428" spans="1:5" x14ac:dyDescent="0.2">
      <c r="A28428">
        <v>76941</v>
      </c>
      <c r="B28428" t="s">
        <v>50</v>
      </c>
      <c r="C28428">
        <v>76941</v>
      </c>
      <c r="D28428" t="str">
        <f>"76941"</f>
        <v>76941</v>
      </c>
      <c r="E28428">
        <v>75.41</v>
      </c>
    </row>
    <row r="28429" spans="1:5" x14ac:dyDescent="0.2">
      <c r="A28429">
        <v>76943</v>
      </c>
      <c r="B28429" t="s">
        <v>50</v>
      </c>
      <c r="C28429">
        <v>76943</v>
      </c>
      <c r="D28429" t="str">
        <f>"76943"</f>
        <v>76943</v>
      </c>
      <c r="E28429">
        <v>67.569999999999993</v>
      </c>
    </row>
    <row r="28430" spans="1:5" x14ac:dyDescent="0.2">
      <c r="A28430">
        <v>76945</v>
      </c>
      <c r="B28430" t="s">
        <v>50</v>
      </c>
      <c r="C28430">
        <v>76945</v>
      </c>
      <c r="D28430" t="str">
        <f>"76945"</f>
        <v>76945</v>
      </c>
      <c r="E28430">
        <v>69.86</v>
      </c>
    </row>
    <row r="28431" spans="1:5" x14ac:dyDescent="0.2">
      <c r="A28431">
        <v>76950</v>
      </c>
      <c r="B28431" t="s">
        <v>50</v>
      </c>
      <c r="C28431">
        <v>76950</v>
      </c>
      <c r="D28431" t="str">
        <f>"76950"</f>
        <v>76950</v>
      </c>
      <c r="E28431">
        <v>67.27</v>
      </c>
    </row>
    <row r="28432" spans="1:5" x14ac:dyDescent="0.2">
      <c r="A28432">
        <v>76951</v>
      </c>
      <c r="B28432" t="s">
        <v>50</v>
      </c>
      <c r="C28432">
        <v>76951</v>
      </c>
      <c r="D28432" t="str">
        <f>"76951"</f>
        <v>76951</v>
      </c>
      <c r="E28432">
        <v>67.86</v>
      </c>
    </row>
    <row r="28433" spans="1:5" x14ac:dyDescent="0.2">
      <c r="A28433">
        <v>76953</v>
      </c>
      <c r="B28433" t="s">
        <v>50</v>
      </c>
      <c r="C28433">
        <v>76953</v>
      </c>
      <c r="D28433" t="str">
        <f>"76953"</f>
        <v>76953</v>
      </c>
      <c r="E28433" t="s">
        <v>6</v>
      </c>
    </row>
    <row r="28434" spans="1:5" x14ac:dyDescent="0.2">
      <c r="A28434">
        <v>76955</v>
      </c>
      <c r="B28434" t="s">
        <v>50</v>
      </c>
      <c r="C28434">
        <v>76955</v>
      </c>
      <c r="D28434" t="str">
        <f>"76955"</f>
        <v>76955</v>
      </c>
      <c r="E28434" t="s">
        <v>6</v>
      </c>
    </row>
    <row r="28435" spans="1:5" x14ac:dyDescent="0.2">
      <c r="A28435">
        <v>76957</v>
      </c>
      <c r="B28435" t="s">
        <v>50</v>
      </c>
      <c r="C28435">
        <v>76957</v>
      </c>
      <c r="D28435" t="str">
        <f>"76957"</f>
        <v>76957</v>
      </c>
      <c r="E28435">
        <v>78.95</v>
      </c>
    </row>
    <row r="28436" spans="1:5" x14ac:dyDescent="0.2">
      <c r="A28436">
        <v>76958</v>
      </c>
      <c r="B28436" t="s">
        <v>50</v>
      </c>
      <c r="C28436">
        <v>76958</v>
      </c>
      <c r="D28436" t="str">
        <f>"76958"</f>
        <v>76958</v>
      </c>
      <c r="E28436" t="s">
        <v>6</v>
      </c>
    </row>
    <row r="28437" spans="1:5" x14ac:dyDescent="0.2">
      <c r="A28437">
        <v>77002</v>
      </c>
      <c r="B28437" t="s">
        <v>50</v>
      </c>
      <c r="C28437">
        <v>77002</v>
      </c>
      <c r="D28437" t="str">
        <f>"77002"</f>
        <v>77002</v>
      </c>
      <c r="E28437">
        <v>86.72</v>
      </c>
    </row>
    <row r="28438" spans="1:5" x14ac:dyDescent="0.2">
      <c r="A28438">
        <v>77003</v>
      </c>
      <c r="B28438" t="s">
        <v>50</v>
      </c>
      <c r="C28438">
        <v>77003</v>
      </c>
      <c r="D28438" t="str">
        <f>"77003"</f>
        <v>77003</v>
      </c>
      <c r="E28438">
        <v>73.58</v>
      </c>
    </row>
    <row r="28439" spans="1:5" x14ac:dyDescent="0.2">
      <c r="A28439">
        <v>77004</v>
      </c>
      <c r="B28439" t="s">
        <v>50</v>
      </c>
      <c r="C28439">
        <v>77004</v>
      </c>
      <c r="D28439" t="str">
        <f>"77004"</f>
        <v>77004</v>
      </c>
      <c r="E28439">
        <v>69.94</v>
      </c>
    </row>
    <row r="28440" spans="1:5" x14ac:dyDescent="0.2">
      <c r="A28440">
        <v>77005</v>
      </c>
      <c r="B28440" t="s">
        <v>50</v>
      </c>
      <c r="C28440">
        <v>77005</v>
      </c>
      <c r="D28440" t="str">
        <f>"77005"</f>
        <v>77005</v>
      </c>
      <c r="E28440">
        <v>86.28</v>
      </c>
    </row>
    <row r="28441" spans="1:5" x14ac:dyDescent="0.2">
      <c r="A28441">
        <v>77006</v>
      </c>
      <c r="B28441" t="s">
        <v>50</v>
      </c>
      <c r="C28441">
        <v>77006</v>
      </c>
      <c r="D28441" t="str">
        <f>"77006"</f>
        <v>77006</v>
      </c>
      <c r="E28441">
        <v>87.21</v>
      </c>
    </row>
    <row r="28442" spans="1:5" x14ac:dyDescent="0.2">
      <c r="A28442">
        <v>77007</v>
      </c>
      <c r="B28442" t="s">
        <v>50</v>
      </c>
      <c r="C28442">
        <v>77007</v>
      </c>
      <c r="D28442" t="str">
        <f>"77007"</f>
        <v>77007</v>
      </c>
      <c r="E28442">
        <v>89.41</v>
      </c>
    </row>
    <row r="28443" spans="1:5" x14ac:dyDescent="0.2">
      <c r="A28443">
        <v>77008</v>
      </c>
      <c r="B28443" t="s">
        <v>50</v>
      </c>
      <c r="C28443">
        <v>77008</v>
      </c>
      <c r="D28443" t="str">
        <f>"77008"</f>
        <v>77008</v>
      </c>
      <c r="E28443">
        <v>87.07</v>
      </c>
    </row>
    <row r="28444" spans="1:5" x14ac:dyDescent="0.2">
      <c r="A28444">
        <v>77009</v>
      </c>
      <c r="B28444" t="s">
        <v>50</v>
      </c>
      <c r="C28444">
        <v>77009</v>
      </c>
      <c r="D28444" t="str">
        <f>"77009"</f>
        <v>77009</v>
      </c>
      <c r="E28444">
        <v>69.41</v>
      </c>
    </row>
    <row r="28445" spans="1:5" x14ac:dyDescent="0.2">
      <c r="A28445">
        <v>77010</v>
      </c>
      <c r="B28445" t="s">
        <v>50</v>
      </c>
      <c r="C28445">
        <v>77010</v>
      </c>
      <c r="D28445" t="str">
        <f>"77010"</f>
        <v>77010</v>
      </c>
      <c r="E28445">
        <v>89.74</v>
      </c>
    </row>
    <row r="28446" spans="1:5" x14ac:dyDescent="0.2">
      <c r="A28446">
        <v>77011</v>
      </c>
      <c r="B28446" t="s">
        <v>50</v>
      </c>
      <c r="C28446">
        <v>77011</v>
      </c>
      <c r="D28446" t="str">
        <f>"77011"</f>
        <v>77011</v>
      </c>
      <c r="E28446">
        <v>53.07</v>
      </c>
    </row>
    <row r="28447" spans="1:5" x14ac:dyDescent="0.2">
      <c r="A28447">
        <v>77012</v>
      </c>
      <c r="B28447" t="s">
        <v>50</v>
      </c>
      <c r="C28447">
        <v>77012</v>
      </c>
      <c r="D28447" t="str">
        <f>"77012"</f>
        <v>77012</v>
      </c>
      <c r="E28447">
        <v>51.81</v>
      </c>
    </row>
    <row r="28448" spans="1:5" x14ac:dyDescent="0.2">
      <c r="A28448">
        <v>77013</v>
      </c>
      <c r="B28448" t="s">
        <v>50</v>
      </c>
      <c r="C28448">
        <v>77013</v>
      </c>
      <c r="D28448" t="str">
        <f>"77013"</f>
        <v>77013</v>
      </c>
      <c r="E28448">
        <v>51.74</v>
      </c>
    </row>
    <row r="28449" spans="1:5" x14ac:dyDescent="0.2">
      <c r="A28449">
        <v>77014</v>
      </c>
      <c r="B28449" t="s">
        <v>50</v>
      </c>
      <c r="C28449">
        <v>77014</v>
      </c>
      <c r="D28449" t="str">
        <f>"77014"</f>
        <v>77014</v>
      </c>
      <c r="E28449">
        <v>54.19</v>
      </c>
    </row>
    <row r="28450" spans="1:5" x14ac:dyDescent="0.2">
      <c r="A28450">
        <v>77015</v>
      </c>
      <c r="B28450" t="s">
        <v>50</v>
      </c>
      <c r="C28450">
        <v>77015</v>
      </c>
      <c r="D28450" t="str">
        <f>"77015"</f>
        <v>77015</v>
      </c>
      <c r="E28450">
        <v>55.98</v>
      </c>
    </row>
    <row r="28451" spans="1:5" x14ac:dyDescent="0.2">
      <c r="A28451">
        <v>77016</v>
      </c>
      <c r="B28451" t="s">
        <v>50</v>
      </c>
      <c r="C28451">
        <v>77016</v>
      </c>
      <c r="D28451" t="str">
        <f>"77016"</f>
        <v>77016</v>
      </c>
      <c r="E28451">
        <v>46.77</v>
      </c>
    </row>
    <row r="28452" spans="1:5" x14ac:dyDescent="0.2">
      <c r="A28452">
        <v>77017</v>
      </c>
      <c r="B28452" t="s">
        <v>50</v>
      </c>
      <c r="C28452">
        <v>77017</v>
      </c>
      <c r="D28452" t="str">
        <f>"77017"</f>
        <v>77017</v>
      </c>
      <c r="E28452">
        <v>54.56</v>
      </c>
    </row>
    <row r="28453" spans="1:5" x14ac:dyDescent="0.2">
      <c r="A28453">
        <v>77018</v>
      </c>
      <c r="B28453" t="s">
        <v>50</v>
      </c>
      <c r="C28453">
        <v>77018</v>
      </c>
      <c r="D28453" t="str">
        <f>"77018"</f>
        <v>77018</v>
      </c>
      <c r="E28453">
        <v>78.400000000000006</v>
      </c>
    </row>
    <row r="28454" spans="1:5" x14ac:dyDescent="0.2">
      <c r="A28454">
        <v>77019</v>
      </c>
      <c r="B28454" t="s">
        <v>50</v>
      </c>
      <c r="C28454">
        <v>77019</v>
      </c>
      <c r="D28454" t="str">
        <f>"77019"</f>
        <v>77019</v>
      </c>
      <c r="E28454">
        <v>85.35</v>
      </c>
    </row>
    <row r="28455" spans="1:5" x14ac:dyDescent="0.2">
      <c r="A28455">
        <v>77020</v>
      </c>
      <c r="B28455" t="s">
        <v>50</v>
      </c>
      <c r="C28455">
        <v>77020</v>
      </c>
      <c r="D28455" t="str">
        <f>"77020"</f>
        <v>77020</v>
      </c>
      <c r="E28455">
        <v>49.76</v>
      </c>
    </row>
    <row r="28456" spans="1:5" x14ac:dyDescent="0.2">
      <c r="A28456">
        <v>77021</v>
      </c>
      <c r="B28456" t="s">
        <v>50</v>
      </c>
      <c r="C28456">
        <v>77021</v>
      </c>
      <c r="D28456" t="str">
        <f>"77021"</f>
        <v>77021</v>
      </c>
      <c r="E28456">
        <v>53.25</v>
      </c>
    </row>
    <row r="28457" spans="1:5" x14ac:dyDescent="0.2">
      <c r="A28457">
        <v>77022</v>
      </c>
      <c r="B28457" t="s">
        <v>50</v>
      </c>
      <c r="C28457">
        <v>77022</v>
      </c>
      <c r="D28457" t="str">
        <f>"77022"</f>
        <v>77022</v>
      </c>
      <c r="E28457">
        <v>50.57</v>
      </c>
    </row>
    <row r="28458" spans="1:5" x14ac:dyDescent="0.2">
      <c r="A28458">
        <v>77023</v>
      </c>
      <c r="B28458" t="s">
        <v>50</v>
      </c>
      <c r="C28458">
        <v>77023</v>
      </c>
      <c r="D28458" t="str">
        <f>"77023"</f>
        <v>77023</v>
      </c>
      <c r="E28458">
        <v>60.49</v>
      </c>
    </row>
    <row r="28459" spans="1:5" x14ac:dyDescent="0.2">
      <c r="A28459">
        <v>77024</v>
      </c>
      <c r="B28459" t="s">
        <v>50</v>
      </c>
      <c r="C28459">
        <v>77024</v>
      </c>
      <c r="D28459" t="str">
        <f>"77024"</f>
        <v>77024</v>
      </c>
      <c r="E28459">
        <v>80.680000000000007</v>
      </c>
    </row>
    <row r="28460" spans="1:5" x14ac:dyDescent="0.2">
      <c r="A28460">
        <v>77025</v>
      </c>
      <c r="B28460" t="s">
        <v>50</v>
      </c>
      <c r="C28460">
        <v>77025</v>
      </c>
      <c r="D28460" t="str">
        <f>"77025"</f>
        <v>77025</v>
      </c>
      <c r="E28460">
        <v>78.38</v>
      </c>
    </row>
    <row r="28461" spans="1:5" x14ac:dyDescent="0.2">
      <c r="A28461">
        <v>77026</v>
      </c>
      <c r="B28461" t="s">
        <v>50</v>
      </c>
      <c r="C28461">
        <v>77026</v>
      </c>
      <c r="D28461" t="str">
        <f>"77026"</f>
        <v>77026</v>
      </c>
      <c r="E28461">
        <v>45.38</v>
      </c>
    </row>
    <row r="28462" spans="1:5" x14ac:dyDescent="0.2">
      <c r="A28462">
        <v>77027</v>
      </c>
      <c r="B28462" t="s">
        <v>50</v>
      </c>
      <c r="C28462">
        <v>77027</v>
      </c>
      <c r="D28462" t="str">
        <f>"77027"</f>
        <v>77027</v>
      </c>
      <c r="E28462">
        <v>86.24</v>
      </c>
    </row>
    <row r="28463" spans="1:5" x14ac:dyDescent="0.2">
      <c r="A28463">
        <v>77028</v>
      </c>
      <c r="B28463" t="s">
        <v>50</v>
      </c>
      <c r="C28463">
        <v>77028</v>
      </c>
      <c r="D28463" t="str">
        <f>"77028"</f>
        <v>77028</v>
      </c>
      <c r="E28463">
        <v>42.56</v>
      </c>
    </row>
    <row r="28464" spans="1:5" x14ac:dyDescent="0.2">
      <c r="A28464">
        <v>77029</v>
      </c>
      <c r="B28464" t="s">
        <v>50</v>
      </c>
      <c r="C28464">
        <v>77029</v>
      </c>
      <c r="D28464" t="str">
        <f>"77029"</f>
        <v>77029</v>
      </c>
      <c r="E28464">
        <v>53.84</v>
      </c>
    </row>
    <row r="28465" spans="1:5" x14ac:dyDescent="0.2">
      <c r="A28465">
        <v>77030</v>
      </c>
      <c r="B28465" t="s">
        <v>50</v>
      </c>
      <c r="C28465">
        <v>77030</v>
      </c>
      <c r="D28465" t="str">
        <f>"77030"</f>
        <v>77030</v>
      </c>
      <c r="E28465">
        <v>84.21</v>
      </c>
    </row>
    <row r="28466" spans="1:5" x14ac:dyDescent="0.2">
      <c r="A28466">
        <v>77031</v>
      </c>
      <c r="B28466" t="s">
        <v>50</v>
      </c>
      <c r="C28466">
        <v>77031</v>
      </c>
      <c r="D28466" t="str">
        <f>"77031"</f>
        <v>77031</v>
      </c>
      <c r="E28466">
        <v>56.8</v>
      </c>
    </row>
    <row r="28467" spans="1:5" x14ac:dyDescent="0.2">
      <c r="A28467">
        <v>77032</v>
      </c>
      <c r="B28467" t="s">
        <v>50</v>
      </c>
      <c r="C28467">
        <v>77032</v>
      </c>
      <c r="D28467" t="str">
        <f>"77032"</f>
        <v>77032</v>
      </c>
      <c r="E28467">
        <v>44.12</v>
      </c>
    </row>
    <row r="28468" spans="1:5" x14ac:dyDescent="0.2">
      <c r="A28468">
        <v>77033</v>
      </c>
      <c r="B28468" t="s">
        <v>50</v>
      </c>
      <c r="C28468">
        <v>77033</v>
      </c>
      <c r="D28468" t="str">
        <f>"77033"</f>
        <v>77033</v>
      </c>
      <c r="E28468">
        <v>44.67</v>
      </c>
    </row>
    <row r="28469" spans="1:5" x14ac:dyDescent="0.2">
      <c r="A28469">
        <v>77034</v>
      </c>
      <c r="B28469" t="s">
        <v>50</v>
      </c>
      <c r="C28469">
        <v>77034</v>
      </c>
      <c r="D28469" t="str">
        <f>"77034"</f>
        <v>77034</v>
      </c>
      <c r="E28469">
        <v>56.16</v>
      </c>
    </row>
    <row r="28470" spans="1:5" x14ac:dyDescent="0.2">
      <c r="A28470">
        <v>77035</v>
      </c>
      <c r="B28470" t="s">
        <v>50</v>
      </c>
      <c r="C28470">
        <v>77035</v>
      </c>
      <c r="D28470" t="str">
        <f>"77035"</f>
        <v>77035</v>
      </c>
      <c r="E28470">
        <v>57.17</v>
      </c>
    </row>
    <row r="28471" spans="1:5" x14ac:dyDescent="0.2">
      <c r="A28471">
        <v>77036</v>
      </c>
      <c r="B28471" t="s">
        <v>50</v>
      </c>
      <c r="C28471">
        <v>77036</v>
      </c>
      <c r="D28471" t="str">
        <f>"77036"</f>
        <v>77036</v>
      </c>
      <c r="E28471">
        <v>45.45</v>
      </c>
    </row>
    <row r="28472" spans="1:5" x14ac:dyDescent="0.2">
      <c r="A28472">
        <v>77037</v>
      </c>
      <c r="B28472" t="s">
        <v>50</v>
      </c>
      <c r="C28472">
        <v>77037</v>
      </c>
      <c r="D28472" t="str">
        <f>"77037"</f>
        <v>77037</v>
      </c>
      <c r="E28472">
        <v>46.39</v>
      </c>
    </row>
    <row r="28473" spans="1:5" x14ac:dyDescent="0.2">
      <c r="A28473">
        <v>77038</v>
      </c>
      <c r="B28473" t="s">
        <v>50</v>
      </c>
      <c r="C28473">
        <v>77038</v>
      </c>
      <c r="D28473" t="str">
        <f>"77038"</f>
        <v>77038</v>
      </c>
      <c r="E28473">
        <v>51.85</v>
      </c>
    </row>
    <row r="28474" spans="1:5" x14ac:dyDescent="0.2">
      <c r="A28474">
        <v>77039</v>
      </c>
      <c r="B28474" t="s">
        <v>50</v>
      </c>
      <c r="C28474">
        <v>77039</v>
      </c>
      <c r="D28474" t="str">
        <f>"77039"</f>
        <v>77039</v>
      </c>
      <c r="E28474">
        <v>48.09</v>
      </c>
    </row>
    <row r="28475" spans="1:5" x14ac:dyDescent="0.2">
      <c r="A28475">
        <v>77040</v>
      </c>
      <c r="B28475" t="s">
        <v>50</v>
      </c>
      <c r="C28475">
        <v>77040</v>
      </c>
      <c r="D28475" t="str">
        <f>"77040"</f>
        <v>77040</v>
      </c>
      <c r="E28475">
        <v>65.23</v>
      </c>
    </row>
    <row r="28476" spans="1:5" x14ac:dyDescent="0.2">
      <c r="A28476">
        <v>77041</v>
      </c>
      <c r="B28476" t="s">
        <v>50</v>
      </c>
      <c r="C28476">
        <v>77041</v>
      </c>
      <c r="D28476" t="str">
        <f>"77041"</f>
        <v>77041</v>
      </c>
      <c r="E28476">
        <v>65.739999999999995</v>
      </c>
    </row>
    <row r="28477" spans="1:5" x14ac:dyDescent="0.2">
      <c r="A28477">
        <v>77042</v>
      </c>
      <c r="B28477" t="s">
        <v>50</v>
      </c>
      <c r="C28477">
        <v>77042</v>
      </c>
      <c r="D28477" t="str">
        <f>"77042"</f>
        <v>77042</v>
      </c>
      <c r="E28477">
        <v>65.069999999999993</v>
      </c>
    </row>
    <row r="28478" spans="1:5" x14ac:dyDescent="0.2">
      <c r="A28478">
        <v>77043</v>
      </c>
      <c r="B28478" t="s">
        <v>50</v>
      </c>
      <c r="C28478">
        <v>77043</v>
      </c>
      <c r="D28478" t="str">
        <f>"77043"</f>
        <v>77043</v>
      </c>
      <c r="E28478">
        <v>69.61</v>
      </c>
    </row>
    <row r="28479" spans="1:5" x14ac:dyDescent="0.2">
      <c r="A28479">
        <v>77044</v>
      </c>
      <c r="B28479" t="s">
        <v>50</v>
      </c>
      <c r="C28479">
        <v>77044</v>
      </c>
      <c r="D28479" t="str">
        <f>"77044"</f>
        <v>77044</v>
      </c>
      <c r="E28479">
        <v>65.62</v>
      </c>
    </row>
    <row r="28480" spans="1:5" x14ac:dyDescent="0.2">
      <c r="A28480">
        <v>77045</v>
      </c>
      <c r="B28480" t="s">
        <v>50</v>
      </c>
      <c r="C28480">
        <v>77045</v>
      </c>
      <c r="D28480" t="str">
        <f>"77045"</f>
        <v>77045</v>
      </c>
      <c r="E28480">
        <v>54.24</v>
      </c>
    </row>
    <row r="28481" spans="1:5" x14ac:dyDescent="0.2">
      <c r="A28481">
        <v>77046</v>
      </c>
      <c r="B28481" t="s">
        <v>50</v>
      </c>
      <c r="C28481">
        <v>77046</v>
      </c>
      <c r="D28481" t="str">
        <f>"77046"</f>
        <v>77046</v>
      </c>
      <c r="E28481">
        <v>92.03</v>
      </c>
    </row>
    <row r="28482" spans="1:5" x14ac:dyDescent="0.2">
      <c r="A28482">
        <v>77047</v>
      </c>
      <c r="B28482" t="s">
        <v>50</v>
      </c>
      <c r="C28482">
        <v>77047</v>
      </c>
      <c r="D28482" t="str">
        <f>"77047"</f>
        <v>77047</v>
      </c>
      <c r="E28482">
        <v>60.94</v>
      </c>
    </row>
    <row r="28483" spans="1:5" x14ac:dyDescent="0.2">
      <c r="A28483">
        <v>77048</v>
      </c>
      <c r="B28483" t="s">
        <v>50</v>
      </c>
      <c r="C28483">
        <v>77048</v>
      </c>
      <c r="D28483" t="str">
        <f>"77048"</f>
        <v>77048</v>
      </c>
      <c r="E28483">
        <v>52.75</v>
      </c>
    </row>
    <row r="28484" spans="1:5" x14ac:dyDescent="0.2">
      <c r="A28484">
        <v>77049</v>
      </c>
      <c r="B28484" t="s">
        <v>50</v>
      </c>
      <c r="C28484">
        <v>77049</v>
      </c>
      <c r="D28484" t="str">
        <f>"77049"</f>
        <v>77049</v>
      </c>
      <c r="E28484">
        <v>62.23</v>
      </c>
    </row>
    <row r="28485" spans="1:5" x14ac:dyDescent="0.2">
      <c r="A28485">
        <v>77050</v>
      </c>
      <c r="B28485" t="s">
        <v>50</v>
      </c>
      <c r="C28485">
        <v>77050</v>
      </c>
      <c r="D28485" t="str">
        <f>"77050"</f>
        <v>77050</v>
      </c>
      <c r="E28485">
        <v>49.47</v>
      </c>
    </row>
    <row r="28486" spans="1:5" x14ac:dyDescent="0.2">
      <c r="A28486">
        <v>77051</v>
      </c>
      <c r="B28486" t="s">
        <v>50</v>
      </c>
      <c r="C28486">
        <v>77051</v>
      </c>
      <c r="D28486" t="str">
        <f>"77051"</f>
        <v>77051</v>
      </c>
      <c r="E28486">
        <v>45.09</v>
      </c>
    </row>
    <row r="28487" spans="1:5" x14ac:dyDescent="0.2">
      <c r="A28487">
        <v>77053</v>
      </c>
      <c r="B28487" t="s">
        <v>50</v>
      </c>
      <c r="C28487">
        <v>77053</v>
      </c>
      <c r="D28487" t="str">
        <f>"77053"</f>
        <v>77053</v>
      </c>
      <c r="E28487">
        <v>52.38</v>
      </c>
    </row>
    <row r="28488" spans="1:5" x14ac:dyDescent="0.2">
      <c r="A28488">
        <v>77054</v>
      </c>
      <c r="B28488" t="s">
        <v>50</v>
      </c>
      <c r="C28488">
        <v>77054</v>
      </c>
      <c r="D28488" t="str">
        <f>"77054"</f>
        <v>77054</v>
      </c>
      <c r="E28488">
        <v>72.88</v>
      </c>
    </row>
    <row r="28489" spans="1:5" x14ac:dyDescent="0.2">
      <c r="A28489">
        <v>77055</v>
      </c>
      <c r="B28489" t="s">
        <v>50</v>
      </c>
      <c r="C28489">
        <v>77055</v>
      </c>
      <c r="D28489" t="str">
        <f>"77055"</f>
        <v>77055</v>
      </c>
      <c r="E28489">
        <v>65.959999999999994</v>
      </c>
    </row>
    <row r="28490" spans="1:5" x14ac:dyDescent="0.2">
      <c r="A28490">
        <v>77056</v>
      </c>
      <c r="B28490" t="s">
        <v>50</v>
      </c>
      <c r="C28490">
        <v>77056</v>
      </c>
      <c r="D28490" t="str">
        <f>"77056"</f>
        <v>77056</v>
      </c>
      <c r="E28490">
        <v>83.57</v>
      </c>
    </row>
    <row r="28491" spans="1:5" x14ac:dyDescent="0.2">
      <c r="A28491">
        <v>77057</v>
      </c>
      <c r="B28491" t="s">
        <v>50</v>
      </c>
      <c r="C28491">
        <v>77057</v>
      </c>
      <c r="D28491" t="str">
        <f>"77057"</f>
        <v>77057</v>
      </c>
      <c r="E28491">
        <v>75.53</v>
      </c>
    </row>
    <row r="28492" spans="1:5" x14ac:dyDescent="0.2">
      <c r="A28492">
        <v>77058</v>
      </c>
      <c r="B28492" t="s">
        <v>50</v>
      </c>
      <c r="C28492">
        <v>77058</v>
      </c>
      <c r="D28492" t="str">
        <f>"77058"</f>
        <v>77058</v>
      </c>
      <c r="E28492">
        <v>74.86</v>
      </c>
    </row>
    <row r="28493" spans="1:5" x14ac:dyDescent="0.2">
      <c r="A28493">
        <v>77059</v>
      </c>
      <c r="B28493" t="s">
        <v>50</v>
      </c>
      <c r="C28493">
        <v>77059</v>
      </c>
      <c r="D28493" t="str">
        <f>"77059"</f>
        <v>77059</v>
      </c>
      <c r="E28493">
        <v>81.69</v>
      </c>
    </row>
    <row r="28494" spans="1:5" x14ac:dyDescent="0.2">
      <c r="A28494">
        <v>77060</v>
      </c>
      <c r="B28494" t="s">
        <v>50</v>
      </c>
      <c r="C28494">
        <v>77060</v>
      </c>
      <c r="D28494" t="str">
        <f>"77060"</f>
        <v>77060</v>
      </c>
      <c r="E28494">
        <v>42.86</v>
      </c>
    </row>
    <row r="28495" spans="1:5" x14ac:dyDescent="0.2">
      <c r="A28495">
        <v>77061</v>
      </c>
      <c r="B28495" t="s">
        <v>50</v>
      </c>
      <c r="C28495">
        <v>77061</v>
      </c>
      <c r="D28495" t="str">
        <f>"77061"</f>
        <v>77061</v>
      </c>
      <c r="E28495">
        <v>54.49</v>
      </c>
    </row>
    <row r="28496" spans="1:5" x14ac:dyDescent="0.2">
      <c r="A28496">
        <v>77062</v>
      </c>
      <c r="B28496" t="s">
        <v>50</v>
      </c>
      <c r="C28496">
        <v>77062</v>
      </c>
      <c r="D28496" t="str">
        <f>"77062"</f>
        <v>77062</v>
      </c>
      <c r="E28496">
        <v>77.56</v>
      </c>
    </row>
    <row r="28497" spans="1:5" x14ac:dyDescent="0.2">
      <c r="A28497">
        <v>77063</v>
      </c>
      <c r="B28497" t="s">
        <v>50</v>
      </c>
      <c r="C28497">
        <v>77063</v>
      </c>
      <c r="D28497" t="str">
        <f>"77063"</f>
        <v>77063</v>
      </c>
      <c r="E28497">
        <v>66.099999999999994</v>
      </c>
    </row>
    <row r="28498" spans="1:5" x14ac:dyDescent="0.2">
      <c r="A28498">
        <v>77064</v>
      </c>
      <c r="B28498" t="s">
        <v>50</v>
      </c>
      <c r="C28498">
        <v>77064</v>
      </c>
      <c r="D28498" t="str">
        <f>"77064"</f>
        <v>77064</v>
      </c>
      <c r="E28498">
        <v>67.94</v>
      </c>
    </row>
    <row r="28499" spans="1:5" x14ac:dyDescent="0.2">
      <c r="A28499">
        <v>77065</v>
      </c>
      <c r="B28499" t="s">
        <v>50</v>
      </c>
      <c r="C28499">
        <v>77065</v>
      </c>
      <c r="D28499" t="str">
        <f>"77065"</f>
        <v>77065</v>
      </c>
      <c r="E28499">
        <v>67.75</v>
      </c>
    </row>
    <row r="28500" spans="1:5" x14ac:dyDescent="0.2">
      <c r="A28500">
        <v>77066</v>
      </c>
      <c r="B28500" t="s">
        <v>50</v>
      </c>
      <c r="C28500">
        <v>77066</v>
      </c>
      <c r="D28500" t="str">
        <f>"77066"</f>
        <v>77066</v>
      </c>
      <c r="E28500">
        <v>61.05</v>
      </c>
    </row>
    <row r="28501" spans="1:5" x14ac:dyDescent="0.2">
      <c r="A28501">
        <v>77067</v>
      </c>
      <c r="B28501" t="s">
        <v>50</v>
      </c>
      <c r="C28501">
        <v>77067</v>
      </c>
      <c r="D28501" t="str">
        <f>"77067"</f>
        <v>77067</v>
      </c>
      <c r="E28501">
        <v>49.3</v>
      </c>
    </row>
    <row r="28502" spans="1:5" x14ac:dyDescent="0.2">
      <c r="A28502">
        <v>77068</v>
      </c>
      <c r="B28502" t="s">
        <v>50</v>
      </c>
      <c r="C28502">
        <v>77068</v>
      </c>
      <c r="D28502" t="str">
        <f>"77068"</f>
        <v>77068</v>
      </c>
      <c r="E28502">
        <v>66.540000000000006</v>
      </c>
    </row>
    <row r="28503" spans="1:5" x14ac:dyDescent="0.2">
      <c r="A28503">
        <v>77069</v>
      </c>
      <c r="B28503" t="s">
        <v>50</v>
      </c>
      <c r="C28503">
        <v>77069</v>
      </c>
      <c r="D28503" t="str">
        <f>"77069"</f>
        <v>77069</v>
      </c>
      <c r="E28503">
        <v>72.540000000000006</v>
      </c>
    </row>
    <row r="28504" spans="1:5" x14ac:dyDescent="0.2">
      <c r="A28504">
        <v>77070</v>
      </c>
      <c r="B28504" t="s">
        <v>50</v>
      </c>
      <c r="C28504">
        <v>77070</v>
      </c>
      <c r="D28504" t="str">
        <f>"77070"</f>
        <v>77070</v>
      </c>
      <c r="E28504">
        <v>71</v>
      </c>
    </row>
    <row r="28505" spans="1:5" x14ac:dyDescent="0.2">
      <c r="A28505">
        <v>77071</v>
      </c>
      <c r="B28505" t="s">
        <v>50</v>
      </c>
      <c r="C28505">
        <v>77071</v>
      </c>
      <c r="D28505" t="str">
        <f>"77071"</f>
        <v>77071</v>
      </c>
      <c r="E28505">
        <v>59.64</v>
      </c>
    </row>
    <row r="28506" spans="1:5" x14ac:dyDescent="0.2">
      <c r="A28506">
        <v>77072</v>
      </c>
      <c r="B28506" t="s">
        <v>50</v>
      </c>
      <c r="C28506">
        <v>77072</v>
      </c>
      <c r="D28506" t="str">
        <f>"77072"</f>
        <v>77072</v>
      </c>
      <c r="E28506">
        <v>49.1</v>
      </c>
    </row>
    <row r="28507" spans="1:5" x14ac:dyDescent="0.2">
      <c r="A28507">
        <v>77073</v>
      </c>
      <c r="B28507" t="s">
        <v>50</v>
      </c>
      <c r="C28507">
        <v>77073</v>
      </c>
      <c r="D28507" t="str">
        <f>"77073"</f>
        <v>77073</v>
      </c>
      <c r="E28507">
        <v>55.21</v>
      </c>
    </row>
    <row r="28508" spans="1:5" x14ac:dyDescent="0.2">
      <c r="A28508">
        <v>77074</v>
      </c>
      <c r="B28508" t="s">
        <v>50</v>
      </c>
      <c r="C28508">
        <v>77074</v>
      </c>
      <c r="D28508" t="str">
        <f>"77074"</f>
        <v>77074</v>
      </c>
      <c r="E28508">
        <v>51.24</v>
      </c>
    </row>
    <row r="28509" spans="1:5" x14ac:dyDescent="0.2">
      <c r="A28509">
        <v>77075</v>
      </c>
      <c r="B28509" t="s">
        <v>50</v>
      </c>
      <c r="C28509">
        <v>77075</v>
      </c>
      <c r="D28509" t="str">
        <f>"77075"</f>
        <v>77075</v>
      </c>
      <c r="E28509">
        <v>57.41</v>
      </c>
    </row>
    <row r="28510" spans="1:5" x14ac:dyDescent="0.2">
      <c r="A28510">
        <v>77076</v>
      </c>
      <c r="B28510" t="s">
        <v>50</v>
      </c>
      <c r="C28510">
        <v>77076</v>
      </c>
      <c r="D28510" t="str">
        <f>"77076"</f>
        <v>77076</v>
      </c>
      <c r="E28510">
        <v>49.02</v>
      </c>
    </row>
    <row r="28511" spans="1:5" x14ac:dyDescent="0.2">
      <c r="A28511">
        <v>77077</v>
      </c>
      <c r="B28511" t="s">
        <v>50</v>
      </c>
      <c r="C28511">
        <v>77077</v>
      </c>
      <c r="D28511" t="str">
        <f>"77077"</f>
        <v>77077</v>
      </c>
      <c r="E28511">
        <v>72.489999999999995</v>
      </c>
    </row>
    <row r="28512" spans="1:5" x14ac:dyDescent="0.2">
      <c r="A28512">
        <v>77078</v>
      </c>
      <c r="B28512" t="s">
        <v>50</v>
      </c>
      <c r="C28512">
        <v>77078</v>
      </c>
      <c r="D28512" t="str">
        <f>"77078"</f>
        <v>77078</v>
      </c>
      <c r="E28512">
        <v>44.22</v>
      </c>
    </row>
    <row r="28513" spans="1:5" x14ac:dyDescent="0.2">
      <c r="A28513">
        <v>77079</v>
      </c>
      <c r="B28513" t="s">
        <v>50</v>
      </c>
      <c r="C28513">
        <v>77079</v>
      </c>
      <c r="D28513" t="str">
        <f>"77079"</f>
        <v>77079</v>
      </c>
      <c r="E28513">
        <v>75.44</v>
      </c>
    </row>
    <row r="28514" spans="1:5" x14ac:dyDescent="0.2">
      <c r="A28514">
        <v>77080</v>
      </c>
      <c r="B28514" t="s">
        <v>50</v>
      </c>
      <c r="C28514">
        <v>77080</v>
      </c>
      <c r="D28514" t="str">
        <f>"77080"</f>
        <v>77080</v>
      </c>
      <c r="E28514">
        <v>58.81</v>
      </c>
    </row>
    <row r="28515" spans="1:5" x14ac:dyDescent="0.2">
      <c r="A28515">
        <v>77081</v>
      </c>
      <c r="B28515" t="s">
        <v>50</v>
      </c>
      <c r="C28515">
        <v>77081</v>
      </c>
      <c r="D28515" t="str">
        <f>"77081"</f>
        <v>77081</v>
      </c>
      <c r="E28515">
        <v>49.34</v>
      </c>
    </row>
    <row r="28516" spans="1:5" x14ac:dyDescent="0.2">
      <c r="A28516">
        <v>77082</v>
      </c>
      <c r="B28516" t="s">
        <v>50</v>
      </c>
      <c r="C28516">
        <v>77082</v>
      </c>
      <c r="D28516" t="str">
        <f>"77082"</f>
        <v>77082</v>
      </c>
      <c r="E28516">
        <v>60.65</v>
      </c>
    </row>
    <row r="28517" spans="1:5" x14ac:dyDescent="0.2">
      <c r="A28517">
        <v>77083</v>
      </c>
      <c r="B28517" t="s">
        <v>50</v>
      </c>
      <c r="C28517">
        <v>77083</v>
      </c>
      <c r="D28517" t="str">
        <f>"77083"</f>
        <v>77083</v>
      </c>
      <c r="E28517">
        <v>56.46</v>
      </c>
    </row>
    <row r="28518" spans="1:5" x14ac:dyDescent="0.2">
      <c r="A28518">
        <v>77084</v>
      </c>
      <c r="B28518" t="s">
        <v>50</v>
      </c>
      <c r="C28518">
        <v>77084</v>
      </c>
      <c r="D28518" t="str">
        <f>"77084"</f>
        <v>77084</v>
      </c>
      <c r="E28518">
        <v>63.97</v>
      </c>
    </row>
    <row r="28519" spans="1:5" x14ac:dyDescent="0.2">
      <c r="A28519">
        <v>77085</v>
      </c>
      <c r="B28519" t="s">
        <v>50</v>
      </c>
      <c r="C28519">
        <v>77085</v>
      </c>
      <c r="D28519" t="str">
        <f>"77085"</f>
        <v>77085</v>
      </c>
      <c r="E28519">
        <v>56.73</v>
      </c>
    </row>
    <row r="28520" spans="1:5" x14ac:dyDescent="0.2">
      <c r="A28520">
        <v>77086</v>
      </c>
      <c r="B28520" t="s">
        <v>50</v>
      </c>
      <c r="C28520">
        <v>77086</v>
      </c>
      <c r="D28520" t="str">
        <f>"77086"</f>
        <v>77086</v>
      </c>
      <c r="E28520">
        <v>51.98</v>
      </c>
    </row>
    <row r="28521" spans="1:5" x14ac:dyDescent="0.2">
      <c r="A28521">
        <v>77087</v>
      </c>
      <c r="B28521" t="s">
        <v>50</v>
      </c>
      <c r="C28521">
        <v>77087</v>
      </c>
      <c r="D28521" t="str">
        <f>"77087"</f>
        <v>77087</v>
      </c>
      <c r="E28521">
        <v>53.22</v>
      </c>
    </row>
    <row r="28522" spans="1:5" x14ac:dyDescent="0.2">
      <c r="A28522">
        <v>77088</v>
      </c>
      <c r="B28522" t="s">
        <v>50</v>
      </c>
      <c r="C28522">
        <v>77088</v>
      </c>
      <c r="D28522" t="str">
        <f>"77088"</f>
        <v>77088</v>
      </c>
      <c r="E28522">
        <v>53.65</v>
      </c>
    </row>
    <row r="28523" spans="1:5" x14ac:dyDescent="0.2">
      <c r="A28523">
        <v>77089</v>
      </c>
      <c r="B28523" t="s">
        <v>50</v>
      </c>
      <c r="C28523">
        <v>77089</v>
      </c>
      <c r="D28523" t="str">
        <f>"77089"</f>
        <v>77089</v>
      </c>
      <c r="E28523">
        <v>66.3</v>
      </c>
    </row>
    <row r="28524" spans="1:5" x14ac:dyDescent="0.2">
      <c r="A28524">
        <v>77090</v>
      </c>
      <c r="B28524" t="s">
        <v>50</v>
      </c>
      <c r="C28524">
        <v>77090</v>
      </c>
      <c r="D28524" t="str">
        <f>"77090"</f>
        <v>77090</v>
      </c>
      <c r="E28524">
        <v>52.85</v>
      </c>
    </row>
    <row r="28525" spans="1:5" x14ac:dyDescent="0.2">
      <c r="A28525">
        <v>77091</v>
      </c>
      <c r="B28525" t="s">
        <v>50</v>
      </c>
      <c r="C28525">
        <v>77091</v>
      </c>
      <c r="D28525" t="str">
        <f>"77091"</f>
        <v>77091</v>
      </c>
      <c r="E28525">
        <v>49.69</v>
      </c>
    </row>
    <row r="28526" spans="1:5" x14ac:dyDescent="0.2">
      <c r="A28526">
        <v>77092</v>
      </c>
      <c r="B28526" t="s">
        <v>50</v>
      </c>
      <c r="C28526">
        <v>77092</v>
      </c>
      <c r="D28526" t="str">
        <f>"77092"</f>
        <v>77092</v>
      </c>
      <c r="E28526">
        <v>61.01</v>
      </c>
    </row>
    <row r="28527" spans="1:5" x14ac:dyDescent="0.2">
      <c r="A28527">
        <v>77093</v>
      </c>
      <c r="B28527" t="s">
        <v>50</v>
      </c>
      <c r="C28527">
        <v>77093</v>
      </c>
      <c r="D28527" t="str">
        <f>"77093"</f>
        <v>77093</v>
      </c>
      <c r="E28527">
        <v>44.15</v>
      </c>
    </row>
    <row r="28528" spans="1:5" x14ac:dyDescent="0.2">
      <c r="A28528">
        <v>77094</v>
      </c>
      <c r="B28528" t="s">
        <v>50</v>
      </c>
      <c r="C28528">
        <v>77094</v>
      </c>
      <c r="D28528" t="str">
        <f>"77094"</f>
        <v>77094</v>
      </c>
      <c r="E28528">
        <v>79.709999999999994</v>
      </c>
    </row>
    <row r="28529" spans="1:5" x14ac:dyDescent="0.2">
      <c r="A28529">
        <v>77095</v>
      </c>
      <c r="B28529" t="s">
        <v>50</v>
      </c>
      <c r="C28529">
        <v>77095</v>
      </c>
      <c r="D28529" t="str">
        <f>"77095"</f>
        <v>77095</v>
      </c>
      <c r="E28529">
        <v>72.94</v>
      </c>
    </row>
    <row r="28530" spans="1:5" x14ac:dyDescent="0.2">
      <c r="A28530">
        <v>77096</v>
      </c>
      <c r="B28530" t="s">
        <v>50</v>
      </c>
      <c r="C28530">
        <v>77096</v>
      </c>
      <c r="D28530" t="str">
        <f>"77096"</f>
        <v>77096</v>
      </c>
      <c r="E28530">
        <v>68.290000000000006</v>
      </c>
    </row>
    <row r="28531" spans="1:5" x14ac:dyDescent="0.2">
      <c r="A28531">
        <v>77098</v>
      </c>
      <c r="B28531" t="s">
        <v>50</v>
      </c>
      <c r="C28531">
        <v>77098</v>
      </c>
      <c r="D28531" t="str">
        <f>"77098"</f>
        <v>77098</v>
      </c>
      <c r="E28531">
        <v>86.15</v>
      </c>
    </row>
    <row r="28532" spans="1:5" x14ac:dyDescent="0.2">
      <c r="A28532">
        <v>77099</v>
      </c>
      <c r="B28532" t="s">
        <v>50</v>
      </c>
      <c r="C28532">
        <v>77099</v>
      </c>
      <c r="D28532" t="str">
        <f>"77099"</f>
        <v>77099</v>
      </c>
      <c r="E28532">
        <v>50.29</v>
      </c>
    </row>
    <row r="28533" spans="1:5" x14ac:dyDescent="0.2">
      <c r="A28533">
        <v>77204</v>
      </c>
      <c r="B28533" t="s">
        <v>50</v>
      </c>
      <c r="C28533">
        <v>77204</v>
      </c>
      <c r="D28533" t="str">
        <f>"77204"</f>
        <v>77204</v>
      </c>
      <c r="E28533" t="s">
        <v>6</v>
      </c>
    </row>
    <row r="28534" spans="1:5" x14ac:dyDescent="0.2">
      <c r="A28534">
        <v>77220</v>
      </c>
      <c r="B28534" t="s">
        <v>50</v>
      </c>
      <c r="C28534">
        <v>77220</v>
      </c>
      <c r="D28534" t="str">
        <f>"77220"</f>
        <v>77220</v>
      </c>
      <c r="E28534" t="s">
        <v>6</v>
      </c>
    </row>
    <row r="28535" spans="1:5" x14ac:dyDescent="0.2">
      <c r="A28535">
        <v>77223</v>
      </c>
      <c r="B28535" t="s">
        <v>50</v>
      </c>
      <c r="C28535">
        <v>77223</v>
      </c>
      <c r="D28535" t="str">
        <f>"77223"</f>
        <v>77223</v>
      </c>
      <c r="E28535" t="s">
        <v>6</v>
      </c>
    </row>
    <row r="28536" spans="1:5" x14ac:dyDescent="0.2">
      <c r="A28536">
        <v>77224</v>
      </c>
      <c r="B28536" t="s">
        <v>50</v>
      </c>
      <c r="C28536">
        <v>77224</v>
      </c>
      <c r="D28536" t="str">
        <f>"77224"</f>
        <v>77224</v>
      </c>
      <c r="E28536" t="s">
        <v>6</v>
      </c>
    </row>
    <row r="28537" spans="1:5" x14ac:dyDescent="0.2">
      <c r="A28537">
        <v>77231</v>
      </c>
      <c r="B28537" t="s">
        <v>50</v>
      </c>
      <c r="C28537">
        <v>77231</v>
      </c>
      <c r="D28537" t="str">
        <f>"77231"</f>
        <v>77231</v>
      </c>
      <c r="E28537" t="s">
        <v>6</v>
      </c>
    </row>
    <row r="28538" spans="1:5" x14ac:dyDescent="0.2">
      <c r="A28538">
        <v>77234</v>
      </c>
      <c r="B28538" t="s">
        <v>50</v>
      </c>
      <c r="C28538">
        <v>77234</v>
      </c>
      <c r="D28538" t="str">
        <f>"77234"</f>
        <v>77234</v>
      </c>
      <c r="E28538" t="s">
        <v>6</v>
      </c>
    </row>
    <row r="28539" spans="1:5" x14ac:dyDescent="0.2">
      <c r="A28539">
        <v>77241</v>
      </c>
      <c r="B28539" t="s">
        <v>50</v>
      </c>
      <c r="C28539">
        <v>77241</v>
      </c>
      <c r="D28539" t="str">
        <f>"77241"</f>
        <v>77241</v>
      </c>
      <c r="E28539" t="s">
        <v>6</v>
      </c>
    </row>
    <row r="28540" spans="1:5" x14ac:dyDescent="0.2">
      <c r="A28540">
        <v>77242</v>
      </c>
      <c r="B28540" t="s">
        <v>50</v>
      </c>
      <c r="C28540">
        <v>77242</v>
      </c>
      <c r="D28540" t="str">
        <f>"77242"</f>
        <v>77242</v>
      </c>
      <c r="E28540" t="s">
        <v>6</v>
      </c>
    </row>
    <row r="28541" spans="1:5" x14ac:dyDescent="0.2">
      <c r="A28541">
        <v>77249</v>
      </c>
      <c r="B28541" t="s">
        <v>50</v>
      </c>
      <c r="C28541">
        <v>77249</v>
      </c>
      <c r="D28541" t="str">
        <f>"77249"</f>
        <v>77249</v>
      </c>
      <c r="E28541" t="s">
        <v>6</v>
      </c>
    </row>
    <row r="28542" spans="1:5" x14ac:dyDescent="0.2">
      <c r="A28542">
        <v>77301</v>
      </c>
      <c r="B28542" t="s">
        <v>50</v>
      </c>
      <c r="C28542">
        <v>77301</v>
      </c>
      <c r="D28542" t="str">
        <f>"77301"</f>
        <v>77301</v>
      </c>
      <c r="E28542">
        <v>55.04</v>
      </c>
    </row>
    <row r="28543" spans="1:5" x14ac:dyDescent="0.2">
      <c r="A28543">
        <v>77302</v>
      </c>
      <c r="B28543" t="s">
        <v>50</v>
      </c>
      <c r="C28543">
        <v>77302</v>
      </c>
      <c r="D28543" t="str">
        <f>"77302"</f>
        <v>77302</v>
      </c>
      <c r="E28543">
        <v>66.41</v>
      </c>
    </row>
    <row r="28544" spans="1:5" x14ac:dyDescent="0.2">
      <c r="A28544">
        <v>77303</v>
      </c>
      <c r="B28544" t="s">
        <v>50</v>
      </c>
      <c r="C28544">
        <v>77303</v>
      </c>
      <c r="D28544" t="str">
        <f>"77303"</f>
        <v>77303</v>
      </c>
      <c r="E28544">
        <v>65.03</v>
      </c>
    </row>
    <row r="28545" spans="1:5" x14ac:dyDescent="0.2">
      <c r="A28545">
        <v>77304</v>
      </c>
      <c r="B28545" t="s">
        <v>50</v>
      </c>
      <c r="C28545">
        <v>77304</v>
      </c>
      <c r="D28545" t="str">
        <f>"77304"</f>
        <v>77304</v>
      </c>
      <c r="E28545">
        <v>74.92</v>
      </c>
    </row>
    <row r="28546" spans="1:5" x14ac:dyDescent="0.2">
      <c r="A28546">
        <v>77306</v>
      </c>
      <c r="B28546" t="s">
        <v>50</v>
      </c>
      <c r="C28546">
        <v>77306</v>
      </c>
      <c r="D28546" t="str">
        <f>"77306"</f>
        <v>77306</v>
      </c>
      <c r="E28546">
        <v>51.74</v>
      </c>
    </row>
    <row r="28547" spans="1:5" x14ac:dyDescent="0.2">
      <c r="A28547">
        <v>77316</v>
      </c>
      <c r="B28547" t="s">
        <v>50</v>
      </c>
      <c r="C28547">
        <v>77316</v>
      </c>
      <c r="D28547" t="str">
        <f>"77316"</f>
        <v>77316</v>
      </c>
      <c r="E28547">
        <v>77.209999999999994</v>
      </c>
    </row>
    <row r="28548" spans="1:5" x14ac:dyDescent="0.2">
      <c r="A28548">
        <v>77318</v>
      </c>
      <c r="B28548" t="s">
        <v>50</v>
      </c>
      <c r="C28548">
        <v>77318</v>
      </c>
      <c r="D28548" t="str">
        <f>"77318"</f>
        <v>77318</v>
      </c>
      <c r="E28548">
        <v>72.11</v>
      </c>
    </row>
    <row r="28549" spans="1:5" x14ac:dyDescent="0.2">
      <c r="A28549">
        <v>77320</v>
      </c>
      <c r="B28549" t="s">
        <v>50</v>
      </c>
      <c r="C28549">
        <v>77320</v>
      </c>
      <c r="D28549" t="str">
        <f>"77320"</f>
        <v>77320</v>
      </c>
      <c r="E28549">
        <v>63.74</v>
      </c>
    </row>
    <row r="28550" spans="1:5" x14ac:dyDescent="0.2">
      <c r="A28550">
        <v>77327</v>
      </c>
      <c r="B28550" t="s">
        <v>50</v>
      </c>
      <c r="C28550">
        <v>77327</v>
      </c>
      <c r="D28550" t="str">
        <f>"77327"</f>
        <v>77327</v>
      </c>
      <c r="E28550">
        <v>56.06</v>
      </c>
    </row>
    <row r="28551" spans="1:5" x14ac:dyDescent="0.2">
      <c r="A28551">
        <v>77328</v>
      </c>
      <c r="B28551" t="s">
        <v>50</v>
      </c>
      <c r="C28551">
        <v>77328</v>
      </c>
      <c r="D28551" t="str">
        <f>"77328"</f>
        <v>77328</v>
      </c>
      <c r="E28551">
        <v>62.72</v>
      </c>
    </row>
    <row r="28552" spans="1:5" x14ac:dyDescent="0.2">
      <c r="A28552">
        <v>77331</v>
      </c>
      <c r="B28552" t="s">
        <v>50</v>
      </c>
      <c r="C28552">
        <v>77331</v>
      </c>
      <c r="D28552" t="str">
        <f>"77331"</f>
        <v>77331</v>
      </c>
      <c r="E28552">
        <v>66.89</v>
      </c>
    </row>
    <row r="28553" spans="1:5" x14ac:dyDescent="0.2">
      <c r="A28553">
        <v>77335</v>
      </c>
      <c r="B28553" t="s">
        <v>50</v>
      </c>
      <c r="C28553">
        <v>77335</v>
      </c>
      <c r="D28553" t="str">
        <f>"77335"</f>
        <v>77335</v>
      </c>
      <c r="E28553">
        <v>61.63</v>
      </c>
    </row>
    <row r="28554" spans="1:5" x14ac:dyDescent="0.2">
      <c r="A28554">
        <v>77336</v>
      </c>
      <c r="B28554" t="s">
        <v>50</v>
      </c>
      <c r="C28554">
        <v>77336</v>
      </c>
      <c r="D28554" t="str">
        <f>"77336"</f>
        <v>77336</v>
      </c>
      <c r="E28554">
        <v>71.52</v>
      </c>
    </row>
    <row r="28555" spans="1:5" x14ac:dyDescent="0.2">
      <c r="A28555">
        <v>77338</v>
      </c>
      <c r="B28555" t="s">
        <v>50</v>
      </c>
      <c r="C28555">
        <v>77338</v>
      </c>
      <c r="D28555" t="str">
        <f>"77338"</f>
        <v>77338</v>
      </c>
      <c r="E28555">
        <v>59.22</v>
      </c>
    </row>
    <row r="28556" spans="1:5" x14ac:dyDescent="0.2">
      <c r="A28556">
        <v>77339</v>
      </c>
      <c r="B28556" t="s">
        <v>50</v>
      </c>
      <c r="C28556">
        <v>77339</v>
      </c>
      <c r="D28556" t="str">
        <f>"77339"</f>
        <v>77339</v>
      </c>
      <c r="E28556">
        <v>76.040000000000006</v>
      </c>
    </row>
    <row r="28557" spans="1:5" x14ac:dyDescent="0.2">
      <c r="A28557">
        <v>77340</v>
      </c>
      <c r="B28557" t="s">
        <v>50</v>
      </c>
      <c r="C28557">
        <v>77340</v>
      </c>
      <c r="D28557" t="str">
        <f>"77340"</f>
        <v>77340</v>
      </c>
      <c r="E28557">
        <v>63.79</v>
      </c>
    </row>
    <row r="28558" spans="1:5" x14ac:dyDescent="0.2">
      <c r="A28558">
        <v>77345</v>
      </c>
      <c r="B28558" t="s">
        <v>50</v>
      </c>
      <c r="C28558">
        <v>77345</v>
      </c>
      <c r="D28558" t="str">
        <f>"77345"</f>
        <v>77345</v>
      </c>
      <c r="E28558">
        <v>79.17</v>
      </c>
    </row>
    <row r="28559" spans="1:5" x14ac:dyDescent="0.2">
      <c r="A28559">
        <v>77346</v>
      </c>
      <c r="B28559" t="s">
        <v>50</v>
      </c>
      <c r="C28559">
        <v>77346</v>
      </c>
      <c r="D28559" t="str">
        <f>"77346"</f>
        <v>77346</v>
      </c>
      <c r="E28559">
        <v>74.900000000000006</v>
      </c>
    </row>
    <row r="28560" spans="1:5" x14ac:dyDescent="0.2">
      <c r="A28560">
        <v>77351</v>
      </c>
      <c r="B28560" t="s">
        <v>50</v>
      </c>
      <c r="C28560">
        <v>77351</v>
      </c>
      <c r="D28560" t="str">
        <f>"77351"</f>
        <v>77351</v>
      </c>
      <c r="E28560">
        <v>63.5</v>
      </c>
    </row>
    <row r="28561" spans="1:5" x14ac:dyDescent="0.2">
      <c r="A28561">
        <v>77354</v>
      </c>
      <c r="B28561" t="s">
        <v>50</v>
      </c>
      <c r="C28561">
        <v>77354</v>
      </c>
      <c r="D28561" t="str">
        <f>"77354"</f>
        <v>77354</v>
      </c>
      <c r="E28561">
        <v>73.180000000000007</v>
      </c>
    </row>
    <row r="28562" spans="1:5" x14ac:dyDescent="0.2">
      <c r="A28562">
        <v>77355</v>
      </c>
      <c r="B28562" t="s">
        <v>50</v>
      </c>
      <c r="C28562">
        <v>77355</v>
      </c>
      <c r="D28562" t="str">
        <f>"77355"</f>
        <v>77355</v>
      </c>
      <c r="E28562">
        <v>72.48</v>
      </c>
    </row>
    <row r="28563" spans="1:5" x14ac:dyDescent="0.2">
      <c r="A28563">
        <v>77356</v>
      </c>
      <c r="B28563" t="s">
        <v>50</v>
      </c>
      <c r="C28563">
        <v>77356</v>
      </c>
      <c r="D28563" t="str">
        <f>"77356"</f>
        <v>77356</v>
      </c>
      <c r="E28563">
        <v>77.599999999999994</v>
      </c>
    </row>
    <row r="28564" spans="1:5" x14ac:dyDescent="0.2">
      <c r="A28564">
        <v>77357</v>
      </c>
      <c r="B28564" t="s">
        <v>50</v>
      </c>
      <c r="C28564">
        <v>77357</v>
      </c>
      <c r="D28564" t="str">
        <f>"77357"</f>
        <v>77357</v>
      </c>
      <c r="E28564">
        <v>60.54</v>
      </c>
    </row>
    <row r="28565" spans="1:5" x14ac:dyDescent="0.2">
      <c r="A28565">
        <v>77358</v>
      </c>
      <c r="B28565" t="s">
        <v>50</v>
      </c>
      <c r="C28565">
        <v>77358</v>
      </c>
      <c r="D28565" t="str">
        <f>"77358"</f>
        <v>77358</v>
      </c>
      <c r="E28565">
        <v>67.11</v>
      </c>
    </row>
    <row r="28566" spans="1:5" x14ac:dyDescent="0.2">
      <c r="A28566">
        <v>77359</v>
      </c>
      <c r="B28566" t="s">
        <v>50</v>
      </c>
      <c r="C28566">
        <v>77359</v>
      </c>
      <c r="D28566" t="str">
        <f>"77359"</f>
        <v>77359</v>
      </c>
      <c r="E28566">
        <v>70</v>
      </c>
    </row>
    <row r="28567" spans="1:5" x14ac:dyDescent="0.2">
      <c r="A28567">
        <v>77360</v>
      </c>
      <c r="B28567" t="s">
        <v>50</v>
      </c>
      <c r="C28567">
        <v>77360</v>
      </c>
      <c r="D28567" t="str">
        <f>"77360"</f>
        <v>77360</v>
      </c>
      <c r="E28567">
        <v>64.319999999999993</v>
      </c>
    </row>
    <row r="28568" spans="1:5" x14ac:dyDescent="0.2">
      <c r="A28568">
        <v>77362</v>
      </c>
      <c r="B28568" t="s">
        <v>50</v>
      </c>
      <c r="C28568">
        <v>77362</v>
      </c>
      <c r="D28568" t="str">
        <f>"77362"</f>
        <v>77362</v>
      </c>
      <c r="E28568">
        <v>71.83</v>
      </c>
    </row>
    <row r="28569" spans="1:5" x14ac:dyDescent="0.2">
      <c r="A28569">
        <v>77363</v>
      </c>
      <c r="B28569" t="s">
        <v>50</v>
      </c>
      <c r="C28569">
        <v>77363</v>
      </c>
      <c r="D28569" t="str">
        <f>"77363"</f>
        <v>77363</v>
      </c>
      <c r="E28569">
        <v>63.33</v>
      </c>
    </row>
    <row r="28570" spans="1:5" x14ac:dyDescent="0.2">
      <c r="A28570">
        <v>77364</v>
      </c>
      <c r="B28570" t="s">
        <v>50</v>
      </c>
      <c r="C28570">
        <v>77364</v>
      </c>
      <c r="D28570" t="str">
        <f>"77364"</f>
        <v>77364</v>
      </c>
      <c r="E28570">
        <v>67.62</v>
      </c>
    </row>
    <row r="28571" spans="1:5" x14ac:dyDescent="0.2">
      <c r="A28571">
        <v>77365</v>
      </c>
      <c r="B28571" t="s">
        <v>50</v>
      </c>
      <c r="C28571">
        <v>77365</v>
      </c>
      <c r="D28571" t="str">
        <f>"77365"</f>
        <v>77365</v>
      </c>
      <c r="E28571">
        <v>67.59</v>
      </c>
    </row>
    <row r="28572" spans="1:5" x14ac:dyDescent="0.2">
      <c r="A28572">
        <v>77369</v>
      </c>
      <c r="B28572" t="s">
        <v>50</v>
      </c>
      <c r="C28572">
        <v>77369</v>
      </c>
      <c r="D28572" t="str">
        <f>"77369"</f>
        <v>77369</v>
      </c>
      <c r="E28572" t="s">
        <v>6</v>
      </c>
    </row>
    <row r="28573" spans="1:5" x14ac:dyDescent="0.2">
      <c r="A28573">
        <v>77371</v>
      </c>
      <c r="B28573" t="s">
        <v>50</v>
      </c>
      <c r="C28573">
        <v>77371</v>
      </c>
      <c r="D28573" t="str">
        <f>"77371"</f>
        <v>77371</v>
      </c>
      <c r="E28573">
        <v>60.34</v>
      </c>
    </row>
    <row r="28574" spans="1:5" x14ac:dyDescent="0.2">
      <c r="A28574">
        <v>77372</v>
      </c>
      <c r="B28574" t="s">
        <v>50</v>
      </c>
      <c r="C28574">
        <v>77372</v>
      </c>
      <c r="D28574" t="str">
        <f>"77372"</f>
        <v>77372</v>
      </c>
      <c r="E28574">
        <v>63.78</v>
      </c>
    </row>
    <row r="28575" spans="1:5" x14ac:dyDescent="0.2">
      <c r="A28575">
        <v>77373</v>
      </c>
      <c r="B28575" t="s">
        <v>50</v>
      </c>
      <c r="C28575">
        <v>77373</v>
      </c>
      <c r="D28575" t="str">
        <f>"77373"</f>
        <v>77373</v>
      </c>
      <c r="E28575">
        <v>65.92</v>
      </c>
    </row>
    <row r="28576" spans="1:5" x14ac:dyDescent="0.2">
      <c r="A28576">
        <v>77374</v>
      </c>
      <c r="B28576" t="s">
        <v>50</v>
      </c>
      <c r="C28576">
        <v>77374</v>
      </c>
      <c r="D28576" t="str">
        <f>"77374"</f>
        <v>77374</v>
      </c>
      <c r="E28576" t="s">
        <v>6</v>
      </c>
    </row>
    <row r="28577" spans="1:5" x14ac:dyDescent="0.2">
      <c r="A28577">
        <v>77375</v>
      </c>
      <c r="B28577" t="s">
        <v>50</v>
      </c>
      <c r="C28577">
        <v>77375</v>
      </c>
      <c r="D28577" t="str">
        <f>"77375"</f>
        <v>77375</v>
      </c>
      <c r="E28577">
        <v>72.55</v>
      </c>
    </row>
    <row r="28578" spans="1:5" x14ac:dyDescent="0.2">
      <c r="A28578">
        <v>77376</v>
      </c>
      <c r="B28578" t="s">
        <v>50</v>
      </c>
      <c r="C28578">
        <v>77376</v>
      </c>
      <c r="D28578" t="str">
        <f>"77376"</f>
        <v>77376</v>
      </c>
      <c r="E28578" t="s">
        <v>6</v>
      </c>
    </row>
    <row r="28579" spans="1:5" x14ac:dyDescent="0.2">
      <c r="A28579">
        <v>77377</v>
      </c>
      <c r="B28579" t="s">
        <v>50</v>
      </c>
      <c r="C28579">
        <v>77377</v>
      </c>
      <c r="D28579" t="str">
        <f>"77377"</f>
        <v>77377</v>
      </c>
      <c r="E28579">
        <v>78.02</v>
      </c>
    </row>
    <row r="28580" spans="1:5" x14ac:dyDescent="0.2">
      <c r="A28580">
        <v>77378</v>
      </c>
      <c r="B28580" t="s">
        <v>50</v>
      </c>
      <c r="C28580">
        <v>77378</v>
      </c>
      <c r="D28580" t="str">
        <f>"77378"</f>
        <v>77378</v>
      </c>
      <c r="E28580">
        <v>60.7</v>
      </c>
    </row>
    <row r="28581" spans="1:5" x14ac:dyDescent="0.2">
      <c r="A28581">
        <v>77379</v>
      </c>
      <c r="B28581" t="s">
        <v>50</v>
      </c>
      <c r="C28581">
        <v>77379</v>
      </c>
      <c r="D28581" t="str">
        <f>"77379"</f>
        <v>77379</v>
      </c>
      <c r="E28581">
        <v>75.959999999999994</v>
      </c>
    </row>
    <row r="28582" spans="1:5" x14ac:dyDescent="0.2">
      <c r="A28582">
        <v>77380</v>
      </c>
      <c r="B28582" t="s">
        <v>50</v>
      </c>
      <c r="C28582">
        <v>77380</v>
      </c>
      <c r="D28582" t="str">
        <f>"77380"</f>
        <v>77380</v>
      </c>
      <c r="E28582">
        <v>76.13</v>
      </c>
    </row>
    <row r="28583" spans="1:5" x14ac:dyDescent="0.2">
      <c r="A28583">
        <v>77381</v>
      </c>
      <c r="B28583" t="s">
        <v>50</v>
      </c>
      <c r="C28583">
        <v>77381</v>
      </c>
      <c r="D28583" t="str">
        <f>"77381"</f>
        <v>77381</v>
      </c>
      <c r="E28583">
        <v>80.52</v>
      </c>
    </row>
    <row r="28584" spans="1:5" x14ac:dyDescent="0.2">
      <c r="A28584">
        <v>77382</v>
      </c>
      <c r="B28584" t="s">
        <v>50</v>
      </c>
      <c r="C28584">
        <v>77382</v>
      </c>
      <c r="D28584" t="str">
        <f>"77382"</f>
        <v>77382</v>
      </c>
      <c r="E28584">
        <v>81.17</v>
      </c>
    </row>
    <row r="28585" spans="1:5" x14ac:dyDescent="0.2">
      <c r="A28585">
        <v>77384</v>
      </c>
      <c r="B28585" t="s">
        <v>50</v>
      </c>
      <c r="C28585">
        <v>77384</v>
      </c>
      <c r="D28585" t="str">
        <f>"77384"</f>
        <v>77384</v>
      </c>
      <c r="E28585">
        <v>79.41</v>
      </c>
    </row>
    <row r="28586" spans="1:5" x14ac:dyDescent="0.2">
      <c r="A28586">
        <v>77385</v>
      </c>
      <c r="B28586" t="s">
        <v>50</v>
      </c>
      <c r="C28586">
        <v>77385</v>
      </c>
      <c r="D28586" t="str">
        <f>"77385"</f>
        <v>77385</v>
      </c>
      <c r="E28586">
        <v>73.11</v>
      </c>
    </row>
    <row r="28587" spans="1:5" x14ac:dyDescent="0.2">
      <c r="A28587">
        <v>77386</v>
      </c>
      <c r="B28587" t="s">
        <v>50</v>
      </c>
      <c r="C28587">
        <v>77386</v>
      </c>
      <c r="D28587" t="str">
        <f>"77386"</f>
        <v>77386</v>
      </c>
      <c r="E28587">
        <v>77.7</v>
      </c>
    </row>
    <row r="28588" spans="1:5" x14ac:dyDescent="0.2">
      <c r="A28588">
        <v>77388</v>
      </c>
      <c r="B28588" t="s">
        <v>50</v>
      </c>
      <c r="C28588">
        <v>77388</v>
      </c>
      <c r="D28588" t="str">
        <f>"77388"</f>
        <v>77388</v>
      </c>
      <c r="E28588">
        <v>73.569999999999993</v>
      </c>
    </row>
    <row r="28589" spans="1:5" x14ac:dyDescent="0.2">
      <c r="A28589">
        <v>77389</v>
      </c>
      <c r="B28589" t="s">
        <v>50</v>
      </c>
      <c r="C28589">
        <v>77389</v>
      </c>
      <c r="D28589" t="str">
        <f>"77389"</f>
        <v>77389</v>
      </c>
      <c r="E28589">
        <v>78.34</v>
      </c>
    </row>
    <row r="28590" spans="1:5" x14ac:dyDescent="0.2">
      <c r="A28590">
        <v>77396</v>
      </c>
      <c r="B28590" t="s">
        <v>50</v>
      </c>
      <c r="C28590">
        <v>77396</v>
      </c>
      <c r="D28590" t="str">
        <f>"77396"</f>
        <v>77396</v>
      </c>
      <c r="E28590">
        <v>63.96</v>
      </c>
    </row>
    <row r="28591" spans="1:5" x14ac:dyDescent="0.2">
      <c r="A28591">
        <v>77399</v>
      </c>
      <c r="B28591" t="s">
        <v>50</v>
      </c>
      <c r="C28591">
        <v>77399</v>
      </c>
      <c r="D28591" t="str">
        <f>"77399"</f>
        <v>77399</v>
      </c>
      <c r="E28591" t="s">
        <v>6</v>
      </c>
    </row>
    <row r="28592" spans="1:5" x14ac:dyDescent="0.2">
      <c r="A28592">
        <v>77401</v>
      </c>
      <c r="B28592" t="s">
        <v>50</v>
      </c>
      <c r="C28592">
        <v>77401</v>
      </c>
      <c r="D28592" t="str">
        <f>"77401"</f>
        <v>77401</v>
      </c>
      <c r="E28592">
        <v>80.64</v>
      </c>
    </row>
    <row r="28593" spans="1:5" x14ac:dyDescent="0.2">
      <c r="A28593">
        <v>77406</v>
      </c>
      <c r="B28593" t="s">
        <v>50</v>
      </c>
      <c r="C28593">
        <v>77406</v>
      </c>
      <c r="D28593" t="str">
        <f>"77406"</f>
        <v>77406</v>
      </c>
      <c r="E28593">
        <v>79.37</v>
      </c>
    </row>
    <row r="28594" spans="1:5" x14ac:dyDescent="0.2">
      <c r="A28594">
        <v>77407</v>
      </c>
      <c r="B28594" t="s">
        <v>50</v>
      </c>
      <c r="C28594">
        <v>77407</v>
      </c>
      <c r="D28594" t="str">
        <f>"77407"</f>
        <v>77407</v>
      </c>
      <c r="E28594">
        <v>71.3</v>
      </c>
    </row>
    <row r="28595" spans="1:5" x14ac:dyDescent="0.2">
      <c r="A28595">
        <v>77412</v>
      </c>
      <c r="B28595" t="s">
        <v>50</v>
      </c>
      <c r="C28595">
        <v>77412</v>
      </c>
      <c r="D28595" t="str">
        <f>"77412"</f>
        <v>77412</v>
      </c>
      <c r="E28595" t="s">
        <v>6</v>
      </c>
    </row>
    <row r="28596" spans="1:5" x14ac:dyDescent="0.2">
      <c r="A28596">
        <v>77414</v>
      </c>
      <c r="B28596" t="s">
        <v>50</v>
      </c>
      <c r="C28596">
        <v>77414</v>
      </c>
      <c r="D28596" t="str">
        <f>"77414"</f>
        <v>77414</v>
      </c>
      <c r="E28596">
        <v>64.62</v>
      </c>
    </row>
    <row r="28597" spans="1:5" x14ac:dyDescent="0.2">
      <c r="A28597">
        <v>77417</v>
      </c>
      <c r="B28597" t="s">
        <v>50</v>
      </c>
      <c r="C28597">
        <v>77417</v>
      </c>
      <c r="D28597" t="str">
        <f>"77417"</f>
        <v>77417</v>
      </c>
      <c r="E28597">
        <v>60</v>
      </c>
    </row>
    <row r="28598" spans="1:5" x14ac:dyDescent="0.2">
      <c r="A28598">
        <v>77418</v>
      </c>
      <c r="B28598" t="s">
        <v>50</v>
      </c>
      <c r="C28598">
        <v>77418</v>
      </c>
      <c r="D28598" t="str">
        <f>"77418"</f>
        <v>77418</v>
      </c>
      <c r="E28598">
        <v>69.150000000000006</v>
      </c>
    </row>
    <row r="28599" spans="1:5" x14ac:dyDescent="0.2">
      <c r="A28599">
        <v>77419</v>
      </c>
      <c r="B28599" t="s">
        <v>50</v>
      </c>
      <c r="C28599">
        <v>77419</v>
      </c>
      <c r="D28599" t="str">
        <f>"77419"</f>
        <v>77419</v>
      </c>
      <c r="E28599" t="s">
        <v>6</v>
      </c>
    </row>
    <row r="28600" spans="1:5" x14ac:dyDescent="0.2">
      <c r="A28600">
        <v>77420</v>
      </c>
      <c r="B28600" t="s">
        <v>50</v>
      </c>
      <c r="C28600">
        <v>77420</v>
      </c>
      <c r="D28600" t="str">
        <f>"77420"</f>
        <v>77420</v>
      </c>
      <c r="E28600">
        <v>63.89</v>
      </c>
    </row>
    <row r="28601" spans="1:5" x14ac:dyDescent="0.2">
      <c r="A28601">
        <v>77422</v>
      </c>
      <c r="B28601" t="s">
        <v>50</v>
      </c>
      <c r="C28601">
        <v>77422</v>
      </c>
      <c r="D28601" t="str">
        <f>"77422"</f>
        <v>77422</v>
      </c>
      <c r="E28601">
        <v>69.2</v>
      </c>
    </row>
    <row r="28602" spans="1:5" x14ac:dyDescent="0.2">
      <c r="A28602">
        <v>77423</v>
      </c>
      <c r="B28602" t="s">
        <v>50</v>
      </c>
      <c r="C28602">
        <v>77423</v>
      </c>
      <c r="D28602" t="str">
        <f>"77423"</f>
        <v>77423</v>
      </c>
      <c r="E28602">
        <v>63.33</v>
      </c>
    </row>
    <row r="28603" spans="1:5" x14ac:dyDescent="0.2">
      <c r="A28603">
        <v>77426</v>
      </c>
      <c r="B28603" t="s">
        <v>50</v>
      </c>
      <c r="C28603">
        <v>77426</v>
      </c>
      <c r="D28603" t="str">
        <f>"77426"</f>
        <v>77426</v>
      </c>
      <c r="E28603">
        <v>70.64</v>
      </c>
    </row>
    <row r="28604" spans="1:5" x14ac:dyDescent="0.2">
      <c r="A28604">
        <v>77428</v>
      </c>
      <c r="B28604" t="s">
        <v>50</v>
      </c>
      <c r="C28604">
        <v>77428</v>
      </c>
      <c r="D28604" t="str">
        <f>"77428"</f>
        <v>77428</v>
      </c>
      <c r="E28604" t="s">
        <v>6</v>
      </c>
    </row>
    <row r="28605" spans="1:5" x14ac:dyDescent="0.2">
      <c r="A28605">
        <v>77429</v>
      </c>
      <c r="B28605" t="s">
        <v>50</v>
      </c>
      <c r="C28605">
        <v>77429</v>
      </c>
      <c r="D28605" t="str">
        <f>"77429"</f>
        <v>77429</v>
      </c>
      <c r="E28605">
        <v>76.569999999999993</v>
      </c>
    </row>
    <row r="28606" spans="1:5" x14ac:dyDescent="0.2">
      <c r="A28606">
        <v>77430</v>
      </c>
      <c r="B28606" t="s">
        <v>50</v>
      </c>
      <c r="C28606">
        <v>77430</v>
      </c>
      <c r="D28606" t="str">
        <f>"77430"</f>
        <v>77430</v>
      </c>
      <c r="E28606">
        <v>74.77</v>
      </c>
    </row>
    <row r="28607" spans="1:5" x14ac:dyDescent="0.2">
      <c r="A28607">
        <v>77433</v>
      </c>
      <c r="B28607" t="s">
        <v>50</v>
      </c>
      <c r="C28607">
        <v>77433</v>
      </c>
      <c r="D28607" t="str">
        <f>"77433"</f>
        <v>77433</v>
      </c>
      <c r="E28607">
        <v>74.650000000000006</v>
      </c>
    </row>
    <row r="28608" spans="1:5" x14ac:dyDescent="0.2">
      <c r="A28608">
        <v>77434</v>
      </c>
      <c r="B28608" t="s">
        <v>50</v>
      </c>
      <c r="C28608">
        <v>77434</v>
      </c>
      <c r="D28608" t="str">
        <f>"77434"</f>
        <v>77434</v>
      </c>
      <c r="E28608">
        <v>56.19</v>
      </c>
    </row>
    <row r="28609" spans="1:5" x14ac:dyDescent="0.2">
      <c r="A28609">
        <v>77435</v>
      </c>
      <c r="B28609" t="s">
        <v>50</v>
      </c>
      <c r="C28609">
        <v>77435</v>
      </c>
      <c r="D28609" t="str">
        <f>"77435"</f>
        <v>77435</v>
      </c>
      <c r="E28609">
        <v>71.430000000000007</v>
      </c>
    </row>
    <row r="28610" spans="1:5" x14ac:dyDescent="0.2">
      <c r="A28610">
        <v>77436</v>
      </c>
      <c r="B28610" t="s">
        <v>50</v>
      </c>
      <c r="C28610">
        <v>77436</v>
      </c>
      <c r="D28610" t="str">
        <f>"77436"</f>
        <v>77436</v>
      </c>
      <c r="E28610" t="s">
        <v>6</v>
      </c>
    </row>
    <row r="28611" spans="1:5" x14ac:dyDescent="0.2">
      <c r="A28611">
        <v>77437</v>
      </c>
      <c r="B28611" t="s">
        <v>50</v>
      </c>
      <c r="C28611">
        <v>77437</v>
      </c>
      <c r="D28611" t="str">
        <f>"77437"</f>
        <v>77437</v>
      </c>
      <c r="E28611">
        <v>63.54</v>
      </c>
    </row>
    <row r="28612" spans="1:5" x14ac:dyDescent="0.2">
      <c r="A28612">
        <v>77440</v>
      </c>
      <c r="B28612" t="s">
        <v>50</v>
      </c>
      <c r="C28612">
        <v>77440</v>
      </c>
      <c r="D28612" t="str">
        <f>"77440"</f>
        <v>77440</v>
      </c>
      <c r="E28612" t="s">
        <v>6</v>
      </c>
    </row>
    <row r="28613" spans="1:5" x14ac:dyDescent="0.2">
      <c r="A28613">
        <v>77441</v>
      </c>
      <c r="B28613" t="s">
        <v>50</v>
      </c>
      <c r="C28613">
        <v>77441</v>
      </c>
      <c r="D28613" t="str">
        <f>"77441"</f>
        <v>77441</v>
      </c>
      <c r="E28613">
        <v>84.3</v>
      </c>
    </row>
    <row r="28614" spans="1:5" x14ac:dyDescent="0.2">
      <c r="A28614">
        <v>77442</v>
      </c>
      <c r="B28614" t="s">
        <v>50</v>
      </c>
      <c r="C28614">
        <v>77442</v>
      </c>
      <c r="D28614" t="str">
        <f>"77442"</f>
        <v>77442</v>
      </c>
      <c r="E28614">
        <v>65.849999999999994</v>
      </c>
    </row>
    <row r="28615" spans="1:5" x14ac:dyDescent="0.2">
      <c r="A28615">
        <v>77443</v>
      </c>
      <c r="B28615" t="s">
        <v>50</v>
      </c>
      <c r="C28615">
        <v>77443</v>
      </c>
      <c r="D28615" t="str">
        <f>"77443"</f>
        <v>77443</v>
      </c>
      <c r="E28615" t="s">
        <v>6</v>
      </c>
    </row>
    <row r="28616" spans="1:5" x14ac:dyDescent="0.2">
      <c r="A28616">
        <v>77444</v>
      </c>
      <c r="B28616" t="s">
        <v>50</v>
      </c>
      <c r="C28616">
        <v>77444</v>
      </c>
      <c r="D28616" t="str">
        <f>"77444"</f>
        <v>77444</v>
      </c>
      <c r="E28616">
        <v>59.46</v>
      </c>
    </row>
    <row r="28617" spans="1:5" x14ac:dyDescent="0.2">
      <c r="A28617">
        <v>77445</v>
      </c>
      <c r="B28617" t="s">
        <v>50</v>
      </c>
      <c r="C28617">
        <v>77445</v>
      </c>
      <c r="D28617" t="str">
        <f>"77445"</f>
        <v>77445</v>
      </c>
      <c r="E28617">
        <v>59.3</v>
      </c>
    </row>
    <row r="28618" spans="1:5" x14ac:dyDescent="0.2">
      <c r="A28618">
        <v>77446</v>
      </c>
      <c r="B28618" t="s">
        <v>50</v>
      </c>
      <c r="C28618">
        <v>77446</v>
      </c>
      <c r="D28618" t="str">
        <f>"77446"</f>
        <v>77446</v>
      </c>
      <c r="E28618" t="s">
        <v>6</v>
      </c>
    </row>
    <row r="28619" spans="1:5" x14ac:dyDescent="0.2">
      <c r="A28619">
        <v>77447</v>
      </c>
      <c r="B28619" t="s">
        <v>50</v>
      </c>
      <c r="C28619">
        <v>77447</v>
      </c>
      <c r="D28619" t="str">
        <f>"77447"</f>
        <v>77447</v>
      </c>
      <c r="E28619">
        <v>68.13</v>
      </c>
    </row>
    <row r="28620" spans="1:5" x14ac:dyDescent="0.2">
      <c r="A28620">
        <v>77448</v>
      </c>
      <c r="B28620" t="s">
        <v>50</v>
      </c>
      <c r="C28620">
        <v>77448</v>
      </c>
      <c r="D28620" t="str">
        <f>"77448"</f>
        <v>77448</v>
      </c>
      <c r="E28620" t="s">
        <v>6</v>
      </c>
    </row>
    <row r="28621" spans="1:5" x14ac:dyDescent="0.2">
      <c r="A28621">
        <v>77449</v>
      </c>
      <c r="B28621" t="s">
        <v>50</v>
      </c>
      <c r="C28621">
        <v>77449</v>
      </c>
      <c r="D28621" t="str">
        <f>"77449"</f>
        <v>77449</v>
      </c>
      <c r="E28621">
        <v>62.55</v>
      </c>
    </row>
    <row r="28622" spans="1:5" x14ac:dyDescent="0.2">
      <c r="A28622">
        <v>77450</v>
      </c>
      <c r="B28622" t="s">
        <v>50</v>
      </c>
      <c r="C28622">
        <v>77450</v>
      </c>
      <c r="D28622" t="str">
        <f>"77450"</f>
        <v>77450</v>
      </c>
      <c r="E28622">
        <v>72.62</v>
      </c>
    </row>
    <row r="28623" spans="1:5" x14ac:dyDescent="0.2">
      <c r="A28623">
        <v>77451</v>
      </c>
      <c r="B28623" t="s">
        <v>50</v>
      </c>
      <c r="C28623">
        <v>77451</v>
      </c>
      <c r="D28623" t="str">
        <f>"77451"</f>
        <v>77451</v>
      </c>
      <c r="E28623" t="s">
        <v>6</v>
      </c>
    </row>
    <row r="28624" spans="1:5" x14ac:dyDescent="0.2">
      <c r="A28624">
        <v>77452</v>
      </c>
      <c r="B28624" t="s">
        <v>50</v>
      </c>
      <c r="C28624">
        <v>77452</v>
      </c>
      <c r="D28624" t="str">
        <f>"77452"</f>
        <v>77452</v>
      </c>
      <c r="E28624" t="s">
        <v>6</v>
      </c>
    </row>
    <row r="28625" spans="1:5" x14ac:dyDescent="0.2">
      <c r="A28625">
        <v>77453</v>
      </c>
      <c r="B28625" t="s">
        <v>50</v>
      </c>
      <c r="C28625">
        <v>77453</v>
      </c>
      <c r="D28625" t="str">
        <f>"77453"</f>
        <v>77453</v>
      </c>
      <c r="E28625" t="s">
        <v>6</v>
      </c>
    </row>
    <row r="28626" spans="1:5" x14ac:dyDescent="0.2">
      <c r="A28626">
        <v>77454</v>
      </c>
      <c r="B28626" t="s">
        <v>50</v>
      </c>
      <c r="C28626">
        <v>77454</v>
      </c>
      <c r="D28626" t="str">
        <f>"77454"</f>
        <v>77454</v>
      </c>
      <c r="E28626" t="s">
        <v>6</v>
      </c>
    </row>
    <row r="28627" spans="1:5" x14ac:dyDescent="0.2">
      <c r="A28627">
        <v>77455</v>
      </c>
      <c r="B28627" t="s">
        <v>50</v>
      </c>
      <c r="C28627">
        <v>77455</v>
      </c>
      <c r="D28627" t="str">
        <f>"77455"</f>
        <v>77455</v>
      </c>
      <c r="E28627">
        <v>67.78</v>
      </c>
    </row>
    <row r="28628" spans="1:5" x14ac:dyDescent="0.2">
      <c r="A28628">
        <v>77456</v>
      </c>
      <c r="B28628" t="s">
        <v>50</v>
      </c>
      <c r="C28628">
        <v>77456</v>
      </c>
      <c r="D28628" t="str">
        <f>"77456"</f>
        <v>77456</v>
      </c>
      <c r="E28628" t="s">
        <v>6</v>
      </c>
    </row>
    <row r="28629" spans="1:5" x14ac:dyDescent="0.2">
      <c r="A28629">
        <v>77457</v>
      </c>
      <c r="B28629" t="s">
        <v>50</v>
      </c>
      <c r="C28629">
        <v>77457</v>
      </c>
      <c r="D28629" t="str">
        <f>"77457"</f>
        <v>77457</v>
      </c>
      <c r="E28629" t="s">
        <v>6</v>
      </c>
    </row>
    <row r="28630" spans="1:5" x14ac:dyDescent="0.2">
      <c r="A28630">
        <v>77458</v>
      </c>
      <c r="B28630" t="s">
        <v>50</v>
      </c>
      <c r="C28630">
        <v>77458</v>
      </c>
      <c r="D28630" t="str">
        <f>"77458"</f>
        <v>77458</v>
      </c>
      <c r="E28630" t="s">
        <v>6</v>
      </c>
    </row>
    <row r="28631" spans="1:5" x14ac:dyDescent="0.2">
      <c r="A28631">
        <v>77459</v>
      </c>
      <c r="B28631" t="s">
        <v>50</v>
      </c>
      <c r="C28631">
        <v>77459</v>
      </c>
      <c r="D28631" t="str">
        <f>"77459"</f>
        <v>77459</v>
      </c>
      <c r="E28631">
        <v>77.010000000000005</v>
      </c>
    </row>
    <row r="28632" spans="1:5" x14ac:dyDescent="0.2">
      <c r="A28632">
        <v>77461</v>
      </c>
      <c r="B28632" t="s">
        <v>50</v>
      </c>
      <c r="C28632">
        <v>77461</v>
      </c>
      <c r="D28632" t="str">
        <f>"77461"</f>
        <v>77461</v>
      </c>
      <c r="E28632">
        <v>70.41</v>
      </c>
    </row>
    <row r="28633" spans="1:5" x14ac:dyDescent="0.2">
      <c r="A28633">
        <v>77463</v>
      </c>
      <c r="B28633" t="s">
        <v>50</v>
      </c>
      <c r="C28633">
        <v>77463</v>
      </c>
      <c r="D28633" t="str">
        <f>"77463"</f>
        <v>77463</v>
      </c>
      <c r="E28633" t="s">
        <v>6</v>
      </c>
    </row>
    <row r="28634" spans="1:5" x14ac:dyDescent="0.2">
      <c r="A28634">
        <v>77464</v>
      </c>
      <c r="B28634" t="s">
        <v>50</v>
      </c>
      <c r="C28634">
        <v>77464</v>
      </c>
      <c r="D28634" t="str">
        <f>"77464"</f>
        <v>77464</v>
      </c>
      <c r="E28634" t="s">
        <v>6</v>
      </c>
    </row>
    <row r="28635" spans="1:5" x14ac:dyDescent="0.2">
      <c r="A28635">
        <v>77465</v>
      </c>
      <c r="B28635" t="s">
        <v>50</v>
      </c>
      <c r="C28635">
        <v>77465</v>
      </c>
      <c r="D28635" t="str">
        <f>"77465"</f>
        <v>77465</v>
      </c>
      <c r="E28635">
        <v>62.3</v>
      </c>
    </row>
    <row r="28636" spans="1:5" x14ac:dyDescent="0.2">
      <c r="A28636">
        <v>77466</v>
      </c>
      <c r="B28636" t="s">
        <v>50</v>
      </c>
      <c r="C28636">
        <v>77466</v>
      </c>
      <c r="D28636" t="str">
        <f>"77466"</f>
        <v>77466</v>
      </c>
      <c r="E28636" t="s">
        <v>6</v>
      </c>
    </row>
    <row r="28637" spans="1:5" x14ac:dyDescent="0.2">
      <c r="A28637">
        <v>77467</v>
      </c>
      <c r="B28637" t="s">
        <v>50</v>
      </c>
      <c r="C28637">
        <v>77467</v>
      </c>
      <c r="D28637" t="str">
        <f>"77467"</f>
        <v>77467</v>
      </c>
      <c r="E28637" t="s">
        <v>6</v>
      </c>
    </row>
    <row r="28638" spans="1:5" x14ac:dyDescent="0.2">
      <c r="A28638">
        <v>77468</v>
      </c>
      <c r="B28638" t="s">
        <v>50</v>
      </c>
      <c r="C28638">
        <v>77468</v>
      </c>
      <c r="D28638" t="str">
        <f>"77468"</f>
        <v>77468</v>
      </c>
      <c r="E28638">
        <v>50</v>
      </c>
    </row>
    <row r="28639" spans="1:5" x14ac:dyDescent="0.2">
      <c r="A28639">
        <v>77469</v>
      </c>
      <c r="B28639" t="s">
        <v>50</v>
      </c>
      <c r="C28639">
        <v>77469</v>
      </c>
      <c r="D28639" t="str">
        <f>"77469"</f>
        <v>77469</v>
      </c>
      <c r="E28639">
        <v>70.31</v>
      </c>
    </row>
    <row r="28640" spans="1:5" x14ac:dyDescent="0.2">
      <c r="A28640">
        <v>77470</v>
      </c>
      <c r="B28640" t="s">
        <v>50</v>
      </c>
      <c r="C28640">
        <v>77470</v>
      </c>
      <c r="D28640" t="str">
        <f>"77470"</f>
        <v>77470</v>
      </c>
      <c r="E28640" t="s">
        <v>6</v>
      </c>
    </row>
    <row r="28641" spans="1:5" x14ac:dyDescent="0.2">
      <c r="A28641">
        <v>77471</v>
      </c>
      <c r="B28641" t="s">
        <v>50</v>
      </c>
      <c r="C28641">
        <v>77471</v>
      </c>
      <c r="D28641" t="str">
        <f>"77471"</f>
        <v>77471</v>
      </c>
      <c r="E28641">
        <v>62.51</v>
      </c>
    </row>
    <row r="28642" spans="1:5" x14ac:dyDescent="0.2">
      <c r="A28642">
        <v>77474</v>
      </c>
      <c r="B28642" t="s">
        <v>50</v>
      </c>
      <c r="C28642">
        <v>77474</v>
      </c>
      <c r="D28642" t="str">
        <f>"77474"</f>
        <v>77474</v>
      </c>
      <c r="E28642">
        <v>66.459999999999994</v>
      </c>
    </row>
    <row r="28643" spans="1:5" x14ac:dyDescent="0.2">
      <c r="A28643">
        <v>77475</v>
      </c>
      <c r="B28643" t="s">
        <v>50</v>
      </c>
      <c r="C28643">
        <v>77475</v>
      </c>
      <c r="D28643" t="str">
        <f>"77475"</f>
        <v>77475</v>
      </c>
      <c r="E28643" t="s">
        <v>6</v>
      </c>
    </row>
    <row r="28644" spans="1:5" x14ac:dyDescent="0.2">
      <c r="A28644">
        <v>77476</v>
      </c>
      <c r="B28644" t="s">
        <v>50</v>
      </c>
      <c r="C28644">
        <v>77476</v>
      </c>
      <c r="D28644" t="str">
        <f>"77476"</f>
        <v>77476</v>
      </c>
      <c r="E28644" t="s">
        <v>6</v>
      </c>
    </row>
    <row r="28645" spans="1:5" x14ac:dyDescent="0.2">
      <c r="A28645">
        <v>77477</v>
      </c>
      <c r="B28645" t="s">
        <v>50</v>
      </c>
      <c r="C28645">
        <v>77477</v>
      </c>
      <c r="D28645" t="str">
        <f>"77477"</f>
        <v>77477</v>
      </c>
      <c r="E28645">
        <v>64.16</v>
      </c>
    </row>
    <row r="28646" spans="1:5" x14ac:dyDescent="0.2">
      <c r="A28646">
        <v>77478</v>
      </c>
      <c r="B28646" t="s">
        <v>50</v>
      </c>
      <c r="C28646">
        <v>77478</v>
      </c>
      <c r="D28646" t="str">
        <f>"77478"</f>
        <v>77478</v>
      </c>
      <c r="E28646">
        <v>77.53</v>
      </c>
    </row>
    <row r="28647" spans="1:5" x14ac:dyDescent="0.2">
      <c r="A28647">
        <v>77479</v>
      </c>
      <c r="B28647" t="s">
        <v>50</v>
      </c>
      <c r="C28647">
        <v>77479</v>
      </c>
      <c r="D28647" t="str">
        <f>"77479"</f>
        <v>77479</v>
      </c>
      <c r="E28647">
        <v>79.69</v>
      </c>
    </row>
    <row r="28648" spans="1:5" x14ac:dyDescent="0.2">
      <c r="A28648">
        <v>77480</v>
      </c>
      <c r="B28648" t="s">
        <v>50</v>
      </c>
      <c r="C28648">
        <v>77480</v>
      </c>
      <c r="D28648" t="str">
        <f>"77480"</f>
        <v>77480</v>
      </c>
      <c r="E28648">
        <v>68.900000000000006</v>
      </c>
    </row>
    <row r="28649" spans="1:5" x14ac:dyDescent="0.2">
      <c r="A28649">
        <v>77481</v>
      </c>
      <c r="B28649" t="s">
        <v>50</v>
      </c>
      <c r="C28649">
        <v>77481</v>
      </c>
      <c r="D28649" t="str">
        <f>"77481"</f>
        <v>77481</v>
      </c>
      <c r="E28649" t="s">
        <v>6</v>
      </c>
    </row>
    <row r="28650" spans="1:5" x14ac:dyDescent="0.2">
      <c r="A28650">
        <v>77482</v>
      </c>
      <c r="B28650" t="s">
        <v>50</v>
      </c>
      <c r="C28650">
        <v>77482</v>
      </c>
      <c r="D28650" t="str">
        <f>"77482"</f>
        <v>77482</v>
      </c>
      <c r="E28650">
        <v>67.89</v>
      </c>
    </row>
    <row r="28651" spans="1:5" x14ac:dyDescent="0.2">
      <c r="A28651">
        <v>77483</v>
      </c>
      <c r="B28651" t="s">
        <v>50</v>
      </c>
      <c r="C28651">
        <v>77483</v>
      </c>
      <c r="D28651" t="str">
        <f>"77483"</f>
        <v>77483</v>
      </c>
      <c r="E28651" t="s">
        <v>6</v>
      </c>
    </row>
    <row r="28652" spans="1:5" x14ac:dyDescent="0.2">
      <c r="A28652">
        <v>77484</v>
      </c>
      <c r="B28652" t="s">
        <v>50</v>
      </c>
      <c r="C28652">
        <v>77484</v>
      </c>
      <c r="D28652" t="str">
        <f>"77484"</f>
        <v>77484</v>
      </c>
      <c r="E28652">
        <v>66.78</v>
      </c>
    </row>
    <row r="28653" spans="1:5" x14ac:dyDescent="0.2">
      <c r="A28653">
        <v>77485</v>
      </c>
      <c r="B28653" t="s">
        <v>50</v>
      </c>
      <c r="C28653">
        <v>77485</v>
      </c>
      <c r="D28653" t="str">
        <f>"77485"</f>
        <v>77485</v>
      </c>
      <c r="E28653">
        <v>69.39</v>
      </c>
    </row>
    <row r="28654" spans="1:5" x14ac:dyDescent="0.2">
      <c r="A28654">
        <v>77486</v>
      </c>
      <c r="B28654" t="s">
        <v>50</v>
      </c>
      <c r="C28654">
        <v>77486</v>
      </c>
      <c r="D28654" t="str">
        <f>"77486"</f>
        <v>77486</v>
      </c>
      <c r="E28654">
        <v>71.599999999999994</v>
      </c>
    </row>
    <row r="28655" spans="1:5" x14ac:dyDescent="0.2">
      <c r="A28655">
        <v>77488</v>
      </c>
      <c r="B28655" t="s">
        <v>50</v>
      </c>
      <c r="C28655">
        <v>77488</v>
      </c>
      <c r="D28655" t="str">
        <f>"77488"</f>
        <v>77488</v>
      </c>
      <c r="E28655">
        <v>60.36</v>
      </c>
    </row>
    <row r="28656" spans="1:5" x14ac:dyDescent="0.2">
      <c r="A28656">
        <v>77489</v>
      </c>
      <c r="B28656" t="s">
        <v>50</v>
      </c>
      <c r="C28656">
        <v>77489</v>
      </c>
      <c r="D28656" t="str">
        <f>"77489"</f>
        <v>77489</v>
      </c>
      <c r="E28656">
        <v>61.38</v>
      </c>
    </row>
    <row r="28657" spans="1:5" x14ac:dyDescent="0.2">
      <c r="A28657">
        <v>77491</v>
      </c>
      <c r="B28657" t="s">
        <v>50</v>
      </c>
      <c r="C28657">
        <v>77491</v>
      </c>
      <c r="D28657" t="str">
        <f>"77491"</f>
        <v>77491</v>
      </c>
      <c r="E28657" t="s">
        <v>6</v>
      </c>
    </row>
    <row r="28658" spans="1:5" x14ac:dyDescent="0.2">
      <c r="A28658">
        <v>77493</v>
      </c>
      <c r="B28658" t="s">
        <v>50</v>
      </c>
      <c r="C28658">
        <v>77493</v>
      </c>
      <c r="D28658" t="str">
        <f>"77493"</f>
        <v>77493</v>
      </c>
      <c r="E28658">
        <v>72.52</v>
      </c>
    </row>
    <row r="28659" spans="1:5" x14ac:dyDescent="0.2">
      <c r="A28659">
        <v>77494</v>
      </c>
      <c r="B28659" t="s">
        <v>50</v>
      </c>
      <c r="C28659">
        <v>77494</v>
      </c>
      <c r="D28659" t="str">
        <f>"77494"</f>
        <v>77494</v>
      </c>
      <c r="E28659">
        <v>79.14</v>
      </c>
    </row>
    <row r="28660" spans="1:5" x14ac:dyDescent="0.2">
      <c r="A28660">
        <v>77498</v>
      </c>
      <c r="B28660" t="s">
        <v>50</v>
      </c>
      <c r="C28660">
        <v>77498</v>
      </c>
      <c r="D28660" t="str">
        <f>"77498"</f>
        <v>77498</v>
      </c>
      <c r="E28660">
        <v>68.39</v>
      </c>
    </row>
    <row r="28661" spans="1:5" x14ac:dyDescent="0.2">
      <c r="A28661">
        <v>77502</v>
      </c>
      <c r="B28661" t="s">
        <v>50</v>
      </c>
      <c r="C28661">
        <v>77502</v>
      </c>
      <c r="D28661" t="str">
        <f>"77502"</f>
        <v>77502</v>
      </c>
      <c r="E28661">
        <v>56.7</v>
      </c>
    </row>
    <row r="28662" spans="1:5" x14ac:dyDescent="0.2">
      <c r="A28662">
        <v>77503</v>
      </c>
      <c r="B28662" t="s">
        <v>50</v>
      </c>
      <c r="C28662">
        <v>77503</v>
      </c>
      <c r="D28662" t="str">
        <f>"77503"</f>
        <v>77503</v>
      </c>
      <c r="E28662">
        <v>61.04</v>
      </c>
    </row>
    <row r="28663" spans="1:5" x14ac:dyDescent="0.2">
      <c r="A28663">
        <v>77504</v>
      </c>
      <c r="B28663" t="s">
        <v>50</v>
      </c>
      <c r="C28663">
        <v>77504</v>
      </c>
      <c r="D28663" t="str">
        <f>"77504"</f>
        <v>77504</v>
      </c>
      <c r="E28663">
        <v>61.98</v>
      </c>
    </row>
    <row r="28664" spans="1:5" x14ac:dyDescent="0.2">
      <c r="A28664">
        <v>77505</v>
      </c>
      <c r="B28664" t="s">
        <v>50</v>
      </c>
      <c r="C28664">
        <v>77505</v>
      </c>
      <c r="D28664" t="str">
        <f>"77505"</f>
        <v>77505</v>
      </c>
      <c r="E28664">
        <v>73.91</v>
      </c>
    </row>
    <row r="28665" spans="1:5" x14ac:dyDescent="0.2">
      <c r="A28665">
        <v>77506</v>
      </c>
      <c r="B28665" t="s">
        <v>50</v>
      </c>
      <c r="C28665">
        <v>77506</v>
      </c>
      <c r="D28665" t="str">
        <f>"77506"</f>
        <v>77506</v>
      </c>
      <c r="E28665">
        <v>49.42</v>
      </c>
    </row>
    <row r="28666" spans="1:5" x14ac:dyDescent="0.2">
      <c r="A28666">
        <v>77507</v>
      </c>
      <c r="B28666" t="s">
        <v>50</v>
      </c>
      <c r="C28666">
        <v>77507</v>
      </c>
      <c r="D28666" t="str">
        <f>"77507"</f>
        <v>77507</v>
      </c>
      <c r="E28666" t="s">
        <v>6</v>
      </c>
    </row>
    <row r="28667" spans="1:5" x14ac:dyDescent="0.2">
      <c r="A28667">
        <v>77510</v>
      </c>
      <c r="B28667" t="s">
        <v>50</v>
      </c>
      <c r="C28667">
        <v>77510</v>
      </c>
      <c r="D28667" t="str">
        <f>"77510"</f>
        <v>77510</v>
      </c>
      <c r="E28667">
        <v>73.959999999999994</v>
      </c>
    </row>
    <row r="28668" spans="1:5" x14ac:dyDescent="0.2">
      <c r="A28668">
        <v>77511</v>
      </c>
      <c r="B28668" t="s">
        <v>50</v>
      </c>
      <c r="C28668">
        <v>77511</v>
      </c>
      <c r="D28668" t="str">
        <f>"77511"</f>
        <v>77511</v>
      </c>
      <c r="E28668">
        <v>67.06</v>
      </c>
    </row>
    <row r="28669" spans="1:5" x14ac:dyDescent="0.2">
      <c r="A28669">
        <v>77514</v>
      </c>
      <c r="B28669" t="s">
        <v>50</v>
      </c>
      <c r="C28669">
        <v>77514</v>
      </c>
      <c r="D28669" t="str">
        <f>"77514"</f>
        <v>77514</v>
      </c>
      <c r="E28669">
        <v>63.88</v>
      </c>
    </row>
    <row r="28670" spans="1:5" x14ac:dyDescent="0.2">
      <c r="A28670">
        <v>77515</v>
      </c>
      <c r="B28670" t="s">
        <v>50</v>
      </c>
      <c r="C28670">
        <v>77515</v>
      </c>
      <c r="D28670" t="str">
        <f>"77515"</f>
        <v>77515</v>
      </c>
      <c r="E28670">
        <v>69.510000000000005</v>
      </c>
    </row>
    <row r="28671" spans="1:5" x14ac:dyDescent="0.2">
      <c r="A28671">
        <v>77517</v>
      </c>
      <c r="B28671" t="s">
        <v>50</v>
      </c>
      <c r="C28671">
        <v>77517</v>
      </c>
      <c r="D28671" t="str">
        <f>"77517"</f>
        <v>77517</v>
      </c>
      <c r="E28671">
        <v>74.47</v>
      </c>
    </row>
    <row r="28672" spans="1:5" x14ac:dyDescent="0.2">
      <c r="A28672">
        <v>77518</v>
      </c>
      <c r="B28672" t="s">
        <v>50</v>
      </c>
      <c r="C28672">
        <v>77518</v>
      </c>
      <c r="D28672" t="str">
        <f>"77518"</f>
        <v>77518</v>
      </c>
      <c r="E28672">
        <v>58.69</v>
      </c>
    </row>
    <row r="28673" spans="1:5" x14ac:dyDescent="0.2">
      <c r="A28673">
        <v>77519</v>
      </c>
      <c r="B28673" t="s">
        <v>50</v>
      </c>
      <c r="C28673">
        <v>77519</v>
      </c>
      <c r="D28673" t="str">
        <f>"77519"</f>
        <v>77519</v>
      </c>
      <c r="E28673">
        <v>69.569999999999993</v>
      </c>
    </row>
    <row r="28674" spans="1:5" x14ac:dyDescent="0.2">
      <c r="A28674">
        <v>77520</v>
      </c>
      <c r="B28674" t="s">
        <v>50</v>
      </c>
      <c r="C28674">
        <v>77520</v>
      </c>
      <c r="D28674" t="str">
        <f>"77520"</f>
        <v>77520</v>
      </c>
      <c r="E28674">
        <v>59.03</v>
      </c>
    </row>
    <row r="28675" spans="1:5" x14ac:dyDescent="0.2">
      <c r="A28675">
        <v>77521</v>
      </c>
      <c r="B28675" t="s">
        <v>50</v>
      </c>
      <c r="C28675">
        <v>77521</v>
      </c>
      <c r="D28675" t="str">
        <f>"77521"</f>
        <v>77521</v>
      </c>
      <c r="E28675">
        <v>66.95</v>
      </c>
    </row>
    <row r="28676" spans="1:5" x14ac:dyDescent="0.2">
      <c r="A28676">
        <v>77522</v>
      </c>
      <c r="B28676" t="s">
        <v>50</v>
      </c>
      <c r="C28676">
        <v>77522</v>
      </c>
      <c r="D28676" t="str">
        <f>"77522"</f>
        <v>77522</v>
      </c>
      <c r="E28676" t="s">
        <v>6</v>
      </c>
    </row>
    <row r="28677" spans="1:5" x14ac:dyDescent="0.2">
      <c r="A28677">
        <v>77523</v>
      </c>
      <c r="B28677" t="s">
        <v>50</v>
      </c>
      <c r="C28677">
        <v>77523</v>
      </c>
      <c r="D28677" t="str">
        <f>"77523"</f>
        <v>77523</v>
      </c>
      <c r="E28677">
        <v>77.400000000000006</v>
      </c>
    </row>
    <row r="28678" spans="1:5" x14ac:dyDescent="0.2">
      <c r="A28678">
        <v>77530</v>
      </c>
      <c r="B28678" t="s">
        <v>50</v>
      </c>
      <c r="C28678">
        <v>77530</v>
      </c>
      <c r="D28678" t="str">
        <f>"77530"</f>
        <v>77530</v>
      </c>
      <c r="E28678">
        <v>57.21</v>
      </c>
    </row>
    <row r="28679" spans="1:5" x14ac:dyDescent="0.2">
      <c r="A28679">
        <v>77531</v>
      </c>
      <c r="B28679" t="s">
        <v>50</v>
      </c>
      <c r="C28679">
        <v>77531</v>
      </c>
      <c r="D28679" t="str">
        <f>"77531"</f>
        <v>77531</v>
      </c>
      <c r="E28679">
        <v>66.52</v>
      </c>
    </row>
    <row r="28680" spans="1:5" x14ac:dyDescent="0.2">
      <c r="A28680">
        <v>77532</v>
      </c>
      <c r="B28680" t="s">
        <v>50</v>
      </c>
      <c r="C28680">
        <v>77532</v>
      </c>
      <c r="D28680" t="str">
        <f>"77532"</f>
        <v>77532</v>
      </c>
      <c r="E28680">
        <v>70.569999999999993</v>
      </c>
    </row>
    <row r="28681" spans="1:5" x14ac:dyDescent="0.2">
      <c r="A28681">
        <v>77533</v>
      </c>
      <c r="B28681" t="s">
        <v>50</v>
      </c>
      <c r="C28681">
        <v>77533</v>
      </c>
      <c r="D28681" t="str">
        <f>"77533"</f>
        <v>77533</v>
      </c>
      <c r="E28681" t="s">
        <v>6</v>
      </c>
    </row>
    <row r="28682" spans="1:5" x14ac:dyDescent="0.2">
      <c r="A28682">
        <v>77534</v>
      </c>
      <c r="B28682" t="s">
        <v>50</v>
      </c>
      <c r="C28682">
        <v>77534</v>
      </c>
      <c r="D28682" t="str">
        <f>"77534"</f>
        <v>77534</v>
      </c>
      <c r="E28682">
        <v>73.91</v>
      </c>
    </row>
    <row r="28683" spans="1:5" x14ac:dyDescent="0.2">
      <c r="A28683">
        <v>77535</v>
      </c>
      <c r="B28683" t="s">
        <v>50</v>
      </c>
      <c r="C28683">
        <v>77535</v>
      </c>
      <c r="D28683" t="str">
        <f>"77535"</f>
        <v>77535</v>
      </c>
      <c r="E28683">
        <v>67.05</v>
      </c>
    </row>
    <row r="28684" spans="1:5" x14ac:dyDescent="0.2">
      <c r="A28684">
        <v>77536</v>
      </c>
      <c r="B28684" t="s">
        <v>50</v>
      </c>
      <c r="C28684">
        <v>77536</v>
      </c>
      <c r="D28684" t="str">
        <f>"77536"</f>
        <v>77536</v>
      </c>
      <c r="E28684">
        <v>75.53</v>
      </c>
    </row>
    <row r="28685" spans="1:5" x14ac:dyDescent="0.2">
      <c r="A28685">
        <v>77538</v>
      </c>
      <c r="B28685" t="s">
        <v>50</v>
      </c>
      <c r="C28685">
        <v>77538</v>
      </c>
      <c r="D28685" t="str">
        <f>"77538"</f>
        <v>77538</v>
      </c>
      <c r="E28685">
        <v>68.42</v>
      </c>
    </row>
    <row r="28686" spans="1:5" x14ac:dyDescent="0.2">
      <c r="A28686">
        <v>77539</v>
      </c>
      <c r="B28686" t="s">
        <v>50</v>
      </c>
      <c r="C28686">
        <v>77539</v>
      </c>
      <c r="D28686" t="str">
        <f>"77539"</f>
        <v>77539</v>
      </c>
      <c r="E28686">
        <v>65.62</v>
      </c>
    </row>
    <row r="28687" spans="1:5" x14ac:dyDescent="0.2">
      <c r="A28687">
        <v>77541</v>
      </c>
      <c r="B28687" t="s">
        <v>50</v>
      </c>
      <c r="C28687">
        <v>77541</v>
      </c>
      <c r="D28687" t="str">
        <f>"77541"</f>
        <v>77541</v>
      </c>
      <c r="E28687">
        <v>61.33</v>
      </c>
    </row>
    <row r="28688" spans="1:5" x14ac:dyDescent="0.2">
      <c r="A28688">
        <v>77545</v>
      </c>
      <c r="B28688" t="s">
        <v>50</v>
      </c>
      <c r="C28688">
        <v>77545</v>
      </c>
      <c r="D28688" t="str">
        <f>"77545"</f>
        <v>77545</v>
      </c>
      <c r="E28688">
        <v>61.17</v>
      </c>
    </row>
    <row r="28689" spans="1:5" x14ac:dyDescent="0.2">
      <c r="A28689">
        <v>77546</v>
      </c>
      <c r="B28689" t="s">
        <v>50</v>
      </c>
      <c r="C28689">
        <v>77546</v>
      </c>
      <c r="D28689" t="str">
        <f>"77546"</f>
        <v>77546</v>
      </c>
      <c r="E28689">
        <v>77.209999999999994</v>
      </c>
    </row>
    <row r="28690" spans="1:5" x14ac:dyDescent="0.2">
      <c r="A28690">
        <v>77547</v>
      </c>
      <c r="B28690" t="s">
        <v>50</v>
      </c>
      <c r="C28690">
        <v>77547</v>
      </c>
      <c r="D28690" t="str">
        <f>"77547"</f>
        <v>77547</v>
      </c>
      <c r="E28690">
        <v>55.5</v>
      </c>
    </row>
    <row r="28691" spans="1:5" x14ac:dyDescent="0.2">
      <c r="A28691">
        <v>77550</v>
      </c>
      <c r="B28691" t="s">
        <v>50</v>
      </c>
      <c r="C28691">
        <v>77550</v>
      </c>
      <c r="D28691" t="str">
        <f>"77550"</f>
        <v>77550</v>
      </c>
      <c r="E28691">
        <v>63.46</v>
      </c>
    </row>
    <row r="28692" spans="1:5" x14ac:dyDescent="0.2">
      <c r="A28692">
        <v>77551</v>
      </c>
      <c r="B28692" t="s">
        <v>50</v>
      </c>
      <c r="C28692">
        <v>77551</v>
      </c>
      <c r="D28692" t="str">
        <f>"77551"</f>
        <v>77551</v>
      </c>
      <c r="E28692">
        <v>65.02</v>
      </c>
    </row>
    <row r="28693" spans="1:5" x14ac:dyDescent="0.2">
      <c r="A28693">
        <v>77554</v>
      </c>
      <c r="B28693" t="s">
        <v>50</v>
      </c>
      <c r="C28693">
        <v>77554</v>
      </c>
      <c r="D28693" t="str">
        <f>"77554"</f>
        <v>77554</v>
      </c>
      <c r="E28693">
        <v>79.489999999999995</v>
      </c>
    </row>
    <row r="28694" spans="1:5" x14ac:dyDescent="0.2">
      <c r="A28694">
        <v>77555</v>
      </c>
      <c r="B28694" t="s">
        <v>50</v>
      </c>
      <c r="C28694">
        <v>77555</v>
      </c>
      <c r="D28694" t="str">
        <f>"77555"</f>
        <v>77555</v>
      </c>
      <c r="E28694" t="s">
        <v>6</v>
      </c>
    </row>
    <row r="28695" spans="1:5" x14ac:dyDescent="0.2">
      <c r="A28695">
        <v>77560</v>
      </c>
      <c r="B28695" t="s">
        <v>50</v>
      </c>
      <c r="C28695">
        <v>77560</v>
      </c>
      <c r="D28695" t="str">
        <f>"77560"</f>
        <v>77560</v>
      </c>
      <c r="E28695">
        <v>58.82</v>
      </c>
    </row>
    <row r="28696" spans="1:5" x14ac:dyDescent="0.2">
      <c r="A28696">
        <v>77562</v>
      </c>
      <c r="B28696" t="s">
        <v>50</v>
      </c>
      <c r="C28696">
        <v>77562</v>
      </c>
      <c r="D28696" t="str">
        <f>"77562"</f>
        <v>77562</v>
      </c>
      <c r="E28696">
        <v>67.55</v>
      </c>
    </row>
    <row r="28697" spans="1:5" x14ac:dyDescent="0.2">
      <c r="A28697">
        <v>77563</v>
      </c>
      <c r="B28697" t="s">
        <v>50</v>
      </c>
      <c r="C28697">
        <v>77563</v>
      </c>
      <c r="D28697" t="str">
        <f>"77563"</f>
        <v>77563</v>
      </c>
      <c r="E28697">
        <v>65.989999999999995</v>
      </c>
    </row>
    <row r="28698" spans="1:5" x14ac:dyDescent="0.2">
      <c r="A28698">
        <v>77564</v>
      </c>
      <c r="B28698" t="s">
        <v>50</v>
      </c>
      <c r="C28698">
        <v>77564</v>
      </c>
      <c r="D28698" t="str">
        <f>"77564"</f>
        <v>77564</v>
      </c>
      <c r="E28698">
        <v>65.709999999999994</v>
      </c>
    </row>
    <row r="28699" spans="1:5" x14ac:dyDescent="0.2">
      <c r="A28699">
        <v>77565</v>
      </c>
      <c r="B28699" t="s">
        <v>50</v>
      </c>
      <c r="C28699">
        <v>77565</v>
      </c>
      <c r="D28699" t="str">
        <f>"77565"</f>
        <v>77565</v>
      </c>
      <c r="E28699">
        <v>77.98</v>
      </c>
    </row>
    <row r="28700" spans="1:5" x14ac:dyDescent="0.2">
      <c r="A28700">
        <v>77566</v>
      </c>
      <c r="B28700" t="s">
        <v>50</v>
      </c>
      <c r="C28700">
        <v>77566</v>
      </c>
      <c r="D28700" t="str">
        <f>"77566"</f>
        <v>77566</v>
      </c>
      <c r="E28700">
        <v>76.680000000000007</v>
      </c>
    </row>
    <row r="28701" spans="1:5" x14ac:dyDescent="0.2">
      <c r="A28701">
        <v>77568</v>
      </c>
      <c r="B28701" t="s">
        <v>50</v>
      </c>
      <c r="C28701">
        <v>77568</v>
      </c>
      <c r="D28701" t="str">
        <f>"77568"</f>
        <v>77568</v>
      </c>
      <c r="E28701">
        <v>64.239999999999995</v>
      </c>
    </row>
    <row r="28702" spans="1:5" x14ac:dyDescent="0.2">
      <c r="A28702">
        <v>77571</v>
      </c>
      <c r="B28702" t="s">
        <v>50</v>
      </c>
      <c r="C28702">
        <v>77571</v>
      </c>
      <c r="D28702" t="str">
        <f>"77571"</f>
        <v>77571</v>
      </c>
      <c r="E28702">
        <v>72.650000000000006</v>
      </c>
    </row>
    <row r="28703" spans="1:5" x14ac:dyDescent="0.2">
      <c r="A28703">
        <v>77573</v>
      </c>
      <c r="B28703" t="s">
        <v>50</v>
      </c>
      <c r="C28703">
        <v>77573</v>
      </c>
      <c r="D28703" t="str">
        <f>"77573"</f>
        <v>77573</v>
      </c>
      <c r="E28703">
        <v>78.98</v>
      </c>
    </row>
    <row r="28704" spans="1:5" x14ac:dyDescent="0.2">
      <c r="A28704">
        <v>77575</v>
      </c>
      <c r="B28704" t="s">
        <v>50</v>
      </c>
      <c r="C28704">
        <v>77575</v>
      </c>
      <c r="D28704" t="str">
        <f>"77575"</f>
        <v>77575</v>
      </c>
      <c r="E28704">
        <v>64.150000000000006</v>
      </c>
    </row>
    <row r="28705" spans="1:5" x14ac:dyDescent="0.2">
      <c r="A28705">
        <v>77577</v>
      </c>
      <c r="B28705" t="s">
        <v>50</v>
      </c>
      <c r="C28705">
        <v>77577</v>
      </c>
      <c r="D28705" t="str">
        <f>"77577"</f>
        <v>77577</v>
      </c>
      <c r="E28705">
        <v>67.209999999999994</v>
      </c>
    </row>
    <row r="28706" spans="1:5" x14ac:dyDescent="0.2">
      <c r="A28706">
        <v>77578</v>
      </c>
      <c r="B28706" t="s">
        <v>50</v>
      </c>
      <c r="C28706">
        <v>77578</v>
      </c>
      <c r="D28706" t="str">
        <f>"77578"</f>
        <v>77578</v>
      </c>
      <c r="E28706">
        <v>76.16</v>
      </c>
    </row>
    <row r="28707" spans="1:5" x14ac:dyDescent="0.2">
      <c r="A28707">
        <v>77581</v>
      </c>
      <c r="B28707" t="s">
        <v>50</v>
      </c>
      <c r="C28707">
        <v>77581</v>
      </c>
      <c r="D28707" t="str">
        <f>"77581"</f>
        <v>77581</v>
      </c>
      <c r="E28707">
        <v>76.67</v>
      </c>
    </row>
    <row r="28708" spans="1:5" x14ac:dyDescent="0.2">
      <c r="A28708">
        <v>77583</v>
      </c>
      <c r="B28708" t="s">
        <v>50</v>
      </c>
      <c r="C28708">
        <v>77583</v>
      </c>
      <c r="D28708" t="str">
        <f>"77583"</f>
        <v>77583</v>
      </c>
      <c r="E28708">
        <v>67.13</v>
      </c>
    </row>
    <row r="28709" spans="1:5" x14ac:dyDescent="0.2">
      <c r="A28709">
        <v>77584</v>
      </c>
      <c r="B28709" t="s">
        <v>50</v>
      </c>
      <c r="C28709">
        <v>77584</v>
      </c>
      <c r="D28709" t="str">
        <f>"77584"</f>
        <v>77584</v>
      </c>
      <c r="E28709">
        <v>77.77</v>
      </c>
    </row>
    <row r="28710" spans="1:5" x14ac:dyDescent="0.2">
      <c r="A28710">
        <v>77585</v>
      </c>
      <c r="B28710" t="s">
        <v>50</v>
      </c>
      <c r="C28710">
        <v>77585</v>
      </c>
      <c r="D28710" t="str">
        <f>"77585"</f>
        <v>77585</v>
      </c>
      <c r="E28710">
        <v>67.650000000000006</v>
      </c>
    </row>
    <row r="28711" spans="1:5" x14ac:dyDescent="0.2">
      <c r="A28711">
        <v>77586</v>
      </c>
      <c r="B28711" t="s">
        <v>50</v>
      </c>
      <c r="C28711">
        <v>77586</v>
      </c>
      <c r="D28711" t="str">
        <f>"77586"</f>
        <v>77586</v>
      </c>
      <c r="E28711">
        <v>81.099999999999994</v>
      </c>
    </row>
    <row r="28712" spans="1:5" x14ac:dyDescent="0.2">
      <c r="A28712">
        <v>77587</v>
      </c>
      <c r="B28712" t="s">
        <v>50</v>
      </c>
      <c r="C28712">
        <v>77587</v>
      </c>
      <c r="D28712" t="str">
        <f>"77587"</f>
        <v>77587</v>
      </c>
      <c r="E28712">
        <v>51.84</v>
      </c>
    </row>
    <row r="28713" spans="1:5" x14ac:dyDescent="0.2">
      <c r="A28713">
        <v>77590</v>
      </c>
      <c r="B28713" t="s">
        <v>50</v>
      </c>
      <c r="C28713">
        <v>77590</v>
      </c>
      <c r="D28713" t="str">
        <f>"77590"</f>
        <v>77590</v>
      </c>
      <c r="E28713">
        <v>62.35</v>
      </c>
    </row>
    <row r="28714" spans="1:5" x14ac:dyDescent="0.2">
      <c r="A28714">
        <v>77591</v>
      </c>
      <c r="B28714" t="s">
        <v>50</v>
      </c>
      <c r="C28714">
        <v>77591</v>
      </c>
      <c r="D28714" t="str">
        <f>"77591"</f>
        <v>77591</v>
      </c>
      <c r="E28714">
        <v>61.65</v>
      </c>
    </row>
    <row r="28715" spans="1:5" x14ac:dyDescent="0.2">
      <c r="A28715">
        <v>77597</v>
      </c>
      <c r="B28715" t="s">
        <v>50</v>
      </c>
      <c r="C28715">
        <v>77597</v>
      </c>
      <c r="D28715" t="str">
        <f>"77597"</f>
        <v>77597</v>
      </c>
      <c r="E28715">
        <v>73.680000000000007</v>
      </c>
    </row>
    <row r="28716" spans="1:5" x14ac:dyDescent="0.2">
      <c r="A28716">
        <v>77598</v>
      </c>
      <c r="B28716" t="s">
        <v>50</v>
      </c>
      <c r="C28716">
        <v>77598</v>
      </c>
      <c r="D28716" t="str">
        <f>"77598"</f>
        <v>77598</v>
      </c>
      <c r="E28716">
        <v>69.5</v>
      </c>
    </row>
    <row r="28717" spans="1:5" x14ac:dyDescent="0.2">
      <c r="A28717">
        <v>77611</v>
      </c>
      <c r="B28717" t="s">
        <v>50</v>
      </c>
      <c r="C28717">
        <v>77611</v>
      </c>
      <c r="D28717" t="str">
        <f>"77611"</f>
        <v>77611</v>
      </c>
      <c r="E28717">
        <v>72.67</v>
      </c>
    </row>
    <row r="28718" spans="1:5" x14ac:dyDescent="0.2">
      <c r="A28718">
        <v>77612</v>
      </c>
      <c r="B28718" t="s">
        <v>50</v>
      </c>
      <c r="C28718">
        <v>77612</v>
      </c>
      <c r="D28718" t="str">
        <f>"77612"</f>
        <v>77612</v>
      </c>
      <c r="E28718">
        <v>71.430000000000007</v>
      </c>
    </row>
    <row r="28719" spans="1:5" x14ac:dyDescent="0.2">
      <c r="A28719">
        <v>77613</v>
      </c>
      <c r="B28719" t="s">
        <v>50</v>
      </c>
      <c r="C28719">
        <v>77613</v>
      </c>
      <c r="D28719" t="str">
        <f>"77613"</f>
        <v>77613</v>
      </c>
      <c r="E28719" t="s">
        <v>6</v>
      </c>
    </row>
    <row r="28720" spans="1:5" x14ac:dyDescent="0.2">
      <c r="A28720">
        <v>77614</v>
      </c>
      <c r="B28720" t="s">
        <v>50</v>
      </c>
      <c r="C28720">
        <v>77614</v>
      </c>
      <c r="D28720" t="str">
        <f>"77614"</f>
        <v>77614</v>
      </c>
      <c r="E28720" t="s">
        <v>6</v>
      </c>
    </row>
    <row r="28721" spans="1:5" x14ac:dyDescent="0.2">
      <c r="A28721">
        <v>77615</v>
      </c>
      <c r="B28721" t="s">
        <v>50</v>
      </c>
      <c r="C28721">
        <v>77615</v>
      </c>
      <c r="D28721" t="str">
        <f>"77615"</f>
        <v>77615</v>
      </c>
      <c r="E28721" t="s">
        <v>6</v>
      </c>
    </row>
    <row r="28722" spans="1:5" x14ac:dyDescent="0.2">
      <c r="A28722">
        <v>77616</v>
      </c>
      <c r="B28722" t="s">
        <v>50</v>
      </c>
      <c r="C28722">
        <v>77616</v>
      </c>
      <c r="D28722" t="str">
        <f>"77616"</f>
        <v>77616</v>
      </c>
      <c r="E28722">
        <v>68.09</v>
      </c>
    </row>
    <row r="28723" spans="1:5" x14ac:dyDescent="0.2">
      <c r="A28723">
        <v>77617</v>
      </c>
      <c r="B28723" t="s">
        <v>50</v>
      </c>
      <c r="C28723">
        <v>77617</v>
      </c>
      <c r="D28723" t="str">
        <f>"77617"</f>
        <v>77617</v>
      </c>
      <c r="E28723" t="s">
        <v>6</v>
      </c>
    </row>
    <row r="28724" spans="1:5" x14ac:dyDescent="0.2">
      <c r="A28724">
        <v>77619</v>
      </c>
      <c r="B28724" t="s">
        <v>50</v>
      </c>
      <c r="C28724">
        <v>77619</v>
      </c>
      <c r="D28724" t="str">
        <f>"77619"</f>
        <v>77619</v>
      </c>
      <c r="E28724">
        <v>67.44</v>
      </c>
    </row>
    <row r="28725" spans="1:5" x14ac:dyDescent="0.2">
      <c r="A28725">
        <v>77622</v>
      </c>
      <c r="B28725" t="s">
        <v>50</v>
      </c>
      <c r="C28725">
        <v>77622</v>
      </c>
      <c r="D28725" t="str">
        <f>"77622"</f>
        <v>77622</v>
      </c>
      <c r="E28725">
        <v>66.67</v>
      </c>
    </row>
    <row r="28726" spans="1:5" x14ac:dyDescent="0.2">
      <c r="A28726">
        <v>77623</v>
      </c>
      <c r="B28726" t="s">
        <v>50</v>
      </c>
      <c r="C28726">
        <v>77623</v>
      </c>
      <c r="D28726" t="str">
        <f>"77623"</f>
        <v>77623</v>
      </c>
      <c r="E28726" t="s">
        <v>6</v>
      </c>
    </row>
    <row r="28727" spans="1:5" x14ac:dyDescent="0.2">
      <c r="A28727">
        <v>77624</v>
      </c>
      <c r="B28727" t="s">
        <v>50</v>
      </c>
      <c r="C28727">
        <v>77624</v>
      </c>
      <c r="D28727" t="str">
        <f>"77624"</f>
        <v>77624</v>
      </c>
      <c r="E28727">
        <v>62.5</v>
      </c>
    </row>
    <row r="28728" spans="1:5" x14ac:dyDescent="0.2">
      <c r="A28728">
        <v>77625</v>
      </c>
      <c r="B28728" t="s">
        <v>50</v>
      </c>
      <c r="C28728">
        <v>77625</v>
      </c>
      <c r="D28728" t="str">
        <f>"77625"</f>
        <v>77625</v>
      </c>
      <c r="E28728">
        <v>69.47</v>
      </c>
    </row>
    <row r="28729" spans="1:5" x14ac:dyDescent="0.2">
      <c r="A28729">
        <v>77627</v>
      </c>
      <c r="B28729" t="s">
        <v>50</v>
      </c>
      <c r="C28729">
        <v>77627</v>
      </c>
      <c r="D28729" t="str">
        <f>"77627"</f>
        <v>77627</v>
      </c>
      <c r="E28729">
        <v>74.52</v>
      </c>
    </row>
    <row r="28730" spans="1:5" x14ac:dyDescent="0.2">
      <c r="A28730">
        <v>77629</v>
      </c>
      <c r="B28730" t="s">
        <v>50</v>
      </c>
      <c r="C28730">
        <v>77629</v>
      </c>
      <c r="D28730" t="str">
        <f>"77629"</f>
        <v>77629</v>
      </c>
      <c r="E28730" t="s">
        <v>6</v>
      </c>
    </row>
    <row r="28731" spans="1:5" x14ac:dyDescent="0.2">
      <c r="A28731">
        <v>77630</v>
      </c>
      <c r="B28731" t="s">
        <v>50</v>
      </c>
      <c r="C28731">
        <v>77630</v>
      </c>
      <c r="D28731" t="str">
        <f>"77630"</f>
        <v>77630</v>
      </c>
      <c r="E28731">
        <v>61.71</v>
      </c>
    </row>
    <row r="28732" spans="1:5" x14ac:dyDescent="0.2">
      <c r="A28732">
        <v>77632</v>
      </c>
      <c r="B28732" t="s">
        <v>50</v>
      </c>
      <c r="C28732">
        <v>77632</v>
      </c>
      <c r="D28732" t="str">
        <f>"77632"</f>
        <v>77632</v>
      </c>
      <c r="E28732">
        <v>67.040000000000006</v>
      </c>
    </row>
    <row r="28733" spans="1:5" x14ac:dyDescent="0.2">
      <c r="A28733">
        <v>77640</v>
      </c>
      <c r="B28733" t="s">
        <v>50</v>
      </c>
      <c r="C28733">
        <v>77640</v>
      </c>
      <c r="D28733" t="str">
        <f>"77640"</f>
        <v>77640</v>
      </c>
      <c r="E28733">
        <v>53.17</v>
      </c>
    </row>
    <row r="28734" spans="1:5" x14ac:dyDescent="0.2">
      <c r="A28734">
        <v>77642</v>
      </c>
      <c r="B28734" t="s">
        <v>50</v>
      </c>
      <c r="C28734">
        <v>77642</v>
      </c>
      <c r="D28734" t="str">
        <f>"77642"</f>
        <v>77642</v>
      </c>
      <c r="E28734">
        <v>49.79</v>
      </c>
    </row>
    <row r="28735" spans="1:5" x14ac:dyDescent="0.2">
      <c r="A28735">
        <v>77650</v>
      </c>
      <c r="B28735" t="s">
        <v>50</v>
      </c>
      <c r="C28735">
        <v>77650</v>
      </c>
      <c r="D28735" t="str">
        <f>"77650"</f>
        <v>77650</v>
      </c>
      <c r="E28735" t="s">
        <v>6</v>
      </c>
    </row>
    <row r="28736" spans="1:5" x14ac:dyDescent="0.2">
      <c r="A28736">
        <v>77651</v>
      </c>
      <c r="B28736" t="s">
        <v>50</v>
      </c>
      <c r="C28736">
        <v>77651</v>
      </c>
      <c r="D28736" t="str">
        <f>"77651"</f>
        <v>77651</v>
      </c>
      <c r="E28736">
        <v>76.36</v>
      </c>
    </row>
    <row r="28737" spans="1:5" x14ac:dyDescent="0.2">
      <c r="A28737">
        <v>77655</v>
      </c>
      <c r="B28737" t="s">
        <v>50</v>
      </c>
      <c r="C28737">
        <v>77655</v>
      </c>
      <c r="D28737" t="str">
        <f>"77655"</f>
        <v>77655</v>
      </c>
      <c r="E28737">
        <v>82.35</v>
      </c>
    </row>
    <row r="28738" spans="1:5" x14ac:dyDescent="0.2">
      <c r="A28738">
        <v>77656</v>
      </c>
      <c r="B28738" t="s">
        <v>50</v>
      </c>
      <c r="C28738">
        <v>77656</v>
      </c>
      <c r="D28738" t="str">
        <f>"77656"</f>
        <v>77656</v>
      </c>
      <c r="E28738">
        <v>66.12</v>
      </c>
    </row>
    <row r="28739" spans="1:5" x14ac:dyDescent="0.2">
      <c r="A28739">
        <v>77657</v>
      </c>
      <c r="B28739" t="s">
        <v>50</v>
      </c>
      <c r="C28739">
        <v>77657</v>
      </c>
      <c r="D28739" t="str">
        <f>"77657"</f>
        <v>77657</v>
      </c>
      <c r="E28739">
        <v>73.17</v>
      </c>
    </row>
    <row r="28740" spans="1:5" x14ac:dyDescent="0.2">
      <c r="A28740">
        <v>77659</v>
      </c>
      <c r="B28740" t="s">
        <v>50</v>
      </c>
      <c r="C28740">
        <v>77659</v>
      </c>
      <c r="D28740" t="str">
        <f>"77659"</f>
        <v>77659</v>
      </c>
      <c r="E28740">
        <v>64.150000000000006</v>
      </c>
    </row>
    <row r="28741" spans="1:5" x14ac:dyDescent="0.2">
      <c r="A28741">
        <v>77660</v>
      </c>
      <c r="B28741" t="s">
        <v>50</v>
      </c>
      <c r="C28741">
        <v>77660</v>
      </c>
      <c r="D28741" t="str">
        <f>"77660"</f>
        <v>77660</v>
      </c>
      <c r="E28741">
        <v>66.67</v>
      </c>
    </row>
    <row r="28742" spans="1:5" x14ac:dyDescent="0.2">
      <c r="A28742">
        <v>77661</v>
      </c>
      <c r="B28742" t="s">
        <v>50</v>
      </c>
      <c r="C28742">
        <v>77661</v>
      </c>
      <c r="D28742" t="str">
        <f>"77661"</f>
        <v>77661</v>
      </c>
      <c r="E28742" t="s">
        <v>6</v>
      </c>
    </row>
    <row r="28743" spans="1:5" x14ac:dyDescent="0.2">
      <c r="A28743">
        <v>77662</v>
      </c>
      <c r="B28743" t="s">
        <v>50</v>
      </c>
      <c r="C28743">
        <v>77662</v>
      </c>
      <c r="D28743" t="str">
        <f>"77662"</f>
        <v>77662</v>
      </c>
      <c r="E28743">
        <v>59.29</v>
      </c>
    </row>
    <row r="28744" spans="1:5" x14ac:dyDescent="0.2">
      <c r="A28744">
        <v>77663</v>
      </c>
      <c r="B28744" t="s">
        <v>50</v>
      </c>
      <c r="C28744">
        <v>77663</v>
      </c>
      <c r="D28744" t="str">
        <f>"77663"</f>
        <v>77663</v>
      </c>
      <c r="E28744" t="s">
        <v>6</v>
      </c>
    </row>
    <row r="28745" spans="1:5" x14ac:dyDescent="0.2">
      <c r="A28745">
        <v>77664</v>
      </c>
      <c r="B28745" t="s">
        <v>50</v>
      </c>
      <c r="C28745">
        <v>77664</v>
      </c>
      <c r="D28745" t="str">
        <f>"77664"</f>
        <v>77664</v>
      </c>
      <c r="E28745">
        <v>71.3</v>
      </c>
    </row>
    <row r="28746" spans="1:5" x14ac:dyDescent="0.2">
      <c r="A28746">
        <v>77665</v>
      </c>
      <c r="B28746" t="s">
        <v>50</v>
      </c>
      <c r="C28746">
        <v>77665</v>
      </c>
      <c r="D28746" t="str">
        <f>"77665"</f>
        <v>77665</v>
      </c>
      <c r="E28746">
        <v>65.03</v>
      </c>
    </row>
    <row r="28747" spans="1:5" x14ac:dyDescent="0.2">
      <c r="A28747">
        <v>77701</v>
      </c>
      <c r="B28747" t="s">
        <v>50</v>
      </c>
      <c r="C28747">
        <v>77701</v>
      </c>
      <c r="D28747" t="str">
        <f>"77701"</f>
        <v>77701</v>
      </c>
      <c r="E28747">
        <v>48.52</v>
      </c>
    </row>
    <row r="28748" spans="1:5" x14ac:dyDescent="0.2">
      <c r="A28748">
        <v>77702</v>
      </c>
      <c r="B28748" t="s">
        <v>50</v>
      </c>
      <c r="C28748">
        <v>77702</v>
      </c>
      <c r="D28748" t="str">
        <f>"77702"</f>
        <v>77702</v>
      </c>
      <c r="E28748">
        <v>58.39</v>
      </c>
    </row>
    <row r="28749" spans="1:5" x14ac:dyDescent="0.2">
      <c r="A28749">
        <v>77703</v>
      </c>
      <c r="B28749" t="s">
        <v>50</v>
      </c>
      <c r="C28749">
        <v>77703</v>
      </c>
      <c r="D28749" t="str">
        <f>"77703"</f>
        <v>77703</v>
      </c>
      <c r="E28749">
        <v>41.88</v>
      </c>
    </row>
    <row r="28750" spans="1:5" x14ac:dyDescent="0.2">
      <c r="A28750">
        <v>77705</v>
      </c>
      <c r="B28750" t="s">
        <v>50</v>
      </c>
      <c r="C28750">
        <v>77705</v>
      </c>
      <c r="D28750" t="str">
        <f>"77705"</f>
        <v>77705</v>
      </c>
      <c r="E28750">
        <v>56.12</v>
      </c>
    </row>
    <row r="28751" spans="1:5" x14ac:dyDescent="0.2">
      <c r="A28751">
        <v>77706</v>
      </c>
      <c r="B28751" t="s">
        <v>50</v>
      </c>
      <c r="C28751">
        <v>77706</v>
      </c>
      <c r="D28751" t="str">
        <f>"77706"</f>
        <v>77706</v>
      </c>
      <c r="E28751">
        <v>74.489999999999995</v>
      </c>
    </row>
    <row r="28752" spans="1:5" x14ac:dyDescent="0.2">
      <c r="A28752">
        <v>77707</v>
      </c>
      <c r="B28752" t="s">
        <v>50</v>
      </c>
      <c r="C28752">
        <v>77707</v>
      </c>
      <c r="D28752" t="str">
        <f>"77707"</f>
        <v>77707</v>
      </c>
      <c r="E28752">
        <v>63.69</v>
      </c>
    </row>
    <row r="28753" spans="1:5" x14ac:dyDescent="0.2">
      <c r="A28753">
        <v>77708</v>
      </c>
      <c r="B28753" t="s">
        <v>50</v>
      </c>
      <c r="C28753">
        <v>77708</v>
      </c>
      <c r="D28753" t="str">
        <f>"77708"</f>
        <v>77708</v>
      </c>
      <c r="E28753">
        <v>56.57</v>
      </c>
    </row>
    <row r="28754" spans="1:5" x14ac:dyDescent="0.2">
      <c r="A28754">
        <v>77713</v>
      </c>
      <c r="B28754" t="s">
        <v>50</v>
      </c>
      <c r="C28754">
        <v>77713</v>
      </c>
      <c r="D28754" t="str">
        <f>"77713"</f>
        <v>77713</v>
      </c>
      <c r="E28754">
        <v>68.430000000000007</v>
      </c>
    </row>
    <row r="28755" spans="1:5" x14ac:dyDescent="0.2">
      <c r="A28755">
        <v>77720</v>
      </c>
      <c r="B28755" t="s">
        <v>50</v>
      </c>
      <c r="C28755">
        <v>77720</v>
      </c>
      <c r="D28755" t="str">
        <f>"77720"</f>
        <v>77720</v>
      </c>
      <c r="E28755" t="s">
        <v>6</v>
      </c>
    </row>
    <row r="28756" spans="1:5" x14ac:dyDescent="0.2">
      <c r="A28756">
        <v>77801</v>
      </c>
      <c r="B28756" t="s">
        <v>50</v>
      </c>
      <c r="C28756">
        <v>77801</v>
      </c>
      <c r="D28756" t="str">
        <f>"77801"</f>
        <v>77801</v>
      </c>
      <c r="E28756">
        <v>54.41</v>
      </c>
    </row>
    <row r="28757" spans="1:5" x14ac:dyDescent="0.2">
      <c r="A28757">
        <v>77802</v>
      </c>
      <c r="B28757" t="s">
        <v>50</v>
      </c>
      <c r="C28757">
        <v>77802</v>
      </c>
      <c r="D28757" t="str">
        <f>"77802"</f>
        <v>77802</v>
      </c>
      <c r="E28757">
        <v>73.61</v>
      </c>
    </row>
    <row r="28758" spans="1:5" x14ac:dyDescent="0.2">
      <c r="A28758">
        <v>77803</v>
      </c>
      <c r="B28758" t="s">
        <v>50</v>
      </c>
      <c r="C28758">
        <v>77803</v>
      </c>
      <c r="D28758" t="str">
        <f>"77803"</f>
        <v>77803</v>
      </c>
      <c r="E28758">
        <v>50.75</v>
      </c>
    </row>
    <row r="28759" spans="1:5" x14ac:dyDescent="0.2">
      <c r="A28759">
        <v>77807</v>
      </c>
      <c r="B28759" t="s">
        <v>50</v>
      </c>
      <c r="C28759">
        <v>77807</v>
      </c>
      <c r="D28759" t="str">
        <f>"77807"</f>
        <v>77807</v>
      </c>
      <c r="E28759">
        <v>66.03</v>
      </c>
    </row>
    <row r="28760" spans="1:5" x14ac:dyDescent="0.2">
      <c r="A28760">
        <v>77808</v>
      </c>
      <c r="B28760" t="s">
        <v>50</v>
      </c>
      <c r="C28760">
        <v>77808</v>
      </c>
      <c r="D28760" t="str">
        <f>"77808"</f>
        <v>77808</v>
      </c>
      <c r="E28760">
        <v>74.260000000000005</v>
      </c>
    </row>
    <row r="28761" spans="1:5" x14ac:dyDescent="0.2">
      <c r="A28761">
        <v>77830</v>
      </c>
      <c r="B28761" t="s">
        <v>50</v>
      </c>
      <c r="C28761">
        <v>77830</v>
      </c>
      <c r="D28761" t="str">
        <f>"77830"</f>
        <v>77830</v>
      </c>
      <c r="E28761">
        <v>71.53</v>
      </c>
    </row>
    <row r="28762" spans="1:5" x14ac:dyDescent="0.2">
      <c r="A28762">
        <v>77831</v>
      </c>
      <c r="B28762" t="s">
        <v>50</v>
      </c>
      <c r="C28762">
        <v>77831</v>
      </c>
      <c r="D28762" t="str">
        <f>"77831"</f>
        <v>77831</v>
      </c>
      <c r="E28762">
        <v>64.12</v>
      </c>
    </row>
    <row r="28763" spans="1:5" x14ac:dyDescent="0.2">
      <c r="A28763">
        <v>77833</v>
      </c>
      <c r="B28763" t="s">
        <v>50</v>
      </c>
      <c r="C28763">
        <v>77833</v>
      </c>
      <c r="D28763" t="str">
        <f>"77833"</f>
        <v>77833</v>
      </c>
      <c r="E28763">
        <v>67.64</v>
      </c>
    </row>
    <row r="28764" spans="1:5" x14ac:dyDescent="0.2">
      <c r="A28764">
        <v>77835</v>
      </c>
      <c r="B28764" t="s">
        <v>50</v>
      </c>
      <c r="C28764">
        <v>77835</v>
      </c>
      <c r="D28764" t="str">
        <f>"77835"</f>
        <v>77835</v>
      </c>
      <c r="E28764">
        <v>71.09</v>
      </c>
    </row>
    <row r="28765" spans="1:5" x14ac:dyDescent="0.2">
      <c r="A28765">
        <v>77836</v>
      </c>
      <c r="B28765" t="s">
        <v>50</v>
      </c>
      <c r="C28765">
        <v>77836</v>
      </c>
      <c r="D28765" t="str">
        <f>"77836"</f>
        <v>77836</v>
      </c>
      <c r="E28765">
        <v>68.209999999999994</v>
      </c>
    </row>
    <row r="28766" spans="1:5" x14ac:dyDescent="0.2">
      <c r="A28766">
        <v>77837</v>
      </c>
      <c r="B28766" t="s">
        <v>50</v>
      </c>
      <c r="C28766">
        <v>77837</v>
      </c>
      <c r="D28766" t="str">
        <f>"77837"</f>
        <v>77837</v>
      </c>
      <c r="E28766">
        <v>54.84</v>
      </c>
    </row>
    <row r="28767" spans="1:5" x14ac:dyDescent="0.2">
      <c r="A28767">
        <v>77838</v>
      </c>
      <c r="B28767" t="s">
        <v>50</v>
      </c>
      <c r="C28767">
        <v>77838</v>
      </c>
      <c r="D28767" t="str">
        <f>"77838"</f>
        <v>77838</v>
      </c>
      <c r="E28767" t="s">
        <v>6</v>
      </c>
    </row>
    <row r="28768" spans="1:5" x14ac:dyDescent="0.2">
      <c r="A28768">
        <v>77840</v>
      </c>
      <c r="B28768" t="s">
        <v>50</v>
      </c>
      <c r="C28768">
        <v>77840</v>
      </c>
      <c r="D28768" t="str">
        <f>"77840"</f>
        <v>77840</v>
      </c>
      <c r="E28768">
        <v>59.95</v>
      </c>
    </row>
    <row r="28769" spans="1:5" x14ac:dyDescent="0.2">
      <c r="A28769">
        <v>77841</v>
      </c>
      <c r="B28769" t="s">
        <v>50</v>
      </c>
      <c r="C28769">
        <v>77841</v>
      </c>
      <c r="D28769" t="str">
        <f>"77841"</f>
        <v>77841</v>
      </c>
      <c r="E28769" t="s">
        <v>6</v>
      </c>
    </row>
    <row r="28770" spans="1:5" x14ac:dyDescent="0.2">
      <c r="A28770">
        <v>77842</v>
      </c>
      <c r="B28770" t="s">
        <v>50</v>
      </c>
      <c r="C28770">
        <v>77842</v>
      </c>
      <c r="D28770" t="str">
        <f>"77842"</f>
        <v>77842</v>
      </c>
      <c r="E28770" t="s">
        <v>6</v>
      </c>
    </row>
    <row r="28771" spans="1:5" x14ac:dyDescent="0.2">
      <c r="A28771">
        <v>77844</v>
      </c>
      <c r="B28771" t="s">
        <v>50</v>
      </c>
      <c r="C28771">
        <v>77844</v>
      </c>
      <c r="D28771" t="str">
        <f>"77844"</f>
        <v>77844</v>
      </c>
      <c r="E28771" t="s">
        <v>6</v>
      </c>
    </row>
    <row r="28772" spans="1:5" x14ac:dyDescent="0.2">
      <c r="A28772">
        <v>77845</v>
      </c>
      <c r="B28772" t="s">
        <v>50</v>
      </c>
      <c r="C28772">
        <v>77845</v>
      </c>
      <c r="D28772" t="str">
        <f>"77845"</f>
        <v>77845</v>
      </c>
      <c r="E28772">
        <v>75.81</v>
      </c>
    </row>
    <row r="28773" spans="1:5" x14ac:dyDescent="0.2">
      <c r="A28773">
        <v>77853</v>
      </c>
      <c r="B28773" t="s">
        <v>50</v>
      </c>
      <c r="C28773">
        <v>77853</v>
      </c>
      <c r="D28773" t="str">
        <f>"77853"</f>
        <v>77853</v>
      </c>
      <c r="E28773">
        <v>72.34</v>
      </c>
    </row>
    <row r="28774" spans="1:5" x14ac:dyDescent="0.2">
      <c r="A28774">
        <v>77856</v>
      </c>
      <c r="B28774" t="s">
        <v>50</v>
      </c>
      <c r="C28774">
        <v>77856</v>
      </c>
      <c r="D28774" t="str">
        <f>"77856"</f>
        <v>77856</v>
      </c>
      <c r="E28774">
        <v>67.94</v>
      </c>
    </row>
    <row r="28775" spans="1:5" x14ac:dyDescent="0.2">
      <c r="A28775">
        <v>77857</v>
      </c>
      <c r="B28775" t="s">
        <v>50</v>
      </c>
      <c r="C28775">
        <v>77857</v>
      </c>
      <c r="D28775" t="str">
        <f>"77857"</f>
        <v>77857</v>
      </c>
      <c r="E28775">
        <v>66.67</v>
      </c>
    </row>
    <row r="28776" spans="1:5" x14ac:dyDescent="0.2">
      <c r="A28776">
        <v>77859</v>
      </c>
      <c r="B28776" t="s">
        <v>50</v>
      </c>
      <c r="C28776">
        <v>77859</v>
      </c>
      <c r="D28776" t="str">
        <f>"77859"</f>
        <v>77859</v>
      </c>
      <c r="E28776">
        <v>58.17</v>
      </c>
    </row>
    <row r="28777" spans="1:5" x14ac:dyDescent="0.2">
      <c r="A28777">
        <v>77861</v>
      </c>
      <c r="B28777" t="s">
        <v>50</v>
      </c>
      <c r="C28777">
        <v>77861</v>
      </c>
      <c r="D28777" t="str">
        <f>"77861"</f>
        <v>77861</v>
      </c>
      <c r="E28777">
        <v>73.39</v>
      </c>
    </row>
    <row r="28778" spans="1:5" x14ac:dyDescent="0.2">
      <c r="A28778">
        <v>77863</v>
      </c>
      <c r="B28778" t="s">
        <v>50</v>
      </c>
      <c r="C28778">
        <v>77863</v>
      </c>
      <c r="D28778" t="str">
        <f>"77863"</f>
        <v>77863</v>
      </c>
      <c r="E28778" t="s">
        <v>6</v>
      </c>
    </row>
    <row r="28779" spans="1:5" x14ac:dyDescent="0.2">
      <c r="A28779">
        <v>77864</v>
      </c>
      <c r="B28779" t="s">
        <v>50</v>
      </c>
      <c r="C28779">
        <v>77864</v>
      </c>
      <c r="D28779" t="str">
        <f>"77864"</f>
        <v>77864</v>
      </c>
      <c r="E28779">
        <v>57.93</v>
      </c>
    </row>
    <row r="28780" spans="1:5" x14ac:dyDescent="0.2">
      <c r="A28780">
        <v>77865</v>
      </c>
      <c r="B28780" t="s">
        <v>50</v>
      </c>
      <c r="C28780">
        <v>77865</v>
      </c>
      <c r="D28780" t="str">
        <f>"77865"</f>
        <v>77865</v>
      </c>
      <c r="E28780">
        <v>68.489999999999995</v>
      </c>
    </row>
    <row r="28781" spans="1:5" x14ac:dyDescent="0.2">
      <c r="A28781">
        <v>77867</v>
      </c>
      <c r="B28781" t="s">
        <v>50</v>
      </c>
      <c r="C28781">
        <v>77867</v>
      </c>
      <c r="D28781" t="str">
        <f>"77867"</f>
        <v>77867</v>
      </c>
      <c r="E28781" t="s">
        <v>6</v>
      </c>
    </row>
    <row r="28782" spans="1:5" x14ac:dyDescent="0.2">
      <c r="A28782">
        <v>77868</v>
      </c>
      <c r="B28782" t="s">
        <v>50</v>
      </c>
      <c r="C28782">
        <v>77868</v>
      </c>
      <c r="D28782" t="str">
        <f>"77868"</f>
        <v>77868</v>
      </c>
      <c r="E28782">
        <v>61.01</v>
      </c>
    </row>
    <row r="28783" spans="1:5" x14ac:dyDescent="0.2">
      <c r="A28783">
        <v>77871</v>
      </c>
      <c r="B28783" t="s">
        <v>50</v>
      </c>
      <c r="C28783">
        <v>77871</v>
      </c>
      <c r="D28783" t="str">
        <f>"77871"</f>
        <v>77871</v>
      </c>
      <c r="E28783">
        <v>67.900000000000006</v>
      </c>
    </row>
    <row r="28784" spans="1:5" x14ac:dyDescent="0.2">
      <c r="A28784">
        <v>77872</v>
      </c>
      <c r="B28784" t="s">
        <v>50</v>
      </c>
      <c r="C28784">
        <v>77872</v>
      </c>
      <c r="D28784" t="str">
        <f>"77872"</f>
        <v>77872</v>
      </c>
      <c r="E28784">
        <v>66.67</v>
      </c>
    </row>
    <row r="28785" spans="1:5" x14ac:dyDescent="0.2">
      <c r="A28785">
        <v>77873</v>
      </c>
      <c r="B28785" t="s">
        <v>50</v>
      </c>
      <c r="C28785">
        <v>77873</v>
      </c>
      <c r="D28785" t="str">
        <f>"77873"</f>
        <v>77873</v>
      </c>
      <c r="E28785">
        <v>73.33</v>
      </c>
    </row>
    <row r="28786" spans="1:5" x14ac:dyDescent="0.2">
      <c r="A28786">
        <v>77879</v>
      </c>
      <c r="B28786" t="s">
        <v>50</v>
      </c>
      <c r="C28786">
        <v>77879</v>
      </c>
      <c r="D28786" t="str">
        <f>"77879"</f>
        <v>77879</v>
      </c>
      <c r="E28786">
        <v>65.38</v>
      </c>
    </row>
    <row r="28787" spans="1:5" x14ac:dyDescent="0.2">
      <c r="A28787">
        <v>77880</v>
      </c>
      <c r="B28787" t="s">
        <v>50</v>
      </c>
      <c r="C28787">
        <v>77880</v>
      </c>
      <c r="D28787" t="str">
        <f>"77880"</f>
        <v>77880</v>
      </c>
      <c r="E28787">
        <v>63.86</v>
      </c>
    </row>
    <row r="28788" spans="1:5" x14ac:dyDescent="0.2">
      <c r="A28788">
        <v>77882</v>
      </c>
      <c r="B28788" t="s">
        <v>50</v>
      </c>
      <c r="C28788">
        <v>77882</v>
      </c>
      <c r="D28788" t="str">
        <f>"77882"</f>
        <v>77882</v>
      </c>
      <c r="E28788" t="s">
        <v>6</v>
      </c>
    </row>
    <row r="28789" spans="1:5" x14ac:dyDescent="0.2">
      <c r="A28789">
        <v>77901</v>
      </c>
      <c r="B28789" t="s">
        <v>50</v>
      </c>
      <c r="C28789">
        <v>77901</v>
      </c>
      <c r="D28789" t="str">
        <f>"77901"</f>
        <v>77901</v>
      </c>
      <c r="E28789">
        <v>60.47</v>
      </c>
    </row>
    <row r="28790" spans="1:5" x14ac:dyDescent="0.2">
      <c r="A28790">
        <v>77904</v>
      </c>
      <c r="B28790" t="s">
        <v>50</v>
      </c>
      <c r="C28790">
        <v>77904</v>
      </c>
      <c r="D28790" t="str">
        <f>"77904"</f>
        <v>77904</v>
      </c>
      <c r="E28790">
        <v>74.790000000000006</v>
      </c>
    </row>
    <row r="28791" spans="1:5" x14ac:dyDescent="0.2">
      <c r="A28791">
        <v>77905</v>
      </c>
      <c r="B28791" t="s">
        <v>50</v>
      </c>
      <c r="C28791">
        <v>77905</v>
      </c>
      <c r="D28791" t="str">
        <f>"77905"</f>
        <v>77905</v>
      </c>
      <c r="E28791">
        <v>72.319999999999993</v>
      </c>
    </row>
    <row r="28792" spans="1:5" x14ac:dyDescent="0.2">
      <c r="A28792">
        <v>77950</v>
      </c>
      <c r="B28792" t="s">
        <v>50</v>
      </c>
      <c r="C28792">
        <v>77950</v>
      </c>
      <c r="D28792" t="str">
        <f>"77950"</f>
        <v>77950</v>
      </c>
      <c r="E28792" t="s">
        <v>6</v>
      </c>
    </row>
    <row r="28793" spans="1:5" x14ac:dyDescent="0.2">
      <c r="A28793">
        <v>77951</v>
      </c>
      <c r="B28793" t="s">
        <v>50</v>
      </c>
      <c r="C28793">
        <v>77951</v>
      </c>
      <c r="D28793" t="str">
        <f>"77951"</f>
        <v>77951</v>
      </c>
      <c r="E28793" t="s">
        <v>6</v>
      </c>
    </row>
    <row r="28794" spans="1:5" x14ac:dyDescent="0.2">
      <c r="A28794">
        <v>77954</v>
      </c>
      <c r="B28794" t="s">
        <v>50</v>
      </c>
      <c r="C28794">
        <v>77954</v>
      </c>
      <c r="D28794" t="str">
        <f>"77954"</f>
        <v>77954</v>
      </c>
      <c r="E28794">
        <v>65.02</v>
      </c>
    </row>
    <row r="28795" spans="1:5" x14ac:dyDescent="0.2">
      <c r="A28795">
        <v>77957</v>
      </c>
      <c r="B28795" t="s">
        <v>50</v>
      </c>
      <c r="C28795">
        <v>77957</v>
      </c>
      <c r="D28795" t="str">
        <f>"77957"</f>
        <v>77957</v>
      </c>
      <c r="E28795">
        <v>65.599999999999994</v>
      </c>
    </row>
    <row r="28796" spans="1:5" x14ac:dyDescent="0.2">
      <c r="A28796">
        <v>77960</v>
      </c>
      <c r="B28796" t="s">
        <v>50</v>
      </c>
      <c r="C28796">
        <v>77960</v>
      </c>
      <c r="D28796" t="str">
        <f>"77960"</f>
        <v>77960</v>
      </c>
      <c r="E28796" t="s">
        <v>6</v>
      </c>
    </row>
    <row r="28797" spans="1:5" x14ac:dyDescent="0.2">
      <c r="A28797">
        <v>77961</v>
      </c>
      <c r="B28797" t="s">
        <v>50</v>
      </c>
      <c r="C28797">
        <v>77961</v>
      </c>
      <c r="D28797" t="str">
        <f>"77961"</f>
        <v>77961</v>
      </c>
      <c r="E28797" t="s">
        <v>6</v>
      </c>
    </row>
    <row r="28798" spans="1:5" x14ac:dyDescent="0.2">
      <c r="A28798">
        <v>77962</v>
      </c>
      <c r="B28798" t="s">
        <v>50</v>
      </c>
      <c r="C28798">
        <v>77962</v>
      </c>
      <c r="D28798" t="str">
        <f>"77962"</f>
        <v>77962</v>
      </c>
      <c r="E28798">
        <v>69.81</v>
      </c>
    </row>
    <row r="28799" spans="1:5" x14ac:dyDescent="0.2">
      <c r="A28799">
        <v>77963</v>
      </c>
      <c r="B28799" t="s">
        <v>50</v>
      </c>
      <c r="C28799">
        <v>77963</v>
      </c>
      <c r="D28799" t="str">
        <f>"77963"</f>
        <v>77963</v>
      </c>
      <c r="E28799">
        <v>69.459999999999994</v>
      </c>
    </row>
    <row r="28800" spans="1:5" x14ac:dyDescent="0.2">
      <c r="A28800">
        <v>77964</v>
      </c>
      <c r="B28800" t="s">
        <v>50</v>
      </c>
      <c r="C28800">
        <v>77964</v>
      </c>
      <c r="D28800" t="str">
        <f>"77964"</f>
        <v>77964</v>
      </c>
      <c r="E28800">
        <v>71.47</v>
      </c>
    </row>
    <row r="28801" spans="1:5" x14ac:dyDescent="0.2">
      <c r="A28801">
        <v>77968</v>
      </c>
      <c r="B28801" t="s">
        <v>50</v>
      </c>
      <c r="C28801">
        <v>77968</v>
      </c>
      <c r="D28801" t="str">
        <f>"77968"</f>
        <v>77968</v>
      </c>
      <c r="E28801">
        <v>76.92</v>
      </c>
    </row>
    <row r="28802" spans="1:5" x14ac:dyDescent="0.2">
      <c r="A28802">
        <v>77969</v>
      </c>
      <c r="B28802" t="s">
        <v>50</v>
      </c>
      <c r="C28802">
        <v>77969</v>
      </c>
      <c r="D28802" t="str">
        <f>"77969"</f>
        <v>77969</v>
      </c>
      <c r="E28802" t="s">
        <v>6</v>
      </c>
    </row>
    <row r="28803" spans="1:5" x14ac:dyDescent="0.2">
      <c r="A28803">
        <v>77970</v>
      </c>
      <c r="B28803" t="s">
        <v>50</v>
      </c>
      <c r="C28803">
        <v>77970</v>
      </c>
      <c r="D28803" t="str">
        <f>"77970"</f>
        <v>77970</v>
      </c>
      <c r="E28803" t="s">
        <v>6</v>
      </c>
    </row>
    <row r="28804" spans="1:5" x14ac:dyDescent="0.2">
      <c r="A28804">
        <v>77971</v>
      </c>
      <c r="B28804" t="s">
        <v>50</v>
      </c>
      <c r="C28804">
        <v>77971</v>
      </c>
      <c r="D28804" t="str">
        <f>"77971"</f>
        <v>77971</v>
      </c>
      <c r="E28804">
        <v>70</v>
      </c>
    </row>
    <row r="28805" spans="1:5" x14ac:dyDescent="0.2">
      <c r="A28805">
        <v>77973</v>
      </c>
      <c r="B28805" t="s">
        <v>50</v>
      </c>
      <c r="C28805">
        <v>77973</v>
      </c>
      <c r="D28805" t="str">
        <f>"77973"</f>
        <v>77973</v>
      </c>
      <c r="E28805" t="s">
        <v>6</v>
      </c>
    </row>
    <row r="28806" spans="1:5" x14ac:dyDescent="0.2">
      <c r="A28806">
        <v>77974</v>
      </c>
      <c r="B28806" t="s">
        <v>50</v>
      </c>
      <c r="C28806">
        <v>77974</v>
      </c>
      <c r="D28806" t="str">
        <f>"77974"</f>
        <v>77974</v>
      </c>
      <c r="E28806">
        <v>68.180000000000007</v>
      </c>
    </row>
    <row r="28807" spans="1:5" x14ac:dyDescent="0.2">
      <c r="A28807">
        <v>77975</v>
      </c>
      <c r="B28807" t="s">
        <v>50</v>
      </c>
      <c r="C28807">
        <v>77975</v>
      </c>
      <c r="D28807" t="str">
        <f>"77975"</f>
        <v>77975</v>
      </c>
      <c r="E28807">
        <v>70.45</v>
      </c>
    </row>
    <row r="28808" spans="1:5" x14ac:dyDescent="0.2">
      <c r="A28808">
        <v>77976</v>
      </c>
      <c r="B28808" t="s">
        <v>50</v>
      </c>
      <c r="C28808">
        <v>77976</v>
      </c>
      <c r="D28808" t="str">
        <f>"77976"</f>
        <v>77976</v>
      </c>
      <c r="E28808" t="s">
        <v>6</v>
      </c>
    </row>
    <row r="28809" spans="1:5" x14ac:dyDescent="0.2">
      <c r="A28809">
        <v>77977</v>
      </c>
      <c r="B28809" t="s">
        <v>50</v>
      </c>
      <c r="C28809">
        <v>77977</v>
      </c>
      <c r="D28809" t="str">
        <f>"77977"</f>
        <v>77977</v>
      </c>
      <c r="E28809" t="s">
        <v>6</v>
      </c>
    </row>
    <row r="28810" spans="1:5" x14ac:dyDescent="0.2">
      <c r="A28810">
        <v>77978</v>
      </c>
      <c r="B28810" t="s">
        <v>50</v>
      </c>
      <c r="C28810">
        <v>77978</v>
      </c>
      <c r="D28810" t="str">
        <f>"77978"</f>
        <v>77978</v>
      </c>
      <c r="E28810" t="s">
        <v>6</v>
      </c>
    </row>
    <row r="28811" spans="1:5" x14ac:dyDescent="0.2">
      <c r="A28811">
        <v>77979</v>
      </c>
      <c r="B28811" t="s">
        <v>50</v>
      </c>
      <c r="C28811">
        <v>77979</v>
      </c>
      <c r="D28811" t="str">
        <f>"77979"</f>
        <v>77979</v>
      </c>
      <c r="E28811">
        <v>65.739999999999995</v>
      </c>
    </row>
    <row r="28812" spans="1:5" x14ac:dyDescent="0.2">
      <c r="A28812">
        <v>77982</v>
      </c>
      <c r="B28812" t="s">
        <v>50</v>
      </c>
      <c r="C28812">
        <v>77982</v>
      </c>
      <c r="D28812" t="str">
        <f>"77982"</f>
        <v>77982</v>
      </c>
      <c r="E28812" t="s">
        <v>6</v>
      </c>
    </row>
    <row r="28813" spans="1:5" x14ac:dyDescent="0.2">
      <c r="A28813">
        <v>77983</v>
      </c>
      <c r="B28813" t="s">
        <v>50</v>
      </c>
      <c r="C28813">
        <v>77983</v>
      </c>
      <c r="D28813" t="str">
        <f>"77983"</f>
        <v>77983</v>
      </c>
      <c r="E28813">
        <v>62.07</v>
      </c>
    </row>
    <row r="28814" spans="1:5" x14ac:dyDescent="0.2">
      <c r="A28814">
        <v>77984</v>
      </c>
      <c r="B28814" t="s">
        <v>50</v>
      </c>
      <c r="C28814">
        <v>77984</v>
      </c>
      <c r="D28814" t="str">
        <f>"77984"</f>
        <v>77984</v>
      </c>
      <c r="E28814">
        <v>73.209999999999994</v>
      </c>
    </row>
    <row r="28815" spans="1:5" x14ac:dyDescent="0.2">
      <c r="A28815">
        <v>77986</v>
      </c>
      <c r="B28815" t="s">
        <v>50</v>
      </c>
      <c r="C28815">
        <v>77986</v>
      </c>
      <c r="D28815" t="str">
        <f>"77986"</f>
        <v>77986</v>
      </c>
      <c r="E28815" t="s">
        <v>6</v>
      </c>
    </row>
    <row r="28816" spans="1:5" x14ac:dyDescent="0.2">
      <c r="A28816">
        <v>77988</v>
      </c>
      <c r="B28816" t="s">
        <v>50</v>
      </c>
      <c r="C28816">
        <v>77988</v>
      </c>
      <c r="D28816" t="str">
        <f>"77988"</f>
        <v>77988</v>
      </c>
      <c r="E28816" t="s">
        <v>6</v>
      </c>
    </row>
    <row r="28817" spans="1:5" x14ac:dyDescent="0.2">
      <c r="A28817">
        <v>77990</v>
      </c>
      <c r="B28817" t="s">
        <v>50</v>
      </c>
      <c r="C28817">
        <v>77990</v>
      </c>
      <c r="D28817" t="str">
        <f>"77990"</f>
        <v>77990</v>
      </c>
      <c r="E28817">
        <v>62.07</v>
      </c>
    </row>
    <row r="28818" spans="1:5" x14ac:dyDescent="0.2">
      <c r="A28818">
        <v>77991</v>
      </c>
      <c r="B28818" t="s">
        <v>50</v>
      </c>
      <c r="C28818">
        <v>77991</v>
      </c>
      <c r="D28818" t="str">
        <f>"77991"</f>
        <v>77991</v>
      </c>
      <c r="E28818" t="s">
        <v>6</v>
      </c>
    </row>
    <row r="28819" spans="1:5" x14ac:dyDescent="0.2">
      <c r="A28819">
        <v>77994</v>
      </c>
      <c r="B28819" t="s">
        <v>50</v>
      </c>
      <c r="C28819">
        <v>77994</v>
      </c>
      <c r="D28819" t="str">
        <f>"77994"</f>
        <v>77994</v>
      </c>
      <c r="E28819">
        <v>68.75</v>
      </c>
    </row>
    <row r="28820" spans="1:5" x14ac:dyDescent="0.2">
      <c r="A28820">
        <v>77995</v>
      </c>
      <c r="B28820" t="s">
        <v>50</v>
      </c>
      <c r="C28820">
        <v>77995</v>
      </c>
      <c r="D28820" t="str">
        <f>"77995"</f>
        <v>77995</v>
      </c>
      <c r="E28820">
        <v>66.510000000000005</v>
      </c>
    </row>
    <row r="28821" spans="1:5" x14ac:dyDescent="0.2">
      <c r="A28821">
        <v>78002</v>
      </c>
      <c r="B28821" t="s">
        <v>50</v>
      </c>
      <c r="C28821">
        <v>78002</v>
      </c>
      <c r="D28821" t="str">
        <f>"78002"</f>
        <v>78002</v>
      </c>
      <c r="E28821">
        <v>57.1</v>
      </c>
    </row>
    <row r="28822" spans="1:5" x14ac:dyDescent="0.2">
      <c r="A28822">
        <v>78003</v>
      </c>
      <c r="B28822" t="s">
        <v>50</v>
      </c>
      <c r="C28822">
        <v>78003</v>
      </c>
      <c r="D28822" t="str">
        <f>"78003"</f>
        <v>78003</v>
      </c>
      <c r="E28822">
        <v>69.709999999999994</v>
      </c>
    </row>
    <row r="28823" spans="1:5" x14ac:dyDescent="0.2">
      <c r="A28823">
        <v>78004</v>
      </c>
      <c r="B28823" t="s">
        <v>50</v>
      </c>
      <c r="C28823">
        <v>78004</v>
      </c>
      <c r="D28823" t="str">
        <f>"78004"</f>
        <v>78004</v>
      </c>
      <c r="E28823">
        <v>80.650000000000006</v>
      </c>
    </row>
    <row r="28824" spans="1:5" x14ac:dyDescent="0.2">
      <c r="A28824">
        <v>78005</v>
      </c>
      <c r="B28824" t="s">
        <v>50</v>
      </c>
      <c r="C28824">
        <v>78005</v>
      </c>
      <c r="D28824" t="str">
        <f>"78005"</f>
        <v>78005</v>
      </c>
      <c r="E28824">
        <v>67.650000000000006</v>
      </c>
    </row>
    <row r="28825" spans="1:5" x14ac:dyDescent="0.2">
      <c r="A28825">
        <v>78006</v>
      </c>
      <c r="B28825" t="s">
        <v>50</v>
      </c>
      <c r="C28825">
        <v>78006</v>
      </c>
      <c r="D28825" t="str">
        <f>"78006"</f>
        <v>78006</v>
      </c>
      <c r="E28825">
        <v>77.7</v>
      </c>
    </row>
    <row r="28826" spans="1:5" x14ac:dyDescent="0.2">
      <c r="A28826">
        <v>78007</v>
      </c>
      <c r="B28826" t="s">
        <v>50</v>
      </c>
      <c r="C28826">
        <v>78007</v>
      </c>
      <c r="D28826" t="str">
        <f>"78007"</f>
        <v>78007</v>
      </c>
      <c r="E28826" t="s">
        <v>6</v>
      </c>
    </row>
    <row r="28827" spans="1:5" x14ac:dyDescent="0.2">
      <c r="A28827">
        <v>78008</v>
      </c>
      <c r="B28827" t="s">
        <v>50</v>
      </c>
      <c r="C28827">
        <v>78008</v>
      </c>
      <c r="D28827" t="str">
        <f>"78008"</f>
        <v>78008</v>
      </c>
      <c r="E28827">
        <v>69.23</v>
      </c>
    </row>
    <row r="28828" spans="1:5" x14ac:dyDescent="0.2">
      <c r="A28828">
        <v>78009</v>
      </c>
      <c r="B28828" t="s">
        <v>50</v>
      </c>
      <c r="C28828">
        <v>78009</v>
      </c>
      <c r="D28828" t="str">
        <f>"78009"</f>
        <v>78009</v>
      </c>
      <c r="E28828">
        <v>72.819999999999993</v>
      </c>
    </row>
    <row r="28829" spans="1:5" x14ac:dyDescent="0.2">
      <c r="A28829">
        <v>78010</v>
      </c>
      <c r="B28829" t="s">
        <v>50</v>
      </c>
      <c r="C28829">
        <v>78010</v>
      </c>
      <c r="D28829" t="str">
        <f>"78010"</f>
        <v>78010</v>
      </c>
      <c r="E28829">
        <v>64.83</v>
      </c>
    </row>
    <row r="28830" spans="1:5" x14ac:dyDescent="0.2">
      <c r="A28830">
        <v>78011</v>
      </c>
      <c r="B28830" t="s">
        <v>50</v>
      </c>
      <c r="C28830">
        <v>78011</v>
      </c>
      <c r="D28830" t="str">
        <f>"78011"</f>
        <v>78011</v>
      </c>
      <c r="E28830">
        <v>66.25</v>
      </c>
    </row>
    <row r="28831" spans="1:5" x14ac:dyDescent="0.2">
      <c r="A28831">
        <v>78012</v>
      </c>
      <c r="B28831" t="s">
        <v>50</v>
      </c>
      <c r="C28831">
        <v>78012</v>
      </c>
      <c r="D28831" t="str">
        <f>"78012"</f>
        <v>78012</v>
      </c>
      <c r="E28831">
        <v>57.89</v>
      </c>
    </row>
    <row r="28832" spans="1:5" x14ac:dyDescent="0.2">
      <c r="A28832">
        <v>78013</v>
      </c>
      <c r="B28832" t="s">
        <v>50</v>
      </c>
      <c r="C28832">
        <v>78013</v>
      </c>
      <c r="D28832" t="str">
        <f>"78013"</f>
        <v>78013</v>
      </c>
      <c r="E28832">
        <v>71.430000000000007</v>
      </c>
    </row>
    <row r="28833" spans="1:5" x14ac:dyDescent="0.2">
      <c r="A28833">
        <v>78014</v>
      </c>
      <c r="B28833" t="s">
        <v>50</v>
      </c>
      <c r="C28833">
        <v>78014</v>
      </c>
      <c r="D28833" t="str">
        <f>"78014"</f>
        <v>78014</v>
      </c>
      <c r="E28833">
        <v>57.5</v>
      </c>
    </row>
    <row r="28834" spans="1:5" x14ac:dyDescent="0.2">
      <c r="A28834">
        <v>78015</v>
      </c>
      <c r="B28834" t="s">
        <v>50</v>
      </c>
      <c r="C28834">
        <v>78015</v>
      </c>
      <c r="D28834" t="str">
        <f>"78015"</f>
        <v>78015</v>
      </c>
      <c r="E28834">
        <v>82.46</v>
      </c>
    </row>
    <row r="28835" spans="1:5" x14ac:dyDescent="0.2">
      <c r="A28835">
        <v>78016</v>
      </c>
      <c r="B28835" t="s">
        <v>50</v>
      </c>
      <c r="C28835">
        <v>78016</v>
      </c>
      <c r="D28835" t="str">
        <f>"78016"</f>
        <v>78016</v>
      </c>
      <c r="E28835">
        <v>67.95</v>
      </c>
    </row>
    <row r="28836" spans="1:5" x14ac:dyDescent="0.2">
      <c r="A28836">
        <v>78017</v>
      </c>
      <c r="B28836" t="s">
        <v>50</v>
      </c>
      <c r="C28836">
        <v>78017</v>
      </c>
      <c r="D28836" t="str">
        <f>"78017"</f>
        <v>78017</v>
      </c>
      <c r="E28836">
        <v>57.74</v>
      </c>
    </row>
    <row r="28837" spans="1:5" x14ac:dyDescent="0.2">
      <c r="A28837">
        <v>78019</v>
      </c>
      <c r="B28837" t="s">
        <v>50</v>
      </c>
      <c r="C28837">
        <v>78019</v>
      </c>
      <c r="D28837" t="str">
        <f>"78019"</f>
        <v>78019</v>
      </c>
      <c r="E28837" t="s">
        <v>6</v>
      </c>
    </row>
    <row r="28838" spans="1:5" x14ac:dyDescent="0.2">
      <c r="A28838">
        <v>78021</v>
      </c>
      <c r="B28838" t="s">
        <v>50</v>
      </c>
      <c r="C28838">
        <v>78021</v>
      </c>
      <c r="D28838" t="str">
        <f>"78021"</f>
        <v>78021</v>
      </c>
      <c r="E28838" t="s">
        <v>6</v>
      </c>
    </row>
    <row r="28839" spans="1:5" x14ac:dyDescent="0.2">
      <c r="A28839">
        <v>78022</v>
      </c>
      <c r="B28839" t="s">
        <v>50</v>
      </c>
      <c r="C28839">
        <v>78022</v>
      </c>
      <c r="D28839" t="str">
        <f>"78022"</f>
        <v>78022</v>
      </c>
      <c r="E28839">
        <v>66.67</v>
      </c>
    </row>
    <row r="28840" spans="1:5" x14ac:dyDescent="0.2">
      <c r="A28840">
        <v>78023</v>
      </c>
      <c r="B28840" t="s">
        <v>50</v>
      </c>
      <c r="C28840">
        <v>78023</v>
      </c>
      <c r="D28840" t="str">
        <f>"78023"</f>
        <v>78023</v>
      </c>
      <c r="E28840">
        <v>80.989999999999995</v>
      </c>
    </row>
    <row r="28841" spans="1:5" x14ac:dyDescent="0.2">
      <c r="A28841">
        <v>78024</v>
      </c>
      <c r="B28841" t="s">
        <v>50</v>
      </c>
      <c r="C28841">
        <v>78024</v>
      </c>
      <c r="D28841" t="str">
        <f>"78024"</f>
        <v>78024</v>
      </c>
      <c r="E28841">
        <v>73.97</v>
      </c>
    </row>
    <row r="28842" spans="1:5" x14ac:dyDescent="0.2">
      <c r="A28842">
        <v>78025</v>
      </c>
      <c r="B28842" t="s">
        <v>50</v>
      </c>
      <c r="C28842">
        <v>78025</v>
      </c>
      <c r="D28842" t="str">
        <f>"78025"</f>
        <v>78025</v>
      </c>
      <c r="E28842">
        <v>65.819999999999993</v>
      </c>
    </row>
    <row r="28843" spans="1:5" x14ac:dyDescent="0.2">
      <c r="A28843">
        <v>78026</v>
      </c>
      <c r="B28843" t="s">
        <v>50</v>
      </c>
      <c r="C28843">
        <v>78026</v>
      </c>
      <c r="D28843" t="str">
        <f>"78026"</f>
        <v>78026</v>
      </c>
      <c r="E28843">
        <v>66.91</v>
      </c>
    </row>
    <row r="28844" spans="1:5" x14ac:dyDescent="0.2">
      <c r="A28844">
        <v>78027</v>
      </c>
      <c r="B28844" t="s">
        <v>50</v>
      </c>
      <c r="C28844">
        <v>78027</v>
      </c>
      <c r="D28844" t="str">
        <f>"78027"</f>
        <v>78027</v>
      </c>
      <c r="E28844">
        <v>76</v>
      </c>
    </row>
    <row r="28845" spans="1:5" x14ac:dyDescent="0.2">
      <c r="A28845">
        <v>78028</v>
      </c>
      <c r="B28845" t="s">
        <v>50</v>
      </c>
      <c r="C28845">
        <v>78028</v>
      </c>
      <c r="D28845" t="str">
        <f>"78028"</f>
        <v>78028</v>
      </c>
      <c r="E28845">
        <v>70.2</v>
      </c>
    </row>
    <row r="28846" spans="1:5" x14ac:dyDescent="0.2">
      <c r="A28846">
        <v>78039</v>
      </c>
      <c r="B28846" t="s">
        <v>50</v>
      </c>
      <c r="C28846">
        <v>78039</v>
      </c>
      <c r="D28846" t="str">
        <f>"78039"</f>
        <v>78039</v>
      </c>
      <c r="E28846">
        <v>72.62</v>
      </c>
    </row>
    <row r="28847" spans="1:5" x14ac:dyDescent="0.2">
      <c r="A28847">
        <v>78040</v>
      </c>
      <c r="B28847" t="s">
        <v>50</v>
      </c>
      <c r="C28847">
        <v>78040</v>
      </c>
      <c r="D28847" t="str">
        <f>"78040"</f>
        <v>78040</v>
      </c>
      <c r="E28847">
        <v>38.6</v>
      </c>
    </row>
    <row r="28848" spans="1:5" x14ac:dyDescent="0.2">
      <c r="A28848">
        <v>78041</v>
      </c>
      <c r="B28848" t="s">
        <v>50</v>
      </c>
      <c r="C28848">
        <v>78041</v>
      </c>
      <c r="D28848" t="str">
        <f>"78041"</f>
        <v>78041</v>
      </c>
      <c r="E28848">
        <v>55.06</v>
      </c>
    </row>
    <row r="28849" spans="1:5" x14ac:dyDescent="0.2">
      <c r="A28849">
        <v>78043</v>
      </c>
      <c r="B28849" t="s">
        <v>50</v>
      </c>
      <c r="C28849">
        <v>78043</v>
      </c>
      <c r="D28849" t="str">
        <f>"78043"</f>
        <v>78043</v>
      </c>
      <c r="E28849">
        <v>47.39</v>
      </c>
    </row>
    <row r="28850" spans="1:5" x14ac:dyDescent="0.2">
      <c r="A28850">
        <v>78044</v>
      </c>
      <c r="B28850" t="s">
        <v>50</v>
      </c>
      <c r="C28850">
        <v>78044</v>
      </c>
      <c r="D28850" t="str">
        <f>"78044"</f>
        <v>78044</v>
      </c>
      <c r="E28850" t="s">
        <v>6</v>
      </c>
    </row>
    <row r="28851" spans="1:5" x14ac:dyDescent="0.2">
      <c r="A28851">
        <v>78045</v>
      </c>
      <c r="B28851" t="s">
        <v>50</v>
      </c>
      <c r="C28851">
        <v>78045</v>
      </c>
      <c r="D28851" t="str">
        <f>"78045"</f>
        <v>78045</v>
      </c>
      <c r="E28851">
        <v>64.52</v>
      </c>
    </row>
    <row r="28852" spans="1:5" x14ac:dyDescent="0.2">
      <c r="A28852">
        <v>78046</v>
      </c>
      <c r="B28852" t="s">
        <v>50</v>
      </c>
      <c r="C28852">
        <v>78046</v>
      </c>
      <c r="D28852" t="str">
        <f>"78046"</f>
        <v>78046</v>
      </c>
      <c r="E28852">
        <v>41.31</v>
      </c>
    </row>
    <row r="28853" spans="1:5" x14ac:dyDescent="0.2">
      <c r="A28853">
        <v>78050</v>
      </c>
      <c r="B28853" t="s">
        <v>50</v>
      </c>
      <c r="C28853">
        <v>78050</v>
      </c>
      <c r="D28853" t="str">
        <f>"78050"</f>
        <v>78050</v>
      </c>
      <c r="E28853" t="s">
        <v>6</v>
      </c>
    </row>
    <row r="28854" spans="1:5" x14ac:dyDescent="0.2">
      <c r="A28854">
        <v>78052</v>
      </c>
      <c r="B28854" t="s">
        <v>50</v>
      </c>
      <c r="C28854">
        <v>78052</v>
      </c>
      <c r="D28854" t="str">
        <f>"78052"</f>
        <v>78052</v>
      </c>
      <c r="E28854">
        <v>66.27</v>
      </c>
    </row>
    <row r="28855" spans="1:5" x14ac:dyDescent="0.2">
      <c r="A28855">
        <v>78054</v>
      </c>
      <c r="B28855" t="s">
        <v>50</v>
      </c>
      <c r="C28855">
        <v>78054</v>
      </c>
      <c r="D28855" t="str">
        <f>"78054"</f>
        <v>78054</v>
      </c>
      <c r="E28855" t="s">
        <v>6</v>
      </c>
    </row>
    <row r="28856" spans="1:5" x14ac:dyDescent="0.2">
      <c r="A28856">
        <v>78055</v>
      </c>
      <c r="B28856" t="s">
        <v>50</v>
      </c>
      <c r="C28856">
        <v>78055</v>
      </c>
      <c r="D28856" t="str">
        <f>"78055"</f>
        <v>78055</v>
      </c>
      <c r="E28856">
        <v>64.47</v>
      </c>
    </row>
    <row r="28857" spans="1:5" x14ac:dyDescent="0.2">
      <c r="A28857">
        <v>78056</v>
      </c>
      <c r="B28857" t="s">
        <v>50</v>
      </c>
      <c r="C28857">
        <v>78056</v>
      </c>
      <c r="D28857" t="str">
        <f>"78056"</f>
        <v>78056</v>
      </c>
      <c r="E28857">
        <v>82</v>
      </c>
    </row>
    <row r="28858" spans="1:5" x14ac:dyDescent="0.2">
      <c r="A28858">
        <v>78057</v>
      </c>
      <c r="B28858" t="s">
        <v>50</v>
      </c>
      <c r="C28858">
        <v>78057</v>
      </c>
      <c r="D28858" t="str">
        <f>"78057"</f>
        <v>78057</v>
      </c>
      <c r="E28858">
        <v>68</v>
      </c>
    </row>
    <row r="28859" spans="1:5" x14ac:dyDescent="0.2">
      <c r="A28859">
        <v>78058</v>
      </c>
      <c r="B28859" t="s">
        <v>50</v>
      </c>
      <c r="C28859">
        <v>78058</v>
      </c>
      <c r="D28859" t="str">
        <f>"78058"</f>
        <v>78058</v>
      </c>
      <c r="E28859">
        <v>70.489999999999995</v>
      </c>
    </row>
    <row r="28860" spans="1:5" x14ac:dyDescent="0.2">
      <c r="A28860">
        <v>78059</v>
      </c>
      <c r="B28860" t="s">
        <v>50</v>
      </c>
      <c r="C28860">
        <v>78059</v>
      </c>
      <c r="D28860" t="str">
        <f>"78059"</f>
        <v>78059</v>
      </c>
      <c r="E28860">
        <v>66.95</v>
      </c>
    </row>
    <row r="28861" spans="1:5" x14ac:dyDescent="0.2">
      <c r="A28861">
        <v>78060</v>
      </c>
      <c r="B28861" t="s">
        <v>50</v>
      </c>
      <c r="C28861">
        <v>78060</v>
      </c>
      <c r="D28861" t="str">
        <f>"78060"</f>
        <v>78060</v>
      </c>
      <c r="E28861" t="s">
        <v>6</v>
      </c>
    </row>
    <row r="28862" spans="1:5" x14ac:dyDescent="0.2">
      <c r="A28862">
        <v>78061</v>
      </c>
      <c r="B28862" t="s">
        <v>50</v>
      </c>
      <c r="C28862">
        <v>78061</v>
      </c>
      <c r="D28862" t="str">
        <f>"78061"</f>
        <v>78061</v>
      </c>
      <c r="E28862">
        <v>56.68</v>
      </c>
    </row>
    <row r="28863" spans="1:5" x14ac:dyDescent="0.2">
      <c r="A28863">
        <v>78063</v>
      </c>
      <c r="B28863" t="s">
        <v>50</v>
      </c>
      <c r="C28863">
        <v>78063</v>
      </c>
      <c r="D28863" t="str">
        <f>"78063"</f>
        <v>78063</v>
      </c>
      <c r="E28863">
        <v>73.11</v>
      </c>
    </row>
    <row r="28864" spans="1:5" x14ac:dyDescent="0.2">
      <c r="A28864">
        <v>78064</v>
      </c>
      <c r="B28864" t="s">
        <v>50</v>
      </c>
      <c r="C28864">
        <v>78064</v>
      </c>
      <c r="D28864" t="str">
        <f>"78064"</f>
        <v>78064</v>
      </c>
      <c r="E28864">
        <v>69.180000000000007</v>
      </c>
    </row>
    <row r="28865" spans="1:5" x14ac:dyDescent="0.2">
      <c r="A28865">
        <v>78065</v>
      </c>
      <c r="B28865" t="s">
        <v>50</v>
      </c>
      <c r="C28865">
        <v>78065</v>
      </c>
      <c r="D28865" t="str">
        <f>"78065"</f>
        <v>78065</v>
      </c>
      <c r="E28865">
        <v>61.44</v>
      </c>
    </row>
    <row r="28866" spans="1:5" x14ac:dyDescent="0.2">
      <c r="A28866">
        <v>78066</v>
      </c>
      <c r="B28866" t="s">
        <v>50</v>
      </c>
      <c r="C28866">
        <v>78066</v>
      </c>
      <c r="D28866" t="str">
        <f>"78066"</f>
        <v>78066</v>
      </c>
      <c r="E28866">
        <v>79.41</v>
      </c>
    </row>
    <row r="28867" spans="1:5" x14ac:dyDescent="0.2">
      <c r="A28867">
        <v>78067</v>
      </c>
      <c r="B28867" t="s">
        <v>50</v>
      </c>
      <c r="C28867">
        <v>78067</v>
      </c>
      <c r="D28867" t="str">
        <f>"78067"</f>
        <v>78067</v>
      </c>
      <c r="E28867">
        <v>48.15</v>
      </c>
    </row>
    <row r="28868" spans="1:5" x14ac:dyDescent="0.2">
      <c r="A28868">
        <v>78069</v>
      </c>
      <c r="B28868" t="s">
        <v>50</v>
      </c>
      <c r="C28868">
        <v>78069</v>
      </c>
      <c r="D28868" t="str">
        <f>"78069"</f>
        <v>78069</v>
      </c>
      <c r="E28868">
        <v>60.16</v>
      </c>
    </row>
    <row r="28869" spans="1:5" x14ac:dyDescent="0.2">
      <c r="A28869">
        <v>78070</v>
      </c>
      <c r="B28869" t="s">
        <v>50</v>
      </c>
      <c r="C28869">
        <v>78070</v>
      </c>
      <c r="D28869" t="str">
        <f>"78070"</f>
        <v>78070</v>
      </c>
      <c r="E28869">
        <v>76.930000000000007</v>
      </c>
    </row>
    <row r="28870" spans="1:5" x14ac:dyDescent="0.2">
      <c r="A28870">
        <v>78071</v>
      </c>
      <c r="B28870" t="s">
        <v>50</v>
      </c>
      <c r="C28870">
        <v>78071</v>
      </c>
      <c r="D28870" t="str">
        <f>"78071"</f>
        <v>78071</v>
      </c>
      <c r="E28870">
        <v>70.34</v>
      </c>
    </row>
    <row r="28871" spans="1:5" x14ac:dyDescent="0.2">
      <c r="A28871">
        <v>78072</v>
      </c>
      <c r="B28871" t="s">
        <v>50</v>
      </c>
      <c r="C28871">
        <v>78072</v>
      </c>
      <c r="D28871" t="str">
        <f>"78072"</f>
        <v>78072</v>
      </c>
      <c r="E28871">
        <v>78.13</v>
      </c>
    </row>
    <row r="28872" spans="1:5" x14ac:dyDescent="0.2">
      <c r="A28872">
        <v>78073</v>
      </c>
      <c r="B28872" t="s">
        <v>50</v>
      </c>
      <c r="C28872">
        <v>78073</v>
      </c>
      <c r="D28872" t="str">
        <f>"78073"</f>
        <v>78073</v>
      </c>
      <c r="E28872">
        <v>58.89</v>
      </c>
    </row>
    <row r="28873" spans="1:5" x14ac:dyDescent="0.2">
      <c r="A28873">
        <v>78074</v>
      </c>
      <c r="B28873" t="s">
        <v>50</v>
      </c>
      <c r="C28873">
        <v>78074</v>
      </c>
      <c r="D28873" t="str">
        <f>"78074"</f>
        <v>78074</v>
      </c>
      <c r="E28873" t="s">
        <v>6</v>
      </c>
    </row>
    <row r="28874" spans="1:5" x14ac:dyDescent="0.2">
      <c r="A28874">
        <v>78075</v>
      </c>
      <c r="B28874" t="s">
        <v>50</v>
      </c>
      <c r="C28874">
        <v>78075</v>
      </c>
      <c r="D28874" t="str">
        <f>"78075"</f>
        <v>78075</v>
      </c>
      <c r="E28874" t="s">
        <v>6</v>
      </c>
    </row>
    <row r="28875" spans="1:5" x14ac:dyDescent="0.2">
      <c r="A28875">
        <v>78076</v>
      </c>
      <c r="B28875" t="s">
        <v>50</v>
      </c>
      <c r="C28875">
        <v>78076</v>
      </c>
      <c r="D28875" t="str">
        <f>"78076"</f>
        <v>78076</v>
      </c>
      <c r="E28875">
        <v>43.57</v>
      </c>
    </row>
    <row r="28876" spans="1:5" x14ac:dyDescent="0.2">
      <c r="A28876">
        <v>78101</v>
      </c>
      <c r="B28876" t="s">
        <v>50</v>
      </c>
      <c r="C28876">
        <v>78101</v>
      </c>
      <c r="D28876" t="str">
        <f>"78101"</f>
        <v>78101</v>
      </c>
      <c r="E28876">
        <v>74.760000000000005</v>
      </c>
    </row>
    <row r="28877" spans="1:5" x14ac:dyDescent="0.2">
      <c r="A28877">
        <v>78102</v>
      </c>
      <c r="B28877" t="s">
        <v>50</v>
      </c>
      <c r="C28877">
        <v>78102</v>
      </c>
      <c r="D28877" t="str">
        <f>"78102"</f>
        <v>78102</v>
      </c>
      <c r="E28877">
        <v>61.69</v>
      </c>
    </row>
    <row r="28878" spans="1:5" x14ac:dyDescent="0.2">
      <c r="A28878">
        <v>78107</v>
      </c>
      <c r="B28878" t="s">
        <v>50</v>
      </c>
      <c r="C28878">
        <v>78107</v>
      </c>
      <c r="D28878" t="str">
        <f>"78107"</f>
        <v>78107</v>
      </c>
      <c r="E28878" t="s">
        <v>6</v>
      </c>
    </row>
    <row r="28879" spans="1:5" x14ac:dyDescent="0.2">
      <c r="A28879">
        <v>78108</v>
      </c>
      <c r="B28879" t="s">
        <v>50</v>
      </c>
      <c r="C28879">
        <v>78108</v>
      </c>
      <c r="D28879" t="str">
        <f>"78108"</f>
        <v>78108</v>
      </c>
      <c r="E28879">
        <v>76.680000000000007</v>
      </c>
    </row>
    <row r="28880" spans="1:5" x14ac:dyDescent="0.2">
      <c r="A28880">
        <v>78109</v>
      </c>
      <c r="B28880" t="s">
        <v>50</v>
      </c>
      <c r="C28880">
        <v>78109</v>
      </c>
      <c r="D28880" t="str">
        <f>"78109"</f>
        <v>78109</v>
      </c>
      <c r="E28880">
        <v>68.400000000000006</v>
      </c>
    </row>
    <row r="28881" spans="1:5" x14ac:dyDescent="0.2">
      <c r="A28881">
        <v>78111</v>
      </c>
      <c r="B28881" t="s">
        <v>50</v>
      </c>
      <c r="C28881">
        <v>78111</v>
      </c>
      <c r="D28881" t="str">
        <f>"78111"</f>
        <v>78111</v>
      </c>
      <c r="E28881" t="s">
        <v>6</v>
      </c>
    </row>
    <row r="28882" spans="1:5" x14ac:dyDescent="0.2">
      <c r="A28882">
        <v>78112</v>
      </c>
      <c r="B28882" t="s">
        <v>50</v>
      </c>
      <c r="C28882">
        <v>78112</v>
      </c>
      <c r="D28882" t="str">
        <f>"78112"</f>
        <v>78112</v>
      </c>
      <c r="E28882">
        <v>58.31</v>
      </c>
    </row>
    <row r="28883" spans="1:5" x14ac:dyDescent="0.2">
      <c r="A28883">
        <v>78113</v>
      </c>
      <c r="B28883" t="s">
        <v>50</v>
      </c>
      <c r="C28883">
        <v>78113</v>
      </c>
      <c r="D28883" t="str">
        <f>"78113"</f>
        <v>78113</v>
      </c>
      <c r="E28883">
        <v>79.44</v>
      </c>
    </row>
    <row r="28884" spans="1:5" x14ac:dyDescent="0.2">
      <c r="A28884">
        <v>78114</v>
      </c>
      <c r="B28884" t="s">
        <v>50</v>
      </c>
      <c r="C28884">
        <v>78114</v>
      </c>
      <c r="D28884" t="str">
        <f>"78114"</f>
        <v>78114</v>
      </c>
      <c r="E28884">
        <v>71.87</v>
      </c>
    </row>
    <row r="28885" spans="1:5" x14ac:dyDescent="0.2">
      <c r="A28885">
        <v>78116</v>
      </c>
      <c r="B28885" t="s">
        <v>50</v>
      </c>
      <c r="C28885">
        <v>78116</v>
      </c>
      <c r="D28885" t="str">
        <f>"78116"</f>
        <v>78116</v>
      </c>
      <c r="E28885">
        <v>71.430000000000007</v>
      </c>
    </row>
    <row r="28886" spans="1:5" x14ac:dyDescent="0.2">
      <c r="A28886">
        <v>78117</v>
      </c>
      <c r="B28886" t="s">
        <v>50</v>
      </c>
      <c r="C28886">
        <v>78117</v>
      </c>
      <c r="D28886" t="str">
        <f>"78117"</f>
        <v>78117</v>
      </c>
      <c r="E28886">
        <v>78.569999999999993</v>
      </c>
    </row>
    <row r="28887" spans="1:5" x14ac:dyDescent="0.2">
      <c r="A28887">
        <v>78118</v>
      </c>
      <c r="B28887" t="s">
        <v>50</v>
      </c>
      <c r="C28887">
        <v>78118</v>
      </c>
      <c r="D28887" t="str">
        <f>"78118"</f>
        <v>78118</v>
      </c>
      <c r="E28887">
        <v>69.06</v>
      </c>
    </row>
    <row r="28888" spans="1:5" x14ac:dyDescent="0.2">
      <c r="A28888">
        <v>78119</v>
      </c>
      <c r="B28888" t="s">
        <v>50</v>
      </c>
      <c r="C28888">
        <v>78119</v>
      </c>
      <c r="D28888" t="str">
        <f>"78119"</f>
        <v>78119</v>
      </c>
      <c r="E28888">
        <v>66.36</v>
      </c>
    </row>
    <row r="28889" spans="1:5" x14ac:dyDescent="0.2">
      <c r="A28889">
        <v>78121</v>
      </c>
      <c r="B28889" t="s">
        <v>50</v>
      </c>
      <c r="C28889">
        <v>78121</v>
      </c>
      <c r="D28889" t="str">
        <f>"78121"</f>
        <v>78121</v>
      </c>
      <c r="E28889">
        <v>77.55</v>
      </c>
    </row>
    <row r="28890" spans="1:5" x14ac:dyDescent="0.2">
      <c r="A28890">
        <v>78122</v>
      </c>
      <c r="B28890" t="s">
        <v>50</v>
      </c>
      <c r="C28890">
        <v>78122</v>
      </c>
      <c r="D28890" t="str">
        <f>"78122"</f>
        <v>78122</v>
      </c>
      <c r="E28890">
        <v>61.11</v>
      </c>
    </row>
    <row r="28891" spans="1:5" x14ac:dyDescent="0.2">
      <c r="A28891">
        <v>78123</v>
      </c>
      <c r="B28891" t="s">
        <v>50</v>
      </c>
      <c r="C28891">
        <v>78123</v>
      </c>
      <c r="D28891" t="str">
        <f>"78123"</f>
        <v>78123</v>
      </c>
      <c r="E28891">
        <v>71.430000000000007</v>
      </c>
    </row>
    <row r="28892" spans="1:5" x14ac:dyDescent="0.2">
      <c r="A28892">
        <v>78124</v>
      </c>
      <c r="B28892" t="s">
        <v>50</v>
      </c>
      <c r="C28892">
        <v>78124</v>
      </c>
      <c r="D28892" t="str">
        <f>"78124"</f>
        <v>78124</v>
      </c>
      <c r="E28892">
        <v>73.599999999999994</v>
      </c>
    </row>
    <row r="28893" spans="1:5" x14ac:dyDescent="0.2">
      <c r="A28893">
        <v>78130</v>
      </c>
      <c r="B28893" t="s">
        <v>50</v>
      </c>
      <c r="C28893">
        <v>78130</v>
      </c>
      <c r="D28893" t="str">
        <f>"78130"</f>
        <v>78130</v>
      </c>
      <c r="E28893">
        <v>72.95</v>
      </c>
    </row>
    <row r="28894" spans="1:5" x14ac:dyDescent="0.2">
      <c r="A28894">
        <v>78132</v>
      </c>
      <c r="B28894" t="s">
        <v>50</v>
      </c>
      <c r="C28894">
        <v>78132</v>
      </c>
      <c r="D28894" t="str">
        <f>"78132"</f>
        <v>78132</v>
      </c>
      <c r="E28894">
        <v>78.27</v>
      </c>
    </row>
    <row r="28895" spans="1:5" x14ac:dyDescent="0.2">
      <c r="A28895">
        <v>78133</v>
      </c>
      <c r="B28895" t="s">
        <v>50</v>
      </c>
      <c r="C28895">
        <v>78133</v>
      </c>
      <c r="D28895" t="str">
        <f>"78133"</f>
        <v>78133</v>
      </c>
      <c r="E28895">
        <v>73.97</v>
      </c>
    </row>
    <row r="28896" spans="1:5" x14ac:dyDescent="0.2">
      <c r="A28896">
        <v>78140</v>
      </c>
      <c r="B28896" t="s">
        <v>50</v>
      </c>
      <c r="C28896">
        <v>78140</v>
      </c>
      <c r="D28896" t="str">
        <f>"78140"</f>
        <v>78140</v>
      </c>
      <c r="E28896">
        <v>63.38</v>
      </c>
    </row>
    <row r="28897" spans="1:5" x14ac:dyDescent="0.2">
      <c r="A28897">
        <v>78141</v>
      </c>
      <c r="B28897" t="s">
        <v>50</v>
      </c>
      <c r="C28897">
        <v>78141</v>
      </c>
      <c r="D28897" t="str">
        <f>"78141"</f>
        <v>78141</v>
      </c>
      <c r="E28897">
        <v>62.5</v>
      </c>
    </row>
    <row r="28898" spans="1:5" x14ac:dyDescent="0.2">
      <c r="A28898">
        <v>78142</v>
      </c>
      <c r="B28898" t="s">
        <v>50</v>
      </c>
      <c r="C28898">
        <v>78142</v>
      </c>
      <c r="D28898" t="str">
        <f>"78142"</f>
        <v>78142</v>
      </c>
      <c r="E28898" t="s">
        <v>6</v>
      </c>
    </row>
    <row r="28899" spans="1:5" x14ac:dyDescent="0.2">
      <c r="A28899">
        <v>78144</v>
      </c>
      <c r="B28899" t="s">
        <v>50</v>
      </c>
      <c r="C28899">
        <v>78144</v>
      </c>
      <c r="D28899" t="str">
        <f>"78144"</f>
        <v>78144</v>
      </c>
      <c r="E28899" t="s">
        <v>6</v>
      </c>
    </row>
    <row r="28900" spans="1:5" x14ac:dyDescent="0.2">
      <c r="A28900">
        <v>78145</v>
      </c>
      <c r="B28900" t="s">
        <v>50</v>
      </c>
      <c r="C28900">
        <v>78145</v>
      </c>
      <c r="D28900" t="str">
        <f>"78145"</f>
        <v>78145</v>
      </c>
      <c r="E28900" t="s">
        <v>6</v>
      </c>
    </row>
    <row r="28901" spans="1:5" x14ac:dyDescent="0.2">
      <c r="A28901">
        <v>78146</v>
      </c>
      <c r="B28901" t="s">
        <v>50</v>
      </c>
      <c r="C28901">
        <v>78146</v>
      </c>
      <c r="D28901" t="str">
        <f>"78146"</f>
        <v>78146</v>
      </c>
      <c r="E28901" t="s">
        <v>6</v>
      </c>
    </row>
    <row r="28902" spans="1:5" x14ac:dyDescent="0.2">
      <c r="A28902">
        <v>78147</v>
      </c>
      <c r="B28902" t="s">
        <v>50</v>
      </c>
      <c r="C28902">
        <v>78147</v>
      </c>
      <c r="D28902" t="str">
        <f>"78147"</f>
        <v>78147</v>
      </c>
      <c r="E28902" t="s">
        <v>6</v>
      </c>
    </row>
    <row r="28903" spans="1:5" x14ac:dyDescent="0.2">
      <c r="A28903">
        <v>78148</v>
      </c>
      <c r="B28903" t="s">
        <v>50</v>
      </c>
      <c r="C28903">
        <v>78148</v>
      </c>
      <c r="D28903" t="str">
        <f>"78148"</f>
        <v>78148</v>
      </c>
      <c r="E28903">
        <v>73.19</v>
      </c>
    </row>
    <row r="28904" spans="1:5" x14ac:dyDescent="0.2">
      <c r="A28904">
        <v>78150</v>
      </c>
      <c r="B28904" t="s">
        <v>50</v>
      </c>
      <c r="C28904">
        <v>78150</v>
      </c>
      <c r="D28904" t="str">
        <f>"78150"</f>
        <v>78150</v>
      </c>
      <c r="E28904" t="s">
        <v>6</v>
      </c>
    </row>
    <row r="28905" spans="1:5" x14ac:dyDescent="0.2">
      <c r="A28905">
        <v>78151</v>
      </c>
      <c r="B28905" t="s">
        <v>50</v>
      </c>
      <c r="C28905">
        <v>78151</v>
      </c>
      <c r="D28905" t="str">
        <f>"78151"</f>
        <v>78151</v>
      </c>
      <c r="E28905">
        <v>63.33</v>
      </c>
    </row>
    <row r="28906" spans="1:5" x14ac:dyDescent="0.2">
      <c r="A28906">
        <v>78152</v>
      </c>
      <c r="B28906" t="s">
        <v>50</v>
      </c>
      <c r="C28906">
        <v>78152</v>
      </c>
      <c r="D28906" t="str">
        <f>"78152"</f>
        <v>78152</v>
      </c>
      <c r="E28906">
        <v>77.17</v>
      </c>
    </row>
    <row r="28907" spans="1:5" x14ac:dyDescent="0.2">
      <c r="A28907">
        <v>78154</v>
      </c>
      <c r="B28907" t="s">
        <v>50</v>
      </c>
      <c r="C28907">
        <v>78154</v>
      </c>
      <c r="D28907" t="str">
        <f>"78154"</f>
        <v>78154</v>
      </c>
      <c r="E28907">
        <v>76.22</v>
      </c>
    </row>
    <row r="28908" spans="1:5" x14ac:dyDescent="0.2">
      <c r="A28908">
        <v>78155</v>
      </c>
      <c r="B28908" t="s">
        <v>50</v>
      </c>
      <c r="C28908">
        <v>78155</v>
      </c>
      <c r="D28908" t="str">
        <f>"78155"</f>
        <v>78155</v>
      </c>
      <c r="E28908">
        <v>69.05</v>
      </c>
    </row>
    <row r="28909" spans="1:5" x14ac:dyDescent="0.2">
      <c r="A28909">
        <v>78159</v>
      </c>
      <c r="B28909" t="s">
        <v>50</v>
      </c>
      <c r="C28909">
        <v>78159</v>
      </c>
      <c r="D28909" t="str">
        <f>"78159"</f>
        <v>78159</v>
      </c>
      <c r="E28909">
        <v>66.67</v>
      </c>
    </row>
    <row r="28910" spans="1:5" x14ac:dyDescent="0.2">
      <c r="A28910">
        <v>78160</v>
      </c>
      <c r="B28910" t="s">
        <v>50</v>
      </c>
      <c r="C28910">
        <v>78160</v>
      </c>
      <c r="D28910" t="str">
        <f>"78160"</f>
        <v>78160</v>
      </c>
      <c r="E28910">
        <v>72.58</v>
      </c>
    </row>
    <row r="28911" spans="1:5" x14ac:dyDescent="0.2">
      <c r="A28911">
        <v>78161</v>
      </c>
      <c r="B28911" t="s">
        <v>50</v>
      </c>
      <c r="C28911">
        <v>78161</v>
      </c>
      <c r="D28911" t="str">
        <f>"78161"</f>
        <v>78161</v>
      </c>
      <c r="E28911">
        <v>69.44</v>
      </c>
    </row>
    <row r="28912" spans="1:5" x14ac:dyDescent="0.2">
      <c r="A28912">
        <v>78162</v>
      </c>
      <c r="B28912" t="s">
        <v>50</v>
      </c>
      <c r="C28912">
        <v>78162</v>
      </c>
      <c r="D28912" t="str">
        <f>"78162"</f>
        <v>78162</v>
      </c>
      <c r="E28912" t="s">
        <v>6</v>
      </c>
    </row>
    <row r="28913" spans="1:5" x14ac:dyDescent="0.2">
      <c r="A28913">
        <v>78163</v>
      </c>
      <c r="B28913" t="s">
        <v>50</v>
      </c>
      <c r="C28913">
        <v>78163</v>
      </c>
      <c r="D28913" t="str">
        <f>"78163"</f>
        <v>78163</v>
      </c>
      <c r="E28913">
        <v>78.790000000000006</v>
      </c>
    </row>
    <row r="28914" spans="1:5" x14ac:dyDescent="0.2">
      <c r="A28914">
        <v>78164</v>
      </c>
      <c r="B28914" t="s">
        <v>50</v>
      </c>
      <c r="C28914">
        <v>78164</v>
      </c>
      <c r="D28914" t="str">
        <f>"78164"</f>
        <v>78164</v>
      </c>
      <c r="E28914">
        <v>69.05</v>
      </c>
    </row>
    <row r="28915" spans="1:5" x14ac:dyDescent="0.2">
      <c r="A28915">
        <v>78201</v>
      </c>
      <c r="B28915" t="s">
        <v>50</v>
      </c>
      <c r="C28915">
        <v>78201</v>
      </c>
      <c r="D28915" t="str">
        <f>"78201"</f>
        <v>78201</v>
      </c>
      <c r="E28915">
        <v>59.32</v>
      </c>
    </row>
    <row r="28916" spans="1:5" x14ac:dyDescent="0.2">
      <c r="A28916">
        <v>78202</v>
      </c>
      <c r="B28916" t="s">
        <v>50</v>
      </c>
      <c r="C28916">
        <v>78202</v>
      </c>
      <c r="D28916" t="str">
        <f>"78202"</f>
        <v>78202</v>
      </c>
      <c r="E28916">
        <v>47.46</v>
      </c>
    </row>
    <row r="28917" spans="1:5" x14ac:dyDescent="0.2">
      <c r="A28917">
        <v>78203</v>
      </c>
      <c r="B28917" t="s">
        <v>50</v>
      </c>
      <c r="C28917">
        <v>78203</v>
      </c>
      <c r="D28917" t="str">
        <f>"78203"</f>
        <v>78203</v>
      </c>
      <c r="E28917">
        <v>48.56</v>
      </c>
    </row>
    <row r="28918" spans="1:5" x14ac:dyDescent="0.2">
      <c r="A28918">
        <v>78204</v>
      </c>
      <c r="B28918" t="s">
        <v>50</v>
      </c>
      <c r="C28918">
        <v>78204</v>
      </c>
      <c r="D28918" t="str">
        <f>"78204"</f>
        <v>78204</v>
      </c>
      <c r="E28918">
        <v>62.97</v>
      </c>
    </row>
    <row r="28919" spans="1:5" x14ac:dyDescent="0.2">
      <c r="A28919">
        <v>78205</v>
      </c>
      <c r="B28919" t="s">
        <v>50</v>
      </c>
      <c r="C28919">
        <v>78205</v>
      </c>
      <c r="D28919" t="str">
        <f>"78205"</f>
        <v>78205</v>
      </c>
      <c r="E28919">
        <v>82.22</v>
      </c>
    </row>
    <row r="28920" spans="1:5" x14ac:dyDescent="0.2">
      <c r="A28920">
        <v>78206</v>
      </c>
      <c r="B28920" t="s">
        <v>50</v>
      </c>
      <c r="C28920">
        <v>78206</v>
      </c>
      <c r="D28920" t="str">
        <f>"78206"</f>
        <v>78206</v>
      </c>
      <c r="E28920" t="s">
        <v>6</v>
      </c>
    </row>
    <row r="28921" spans="1:5" x14ac:dyDescent="0.2">
      <c r="A28921">
        <v>78207</v>
      </c>
      <c r="B28921" t="s">
        <v>50</v>
      </c>
      <c r="C28921">
        <v>78207</v>
      </c>
      <c r="D28921" t="str">
        <f>"78207"</f>
        <v>78207</v>
      </c>
      <c r="E28921">
        <v>47.13</v>
      </c>
    </row>
    <row r="28922" spans="1:5" x14ac:dyDescent="0.2">
      <c r="A28922">
        <v>78208</v>
      </c>
      <c r="B28922" t="s">
        <v>50</v>
      </c>
      <c r="C28922">
        <v>78208</v>
      </c>
      <c r="D28922" t="str">
        <f>"78208"</f>
        <v>78208</v>
      </c>
      <c r="E28922">
        <v>53.37</v>
      </c>
    </row>
    <row r="28923" spans="1:5" x14ac:dyDescent="0.2">
      <c r="A28923">
        <v>78209</v>
      </c>
      <c r="B28923" t="s">
        <v>50</v>
      </c>
      <c r="C28923">
        <v>78209</v>
      </c>
      <c r="D28923" t="str">
        <f>"78209"</f>
        <v>78209</v>
      </c>
      <c r="E28923">
        <v>79.900000000000006</v>
      </c>
    </row>
    <row r="28924" spans="1:5" x14ac:dyDescent="0.2">
      <c r="A28924">
        <v>78210</v>
      </c>
      <c r="B28924" t="s">
        <v>50</v>
      </c>
      <c r="C28924">
        <v>78210</v>
      </c>
      <c r="D28924" t="str">
        <f>"78210"</f>
        <v>78210</v>
      </c>
      <c r="E28924">
        <v>58.32</v>
      </c>
    </row>
    <row r="28925" spans="1:5" x14ac:dyDescent="0.2">
      <c r="A28925">
        <v>78211</v>
      </c>
      <c r="B28925" t="s">
        <v>50</v>
      </c>
      <c r="C28925">
        <v>78211</v>
      </c>
      <c r="D28925" t="str">
        <f>"78211"</f>
        <v>78211</v>
      </c>
      <c r="E28925">
        <v>51</v>
      </c>
    </row>
    <row r="28926" spans="1:5" x14ac:dyDescent="0.2">
      <c r="A28926">
        <v>78212</v>
      </c>
      <c r="B28926" t="s">
        <v>50</v>
      </c>
      <c r="C28926">
        <v>78212</v>
      </c>
      <c r="D28926" t="str">
        <f>"78212"</f>
        <v>78212</v>
      </c>
      <c r="E28926">
        <v>70.3</v>
      </c>
    </row>
    <row r="28927" spans="1:5" x14ac:dyDescent="0.2">
      <c r="A28927">
        <v>78213</v>
      </c>
      <c r="B28927" t="s">
        <v>50</v>
      </c>
      <c r="C28927">
        <v>78213</v>
      </c>
      <c r="D28927" t="str">
        <f>"78213"</f>
        <v>78213</v>
      </c>
      <c r="E28927">
        <v>64.680000000000007</v>
      </c>
    </row>
    <row r="28928" spans="1:5" x14ac:dyDescent="0.2">
      <c r="A28928">
        <v>78214</v>
      </c>
      <c r="B28928" t="s">
        <v>50</v>
      </c>
      <c r="C28928">
        <v>78214</v>
      </c>
      <c r="D28928" t="str">
        <f>"78214"</f>
        <v>78214</v>
      </c>
      <c r="E28928">
        <v>54.35</v>
      </c>
    </row>
    <row r="28929" spans="1:5" x14ac:dyDescent="0.2">
      <c r="A28929">
        <v>78215</v>
      </c>
      <c r="B28929" t="s">
        <v>50</v>
      </c>
      <c r="C28929">
        <v>78215</v>
      </c>
      <c r="D28929" t="str">
        <f>"78215"</f>
        <v>78215</v>
      </c>
      <c r="E28929">
        <v>88</v>
      </c>
    </row>
    <row r="28930" spans="1:5" x14ac:dyDescent="0.2">
      <c r="A28930">
        <v>78216</v>
      </c>
      <c r="B28930" t="s">
        <v>50</v>
      </c>
      <c r="C28930">
        <v>78216</v>
      </c>
      <c r="D28930" t="str">
        <f>"78216"</f>
        <v>78216</v>
      </c>
      <c r="E28930">
        <v>71.66</v>
      </c>
    </row>
    <row r="28931" spans="1:5" x14ac:dyDescent="0.2">
      <c r="A28931">
        <v>78217</v>
      </c>
      <c r="B28931" t="s">
        <v>50</v>
      </c>
      <c r="C28931">
        <v>78217</v>
      </c>
      <c r="D28931" t="str">
        <f>"78217"</f>
        <v>78217</v>
      </c>
      <c r="E28931">
        <v>66.849999999999994</v>
      </c>
    </row>
    <row r="28932" spans="1:5" x14ac:dyDescent="0.2">
      <c r="A28932">
        <v>78218</v>
      </c>
      <c r="B28932" t="s">
        <v>50</v>
      </c>
      <c r="C28932">
        <v>78218</v>
      </c>
      <c r="D28932" t="str">
        <f>"78218"</f>
        <v>78218</v>
      </c>
      <c r="E28932">
        <v>60.73</v>
      </c>
    </row>
    <row r="28933" spans="1:5" x14ac:dyDescent="0.2">
      <c r="A28933">
        <v>78219</v>
      </c>
      <c r="B28933" t="s">
        <v>50</v>
      </c>
      <c r="C28933">
        <v>78219</v>
      </c>
      <c r="D28933" t="str">
        <f>"78219"</f>
        <v>78219</v>
      </c>
      <c r="E28933">
        <v>54.73</v>
      </c>
    </row>
    <row r="28934" spans="1:5" x14ac:dyDescent="0.2">
      <c r="A28934">
        <v>78220</v>
      </c>
      <c r="B28934" t="s">
        <v>50</v>
      </c>
      <c r="C28934">
        <v>78220</v>
      </c>
      <c r="D28934" t="str">
        <f>"78220"</f>
        <v>78220</v>
      </c>
      <c r="E28934">
        <v>52.05</v>
      </c>
    </row>
    <row r="28935" spans="1:5" x14ac:dyDescent="0.2">
      <c r="A28935">
        <v>78221</v>
      </c>
      <c r="B28935" t="s">
        <v>50</v>
      </c>
      <c r="C28935">
        <v>78221</v>
      </c>
      <c r="D28935" t="str">
        <f>"78221"</f>
        <v>78221</v>
      </c>
      <c r="E28935">
        <v>57.63</v>
      </c>
    </row>
    <row r="28936" spans="1:5" x14ac:dyDescent="0.2">
      <c r="A28936">
        <v>78222</v>
      </c>
      <c r="B28936" t="s">
        <v>50</v>
      </c>
      <c r="C28936">
        <v>78222</v>
      </c>
      <c r="D28936" t="str">
        <f>"78222"</f>
        <v>78222</v>
      </c>
      <c r="E28936">
        <v>62.15</v>
      </c>
    </row>
    <row r="28937" spans="1:5" x14ac:dyDescent="0.2">
      <c r="A28937">
        <v>78223</v>
      </c>
      <c r="B28937" t="s">
        <v>50</v>
      </c>
      <c r="C28937">
        <v>78223</v>
      </c>
      <c r="D28937" t="str">
        <f>"78223"</f>
        <v>78223</v>
      </c>
      <c r="E28937">
        <v>60.68</v>
      </c>
    </row>
    <row r="28938" spans="1:5" x14ac:dyDescent="0.2">
      <c r="A28938">
        <v>78224</v>
      </c>
      <c r="B28938" t="s">
        <v>50</v>
      </c>
      <c r="C28938">
        <v>78224</v>
      </c>
      <c r="D28938" t="str">
        <f>"78224"</f>
        <v>78224</v>
      </c>
      <c r="E28938">
        <v>57.05</v>
      </c>
    </row>
    <row r="28939" spans="1:5" x14ac:dyDescent="0.2">
      <c r="A28939">
        <v>78225</v>
      </c>
      <c r="B28939" t="s">
        <v>50</v>
      </c>
      <c r="C28939">
        <v>78225</v>
      </c>
      <c r="D28939" t="str">
        <f>"78225"</f>
        <v>78225</v>
      </c>
      <c r="E28939">
        <v>57.39</v>
      </c>
    </row>
    <row r="28940" spans="1:5" x14ac:dyDescent="0.2">
      <c r="A28940">
        <v>78226</v>
      </c>
      <c r="B28940" t="s">
        <v>50</v>
      </c>
      <c r="C28940">
        <v>78226</v>
      </c>
      <c r="D28940" t="str">
        <f>"78226"</f>
        <v>78226</v>
      </c>
      <c r="E28940">
        <v>54.61</v>
      </c>
    </row>
    <row r="28941" spans="1:5" x14ac:dyDescent="0.2">
      <c r="A28941">
        <v>78227</v>
      </c>
      <c r="B28941" t="s">
        <v>50</v>
      </c>
      <c r="C28941">
        <v>78227</v>
      </c>
      <c r="D28941" t="str">
        <f>"78227"</f>
        <v>78227</v>
      </c>
      <c r="E28941">
        <v>55.07</v>
      </c>
    </row>
    <row r="28942" spans="1:5" x14ac:dyDescent="0.2">
      <c r="A28942">
        <v>78228</v>
      </c>
      <c r="B28942" t="s">
        <v>50</v>
      </c>
      <c r="C28942">
        <v>78228</v>
      </c>
      <c r="D28942" t="str">
        <f>"78228"</f>
        <v>78228</v>
      </c>
      <c r="E28942">
        <v>57.82</v>
      </c>
    </row>
    <row r="28943" spans="1:5" x14ac:dyDescent="0.2">
      <c r="A28943">
        <v>78229</v>
      </c>
      <c r="B28943" t="s">
        <v>50</v>
      </c>
      <c r="C28943">
        <v>78229</v>
      </c>
      <c r="D28943" t="str">
        <f>"78229"</f>
        <v>78229</v>
      </c>
      <c r="E28943">
        <v>67.67</v>
      </c>
    </row>
    <row r="28944" spans="1:5" x14ac:dyDescent="0.2">
      <c r="A28944">
        <v>78230</v>
      </c>
      <c r="B28944" t="s">
        <v>50</v>
      </c>
      <c r="C28944">
        <v>78230</v>
      </c>
      <c r="D28944" t="str">
        <f>"78230"</f>
        <v>78230</v>
      </c>
      <c r="E28944">
        <v>76.400000000000006</v>
      </c>
    </row>
    <row r="28945" spans="1:5" x14ac:dyDescent="0.2">
      <c r="A28945">
        <v>78231</v>
      </c>
      <c r="B28945" t="s">
        <v>50</v>
      </c>
      <c r="C28945">
        <v>78231</v>
      </c>
      <c r="D28945" t="str">
        <f>"78231"</f>
        <v>78231</v>
      </c>
      <c r="E28945">
        <v>80.22</v>
      </c>
    </row>
    <row r="28946" spans="1:5" x14ac:dyDescent="0.2">
      <c r="A28946">
        <v>78232</v>
      </c>
      <c r="B28946" t="s">
        <v>50</v>
      </c>
      <c r="C28946">
        <v>78232</v>
      </c>
      <c r="D28946" t="str">
        <f>"78232"</f>
        <v>78232</v>
      </c>
      <c r="E28946">
        <v>78.819999999999993</v>
      </c>
    </row>
    <row r="28947" spans="1:5" x14ac:dyDescent="0.2">
      <c r="A28947">
        <v>78233</v>
      </c>
      <c r="B28947" t="s">
        <v>50</v>
      </c>
      <c r="C28947">
        <v>78233</v>
      </c>
      <c r="D28947" t="str">
        <f>"78233"</f>
        <v>78233</v>
      </c>
      <c r="E28947">
        <v>70.05</v>
      </c>
    </row>
    <row r="28948" spans="1:5" x14ac:dyDescent="0.2">
      <c r="A28948">
        <v>78234</v>
      </c>
      <c r="B28948" t="s">
        <v>50</v>
      </c>
      <c r="C28948">
        <v>78234</v>
      </c>
      <c r="D28948" t="str">
        <f>"78234"</f>
        <v>78234</v>
      </c>
      <c r="E28948">
        <v>69.19</v>
      </c>
    </row>
    <row r="28949" spans="1:5" x14ac:dyDescent="0.2">
      <c r="A28949">
        <v>78235</v>
      </c>
      <c r="B28949" t="s">
        <v>50</v>
      </c>
      <c r="C28949">
        <v>78235</v>
      </c>
      <c r="D28949" t="str">
        <f>"78235"</f>
        <v>78235</v>
      </c>
      <c r="E28949">
        <v>73.86</v>
      </c>
    </row>
    <row r="28950" spans="1:5" x14ac:dyDescent="0.2">
      <c r="A28950">
        <v>78236</v>
      </c>
      <c r="B28950" t="s">
        <v>50</v>
      </c>
      <c r="C28950">
        <v>78236</v>
      </c>
      <c r="D28950" t="str">
        <f>"78236"</f>
        <v>78236</v>
      </c>
      <c r="E28950">
        <v>70.540000000000006</v>
      </c>
    </row>
    <row r="28951" spans="1:5" x14ac:dyDescent="0.2">
      <c r="A28951">
        <v>78237</v>
      </c>
      <c r="B28951" t="s">
        <v>50</v>
      </c>
      <c r="C28951">
        <v>78237</v>
      </c>
      <c r="D28951" t="str">
        <f>"78237"</f>
        <v>78237</v>
      </c>
      <c r="E28951">
        <v>49.67</v>
      </c>
    </row>
    <row r="28952" spans="1:5" x14ac:dyDescent="0.2">
      <c r="A28952">
        <v>78238</v>
      </c>
      <c r="B28952" t="s">
        <v>50</v>
      </c>
      <c r="C28952">
        <v>78238</v>
      </c>
      <c r="D28952" t="str">
        <f>"78238"</f>
        <v>78238</v>
      </c>
      <c r="E28952">
        <v>65.17</v>
      </c>
    </row>
    <row r="28953" spans="1:5" x14ac:dyDescent="0.2">
      <c r="A28953">
        <v>78239</v>
      </c>
      <c r="B28953" t="s">
        <v>50</v>
      </c>
      <c r="C28953">
        <v>78239</v>
      </c>
      <c r="D28953" t="str">
        <f>"78239"</f>
        <v>78239</v>
      </c>
      <c r="E28953">
        <v>66.11</v>
      </c>
    </row>
    <row r="28954" spans="1:5" x14ac:dyDescent="0.2">
      <c r="A28954">
        <v>78240</v>
      </c>
      <c r="B28954" t="s">
        <v>50</v>
      </c>
      <c r="C28954">
        <v>78240</v>
      </c>
      <c r="D28954" t="str">
        <f>"78240"</f>
        <v>78240</v>
      </c>
      <c r="E28954">
        <v>73.69</v>
      </c>
    </row>
    <row r="28955" spans="1:5" x14ac:dyDescent="0.2">
      <c r="A28955">
        <v>78242</v>
      </c>
      <c r="B28955" t="s">
        <v>50</v>
      </c>
      <c r="C28955">
        <v>78242</v>
      </c>
      <c r="D28955" t="str">
        <f>"78242"</f>
        <v>78242</v>
      </c>
      <c r="E28955">
        <v>51.32</v>
      </c>
    </row>
    <row r="28956" spans="1:5" x14ac:dyDescent="0.2">
      <c r="A28956">
        <v>78243</v>
      </c>
      <c r="B28956" t="s">
        <v>50</v>
      </c>
      <c r="C28956">
        <v>78243</v>
      </c>
      <c r="D28956" t="str">
        <f>"78243"</f>
        <v>78243</v>
      </c>
      <c r="E28956" t="s">
        <v>6</v>
      </c>
    </row>
    <row r="28957" spans="1:5" x14ac:dyDescent="0.2">
      <c r="A28957">
        <v>78244</v>
      </c>
      <c r="B28957" t="s">
        <v>50</v>
      </c>
      <c r="C28957">
        <v>78244</v>
      </c>
      <c r="D28957" t="str">
        <f>"78244"</f>
        <v>78244</v>
      </c>
      <c r="E28957">
        <v>63.17</v>
      </c>
    </row>
    <row r="28958" spans="1:5" x14ac:dyDescent="0.2">
      <c r="A28958">
        <v>78245</v>
      </c>
      <c r="B28958" t="s">
        <v>50</v>
      </c>
      <c r="C28958">
        <v>78245</v>
      </c>
      <c r="D28958" t="str">
        <f>"78245"</f>
        <v>78245</v>
      </c>
      <c r="E28958">
        <v>67.56</v>
      </c>
    </row>
    <row r="28959" spans="1:5" x14ac:dyDescent="0.2">
      <c r="A28959">
        <v>78247</v>
      </c>
      <c r="B28959" t="s">
        <v>50</v>
      </c>
      <c r="C28959">
        <v>78247</v>
      </c>
      <c r="D28959" t="str">
        <f>"78247"</f>
        <v>78247</v>
      </c>
      <c r="E28959">
        <v>75.39</v>
      </c>
    </row>
    <row r="28960" spans="1:5" x14ac:dyDescent="0.2">
      <c r="A28960">
        <v>78248</v>
      </c>
      <c r="B28960" t="s">
        <v>50</v>
      </c>
      <c r="C28960">
        <v>78248</v>
      </c>
      <c r="D28960" t="str">
        <f>"78248"</f>
        <v>78248</v>
      </c>
      <c r="E28960">
        <v>83.33</v>
      </c>
    </row>
    <row r="28961" spans="1:5" x14ac:dyDescent="0.2">
      <c r="A28961">
        <v>78249</v>
      </c>
      <c r="B28961" t="s">
        <v>50</v>
      </c>
      <c r="C28961">
        <v>78249</v>
      </c>
      <c r="D28961" t="str">
        <f>"78249"</f>
        <v>78249</v>
      </c>
      <c r="E28961">
        <v>74.239999999999995</v>
      </c>
    </row>
    <row r="28962" spans="1:5" x14ac:dyDescent="0.2">
      <c r="A28962">
        <v>78250</v>
      </c>
      <c r="B28962" t="s">
        <v>50</v>
      </c>
      <c r="C28962">
        <v>78250</v>
      </c>
      <c r="D28962" t="str">
        <f>"78250"</f>
        <v>78250</v>
      </c>
      <c r="E28962">
        <v>71.900000000000006</v>
      </c>
    </row>
    <row r="28963" spans="1:5" x14ac:dyDescent="0.2">
      <c r="A28963">
        <v>78251</v>
      </c>
      <c r="B28963" t="s">
        <v>50</v>
      </c>
      <c r="C28963">
        <v>78251</v>
      </c>
      <c r="D28963" t="str">
        <f>"78251"</f>
        <v>78251</v>
      </c>
      <c r="E28963">
        <v>72.06</v>
      </c>
    </row>
    <row r="28964" spans="1:5" x14ac:dyDescent="0.2">
      <c r="A28964">
        <v>78252</v>
      </c>
      <c r="B28964" t="s">
        <v>50</v>
      </c>
      <c r="C28964">
        <v>78252</v>
      </c>
      <c r="D28964" t="str">
        <f>"78252"</f>
        <v>78252</v>
      </c>
      <c r="E28964">
        <v>64.040000000000006</v>
      </c>
    </row>
    <row r="28965" spans="1:5" x14ac:dyDescent="0.2">
      <c r="A28965">
        <v>78253</v>
      </c>
      <c r="B28965" t="s">
        <v>50</v>
      </c>
      <c r="C28965">
        <v>78253</v>
      </c>
      <c r="D28965" t="str">
        <f>"78253"</f>
        <v>78253</v>
      </c>
      <c r="E28965">
        <v>75.81</v>
      </c>
    </row>
    <row r="28966" spans="1:5" x14ac:dyDescent="0.2">
      <c r="A28966">
        <v>78254</v>
      </c>
      <c r="B28966" t="s">
        <v>50</v>
      </c>
      <c r="C28966">
        <v>78254</v>
      </c>
      <c r="D28966" t="str">
        <f>"78254"</f>
        <v>78254</v>
      </c>
      <c r="E28966">
        <v>75.739999999999995</v>
      </c>
    </row>
    <row r="28967" spans="1:5" x14ac:dyDescent="0.2">
      <c r="A28967">
        <v>78255</v>
      </c>
      <c r="B28967" t="s">
        <v>50</v>
      </c>
      <c r="C28967">
        <v>78255</v>
      </c>
      <c r="D28967" t="str">
        <f>"78255"</f>
        <v>78255</v>
      </c>
      <c r="E28967">
        <v>81.81</v>
      </c>
    </row>
    <row r="28968" spans="1:5" x14ac:dyDescent="0.2">
      <c r="A28968">
        <v>78256</v>
      </c>
      <c r="B28968" t="s">
        <v>50</v>
      </c>
      <c r="C28968">
        <v>78256</v>
      </c>
      <c r="D28968" t="str">
        <f>"78256"</f>
        <v>78256</v>
      </c>
      <c r="E28968">
        <v>79.8</v>
      </c>
    </row>
    <row r="28969" spans="1:5" x14ac:dyDescent="0.2">
      <c r="A28969">
        <v>78257</v>
      </c>
      <c r="B28969" t="s">
        <v>50</v>
      </c>
      <c r="C28969">
        <v>78257</v>
      </c>
      <c r="D28969" t="str">
        <f>"78257"</f>
        <v>78257</v>
      </c>
      <c r="E28969">
        <v>80.48</v>
      </c>
    </row>
    <row r="28970" spans="1:5" x14ac:dyDescent="0.2">
      <c r="A28970">
        <v>78258</v>
      </c>
      <c r="B28970" t="s">
        <v>50</v>
      </c>
      <c r="C28970">
        <v>78258</v>
      </c>
      <c r="D28970" t="str">
        <f>"78258"</f>
        <v>78258</v>
      </c>
      <c r="E28970">
        <v>79.89</v>
      </c>
    </row>
    <row r="28971" spans="1:5" x14ac:dyDescent="0.2">
      <c r="A28971">
        <v>78259</v>
      </c>
      <c r="B28971" t="s">
        <v>50</v>
      </c>
      <c r="C28971">
        <v>78259</v>
      </c>
      <c r="D28971" t="str">
        <f>"78259"</f>
        <v>78259</v>
      </c>
      <c r="E28971">
        <v>79.16</v>
      </c>
    </row>
    <row r="28972" spans="1:5" x14ac:dyDescent="0.2">
      <c r="A28972">
        <v>78260</v>
      </c>
      <c r="B28972" t="s">
        <v>50</v>
      </c>
      <c r="C28972">
        <v>78260</v>
      </c>
      <c r="D28972" t="str">
        <f>"78260"</f>
        <v>78260</v>
      </c>
      <c r="E28972">
        <v>80.94</v>
      </c>
    </row>
    <row r="28973" spans="1:5" x14ac:dyDescent="0.2">
      <c r="A28973">
        <v>78261</v>
      </c>
      <c r="B28973" t="s">
        <v>50</v>
      </c>
      <c r="C28973">
        <v>78261</v>
      </c>
      <c r="D28973" t="str">
        <f>"78261"</f>
        <v>78261</v>
      </c>
      <c r="E28973">
        <v>80.83</v>
      </c>
    </row>
    <row r="28974" spans="1:5" x14ac:dyDescent="0.2">
      <c r="A28974">
        <v>78263</v>
      </c>
      <c r="B28974" t="s">
        <v>50</v>
      </c>
      <c r="C28974">
        <v>78263</v>
      </c>
      <c r="D28974" t="str">
        <f>"78263"</f>
        <v>78263</v>
      </c>
      <c r="E28974">
        <v>76.42</v>
      </c>
    </row>
    <row r="28975" spans="1:5" x14ac:dyDescent="0.2">
      <c r="A28975">
        <v>78264</v>
      </c>
      <c r="B28975" t="s">
        <v>50</v>
      </c>
      <c r="C28975">
        <v>78264</v>
      </c>
      <c r="D28975" t="str">
        <f>"78264"</f>
        <v>78264</v>
      </c>
      <c r="E28975">
        <v>56.42</v>
      </c>
    </row>
    <row r="28976" spans="1:5" x14ac:dyDescent="0.2">
      <c r="A28976">
        <v>78266</v>
      </c>
      <c r="B28976" t="s">
        <v>50</v>
      </c>
      <c r="C28976">
        <v>78266</v>
      </c>
      <c r="D28976" t="str">
        <f>"78266"</f>
        <v>78266</v>
      </c>
      <c r="E28976">
        <v>80.81</v>
      </c>
    </row>
    <row r="28977" spans="1:5" x14ac:dyDescent="0.2">
      <c r="A28977">
        <v>78330</v>
      </c>
      <c r="B28977" t="s">
        <v>50</v>
      </c>
      <c r="C28977">
        <v>78330</v>
      </c>
      <c r="D28977" t="str">
        <f>"78330"</f>
        <v>78330</v>
      </c>
      <c r="E28977">
        <v>65.12</v>
      </c>
    </row>
    <row r="28978" spans="1:5" x14ac:dyDescent="0.2">
      <c r="A28978">
        <v>78332</v>
      </c>
      <c r="B28978" t="s">
        <v>50</v>
      </c>
      <c r="C28978">
        <v>78332</v>
      </c>
      <c r="D28978" t="str">
        <f>"78332"</f>
        <v>78332</v>
      </c>
      <c r="E28978">
        <v>56.25</v>
      </c>
    </row>
    <row r="28979" spans="1:5" x14ac:dyDescent="0.2">
      <c r="A28979">
        <v>78336</v>
      </c>
      <c r="B28979" t="s">
        <v>50</v>
      </c>
      <c r="C28979">
        <v>78336</v>
      </c>
      <c r="D28979" t="str">
        <f>"78336"</f>
        <v>78336</v>
      </c>
      <c r="E28979">
        <v>61.2</v>
      </c>
    </row>
    <row r="28980" spans="1:5" x14ac:dyDescent="0.2">
      <c r="A28980">
        <v>78338</v>
      </c>
      <c r="B28980" t="s">
        <v>50</v>
      </c>
      <c r="C28980">
        <v>78338</v>
      </c>
      <c r="D28980" t="str">
        <f>"78338"</f>
        <v>78338</v>
      </c>
      <c r="E28980" t="s">
        <v>6</v>
      </c>
    </row>
    <row r="28981" spans="1:5" x14ac:dyDescent="0.2">
      <c r="A28981">
        <v>78339</v>
      </c>
      <c r="B28981" t="s">
        <v>50</v>
      </c>
      <c r="C28981">
        <v>78339</v>
      </c>
      <c r="D28981" t="str">
        <f>"78339"</f>
        <v>78339</v>
      </c>
      <c r="E28981" t="s">
        <v>6</v>
      </c>
    </row>
    <row r="28982" spans="1:5" x14ac:dyDescent="0.2">
      <c r="A28982">
        <v>78340</v>
      </c>
      <c r="B28982" t="s">
        <v>50</v>
      </c>
      <c r="C28982">
        <v>78340</v>
      </c>
      <c r="D28982" t="str">
        <f>"78340"</f>
        <v>78340</v>
      </c>
      <c r="E28982">
        <v>66.67</v>
      </c>
    </row>
    <row r="28983" spans="1:5" x14ac:dyDescent="0.2">
      <c r="A28983">
        <v>78341</v>
      </c>
      <c r="B28983" t="s">
        <v>50</v>
      </c>
      <c r="C28983">
        <v>78341</v>
      </c>
      <c r="D28983" t="str">
        <f>"78341"</f>
        <v>78341</v>
      </c>
      <c r="E28983" t="s">
        <v>6</v>
      </c>
    </row>
    <row r="28984" spans="1:5" x14ac:dyDescent="0.2">
      <c r="A28984">
        <v>78342</v>
      </c>
      <c r="B28984" t="s">
        <v>50</v>
      </c>
      <c r="C28984">
        <v>78342</v>
      </c>
      <c r="D28984" t="str">
        <f>"78342"</f>
        <v>78342</v>
      </c>
      <c r="E28984" t="s">
        <v>6</v>
      </c>
    </row>
    <row r="28985" spans="1:5" x14ac:dyDescent="0.2">
      <c r="A28985">
        <v>78343</v>
      </c>
      <c r="B28985" t="s">
        <v>50</v>
      </c>
      <c r="C28985">
        <v>78343</v>
      </c>
      <c r="D28985" t="str">
        <f>"78343"</f>
        <v>78343</v>
      </c>
      <c r="E28985">
        <v>67.209999999999994</v>
      </c>
    </row>
    <row r="28986" spans="1:5" x14ac:dyDescent="0.2">
      <c r="A28986">
        <v>78344</v>
      </c>
      <c r="B28986" t="s">
        <v>50</v>
      </c>
      <c r="C28986">
        <v>78344</v>
      </c>
      <c r="D28986" t="str">
        <f>"78344"</f>
        <v>78344</v>
      </c>
      <c r="E28986">
        <v>62.5</v>
      </c>
    </row>
    <row r="28987" spans="1:5" x14ac:dyDescent="0.2">
      <c r="A28987">
        <v>78347</v>
      </c>
      <c r="B28987" t="s">
        <v>50</v>
      </c>
      <c r="C28987">
        <v>78347</v>
      </c>
      <c r="D28987" t="str">
        <f>"78347"</f>
        <v>78347</v>
      </c>
      <c r="E28987" t="s">
        <v>6</v>
      </c>
    </row>
    <row r="28988" spans="1:5" x14ac:dyDescent="0.2">
      <c r="A28988">
        <v>78349</v>
      </c>
      <c r="B28988" t="s">
        <v>50</v>
      </c>
      <c r="C28988">
        <v>78349</v>
      </c>
      <c r="D28988" t="str">
        <f>"78349"</f>
        <v>78349</v>
      </c>
      <c r="E28988">
        <v>56.25</v>
      </c>
    </row>
    <row r="28989" spans="1:5" x14ac:dyDescent="0.2">
      <c r="A28989">
        <v>78351</v>
      </c>
      <c r="B28989" t="s">
        <v>50</v>
      </c>
      <c r="C28989">
        <v>78351</v>
      </c>
      <c r="D28989" t="str">
        <f>"78351"</f>
        <v>78351</v>
      </c>
      <c r="E28989" t="s">
        <v>6</v>
      </c>
    </row>
    <row r="28990" spans="1:5" x14ac:dyDescent="0.2">
      <c r="A28990">
        <v>78352</v>
      </c>
      <c r="B28990" t="s">
        <v>50</v>
      </c>
      <c r="C28990">
        <v>78352</v>
      </c>
      <c r="D28990" t="str">
        <f>"78352"</f>
        <v>78352</v>
      </c>
      <c r="E28990" t="s">
        <v>6</v>
      </c>
    </row>
    <row r="28991" spans="1:5" x14ac:dyDescent="0.2">
      <c r="A28991">
        <v>78353</v>
      </c>
      <c r="B28991" t="s">
        <v>50</v>
      </c>
      <c r="C28991">
        <v>78353</v>
      </c>
      <c r="D28991" t="str">
        <f>"78353"</f>
        <v>78353</v>
      </c>
      <c r="E28991">
        <v>66.67</v>
      </c>
    </row>
    <row r="28992" spans="1:5" x14ac:dyDescent="0.2">
      <c r="A28992">
        <v>78355</v>
      </c>
      <c r="B28992" t="s">
        <v>50</v>
      </c>
      <c r="C28992">
        <v>78355</v>
      </c>
      <c r="D28992" t="str">
        <f>"78355"</f>
        <v>78355</v>
      </c>
      <c r="E28992">
        <v>50.91</v>
      </c>
    </row>
    <row r="28993" spans="1:5" x14ac:dyDescent="0.2">
      <c r="A28993">
        <v>78357</v>
      </c>
      <c r="B28993" t="s">
        <v>50</v>
      </c>
      <c r="C28993">
        <v>78357</v>
      </c>
      <c r="D28993" t="str">
        <f>"78357"</f>
        <v>78357</v>
      </c>
      <c r="E28993">
        <v>61.43</v>
      </c>
    </row>
    <row r="28994" spans="1:5" x14ac:dyDescent="0.2">
      <c r="A28994">
        <v>78358</v>
      </c>
      <c r="B28994" t="s">
        <v>50</v>
      </c>
      <c r="C28994">
        <v>78358</v>
      </c>
      <c r="D28994" t="str">
        <f>"78358"</f>
        <v>78358</v>
      </c>
      <c r="E28994" t="s">
        <v>6</v>
      </c>
    </row>
    <row r="28995" spans="1:5" x14ac:dyDescent="0.2">
      <c r="A28995">
        <v>78359</v>
      </c>
      <c r="B28995" t="s">
        <v>50</v>
      </c>
      <c r="C28995">
        <v>78359</v>
      </c>
      <c r="D28995" t="str">
        <f>"78359"</f>
        <v>78359</v>
      </c>
      <c r="E28995" t="s">
        <v>6</v>
      </c>
    </row>
    <row r="28996" spans="1:5" x14ac:dyDescent="0.2">
      <c r="A28996">
        <v>78361</v>
      </c>
      <c r="B28996" t="s">
        <v>50</v>
      </c>
      <c r="C28996">
        <v>78361</v>
      </c>
      <c r="D28996" t="str">
        <f>"78361"</f>
        <v>78361</v>
      </c>
      <c r="E28996">
        <v>54.08</v>
      </c>
    </row>
    <row r="28997" spans="1:5" x14ac:dyDescent="0.2">
      <c r="A28997">
        <v>78362</v>
      </c>
      <c r="B28997" t="s">
        <v>50</v>
      </c>
      <c r="C28997">
        <v>78362</v>
      </c>
      <c r="D28997" t="str">
        <f>"78362"</f>
        <v>78362</v>
      </c>
      <c r="E28997">
        <v>64.44</v>
      </c>
    </row>
    <row r="28998" spans="1:5" x14ac:dyDescent="0.2">
      <c r="A28998">
        <v>78363</v>
      </c>
      <c r="B28998" t="s">
        <v>50</v>
      </c>
      <c r="C28998">
        <v>78363</v>
      </c>
      <c r="D28998" t="str">
        <f>"78363"</f>
        <v>78363</v>
      </c>
      <c r="E28998">
        <v>62.06</v>
      </c>
    </row>
    <row r="28999" spans="1:5" x14ac:dyDescent="0.2">
      <c r="A28999">
        <v>78368</v>
      </c>
      <c r="B28999" t="s">
        <v>50</v>
      </c>
      <c r="C28999">
        <v>78368</v>
      </c>
      <c r="D28999" t="str">
        <f>"78368"</f>
        <v>78368</v>
      </c>
      <c r="E28999">
        <v>58.25</v>
      </c>
    </row>
    <row r="29000" spans="1:5" x14ac:dyDescent="0.2">
      <c r="A29000">
        <v>78369</v>
      </c>
      <c r="B29000" t="s">
        <v>50</v>
      </c>
      <c r="C29000">
        <v>78369</v>
      </c>
      <c r="D29000" t="str">
        <f>"78369"</f>
        <v>78369</v>
      </c>
      <c r="E29000">
        <v>46.67</v>
      </c>
    </row>
    <row r="29001" spans="1:5" x14ac:dyDescent="0.2">
      <c r="A29001">
        <v>78370</v>
      </c>
      <c r="B29001" t="s">
        <v>50</v>
      </c>
      <c r="C29001">
        <v>78370</v>
      </c>
      <c r="D29001" t="str">
        <f>"78370"</f>
        <v>78370</v>
      </c>
      <c r="E29001">
        <v>68.02</v>
      </c>
    </row>
    <row r="29002" spans="1:5" x14ac:dyDescent="0.2">
      <c r="A29002">
        <v>78371</v>
      </c>
      <c r="B29002" t="s">
        <v>50</v>
      </c>
      <c r="C29002">
        <v>78371</v>
      </c>
      <c r="D29002" t="str">
        <f>"78371"</f>
        <v>78371</v>
      </c>
      <c r="E29002" t="s">
        <v>6</v>
      </c>
    </row>
    <row r="29003" spans="1:5" x14ac:dyDescent="0.2">
      <c r="A29003">
        <v>78372</v>
      </c>
      <c r="B29003" t="s">
        <v>50</v>
      </c>
      <c r="C29003">
        <v>78372</v>
      </c>
      <c r="D29003" t="str">
        <f>"78372"</f>
        <v>78372</v>
      </c>
      <c r="E29003">
        <v>65.48</v>
      </c>
    </row>
    <row r="29004" spans="1:5" x14ac:dyDescent="0.2">
      <c r="A29004">
        <v>78373</v>
      </c>
      <c r="B29004" t="s">
        <v>50</v>
      </c>
      <c r="C29004">
        <v>78373</v>
      </c>
      <c r="D29004" t="str">
        <f>"78373"</f>
        <v>78373</v>
      </c>
      <c r="E29004">
        <v>68.98</v>
      </c>
    </row>
    <row r="29005" spans="1:5" x14ac:dyDescent="0.2">
      <c r="A29005">
        <v>78374</v>
      </c>
      <c r="B29005" t="s">
        <v>50</v>
      </c>
      <c r="C29005">
        <v>78374</v>
      </c>
      <c r="D29005" t="str">
        <f>"78374"</f>
        <v>78374</v>
      </c>
      <c r="E29005">
        <v>73.69</v>
      </c>
    </row>
    <row r="29006" spans="1:5" x14ac:dyDescent="0.2">
      <c r="A29006">
        <v>78375</v>
      </c>
      <c r="B29006" t="s">
        <v>50</v>
      </c>
      <c r="C29006">
        <v>78375</v>
      </c>
      <c r="D29006" t="str">
        <f>"78375"</f>
        <v>78375</v>
      </c>
      <c r="E29006">
        <v>53.49</v>
      </c>
    </row>
    <row r="29007" spans="1:5" x14ac:dyDescent="0.2">
      <c r="A29007">
        <v>78376</v>
      </c>
      <c r="B29007" t="s">
        <v>50</v>
      </c>
      <c r="C29007">
        <v>78376</v>
      </c>
      <c r="D29007" t="str">
        <f>"78376"</f>
        <v>78376</v>
      </c>
      <c r="E29007">
        <v>45.45</v>
      </c>
    </row>
    <row r="29008" spans="1:5" x14ac:dyDescent="0.2">
      <c r="A29008">
        <v>78377</v>
      </c>
      <c r="B29008" t="s">
        <v>50</v>
      </c>
      <c r="C29008">
        <v>78377</v>
      </c>
      <c r="D29008" t="str">
        <f>"78377"</f>
        <v>78377</v>
      </c>
      <c r="E29008">
        <v>62.91</v>
      </c>
    </row>
    <row r="29009" spans="1:5" x14ac:dyDescent="0.2">
      <c r="A29009">
        <v>78379</v>
      </c>
      <c r="B29009" t="s">
        <v>50</v>
      </c>
      <c r="C29009">
        <v>78379</v>
      </c>
      <c r="D29009" t="str">
        <f>"78379"</f>
        <v>78379</v>
      </c>
      <c r="E29009">
        <v>69.62</v>
      </c>
    </row>
    <row r="29010" spans="1:5" x14ac:dyDescent="0.2">
      <c r="A29010">
        <v>78380</v>
      </c>
      <c r="B29010" t="s">
        <v>50</v>
      </c>
      <c r="C29010">
        <v>78380</v>
      </c>
      <c r="D29010" t="str">
        <f>"78380"</f>
        <v>78380</v>
      </c>
      <c r="E29010">
        <v>59.1</v>
      </c>
    </row>
    <row r="29011" spans="1:5" x14ac:dyDescent="0.2">
      <c r="A29011">
        <v>78382</v>
      </c>
      <c r="B29011" t="s">
        <v>50</v>
      </c>
      <c r="C29011">
        <v>78382</v>
      </c>
      <c r="D29011" t="str">
        <f>"78382"</f>
        <v>78382</v>
      </c>
      <c r="E29011">
        <v>63.48</v>
      </c>
    </row>
    <row r="29012" spans="1:5" x14ac:dyDescent="0.2">
      <c r="A29012">
        <v>78383</v>
      </c>
      <c r="B29012" t="s">
        <v>50</v>
      </c>
      <c r="C29012">
        <v>78383</v>
      </c>
      <c r="D29012" t="str">
        <f>"78383"</f>
        <v>78383</v>
      </c>
      <c r="E29012">
        <v>73.290000000000006</v>
      </c>
    </row>
    <row r="29013" spans="1:5" x14ac:dyDescent="0.2">
      <c r="A29013">
        <v>78384</v>
      </c>
      <c r="B29013" t="s">
        <v>50</v>
      </c>
      <c r="C29013">
        <v>78384</v>
      </c>
      <c r="D29013" t="str">
        <f>"78384"</f>
        <v>78384</v>
      </c>
      <c r="E29013">
        <v>54.11</v>
      </c>
    </row>
    <row r="29014" spans="1:5" x14ac:dyDescent="0.2">
      <c r="A29014">
        <v>78385</v>
      </c>
      <c r="B29014" t="s">
        <v>50</v>
      </c>
      <c r="C29014">
        <v>78385</v>
      </c>
      <c r="D29014" t="str">
        <f>"78385"</f>
        <v>78385</v>
      </c>
      <c r="E29014" t="s">
        <v>6</v>
      </c>
    </row>
    <row r="29015" spans="1:5" x14ac:dyDescent="0.2">
      <c r="A29015">
        <v>78387</v>
      </c>
      <c r="B29015" t="s">
        <v>50</v>
      </c>
      <c r="C29015">
        <v>78387</v>
      </c>
      <c r="D29015" t="str">
        <f>"78387"</f>
        <v>78387</v>
      </c>
      <c r="E29015">
        <v>60.6</v>
      </c>
    </row>
    <row r="29016" spans="1:5" x14ac:dyDescent="0.2">
      <c r="A29016">
        <v>78389</v>
      </c>
      <c r="B29016" t="s">
        <v>50</v>
      </c>
      <c r="C29016">
        <v>78389</v>
      </c>
      <c r="D29016" t="str">
        <f>"78389"</f>
        <v>78389</v>
      </c>
      <c r="E29016">
        <v>61.84</v>
      </c>
    </row>
    <row r="29017" spans="1:5" x14ac:dyDescent="0.2">
      <c r="A29017">
        <v>78390</v>
      </c>
      <c r="B29017" t="s">
        <v>50</v>
      </c>
      <c r="C29017">
        <v>78390</v>
      </c>
      <c r="D29017" t="str">
        <f>"78390"</f>
        <v>78390</v>
      </c>
      <c r="E29017">
        <v>60.47</v>
      </c>
    </row>
    <row r="29018" spans="1:5" x14ac:dyDescent="0.2">
      <c r="A29018">
        <v>78391</v>
      </c>
      <c r="B29018" t="s">
        <v>50</v>
      </c>
      <c r="C29018">
        <v>78391</v>
      </c>
      <c r="D29018" t="str">
        <f>"78391"</f>
        <v>78391</v>
      </c>
      <c r="E29018">
        <v>61.54</v>
      </c>
    </row>
    <row r="29019" spans="1:5" x14ac:dyDescent="0.2">
      <c r="A29019">
        <v>78393</v>
      </c>
      <c r="B29019" t="s">
        <v>50</v>
      </c>
      <c r="C29019">
        <v>78393</v>
      </c>
      <c r="D29019" t="str">
        <f>"78393"</f>
        <v>78393</v>
      </c>
      <c r="E29019">
        <v>63.55</v>
      </c>
    </row>
    <row r="29020" spans="1:5" x14ac:dyDescent="0.2">
      <c r="A29020">
        <v>78401</v>
      </c>
      <c r="B29020" t="s">
        <v>50</v>
      </c>
      <c r="C29020">
        <v>78401</v>
      </c>
      <c r="D29020" t="str">
        <f>"78401"</f>
        <v>78401</v>
      </c>
      <c r="E29020">
        <v>61.38</v>
      </c>
    </row>
    <row r="29021" spans="1:5" x14ac:dyDescent="0.2">
      <c r="A29021">
        <v>78402</v>
      </c>
      <c r="B29021" t="s">
        <v>50</v>
      </c>
      <c r="C29021">
        <v>78402</v>
      </c>
      <c r="D29021" t="str">
        <f>"78402"</f>
        <v>78402</v>
      </c>
      <c r="E29021">
        <v>75</v>
      </c>
    </row>
    <row r="29022" spans="1:5" x14ac:dyDescent="0.2">
      <c r="A29022">
        <v>78404</v>
      </c>
      <c r="B29022" t="s">
        <v>50</v>
      </c>
      <c r="C29022">
        <v>78404</v>
      </c>
      <c r="D29022" t="str">
        <f>"78404"</f>
        <v>78404</v>
      </c>
      <c r="E29022">
        <v>61.94</v>
      </c>
    </row>
    <row r="29023" spans="1:5" x14ac:dyDescent="0.2">
      <c r="A29023">
        <v>78405</v>
      </c>
      <c r="B29023" t="s">
        <v>50</v>
      </c>
      <c r="C29023">
        <v>78405</v>
      </c>
      <c r="D29023" t="str">
        <f>"78405"</f>
        <v>78405</v>
      </c>
      <c r="E29023">
        <v>44.23</v>
      </c>
    </row>
    <row r="29024" spans="1:5" x14ac:dyDescent="0.2">
      <c r="A29024">
        <v>78406</v>
      </c>
      <c r="B29024" t="s">
        <v>50</v>
      </c>
      <c r="C29024">
        <v>78406</v>
      </c>
      <c r="D29024" t="str">
        <f>"78406"</f>
        <v>78406</v>
      </c>
      <c r="E29024">
        <v>51.22</v>
      </c>
    </row>
    <row r="29025" spans="1:5" x14ac:dyDescent="0.2">
      <c r="A29025">
        <v>78407</v>
      </c>
      <c r="B29025" t="s">
        <v>50</v>
      </c>
      <c r="C29025">
        <v>78407</v>
      </c>
      <c r="D29025" t="str">
        <f>"78407"</f>
        <v>78407</v>
      </c>
      <c r="E29025">
        <v>48.68</v>
      </c>
    </row>
    <row r="29026" spans="1:5" x14ac:dyDescent="0.2">
      <c r="A29026">
        <v>78408</v>
      </c>
      <c r="B29026" t="s">
        <v>50</v>
      </c>
      <c r="C29026">
        <v>78408</v>
      </c>
      <c r="D29026" t="str">
        <f>"78408"</f>
        <v>78408</v>
      </c>
      <c r="E29026">
        <v>48.1</v>
      </c>
    </row>
    <row r="29027" spans="1:5" x14ac:dyDescent="0.2">
      <c r="A29027">
        <v>78409</v>
      </c>
      <c r="B29027" t="s">
        <v>50</v>
      </c>
      <c r="C29027">
        <v>78409</v>
      </c>
      <c r="D29027" t="str">
        <f>"78409"</f>
        <v>78409</v>
      </c>
      <c r="E29027">
        <v>59.13</v>
      </c>
    </row>
    <row r="29028" spans="1:5" x14ac:dyDescent="0.2">
      <c r="A29028">
        <v>78410</v>
      </c>
      <c r="B29028" t="s">
        <v>50</v>
      </c>
      <c r="C29028">
        <v>78410</v>
      </c>
      <c r="D29028" t="str">
        <f>"78410"</f>
        <v>78410</v>
      </c>
      <c r="E29028">
        <v>70.77</v>
      </c>
    </row>
    <row r="29029" spans="1:5" x14ac:dyDescent="0.2">
      <c r="A29029">
        <v>78411</v>
      </c>
      <c r="B29029" t="s">
        <v>50</v>
      </c>
      <c r="C29029">
        <v>78411</v>
      </c>
      <c r="D29029" t="str">
        <f>"78411"</f>
        <v>78411</v>
      </c>
      <c r="E29029">
        <v>66.97</v>
      </c>
    </row>
    <row r="29030" spans="1:5" x14ac:dyDescent="0.2">
      <c r="A29030">
        <v>78412</v>
      </c>
      <c r="B29030" t="s">
        <v>50</v>
      </c>
      <c r="C29030">
        <v>78412</v>
      </c>
      <c r="D29030" t="str">
        <f>"78412"</f>
        <v>78412</v>
      </c>
      <c r="E29030">
        <v>66.31</v>
      </c>
    </row>
    <row r="29031" spans="1:5" x14ac:dyDescent="0.2">
      <c r="A29031">
        <v>78413</v>
      </c>
      <c r="B29031" t="s">
        <v>50</v>
      </c>
      <c r="C29031">
        <v>78413</v>
      </c>
      <c r="D29031" t="str">
        <f>"78413"</f>
        <v>78413</v>
      </c>
      <c r="E29031">
        <v>72.67</v>
      </c>
    </row>
    <row r="29032" spans="1:5" x14ac:dyDescent="0.2">
      <c r="A29032">
        <v>78414</v>
      </c>
      <c r="B29032" t="s">
        <v>50</v>
      </c>
      <c r="C29032">
        <v>78414</v>
      </c>
      <c r="D29032" t="str">
        <f>"78414"</f>
        <v>78414</v>
      </c>
      <c r="E29032">
        <v>76.81</v>
      </c>
    </row>
    <row r="29033" spans="1:5" x14ac:dyDescent="0.2">
      <c r="A29033">
        <v>78415</v>
      </c>
      <c r="B29033" t="s">
        <v>50</v>
      </c>
      <c r="C29033">
        <v>78415</v>
      </c>
      <c r="D29033" t="str">
        <f>"78415"</f>
        <v>78415</v>
      </c>
      <c r="E29033">
        <v>57.11</v>
      </c>
    </row>
    <row r="29034" spans="1:5" x14ac:dyDescent="0.2">
      <c r="A29034">
        <v>78416</v>
      </c>
      <c r="B29034" t="s">
        <v>50</v>
      </c>
      <c r="C29034">
        <v>78416</v>
      </c>
      <c r="D29034" t="str">
        <f>"78416"</f>
        <v>78416</v>
      </c>
      <c r="E29034">
        <v>51.14</v>
      </c>
    </row>
    <row r="29035" spans="1:5" x14ac:dyDescent="0.2">
      <c r="A29035">
        <v>78417</v>
      </c>
      <c r="B29035" t="s">
        <v>50</v>
      </c>
      <c r="C29035">
        <v>78417</v>
      </c>
      <c r="D29035" t="str">
        <f>"78417"</f>
        <v>78417</v>
      </c>
      <c r="E29035">
        <v>53.23</v>
      </c>
    </row>
    <row r="29036" spans="1:5" x14ac:dyDescent="0.2">
      <c r="A29036">
        <v>78418</v>
      </c>
      <c r="B29036" t="s">
        <v>50</v>
      </c>
      <c r="C29036">
        <v>78418</v>
      </c>
      <c r="D29036" t="str">
        <f>"78418"</f>
        <v>78418</v>
      </c>
      <c r="E29036">
        <v>73.040000000000006</v>
      </c>
    </row>
    <row r="29037" spans="1:5" x14ac:dyDescent="0.2">
      <c r="A29037">
        <v>78501</v>
      </c>
      <c r="B29037" t="s">
        <v>50</v>
      </c>
      <c r="C29037">
        <v>78501</v>
      </c>
      <c r="D29037" t="str">
        <f>"78501"</f>
        <v>78501</v>
      </c>
      <c r="E29037">
        <v>52.96</v>
      </c>
    </row>
    <row r="29038" spans="1:5" x14ac:dyDescent="0.2">
      <c r="A29038">
        <v>78503</v>
      </c>
      <c r="B29038" t="s">
        <v>50</v>
      </c>
      <c r="C29038">
        <v>78503</v>
      </c>
      <c r="D29038" t="str">
        <f>"78503"</f>
        <v>78503</v>
      </c>
      <c r="E29038">
        <v>49.49</v>
      </c>
    </row>
    <row r="29039" spans="1:5" x14ac:dyDescent="0.2">
      <c r="A29039">
        <v>78504</v>
      </c>
      <c r="B29039" t="s">
        <v>50</v>
      </c>
      <c r="C29039">
        <v>78504</v>
      </c>
      <c r="D29039" t="str">
        <f>"78504"</f>
        <v>78504</v>
      </c>
      <c r="E29039">
        <v>64.72</v>
      </c>
    </row>
    <row r="29040" spans="1:5" x14ac:dyDescent="0.2">
      <c r="A29040">
        <v>78516</v>
      </c>
      <c r="B29040" t="s">
        <v>50</v>
      </c>
      <c r="C29040">
        <v>78516</v>
      </c>
      <c r="D29040" t="str">
        <f>"78516"</f>
        <v>78516</v>
      </c>
      <c r="E29040">
        <v>43.69</v>
      </c>
    </row>
    <row r="29041" spans="1:5" x14ac:dyDescent="0.2">
      <c r="A29041">
        <v>78520</v>
      </c>
      <c r="B29041" t="s">
        <v>50</v>
      </c>
      <c r="C29041">
        <v>78520</v>
      </c>
      <c r="D29041" t="str">
        <f>"78520"</f>
        <v>78520</v>
      </c>
      <c r="E29041">
        <v>47.86</v>
      </c>
    </row>
    <row r="29042" spans="1:5" x14ac:dyDescent="0.2">
      <c r="A29042">
        <v>78521</v>
      </c>
      <c r="B29042" t="s">
        <v>50</v>
      </c>
      <c r="C29042">
        <v>78521</v>
      </c>
      <c r="D29042" t="str">
        <f>"78521"</f>
        <v>78521</v>
      </c>
      <c r="E29042">
        <v>44.64</v>
      </c>
    </row>
    <row r="29043" spans="1:5" x14ac:dyDescent="0.2">
      <c r="A29043">
        <v>78526</v>
      </c>
      <c r="B29043" t="s">
        <v>50</v>
      </c>
      <c r="C29043">
        <v>78526</v>
      </c>
      <c r="D29043" t="str">
        <f>"78526"</f>
        <v>78526</v>
      </c>
      <c r="E29043">
        <v>54.38</v>
      </c>
    </row>
    <row r="29044" spans="1:5" x14ac:dyDescent="0.2">
      <c r="A29044">
        <v>78535</v>
      </c>
      <c r="B29044" t="s">
        <v>50</v>
      </c>
      <c r="C29044">
        <v>78535</v>
      </c>
      <c r="D29044" t="str">
        <f>"78535"</f>
        <v>78535</v>
      </c>
      <c r="E29044" t="s">
        <v>6</v>
      </c>
    </row>
    <row r="29045" spans="1:5" x14ac:dyDescent="0.2">
      <c r="A29045">
        <v>78536</v>
      </c>
      <c r="B29045" t="s">
        <v>50</v>
      </c>
      <c r="C29045">
        <v>78536</v>
      </c>
      <c r="D29045" t="str">
        <f>"78536"</f>
        <v>78536</v>
      </c>
      <c r="E29045">
        <v>50</v>
      </c>
    </row>
    <row r="29046" spans="1:5" x14ac:dyDescent="0.2">
      <c r="A29046">
        <v>78537</v>
      </c>
      <c r="B29046" t="s">
        <v>50</v>
      </c>
      <c r="C29046">
        <v>78537</v>
      </c>
      <c r="D29046" t="str">
        <f>"78537"</f>
        <v>78537</v>
      </c>
      <c r="E29046">
        <v>38.450000000000003</v>
      </c>
    </row>
    <row r="29047" spans="1:5" x14ac:dyDescent="0.2">
      <c r="A29047">
        <v>78538</v>
      </c>
      <c r="B29047" t="s">
        <v>50</v>
      </c>
      <c r="C29047">
        <v>78538</v>
      </c>
      <c r="D29047" t="str">
        <f>"78538"</f>
        <v>78538</v>
      </c>
      <c r="E29047">
        <v>41.44</v>
      </c>
    </row>
    <row r="29048" spans="1:5" x14ac:dyDescent="0.2">
      <c r="A29048">
        <v>78539</v>
      </c>
      <c r="B29048" t="s">
        <v>50</v>
      </c>
      <c r="C29048">
        <v>78539</v>
      </c>
      <c r="D29048" t="str">
        <f>"78539"</f>
        <v>78539</v>
      </c>
      <c r="E29048">
        <v>63.86</v>
      </c>
    </row>
    <row r="29049" spans="1:5" x14ac:dyDescent="0.2">
      <c r="A29049">
        <v>78541</v>
      </c>
      <c r="B29049" t="s">
        <v>50</v>
      </c>
      <c r="C29049">
        <v>78541</v>
      </c>
      <c r="D29049" t="str">
        <f>"78541"</f>
        <v>78541</v>
      </c>
      <c r="E29049">
        <v>49.97</v>
      </c>
    </row>
    <row r="29050" spans="1:5" x14ac:dyDescent="0.2">
      <c r="A29050">
        <v>78542</v>
      </c>
      <c r="B29050" t="s">
        <v>50</v>
      </c>
      <c r="C29050">
        <v>78542</v>
      </c>
      <c r="D29050" t="str">
        <f>"78542"</f>
        <v>78542</v>
      </c>
      <c r="E29050">
        <v>43.91</v>
      </c>
    </row>
    <row r="29051" spans="1:5" x14ac:dyDescent="0.2">
      <c r="A29051">
        <v>78543</v>
      </c>
      <c r="B29051" t="s">
        <v>50</v>
      </c>
      <c r="C29051">
        <v>78543</v>
      </c>
      <c r="D29051" t="str">
        <f>"78543"</f>
        <v>78543</v>
      </c>
      <c r="E29051" t="s">
        <v>6</v>
      </c>
    </row>
    <row r="29052" spans="1:5" x14ac:dyDescent="0.2">
      <c r="A29052">
        <v>78545</v>
      </c>
      <c r="B29052" t="s">
        <v>50</v>
      </c>
      <c r="C29052">
        <v>78545</v>
      </c>
      <c r="D29052" t="str">
        <f>"78545"</f>
        <v>78545</v>
      </c>
      <c r="E29052" t="s">
        <v>6</v>
      </c>
    </row>
    <row r="29053" spans="1:5" x14ac:dyDescent="0.2">
      <c r="A29053">
        <v>78548</v>
      </c>
      <c r="B29053" t="s">
        <v>50</v>
      </c>
      <c r="C29053">
        <v>78548</v>
      </c>
      <c r="D29053" t="str">
        <f>"78548"</f>
        <v>78548</v>
      </c>
      <c r="E29053" t="s">
        <v>6</v>
      </c>
    </row>
    <row r="29054" spans="1:5" x14ac:dyDescent="0.2">
      <c r="A29054">
        <v>78549</v>
      </c>
      <c r="B29054" t="s">
        <v>50</v>
      </c>
      <c r="C29054">
        <v>78549</v>
      </c>
      <c r="D29054" t="str">
        <f>"78549"</f>
        <v>78549</v>
      </c>
      <c r="E29054" t="s">
        <v>6</v>
      </c>
    </row>
    <row r="29055" spans="1:5" x14ac:dyDescent="0.2">
      <c r="A29055">
        <v>78550</v>
      </c>
      <c r="B29055" t="s">
        <v>50</v>
      </c>
      <c r="C29055">
        <v>78550</v>
      </c>
      <c r="D29055" t="str">
        <f>"78550"</f>
        <v>78550</v>
      </c>
      <c r="E29055">
        <v>55.99</v>
      </c>
    </row>
    <row r="29056" spans="1:5" x14ac:dyDescent="0.2">
      <c r="A29056">
        <v>78552</v>
      </c>
      <c r="B29056" t="s">
        <v>50</v>
      </c>
      <c r="C29056">
        <v>78552</v>
      </c>
      <c r="D29056" t="str">
        <f>"78552"</f>
        <v>78552</v>
      </c>
      <c r="E29056">
        <v>59.79</v>
      </c>
    </row>
    <row r="29057" spans="1:5" x14ac:dyDescent="0.2">
      <c r="A29057">
        <v>78557</v>
      </c>
      <c r="B29057" t="s">
        <v>50</v>
      </c>
      <c r="C29057">
        <v>78557</v>
      </c>
      <c r="D29057" t="str">
        <f>"78557"</f>
        <v>78557</v>
      </c>
      <c r="E29057">
        <v>44.44</v>
      </c>
    </row>
    <row r="29058" spans="1:5" x14ac:dyDescent="0.2">
      <c r="A29058">
        <v>78558</v>
      </c>
      <c r="B29058" t="s">
        <v>50</v>
      </c>
      <c r="C29058">
        <v>78558</v>
      </c>
      <c r="D29058" t="str">
        <f>"78558"</f>
        <v>78558</v>
      </c>
      <c r="E29058" t="s">
        <v>6</v>
      </c>
    </row>
    <row r="29059" spans="1:5" x14ac:dyDescent="0.2">
      <c r="A29059">
        <v>78559</v>
      </c>
      <c r="B29059" t="s">
        <v>50</v>
      </c>
      <c r="C29059">
        <v>78559</v>
      </c>
      <c r="D29059" t="str">
        <f>"78559"</f>
        <v>78559</v>
      </c>
      <c r="E29059">
        <v>52.88</v>
      </c>
    </row>
    <row r="29060" spans="1:5" x14ac:dyDescent="0.2">
      <c r="A29060">
        <v>78560</v>
      </c>
      <c r="B29060" t="s">
        <v>50</v>
      </c>
      <c r="C29060">
        <v>78560</v>
      </c>
      <c r="D29060" t="str">
        <f>"78560"</f>
        <v>78560</v>
      </c>
      <c r="E29060">
        <v>51.5</v>
      </c>
    </row>
    <row r="29061" spans="1:5" x14ac:dyDescent="0.2">
      <c r="A29061">
        <v>78562</v>
      </c>
      <c r="B29061" t="s">
        <v>50</v>
      </c>
      <c r="C29061">
        <v>78562</v>
      </c>
      <c r="D29061" t="str">
        <f>"78562"</f>
        <v>78562</v>
      </c>
      <c r="E29061" t="s">
        <v>6</v>
      </c>
    </row>
    <row r="29062" spans="1:5" x14ac:dyDescent="0.2">
      <c r="A29062">
        <v>78563</v>
      </c>
      <c r="B29062" t="s">
        <v>50</v>
      </c>
      <c r="C29062">
        <v>78563</v>
      </c>
      <c r="D29062" t="str">
        <f>"78563"</f>
        <v>78563</v>
      </c>
      <c r="E29062">
        <v>62.96</v>
      </c>
    </row>
    <row r="29063" spans="1:5" x14ac:dyDescent="0.2">
      <c r="A29063">
        <v>78564</v>
      </c>
      <c r="B29063" t="s">
        <v>50</v>
      </c>
      <c r="C29063">
        <v>78564</v>
      </c>
      <c r="D29063" t="str">
        <f>"78564"</f>
        <v>78564</v>
      </c>
      <c r="E29063" t="s">
        <v>6</v>
      </c>
    </row>
    <row r="29064" spans="1:5" x14ac:dyDescent="0.2">
      <c r="A29064">
        <v>78565</v>
      </c>
      <c r="B29064" t="s">
        <v>50</v>
      </c>
      <c r="C29064">
        <v>78565</v>
      </c>
      <c r="D29064" t="str">
        <f>"78565"</f>
        <v>78565</v>
      </c>
      <c r="E29064" t="s">
        <v>6</v>
      </c>
    </row>
    <row r="29065" spans="1:5" x14ac:dyDescent="0.2">
      <c r="A29065">
        <v>78566</v>
      </c>
      <c r="B29065" t="s">
        <v>50</v>
      </c>
      <c r="C29065">
        <v>78566</v>
      </c>
      <c r="D29065" t="str">
        <f>"78566"</f>
        <v>78566</v>
      </c>
      <c r="E29065">
        <v>51.02</v>
      </c>
    </row>
    <row r="29066" spans="1:5" x14ac:dyDescent="0.2">
      <c r="A29066">
        <v>78567</v>
      </c>
      <c r="B29066" t="s">
        <v>50</v>
      </c>
      <c r="C29066">
        <v>78567</v>
      </c>
      <c r="D29066" t="str">
        <f>"78567"</f>
        <v>78567</v>
      </c>
      <c r="E29066" t="s">
        <v>6</v>
      </c>
    </row>
    <row r="29067" spans="1:5" x14ac:dyDescent="0.2">
      <c r="A29067">
        <v>78569</v>
      </c>
      <c r="B29067" t="s">
        <v>50</v>
      </c>
      <c r="C29067">
        <v>78569</v>
      </c>
      <c r="D29067" t="str">
        <f>"78569"</f>
        <v>78569</v>
      </c>
      <c r="E29067">
        <v>54.6</v>
      </c>
    </row>
    <row r="29068" spans="1:5" x14ac:dyDescent="0.2">
      <c r="A29068">
        <v>78570</v>
      </c>
      <c r="B29068" t="s">
        <v>50</v>
      </c>
      <c r="C29068">
        <v>78570</v>
      </c>
      <c r="D29068" t="str">
        <f>"78570"</f>
        <v>78570</v>
      </c>
      <c r="E29068">
        <v>41.11</v>
      </c>
    </row>
    <row r="29069" spans="1:5" x14ac:dyDescent="0.2">
      <c r="A29069">
        <v>78572</v>
      </c>
      <c r="B29069" t="s">
        <v>50</v>
      </c>
      <c r="C29069">
        <v>78572</v>
      </c>
      <c r="D29069" t="str">
        <f>"78572"</f>
        <v>78572</v>
      </c>
      <c r="E29069">
        <v>52.77</v>
      </c>
    </row>
    <row r="29070" spans="1:5" x14ac:dyDescent="0.2">
      <c r="A29070">
        <v>78573</v>
      </c>
      <c r="B29070" t="s">
        <v>50</v>
      </c>
      <c r="C29070">
        <v>78573</v>
      </c>
      <c r="D29070" t="str">
        <f>"78573"</f>
        <v>78573</v>
      </c>
      <c r="E29070">
        <v>47.01</v>
      </c>
    </row>
    <row r="29071" spans="1:5" x14ac:dyDescent="0.2">
      <c r="A29071">
        <v>78574</v>
      </c>
      <c r="B29071" t="s">
        <v>50</v>
      </c>
      <c r="C29071">
        <v>78574</v>
      </c>
      <c r="D29071" t="str">
        <f>"78574"</f>
        <v>78574</v>
      </c>
      <c r="E29071">
        <v>42.27</v>
      </c>
    </row>
    <row r="29072" spans="1:5" x14ac:dyDescent="0.2">
      <c r="A29072">
        <v>78575</v>
      </c>
      <c r="B29072" t="s">
        <v>50</v>
      </c>
      <c r="C29072">
        <v>78575</v>
      </c>
      <c r="D29072" t="str">
        <f>"78575"</f>
        <v>78575</v>
      </c>
      <c r="E29072">
        <v>62.96</v>
      </c>
    </row>
    <row r="29073" spans="1:5" x14ac:dyDescent="0.2">
      <c r="A29073">
        <v>78576</v>
      </c>
      <c r="B29073" t="s">
        <v>50</v>
      </c>
      <c r="C29073">
        <v>78576</v>
      </c>
      <c r="D29073" t="str">
        <f>"78576"</f>
        <v>78576</v>
      </c>
      <c r="E29073">
        <v>39.299999999999997</v>
      </c>
    </row>
    <row r="29074" spans="1:5" x14ac:dyDescent="0.2">
      <c r="A29074">
        <v>78577</v>
      </c>
      <c r="B29074" t="s">
        <v>50</v>
      </c>
      <c r="C29074">
        <v>78577</v>
      </c>
      <c r="D29074" t="str">
        <f>"78577"</f>
        <v>78577</v>
      </c>
      <c r="E29074">
        <v>45.82</v>
      </c>
    </row>
    <row r="29075" spans="1:5" x14ac:dyDescent="0.2">
      <c r="A29075">
        <v>78578</v>
      </c>
      <c r="B29075" t="s">
        <v>50</v>
      </c>
      <c r="C29075">
        <v>78578</v>
      </c>
      <c r="D29075" t="str">
        <f>"78578"</f>
        <v>78578</v>
      </c>
      <c r="E29075">
        <v>53.85</v>
      </c>
    </row>
    <row r="29076" spans="1:5" x14ac:dyDescent="0.2">
      <c r="A29076">
        <v>78579</v>
      </c>
      <c r="B29076" t="s">
        <v>50</v>
      </c>
      <c r="C29076">
        <v>78579</v>
      </c>
      <c r="D29076" t="str">
        <f>"78579"</f>
        <v>78579</v>
      </c>
      <c r="E29076" t="s">
        <v>6</v>
      </c>
    </row>
    <row r="29077" spans="1:5" x14ac:dyDescent="0.2">
      <c r="A29077">
        <v>78580</v>
      </c>
      <c r="B29077" t="s">
        <v>50</v>
      </c>
      <c r="C29077">
        <v>78580</v>
      </c>
      <c r="D29077" t="str">
        <f>"78580"</f>
        <v>78580</v>
      </c>
      <c r="E29077">
        <v>49.77</v>
      </c>
    </row>
    <row r="29078" spans="1:5" x14ac:dyDescent="0.2">
      <c r="A29078">
        <v>78582</v>
      </c>
      <c r="B29078" t="s">
        <v>50</v>
      </c>
      <c r="C29078">
        <v>78582</v>
      </c>
      <c r="D29078" t="str">
        <f>"78582"</f>
        <v>78582</v>
      </c>
      <c r="E29078">
        <v>48</v>
      </c>
    </row>
    <row r="29079" spans="1:5" x14ac:dyDescent="0.2">
      <c r="A29079">
        <v>78583</v>
      </c>
      <c r="B29079" t="s">
        <v>50</v>
      </c>
      <c r="C29079">
        <v>78583</v>
      </c>
      <c r="D29079" t="str">
        <f>"78583"</f>
        <v>78583</v>
      </c>
      <c r="E29079">
        <v>57.14</v>
      </c>
    </row>
    <row r="29080" spans="1:5" x14ac:dyDescent="0.2">
      <c r="A29080">
        <v>78584</v>
      </c>
      <c r="B29080" t="s">
        <v>50</v>
      </c>
      <c r="C29080">
        <v>78584</v>
      </c>
      <c r="D29080" t="str">
        <f>"78584"</f>
        <v>78584</v>
      </c>
      <c r="E29080">
        <v>41.11</v>
      </c>
    </row>
    <row r="29081" spans="1:5" x14ac:dyDescent="0.2">
      <c r="A29081">
        <v>78585</v>
      </c>
      <c r="B29081" t="s">
        <v>50</v>
      </c>
      <c r="C29081">
        <v>78585</v>
      </c>
      <c r="D29081" t="str">
        <f>"78585"</f>
        <v>78585</v>
      </c>
      <c r="E29081" t="s">
        <v>6</v>
      </c>
    </row>
    <row r="29082" spans="1:5" x14ac:dyDescent="0.2">
      <c r="A29082">
        <v>78586</v>
      </c>
      <c r="B29082" t="s">
        <v>50</v>
      </c>
      <c r="C29082">
        <v>78586</v>
      </c>
      <c r="D29082" t="str">
        <f>"78586"</f>
        <v>78586</v>
      </c>
      <c r="E29082">
        <v>46.32</v>
      </c>
    </row>
    <row r="29083" spans="1:5" x14ac:dyDescent="0.2">
      <c r="A29083">
        <v>78588</v>
      </c>
      <c r="B29083" t="s">
        <v>50</v>
      </c>
      <c r="C29083">
        <v>78588</v>
      </c>
      <c r="D29083" t="str">
        <f>"78588"</f>
        <v>78588</v>
      </c>
      <c r="E29083">
        <v>64.290000000000006</v>
      </c>
    </row>
    <row r="29084" spans="1:5" x14ac:dyDescent="0.2">
      <c r="A29084">
        <v>78589</v>
      </c>
      <c r="B29084" t="s">
        <v>50</v>
      </c>
      <c r="C29084">
        <v>78589</v>
      </c>
      <c r="D29084" t="str">
        <f>"78589"</f>
        <v>78589</v>
      </c>
      <c r="E29084">
        <v>46.66</v>
      </c>
    </row>
    <row r="29085" spans="1:5" x14ac:dyDescent="0.2">
      <c r="A29085">
        <v>78590</v>
      </c>
      <c r="B29085" t="s">
        <v>50</v>
      </c>
      <c r="C29085">
        <v>78590</v>
      </c>
      <c r="D29085" t="str">
        <f>"78590"</f>
        <v>78590</v>
      </c>
      <c r="E29085" t="s">
        <v>6</v>
      </c>
    </row>
    <row r="29086" spans="1:5" x14ac:dyDescent="0.2">
      <c r="A29086">
        <v>78591</v>
      </c>
      <c r="B29086" t="s">
        <v>50</v>
      </c>
      <c r="C29086">
        <v>78591</v>
      </c>
      <c r="D29086" t="str">
        <f>"78591"</f>
        <v>78591</v>
      </c>
      <c r="E29086">
        <v>75</v>
      </c>
    </row>
    <row r="29087" spans="1:5" x14ac:dyDescent="0.2">
      <c r="A29087">
        <v>78592</v>
      </c>
      <c r="B29087" t="s">
        <v>50</v>
      </c>
      <c r="C29087">
        <v>78592</v>
      </c>
      <c r="D29087" t="str">
        <f>"78592"</f>
        <v>78592</v>
      </c>
      <c r="E29087" t="s">
        <v>6</v>
      </c>
    </row>
    <row r="29088" spans="1:5" x14ac:dyDescent="0.2">
      <c r="A29088">
        <v>78593</v>
      </c>
      <c r="B29088" t="s">
        <v>50</v>
      </c>
      <c r="C29088">
        <v>78593</v>
      </c>
      <c r="D29088" t="str">
        <f>"78593"</f>
        <v>78593</v>
      </c>
      <c r="E29088">
        <v>48.88</v>
      </c>
    </row>
    <row r="29089" spans="1:5" x14ac:dyDescent="0.2">
      <c r="A29089">
        <v>78594</v>
      </c>
      <c r="B29089" t="s">
        <v>50</v>
      </c>
      <c r="C29089">
        <v>78594</v>
      </c>
      <c r="D29089" t="str">
        <f>"78594"</f>
        <v>78594</v>
      </c>
      <c r="E29089" t="s">
        <v>6</v>
      </c>
    </row>
    <row r="29090" spans="1:5" x14ac:dyDescent="0.2">
      <c r="A29090">
        <v>78595</v>
      </c>
      <c r="B29090" t="s">
        <v>50</v>
      </c>
      <c r="C29090">
        <v>78595</v>
      </c>
      <c r="D29090" t="str">
        <f>"78595"</f>
        <v>78595</v>
      </c>
      <c r="E29090">
        <v>42.34</v>
      </c>
    </row>
    <row r="29091" spans="1:5" x14ac:dyDescent="0.2">
      <c r="A29091">
        <v>78596</v>
      </c>
      <c r="B29091" t="s">
        <v>50</v>
      </c>
      <c r="C29091">
        <v>78596</v>
      </c>
      <c r="D29091" t="str">
        <f>"78596"</f>
        <v>78596</v>
      </c>
      <c r="E29091">
        <v>51.53</v>
      </c>
    </row>
    <row r="29092" spans="1:5" x14ac:dyDescent="0.2">
      <c r="A29092">
        <v>78597</v>
      </c>
      <c r="B29092" t="s">
        <v>50</v>
      </c>
      <c r="C29092">
        <v>78597</v>
      </c>
      <c r="D29092" t="str">
        <f>"78597"</f>
        <v>78597</v>
      </c>
      <c r="E29092">
        <v>73.39</v>
      </c>
    </row>
    <row r="29093" spans="1:5" x14ac:dyDescent="0.2">
      <c r="A29093">
        <v>78598</v>
      </c>
      <c r="B29093" t="s">
        <v>50</v>
      </c>
      <c r="C29093">
        <v>78598</v>
      </c>
      <c r="D29093" t="str">
        <f>"78598"</f>
        <v>78598</v>
      </c>
      <c r="E29093">
        <v>64.290000000000006</v>
      </c>
    </row>
    <row r="29094" spans="1:5" x14ac:dyDescent="0.2">
      <c r="A29094">
        <v>78599</v>
      </c>
      <c r="B29094" t="s">
        <v>50</v>
      </c>
      <c r="C29094">
        <v>78599</v>
      </c>
      <c r="D29094" t="str">
        <f>"78599"</f>
        <v>78599</v>
      </c>
      <c r="E29094" t="s">
        <v>6</v>
      </c>
    </row>
    <row r="29095" spans="1:5" x14ac:dyDescent="0.2">
      <c r="A29095">
        <v>78602</v>
      </c>
      <c r="B29095" t="s">
        <v>50</v>
      </c>
      <c r="C29095">
        <v>78602</v>
      </c>
      <c r="D29095" t="str">
        <f>"78602"</f>
        <v>78602</v>
      </c>
      <c r="E29095">
        <v>70.67</v>
      </c>
    </row>
    <row r="29096" spans="1:5" x14ac:dyDescent="0.2">
      <c r="A29096">
        <v>78605</v>
      </c>
      <c r="B29096" t="s">
        <v>50</v>
      </c>
      <c r="C29096">
        <v>78605</v>
      </c>
      <c r="D29096" t="str">
        <f>"78605"</f>
        <v>78605</v>
      </c>
      <c r="E29096">
        <v>70.56</v>
      </c>
    </row>
    <row r="29097" spans="1:5" x14ac:dyDescent="0.2">
      <c r="A29097">
        <v>78606</v>
      </c>
      <c r="B29097" t="s">
        <v>50</v>
      </c>
      <c r="C29097">
        <v>78606</v>
      </c>
      <c r="D29097" t="str">
        <f>"78606"</f>
        <v>78606</v>
      </c>
      <c r="E29097">
        <v>72.56</v>
      </c>
    </row>
    <row r="29098" spans="1:5" x14ac:dyDescent="0.2">
      <c r="A29098">
        <v>78607</v>
      </c>
      <c r="B29098" t="s">
        <v>50</v>
      </c>
      <c r="C29098">
        <v>78607</v>
      </c>
      <c r="D29098" t="str">
        <f>"78607"</f>
        <v>78607</v>
      </c>
      <c r="E29098">
        <v>70</v>
      </c>
    </row>
    <row r="29099" spans="1:5" x14ac:dyDescent="0.2">
      <c r="A29099">
        <v>78608</v>
      </c>
      <c r="B29099" t="s">
        <v>50</v>
      </c>
      <c r="C29099">
        <v>78608</v>
      </c>
      <c r="D29099" t="str">
        <f>"78608"</f>
        <v>78608</v>
      </c>
      <c r="E29099">
        <v>69.23</v>
      </c>
    </row>
    <row r="29100" spans="1:5" x14ac:dyDescent="0.2">
      <c r="A29100">
        <v>78609</v>
      </c>
      <c r="B29100" t="s">
        <v>50</v>
      </c>
      <c r="C29100">
        <v>78609</v>
      </c>
      <c r="D29100" t="str">
        <f>"78609"</f>
        <v>78609</v>
      </c>
      <c r="E29100">
        <v>66.67</v>
      </c>
    </row>
    <row r="29101" spans="1:5" x14ac:dyDescent="0.2">
      <c r="A29101">
        <v>78610</v>
      </c>
      <c r="B29101" t="s">
        <v>50</v>
      </c>
      <c r="C29101">
        <v>78610</v>
      </c>
      <c r="D29101" t="str">
        <f>"78610"</f>
        <v>78610</v>
      </c>
      <c r="E29101">
        <v>78.41</v>
      </c>
    </row>
    <row r="29102" spans="1:5" x14ac:dyDescent="0.2">
      <c r="A29102">
        <v>78611</v>
      </c>
      <c r="B29102" t="s">
        <v>50</v>
      </c>
      <c r="C29102">
        <v>78611</v>
      </c>
      <c r="D29102" t="str">
        <f>"78611"</f>
        <v>78611</v>
      </c>
      <c r="E29102">
        <v>71.5</v>
      </c>
    </row>
    <row r="29103" spans="1:5" x14ac:dyDescent="0.2">
      <c r="A29103">
        <v>78612</v>
      </c>
      <c r="B29103" t="s">
        <v>50</v>
      </c>
      <c r="C29103">
        <v>78612</v>
      </c>
      <c r="D29103" t="str">
        <f>"78612"</f>
        <v>78612</v>
      </c>
      <c r="E29103">
        <v>68.400000000000006</v>
      </c>
    </row>
    <row r="29104" spans="1:5" x14ac:dyDescent="0.2">
      <c r="A29104">
        <v>78613</v>
      </c>
      <c r="B29104" t="s">
        <v>50</v>
      </c>
      <c r="C29104">
        <v>78613</v>
      </c>
      <c r="D29104" t="str">
        <f>"78613"</f>
        <v>78613</v>
      </c>
      <c r="E29104">
        <v>80.319999999999993</v>
      </c>
    </row>
    <row r="29105" spans="1:5" x14ac:dyDescent="0.2">
      <c r="A29105">
        <v>78614</v>
      </c>
      <c r="B29105" t="s">
        <v>50</v>
      </c>
      <c r="C29105">
        <v>78614</v>
      </c>
      <c r="D29105" t="str">
        <f>"78614"</f>
        <v>78614</v>
      </c>
      <c r="E29105">
        <v>62.5</v>
      </c>
    </row>
    <row r="29106" spans="1:5" x14ac:dyDescent="0.2">
      <c r="A29106">
        <v>78615</v>
      </c>
      <c r="B29106" t="s">
        <v>50</v>
      </c>
      <c r="C29106">
        <v>78615</v>
      </c>
      <c r="D29106" t="str">
        <f>"78615"</f>
        <v>78615</v>
      </c>
      <c r="E29106">
        <v>69.7</v>
      </c>
    </row>
    <row r="29107" spans="1:5" x14ac:dyDescent="0.2">
      <c r="A29107">
        <v>78616</v>
      </c>
      <c r="B29107" t="s">
        <v>50</v>
      </c>
      <c r="C29107">
        <v>78616</v>
      </c>
      <c r="D29107" t="str">
        <f>"78616"</f>
        <v>78616</v>
      </c>
      <c r="E29107">
        <v>58.38</v>
      </c>
    </row>
    <row r="29108" spans="1:5" x14ac:dyDescent="0.2">
      <c r="A29108">
        <v>78617</v>
      </c>
      <c r="B29108" t="s">
        <v>50</v>
      </c>
      <c r="C29108">
        <v>78617</v>
      </c>
      <c r="D29108" t="str">
        <f>"78617"</f>
        <v>78617</v>
      </c>
      <c r="E29108">
        <v>58.35</v>
      </c>
    </row>
    <row r="29109" spans="1:5" x14ac:dyDescent="0.2">
      <c r="A29109">
        <v>78618</v>
      </c>
      <c r="B29109" t="s">
        <v>50</v>
      </c>
      <c r="C29109">
        <v>78618</v>
      </c>
      <c r="D29109" t="str">
        <f>"78618"</f>
        <v>78618</v>
      </c>
      <c r="E29109">
        <v>64.290000000000006</v>
      </c>
    </row>
    <row r="29110" spans="1:5" x14ac:dyDescent="0.2">
      <c r="A29110">
        <v>78619</v>
      </c>
      <c r="B29110" t="s">
        <v>50</v>
      </c>
      <c r="C29110">
        <v>78619</v>
      </c>
      <c r="D29110" t="str">
        <f>"78619"</f>
        <v>78619</v>
      </c>
      <c r="E29110">
        <v>83.04</v>
      </c>
    </row>
    <row r="29111" spans="1:5" x14ac:dyDescent="0.2">
      <c r="A29111">
        <v>78620</v>
      </c>
      <c r="B29111" t="s">
        <v>50</v>
      </c>
      <c r="C29111">
        <v>78620</v>
      </c>
      <c r="D29111" t="str">
        <f>"78620"</f>
        <v>78620</v>
      </c>
      <c r="E29111">
        <v>79.63</v>
      </c>
    </row>
    <row r="29112" spans="1:5" x14ac:dyDescent="0.2">
      <c r="A29112">
        <v>78621</v>
      </c>
      <c r="B29112" t="s">
        <v>50</v>
      </c>
      <c r="C29112">
        <v>78621</v>
      </c>
      <c r="D29112" t="str">
        <f>"78621"</f>
        <v>78621</v>
      </c>
      <c r="E29112">
        <v>67.73</v>
      </c>
    </row>
    <row r="29113" spans="1:5" x14ac:dyDescent="0.2">
      <c r="A29113">
        <v>78622</v>
      </c>
      <c r="B29113" t="s">
        <v>50</v>
      </c>
      <c r="C29113">
        <v>78622</v>
      </c>
      <c r="D29113" t="str">
        <f>"78622"</f>
        <v>78622</v>
      </c>
      <c r="E29113" t="s">
        <v>6</v>
      </c>
    </row>
    <row r="29114" spans="1:5" x14ac:dyDescent="0.2">
      <c r="A29114">
        <v>78623</v>
      </c>
      <c r="B29114" t="s">
        <v>50</v>
      </c>
      <c r="C29114">
        <v>78623</v>
      </c>
      <c r="D29114" t="str">
        <f>"78623"</f>
        <v>78623</v>
      </c>
      <c r="E29114">
        <v>76.319999999999993</v>
      </c>
    </row>
    <row r="29115" spans="1:5" x14ac:dyDescent="0.2">
      <c r="A29115">
        <v>78624</v>
      </c>
      <c r="B29115" t="s">
        <v>50</v>
      </c>
      <c r="C29115">
        <v>78624</v>
      </c>
      <c r="D29115" t="str">
        <f>"78624"</f>
        <v>78624</v>
      </c>
      <c r="E29115">
        <v>71.58</v>
      </c>
    </row>
    <row r="29116" spans="1:5" x14ac:dyDescent="0.2">
      <c r="A29116">
        <v>78626</v>
      </c>
      <c r="B29116" t="s">
        <v>50</v>
      </c>
      <c r="C29116">
        <v>78626</v>
      </c>
      <c r="D29116" t="str">
        <f>"78626"</f>
        <v>78626</v>
      </c>
      <c r="E29116">
        <v>72.88</v>
      </c>
    </row>
    <row r="29117" spans="1:5" x14ac:dyDescent="0.2">
      <c r="A29117">
        <v>78628</v>
      </c>
      <c r="B29117" t="s">
        <v>50</v>
      </c>
      <c r="C29117">
        <v>78628</v>
      </c>
      <c r="D29117" t="str">
        <f>"78628"</f>
        <v>78628</v>
      </c>
      <c r="E29117">
        <v>80.05</v>
      </c>
    </row>
    <row r="29118" spans="1:5" x14ac:dyDescent="0.2">
      <c r="A29118">
        <v>78629</v>
      </c>
      <c r="B29118" t="s">
        <v>50</v>
      </c>
      <c r="C29118">
        <v>78629</v>
      </c>
      <c r="D29118" t="str">
        <f>"78629"</f>
        <v>78629</v>
      </c>
      <c r="E29118">
        <v>64.58</v>
      </c>
    </row>
    <row r="29119" spans="1:5" x14ac:dyDescent="0.2">
      <c r="A29119">
        <v>78631</v>
      </c>
      <c r="B29119" t="s">
        <v>50</v>
      </c>
      <c r="C29119">
        <v>78631</v>
      </c>
      <c r="D29119" t="str">
        <f>"78631"</f>
        <v>78631</v>
      </c>
      <c r="E29119">
        <v>70.08</v>
      </c>
    </row>
    <row r="29120" spans="1:5" x14ac:dyDescent="0.2">
      <c r="A29120">
        <v>78632</v>
      </c>
      <c r="B29120" t="s">
        <v>50</v>
      </c>
      <c r="C29120">
        <v>78632</v>
      </c>
      <c r="D29120" t="str">
        <f>"78632"</f>
        <v>78632</v>
      </c>
      <c r="E29120">
        <v>70.45</v>
      </c>
    </row>
    <row r="29121" spans="1:5" x14ac:dyDescent="0.2">
      <c r="A29121">
        <v>78633</v>
      </c>
      <c r="B29121" t="s">
        <v>50</v>
      </c>
      <c r="C29121">
        <v>78633</v>
      </c>
      <c r="D29121" t="str">
        <f>"78633"</f>
        <v>78633</v>
      </c>
      <c r="E29121">
        <v>83.88</v>
      </c>
    </row>
    <row r="29122" spans="1:5" x14ac:dyDescent="0.2">
      <c r="A29122">
        <v>78634</v>
      </c>
      <c r="B29122" t="s">
        <v>50</v>
      </c>
      <c r="C29122">
        <v>78634</v>
      </c>
      <c r="D29122" t="str">
        <f>"78634"</f>
        <v>78634</v>
      </c>
      <c r="E29122">
        <v>76.239999999999995</v>
      </c>
    </row>
    <row r="29123" spans="1:5" x14ac:dyDescent="0.2">
      <c r="A29123">
        <v>78635</v>
      </c>
      <c r="B29123" t="s">
        <v>50</v>
      </c>
      <c r="C29123">
        <v>78635</v>
      </c>
      <c r="D29123" t="str">
        <f>"78635"</f>
        <v>78635</v>
      </c>
      <c r="E29123" t="s">
        <v>6</v>
      </c>
    </row>
    <row r="29124" spans="1:5" x14ac:dyDescent="0.2">
      <c r="A29124">
        <v>78636</v>
      </c>
      <c r="B29124" t="s">
        <v>50</v>
      </c>
      <c r="C29124">
        <v>78636</v>
      </c>
      <c r="D29124" t="str">
        <f>"78636"</f>
        <v>78636</v>
      </c>
      <c r="E29124">
        <v>73.02</v>
      </c>
    </row>
    <row r="29125" spans="1:5" x14ac:dyDescent="0.2">
      <c r="A29125">
        <v>78638</v>
      </c>
      <c r="B29125" t="s">
        <v>50</v>
      </c>
      <c r="C29125">
        <v>78638</v>
      </c>
      <c r="D29125" t="str">
        <f>"78638"</f>
        <v>78638</v>
      </c>
      <c r="E29125">
        <v>74.510000000000005</v>
      </c>
    </row>
    <row r="29126" spans="1:5" x14ac:dyDescent="0.2">
      <c r="A29126">
        <v>78639</v>
      </c>
      <c r="B29126" t="s">
        <v>50</v>
      </c>
      <c r="C29126">
        <v>78639</v>
      </c>
      <c r="D29126" t="str">
        <f>"78639"</f>
        <v>78639</v>
      </c>
      <c r="E29126">
        <v>65.56</v>
      </c>
    </row>
    <row r="29127" spans="1:5" x14ac:dyDescent="0.2">
      <c r="A29127">
        <v>78640</v>
      </c>
      <c r="B29127" t="s">
        <v>50</v>
      </c>
      <c r="C29127">
        <v>78640</v>
      </c>
      <c r="D29127" t="str">
        <f>"78640"</f>
        <v>78640</v>
      </c>
      <c r="E29127">
        <v>71.27</v>
      </c>
    </row>
    <row r="29128" spans="1:5" x14ac:dyDescent="0.2">
      <c r="A29128">
        <v>78641</v>
      </c>
      <c r="B29128" t="s">
        <v>50</v>
      </c>
      <c r="C29128">
        <v>78641</v>
      </c>
      <c r="D29128" t="str">
        <f>"78641"</f>
        <v>78641</v>
      </c>
      <c r="E29128">
        <v>78.760000000000005</v>
      </c>
    </row>
    <row r="29129" spans="1:5" x14ac:dyDescent="0.2">
      <c r="A29129">
        <v>78642</v>
      </c>
      <c r="B29129" t="s">
        <v>50</v>
      </c>
      <c r="C29129">
        <v>78642</v>
      </c>
      <c r="D29129" t="str">
        <f>"78642"</f>
        <v>78642</v>
      </c>
      <c r="E29129">
        <v>76.45</v>
      </c>
    </row>
    <row r="29130" spans="1:5" x14ac:dyDescent="0.2">
      <c r="A29130">
        <v>78643</v>
      </c>
      <c r="B29130" t="s">
        <v>50</v>
      </c>
      <c r="C29130">
        <v>78643</v>
      </c>
      <c r="D29130" t="str">
        <f>"78643"</f>
        <v>78643</v>
      </c>
      <c r="E29130">
        <v>69.31</v>
      </c>
    </row>
    <row r="29131" spans="1:5" x14ac:dyDescent="0.2">
      <c r="A29131">
        <v>78644</v>
      </c>
      <c r="B29131" t="s">
        <v>50</v>
      </c>
      <c r="C29131">
        <v>78644</v>
      </c>
      <c r="D29131" t="str">
        <f>"78644"</f>
        <v>78644</v>
      </c>
      <c r="E29131">
        <v>66.22</v>
      </c>
    </row>
    <row r="29132" spans="1:5" x14ac:dyDescent="0.2">
      <c r="A29132">
        <v>78645</v>
      </c>
      <c r="B29132" t="s">
        <v>50</v>
      </c>
      <c r="C29132">
        <v>78645</v>
      </c>
      <c r="D29132" t="str">
        <f>"78645"</f>
        <v>78645</v>
      </c>
      <c r="E29132">
        <v>78.959999999999994</v>
      </c>
    </row>
    <row r="29133" spans="1:5" x14ac:dyDescent="0.2">
      <c r="A29133">
        <v>78648</v>
      </c>
      <c r="B29133" t="s">
        <v>50</v>
      </c>
      <c r="C29133">
        <v>78648</v>
      </c>
      <c r="D29133" t="str">
        <f>"78648"</f>
        <v>78648</v>
      </c>
      <c r="E29133">
        <v>65.78</v>
      </c>
    </row>
    <row r="29134" spans="1:5" x14ac:dyDescent="0.2">
      <c r="A29134">
        <v>78650</v>
      </c>
      <c r="B29134" t="s">
        <v>50</v>
      </c>
      <c r="C29134">
        <v>78650</v>
      </c>
      <c r="D29134" t="str">
        <f>"78650"</f>
        <v>78650</v>
      </c>
      <c r="E29134">
        <v>70.67</v>
      </c>
    </row>
    <row r="29135" spans="1:5" x14ac:dyDescent="0.2">
      <c r="A29135">
        <v>78652</v>
      </c>
      <c r="B29135" t="s">
        <v>50</v>
      </c>
      <c r="C29135">
        <v>78652</v>
      </c>
      <c r="D29135" t="str">
        <f>"78652"</f>
        <v>78652</v>
      </c>
      <c r="E29135">
        <v>81.23</v>
      </c>
    </row>
    <row r="29136" spans="1:5" x14ac:dyDescent="0.2">
      <c r="A29136">
        <v>78653</v>
      </c>
      <c r="B29136" t="s">
        <v>50</v>
      </c>
      <c r="C29136">
        <v>78653</v>
      </c>
      <c r="D29136" t="str">
        <f>"78653"</f>
        <v>78653</v>
      </c>
      <c r="E29136">
        <v>70.03</v>
      </c>
    </row>
    <row r="29137" spans="1:5" x14ac:dyDescent="0.2">
      <c r="A29137">
        <v>78654</v>
      </c>
      <c r="B29137" t="s">
        <v>50</v>
      </c>
      <c r="C29137">
        <v>78654</v>
      </c>
      <c r="D29137" t="str">
        <f>"78654"</f>
        <v>78654</v>
      </c>
      <c r="E29137">
        <v>68.7</v>
      </c>
    </row>
    <row r="29138" spans="1:5" x14ac:dyDescent="0.2">
      <c r="A29138">
        <v>78655</v>
      </c>
      <c r="B29138" t="s">
        <v>50</v>
      </c>
      <c r="C29138">
        <v>78655</v>
      </c>
      <c r="D29138" t="str">
        <f>"78655"</f>
        <v>78655</v>
      </c>
      <c r="E29138">
        <v>67.67</v>
      </c>
    </row>
    <row r="29139" spans="1:5" x14ac:dyDescent="0.2">
      <c r="A29139">
        <v>78656</v>
      </c>
      <c r="B29139" t="s">
        <v>50</v>
      </c>
      <c r="C29139">
        <v>78656</v>
      </c>
      <c r="D29139" t="str">
        <f>"78656"</f>
        <v>78656</v>
      </c>
      <c r="E29139">
        <v>64.290000000000006</v>
      </c>
    </row>
    <row r="29140" spans="1:5" x14ac:dyDescent="0.2">
      <c r="A29140">
        <v>78657</v>
      </c>
      <c r="B29140" t="s">
        <v>50</v>
      </c>
      <c r="C29140">
        <v>78657</v>
      </c>
      <c r="D29140" t="str">
        <f>"78657"</f>
        <v>78657</v>
      </c>
      <c r="E29140">
        <v>76.34</v>
      </c>
    </row>
    <row r="29141" spans="1:5" x14ac:dyDescent="0.2">
      <c r="A29141">
        <v>78659</v>
      </c>
      <c r="B29141" t="s">
        <v>50</v>
      </c>
      <c r="C29141">
        <v>78659</v>
      </c>
      <c r="D29141" t="str">
        <f>"78659"</f>
        <v>78659</v>
      </c>
      <c r="E29141">
        <v>71.53</v>
      </c>
    </row>
    <row r="29142" spans="1:5" x14ac:dyDescent="0.2">
      <c r="A29142">
        <v>78660</v>
      </c>
      <c r="B29142" t="s">
        <v>50</v>
      </c>
      <c r="C29142">
        <v>78660</v>
      </c>
      <c r="D29142" t="str">
        <f>"78660"</f>
        <v>78660</v>
      </c>
      <c r="E29142">
        <v>76.73</v>
      </c>
    </row>
    <row r="29143" spans="1:5" x14ac:dyDescent="0.2">
      <c r="A29143">
        <v>78661</v>
      </c>
      <c r="B29143" t="s">
        <v>50</v>
      </c>
      <c r="C29143">
        <v>78661</v>
      </c>
      <c r="D29143" t="str">
        <f>"78661"</f>
        <v>78661</v>
      </c>
      <c r="E29143" t="s">
        <v>6</v>
      </c>
    </row>
    <row r="29144" spans="1:5" x14ac:dyDescent="0.2">
      <c r="A29144">
        <v>78662</v>
      </c>
      <c r="B29144" t="s">
        <v>50</v>
      </c>
      <c r="C29144">
        <v>78662</v>
      </c>
      <c r="D29144" t="str">
        <f>"78662"</f>
        <v>78662</v>
      </c>
      <c r="E29144">
        <v>72.569999999999993</v>
      </c>
    </row>
    <row r="29145" spans="1:5" x14ac:dyDescent="0.2">
      <c r="A29145">
        <v>78663</v>
      </c>
      <c r="B29145" t="s">
        <v>50</v>
      </c>
      <c r="C29145">
        <v>78663</v>
      </c>
      <c r="D29145" t="str">
        <f>"78663"</f>
        <v>78663</v>
      </c>
      <c r="E29145">
        <v>73.680000000000007</v>
      </c>
    </row>
    <row r="29146" spans="1:5" x14ac:dyDescent="0.2">
      <c r="A29146">
        <v>78664</v>
      </c>
      <c r="B29146" t="s">
        <v>50</v>
      </c>
      <c r="C29146">
        <v>78664</v>
      </c>
      <c r="D29146" t="str">
        <f>"78664"</f>
        <v>78664</v>
      </c>
      <c r="E29146">
        <v>73.98</v>
      </c>
    </row>
    <row r="29147" spans="1:5" x14ac:dyDescent="0.2">
      <c r="A29147">
        <v>78665</v>
      </c>
      <c r="B29147" t="s">
        <v>50</v>
      </c>
      <c r="C29147">
        <v>78665</v>
      </c>
      <c r="D29147" t="str">
        <f>"78665"</f>
        <v>78665</v>
      </c>
      <c r="E29147">
        <v>79.290000000000006</v>
      </c>
    </row>
    <row r="29148" spans="1:5" x14ac:dyDescent="0.2">
      <c r="A29148">
        <v>78666</v>
      </c>
      <c r="B29148" t="s">
        <v>50</v>
      </c>
      <c r="C29148">
        <v>78666</v>
      </c>
      <c r="D29148" t="str">
        <f>"78666"</f>
        <v>78666</v>
      </c>
      <c r="E29148">
        <v>64.41</v>
      </c>
    </row>
    <row r="29149" spans="1:5" x14ac:dyDescent="0.2">
      <c r="A29149">
        <v>78669</v>
      </c>
      <c r="B29149" t="s">
        <v>50</v>
      </c>
      <c r="C29149">
        <v>78669</v>
      </c>
      <c r="D29149" t="str">
        <f>"78669"</f>
        <v>78669</v>
      </c>
      <c r="E29149">
        <v>80</v>
      </c>
    </row>
    <row r="29150" spans="1:5" x14ac:dyDescent="0.2">
      <c r="A29150">
        <v>78670</v>
      </c>
      <c r="B29150" t="s">
        <v>50</v>
      </c>
      <c r="C29150">
        <v>78670</v>
      </c>
      <c r="D29150" t="str">
        <f>"78670"</f>
        <v>78670</v>
      </c>
      <c r="E29150" t="s">
        <v>6</v>
      </c>
    </row>
    <row r="29151" spans="1:5" x14ac:dyDescent="0.2">
      <c r="A29151">
        <v>78671</v>
      </c>
      <c r="B29151" t="s">
        <v>50</v>
      </c>
      <c r="C29151">
        <v>78671</v>
      </c>
      <c r="D29151" t="str">
        <f>"78671"</f>
        <v>78671</v>
      </c>
      <c r="E29151">
        <v>70</v>
      </c>
    </row>
    <row r="29152" spans="1:5" x14ac:dyDescent="0.2">
      <c r="A29152">
        <v>78672</v>
      </c>
      <c r="B29152" t="s">
        <v>50</v>
      </c>
      <c r="C29152">
        <v>78672</v>
      </c>
      <c r="D29152" t="str">
        <f>"78672"</f>
        <v>78672</v>
      </c>
      <c r="E29152">
        <v>66.67</v>
      </c>
    </row>
    <row r="29153" spans="1:5" x14ac:dyDescent="0.2">
      <c r="A29153">
        <v>78674</v>
      </c>
      <c r="B29153" t="s">
        <v>50</v>
      </c>
      <c r="C29153">
        <v>78674</v>
      </c>
      <c r="D29153" t="str">
        <f>"78674"</f>
        <v>78674</v>
      </c>
      <c r="E29153" t="s">
        <v>6</v>
      </c>
    </row>
    <row r="29154" spans="1:5" x14ac:dyDescent="0.2">
      <c r="A29154">
        <v>78675</v>
      </c>
      <c r="B29154" t="s">
        <v>50</v>
      </c>
      <c r="C29154">
        <v>78675</v>
      </c>
      <c r="D29154" t="str">
        <f>"78675"</f>
        <v>78675</v>
      </c>
      <c r="E29154" t="s">
        <v>6</v>
      </c>
    </row>
    <row r="29155" spans="1:5" x14ac:dyDescent="0.2">
      <c r="A29155">
        <v>78676</v>
      </c>
      <c r="B29155" t="s">
        <v>50</v>
      </c>
      <c r="C29155">
        <v>78676</v>
      </c>
      <c r="D29155" t="str">
        <f>"78676"</f>
        <v>78676</v>
      </c>
      <c r="E29155">
        <v>76.27</v>
      </c>
    </row>
    <row r="29156" spans="1:5" x14ac:dyDescent="0.2">
      <c r="A29156">
        <v>78677</v>
      </c>
      <c r="B29156" t="s">
        <v>50</v>
      </c>
      <c r="C29156">
        <v>78677</v>
      </c>
      <c r="D29156" t="str">
        <f>"78677"</f>
        <v>78677</v>
      </c>
      <c r="E29156" t="s">
        <v>6</v>
      </c>
    </row>
    <row r="29157" spans="1:5" x14ac:dyDescent="0.2">
      <c r="A29157">
        <v>78681</v>
      </c>
      <c r="B29157" t="s">
        <v>50</v>
      </c>
      <c r="C29157">
        <v>78681</v>
      </c>
      <c r="D29157" t="str">
        <f>"78681"</f>
        <v>78681</v>
      </c>
      <c r="E29157">
        <v>80.08</v>
      </c>
    </row>
    <row r="29158" spans="1:5" x14ac:dyDescent="0.2">
      <c r="A29158">
        <v>78701</v>
      </c>
      <c r="B29158" t="s">
        <v>50</v>
      </c>
      <c r="C29158">
        <v>78701</v>
      </c>
      <c r="D29158" t="str">
        <f>"78701"</f>
        <v>78701</v>
      </c>
      <c r="E29158">
        <v>88.12</v>
      </c>
    </row>
    <row r="29159" spans="1:5" x14ac:dyDescent="0.2">
      <c r="A29159">
        <v>78702</v>
      </c>
      <c r="B29159" t="s">
        <v>50</v>
      </c>
      <c r="C29159">
        <v>78702</v>
      </c>
      <c r="D29159" t="str">
        <f>"78702"</f>
        <v>78702</v>
      </c>
      <c r="E29159">
        <v>76.37</v>
      </c>
    </row>
    <row r="29160" spans="1:5" x14ac:dyDescent="0.2">
      <c r="A29160">
        <v>78703</v>
      </c>
      <c r="B29160" t="s">
        <v>50</v>
      </c>
      <c r="C29160">
        <v>78703</v>
      </c>
      <c r="D29160" t="str">
        <f>"78703"</f>
        <v>78703</v>
      </c>
      <c r="E29160">
        <v>87.07</v>
      </c>
    </row>
    <row r="29161" spans="1:5" x14ac:dyDescent="0.2">
      <c r="A29161">
        <v>78704</v>
      </c>
      <c r="B29161" t="s">
        <v>50</v>
      </c>
      <c r="C29161">
        <v>78704</v>
      </c>
      <c r="D29161" t="str">
        <f>"78704"</f>
        <v>78704</v>
      </c>
      <c r="E29161">
        <v>84.39</v>
      </c>
    </row>
    <row r="29162" spans="1:5" x14ac:dyDescent="0.2">
      <c r="A29162">
        <v>78705</v>
      </c>
      <c r="B29162" t="s">
        <v>50</v>
      </c>
      <c r="C29162">
        <v>78705</v>
      </c>
      <c r="D29162" t="str">
        <f>"78705"</f>
        <v>78705</v>
      </c>
      <c r="E29162">
        <v>66.41</v>
      </c>
    </row>
    <row r="29163" spans="1:5" x14ac:dyDescent="0.2">
      <c r="A29163">
        <v>78712</v>
      </c>
      <c r="B29163" t="s">
        <v>50</v>
      </c>
      <c r="C29163">
        <v>78712</v>
      </c>
      <c r="D29163" t="str">
        <f>"78712"</f>
        <v>78712</v>
      </c>
      <c r="E29163" t="s">
        <v>6</v>
      </c>
    </row>
    <row r="29164" spans="1:5" x14ac:dyDescent="0.2">
      <c r="A29164">
        <v>78717</v>
      </c>
      <c r="B29164" t="s">
        <v>50</v>
      </c>
      <c r="C29164">
        <v>78717</v>
      </c>
      <c r="D29164" t="str">
        <f>"78717"</f>
        <v>78717</v>
      </c>
      <c r="E29164">
        <v>83.98</v>
      </c>
    </row>
    <row r="29165" spans="1:5" x14ac:dyDescent="0.2">
      <c r="A29165">
        <v>78719</v>
      </c>
      <c r="B29165" t="s">
        <v>50</v>
      </c>
      <c r="C29165">
        <v>78719</v>
      </c>
      <c r="D29165" t="str">
        <f>"78719"</f>
        <v>78719</v>
      </c>
      <c r="E29165">
        <v>56.63</v>
      </c>
    </row>
    <row r="29166" spans="1:5" x14ac:dyDescent="0.2">
      <c r="A29166">
        <v>78721</v>
      </c>
      <c r="B29166" t="s">
        <v>50</v>
      </c>
      <c r="C29166">
        <v>78721</v>
      </c>
      <c r="D29166" t="str">
        <f>"78721"</f>
        <v>78721</v>
      </c>
      <c r="E29166">
        <v>68.25</v>
      </c>
    </row>
    <row r="29167" spans="1:5" x14ac:dyDescent="0.2">
      <c r="A29167">
        <v>78722</v>
      </c>
      <c r="B29167" t="s">
        <v>50</v>
      </c>
      <c r="C29167">
        <v>78722</v>
      </c>
      <c r="D29167" t="str">
        <f>"78722"</f>
        <v>78722</v>
      </c>
      <c r="E29167">
        <v>86.48</v>
      </c>
    </row>
    <row r="29168" spans="1:5" x14ac:dyDescent="0.2">
      <c r="A29168">
        <v>78723</v>
      </c>
      <c r="B29168" t="s">
        <v>50</v>
      </c>
      <c r="C29168">
        <v>78723</v>
      </c>
      <c r="D29168" t="str">
        <f>"78723"</f>
        <v>78723</v>
      </c>
      <c r="E29168">
        <v>74.72</v>
      </c>
    </row>
    <row r="29169" spans="1:5" x14ac:dyDescent="0.2">
      <c r="A29169">
        <v>78724</v>
      </c>
      <c r="B29169" t="s">
        <v>50</v>
      </c>
      <c r="C29169">
        <v>78724</v>
      </c>
      <c r="D29169" t="str">
        <f>"78724"</f>
        <v>78724</v>
      </c>
      <c r="E29169">
        <v>55.47</v>
      </c>
    </row>
    <row r="29170" spans="1:5" x14ac:dyDescent="0.2">
      <c r="A29170">
        <v>78725</v>
      </c>
      <c r="B29170" t="s">
        <v>50</v>
      </c>
      <c r="C29170">
        <v>78725</v>
      </c>
      <c r="D29170" t="str">
        <f>"78725"</f>
        <v>78725</v>
      </c>
      <c r="E29170">
        <v>71.150000000000006</v>
      </c>
    </row>
    <row r="29171" spans="1:5" x14ac:dyDescent="0.2">
      <c r="A29171">
        <v>78726</v>
      </c>
      <c r="B29171" t="s">
        <v>50</v>
      </c>
      <c r="C29171">
        <v>78726</v>
      </c>
      <c r="D29171" t="str">
        <f>"78726"</f>
        <v>78726</v>
      </c>
      <c r="E29171">
        <v>78.599999999999994</v>
      </c>
    </row>
    <row r="29172" spans="1:5" x14ac:dyDescent="0.2">
      <c r="A29172">
        <v>78727</v>
      </c>
      <c r="B29172" t="s">
        <v>50</v>
      </c>
      <c r="C29172">
        <v>78727</v>
      </c>
      <c r="D29172" t="str">
        <f>"78727"</f>
        <v>78727</v>
      </c>
      <c r="E29172">
        <v>84.23</v>
      </c>
    </row>
    <row r="29173" spans="1:5" x14ac:dyDescent="0.2">
      <c r="A29173">
        <v>78728</v>
      </c>
      <c r="B29173" t="s">
        <v>50</v>
      </c>
      <c r="C29173">
        <v>78728</v>
      </c>
      <c r="D29173" t="str">
        <f>"78728"</f>
        <v>78728</v>
      </c>
      <c r="E29173">
        <v>75.59</v>
      </c>
    </row>
    <row r="29174" spans="1:5" x14ac:dyDescent="0.2">
      <c r="A29174">
        <v>78729</v>
      </c>
      <c r="B29174" t="s">
        <v>50</v>
      </c>
      <c r="C29174">
        <v>78729</v>
      </c>
      <c r="D29174" t="str">
        <f>"78729"</f>
        <v>78729</v>
      </c>
      <c r="E29174">
        <v>81.58</v>
      </c>
    </row>
    <row r="29175" spans="1:5" x14ac:dyDescent="0.2">
      <c r="A29175">
        <v>78730</v>
      </c>
      <c r="B29175" t="s">
        <v>50</v>
      </c>
      <c r="C29175">
        <v>78730</v>
      </c>
      <c r="D29175" t="str">
        <f>"78730"</f>
        <v>78730</v>
      </c>
      <c r="E29175">
        <v>86.46</v>
      </c>
    </row>
    <row r="29176" spans="1:5" x14ac:dyDescent="0.2">
      <c r="A29176">
        <v>78731</v>
      </c>
      <c r="B29176" t="s">
        <v>50</v>
      </c>
      <c r="C29176">
        <v>78731</v>
      </c>
      <c r="D29176" t="str">
        <f>"78731"</f>
        <v>78731</v>
      </c>
      <c r="E29176">
        <v>84.89</v>
      </c>
    </row>
    <row r="29177" spans="1:5" x14ac:dyDescent="0.2">
      <c r="A29177">
        <v>78732</v>
      </c>
      <c r="B29177" t="s">
        <v>50</v>
      </c>
      <c r="C29177">
        <v>78732</v>
      </c>
      <c r="D29177" t="str">
        <f>"78732"</f>
        <v>78732</v>
      </c>
      <c r="E29177">
        <v>82.58</v>
      </c>
    </row>
    <row r="29178" spans="1:5" x14ac:dyDescent="0.2">
      <c r="A29178">
        <v>78733</v>
      </c>
      <c r="B29178" t="s">
        <v>50</v>
      </c>
      <c r="C29178">
        <v>78733</v>
      </c>
      <c r="D29178" t="str">
        <f>"78733"</f>
        <v>78733</v>
      </c>
      <c r="E29178">
        <v>81.75</v>
      </c>
    </row>
    <row r="29179" spans="1:5" x14ac:dyDescent="0.2">
      <c r="A29179">
        <v>78734</v>
      </c>
      <c r="B29179" t="s">
        <v>50</v>
      </c>
      <c r="C29179">
        <v>78734</v>
      </c>
      <c r="D29179" t="str">
        <f>"78734"</f>
        <v>78734</v>
      </c>
      <c r="E29179">
        <v>80.260000000000005</v>
      </c>
    </row>
    <row r="29180" spans="1:5" x14ac:dyDescent="0.2">
      <c r="A29180">
        <v>78735</v>
      </c>
      <c r="B29180" t="s">
        <v>50</v>
      </c>
      <c r="C29180">
        <v>78735</v>
      </c>
      <c r="D29180" t="str">
        <f>"78735"</f>
        <v>78735</v>
      </c>
      <c r="E29180">
        <v>84.18</v>
      </c>
    </row>
    <row r="29181" spans="1:5" x14ac:dyDescent="0.2">
      <c r="A29181">
        <v>78736</v>
      </c>
      <c r="B29181" t="s">
        <v>50</v>
      </c>
      <c r="C29181">
        <v>78736</v>
      </c>
      <c r="D29181" t="str">
        <f>"78736"</f>
        <v>78736</v>
      </c>
      <c r="E29181">
        <v>81.96</v>
      </c>
    </row>
    <row r="29182" spans="1:5" x14ac:dyDescent="0.2">
      <c r="A29182">
        <v>78737</v>
      </c>
      <c r="B29182" t="s">
        <v>50</v>
      </c>
      <c r="C29182">
        <v>78737</v>
      </c>
      <c r="D29182" t="str">
        <f>"78737"</f>
        <v>78737</v>
      </c>
      <c r="E29182">
        <v>83.73</v>
      </c>
    </row>
    <row r="29183" spans="1:5" x14ac:dyDescent="0.2">
      <c r="A29183">
        <v>78738</v>
      </c>
      <c r="B29183" t="s">
        <v>50</v>
      </c>
      <c r="C29183">
        <v>78738</v>
      </c>
      <c r="D29183" t="str">
        <f>"78738"</f>
        <v>78738</v>
      </c>
      <c r="E29183">
        <v>83.73</v>
      </c>
    </row>
    <row r="29184" spans="1:5" x14ac:dyDescent="0.2">
      <c r="A29184">
        <v>78739</v>
      </c>
      <c r="B29184" t="s">
        <v>50</v>
      </c>
      <c r="C29184">
        <v>78739</v>
      </c>
      <c r="D29184" t="str">
        <f>"78739"</f>
        <v>78739</v>
      </c>
      <c r="E29184">
        <v>86.47</v>
      </c>
    </row>
    <row r="29185" spans="1:5" x14ac:dyDescent="0.2">
      <c r="A29185">
        <v>78741</v>
      </c>
      <c r="B29185" t="s">
        <v>50</v>
      </c>
      <c r="C29185">
        <v>78741</v>
      </c>
      <c r="D29185" t="str">
        <f>"78741"</f>
        <v>78741</v>
      </c>
      <c r="E29185">
        <v>70.8</v>
      </c>
    </row>
    <row r="29186" spans="1:5" x14ac:dyDescent="0.2">
      <c r="A29186">
        <v>78742</v>
      </c>
      <c r="B29186" t="s">
        <v>50</v>
      </c>
      <c r="C29186">
        <v>78742</v>
      </c>
      <c r="D29186" t="str">
        <f>"78742"</f>
        <v>78742</v>
      </c>
      <c r="E29186">
        <v>62.86</v>
      </c>
    </row>
    <row r="29187" spans="1:5" x14ac:dyDescent="0.2">
      <c r="A29187">
        <v>78744</v>
      </c>
      <c r="B29187" t="s">
        <v>50</v>
      </c>
      <c r="C29187">
        <v>78744</v>
      </c>
      <c r="D29187" t="str">
        <f>"78744"</f>
        <v>78744</v>
      </c>
      <c r="E29187">
        <v>63.48</v>
      </c>
    </row>
    <row r="29188" spans="1:5" x14ac:dyDescent="0.2">
      <c r="A29188">
        <v>78745</v>
      </c>
      <c r="B29188" t="s">
        <v>50</v>
      </c>
      <c r="C29188">
        <v>78745</v>
      </c>
      <c r="D29188" t="str">
        <f>"78745"</f>
        <v>78745</v>
      </c>
      <c r="E29188">
        <v>78.8</v>
      </c>
    </row>
    <row r="29189" spans="1:5" x14ac:dyDescent="0.2">
      <c r="A29189">
        <v>78746</v>
      </c>
      <c r="B29189" t="s">
        <v>50</v>
      </c>
      <c r="C29189">
        <v>78746</v>
      </c>
      <c r="D29189" t="str">
        <f>"78746"</f>
        <v>78746</v>
      </c>
      <c r="E29189">
        <v>84.21</v>
      </c>
    </row>
    <row r="29190" spans="1:5" x14ac:dyDescent="0.2">
      <c r="A29190">
        <v>78747</v>
      </c>
      <c r="B29190" t="s">
        <v>50</v>
      </c>
      <c r="C29190">
        <v>78747</v>
      </c>
      <c r="D29190" t="str">
        <f>"78747"</f>
        <v>78747</v>
      </c>
      <c r="E29190">
        <v>75.08</v>
      </c>
    </row>
    <row r="29191" spans="1:5" x14ac:dyDescent="0.2">
      <c r="A29191">
        <v>78748</v>
      </c>
      <c r="B29191" t="s">
        <v>50</v>
      </c>
      <c r="C29191">
        <v>78748</v>
      </c>
      <c r="D29191" t="str">
        <f>"78748"</f>
        <v>78748</v>
      </c>
      <c r="E29191">
        <v>80.849999999999994</v>
      </c>
    </row>
    <row r="29192" spans="1:5" x14ac:dyDescent="0.2">
      <c r="A29192">
        <v>78749</v>
      </c>
      <c r="B29192" t="s">
        <v>50</v>
      </c>
      <c r="C29192">
        <v>78749</v>
      </c>
      <c r="D29192" t="str">
        <f>"78749"</f>
        <v>78749</v>
      </c>
      <c r="E29192">
        <v>85.05</v>
      </c>
    </row>
    <row r="29193" spans="1:5" x14ac:dyDescent="0.2">
      <c r="A29193">
        <v>78750</v>
      </c>
      <c r="B29193" t="s">
        <v>50</v>
      </c>
      <c r="C29193">
        <v>78750</v>
      </c>
      <c r="D29193" t="str">
        <f>"78750"</f>
        <v>78750</v>
      </c>
      <c r="E29193">
        <v>81.39</v>
      </c>
    </row>
    <row r="29194" spans="1:5" x14ac:dyDescent="0.2">
      <c r="A29194">
        <v>78751</v>
      </c>
      <c r="B29194" t="s">
        <v>50</v>
      </c>
      <c r="C29194">
        <v>78751</v>
      </c>
      <c r="D29194" t="str">
        <f>"78751"</f>
        <v>78751</v>
      </c>
      <c r="E29194">
        <v>84.92</v>
      </c>
    </row>
    <row r="29195" spans="1:5" x14ac:dyDescent="0.2">
      <c r="A29195">
        <v>78752</v>
      </c>
      <c r="B29195" t="s">
        <v>50</v>
      </c>
      <c r="C29195">
        <v>78752</v>
      </c>
      <c r="D29195" t="str">
        <f>"78752"</f>
        <v>78752</v>
      </c>
      <c r="E29195">
        <v>70.31</v>
      </c>
    </row>
    <row r="29196" spans="1:5" x14ac:dyDescent="0.2">
      <c r="A29196">
        <v>78753</v>
      </c>
      <c r="B29196" t="s">
        <v>50</v>
      </c>
      <c r="C29196">
        <v>78753</v>
      </c>
      <c r="D29196" t="str">
        <f>"78753"</f>
        <v>78753</v>
      </c>
      <c r="E29196">
        <v>64.34</v>
      </c>
    </row>
    <row r="29197" spans="1:5" x14ac:dyDescent="0.2">
      <c r="A29197">
        <v>78754</v>
      </c>
      <c r="B29197" t="s">
        <v>50</v>
      </c>
      <c r="C29197">
        <v>78754</v>
      </c>
      <c r="D29197" t="str">
        <f>"78754"</f>
        <v>78754</v>
      </c>
      <c r="E29197">
        <v>73.510000000000005</v>
      </c>
    </row>
    <row r="29198" spans="1:5" x14ac:dyDescent="0.2">
      <c r="A29198">
        <v>78755</v>
      </c>
      <c r="B29198" t="s">
        <v>50</v>
      </c>
      <c r="C29198">
        <v>78755</v>
      </c>
      <c r="D29198" t="str">
        <f>"78755"</f>
        <v>78755</v>
      </c>
      <c r="E29198" t="s">
        <v>6</v>
      </c>
    </row>
    <row r="29199" spans="1:5" x14ac:dyDescent="0.2">
      <c r="A29199">
        <v>78756</v>
      </c>
      <c r="B29199" t="s">
        <v>50</v>
      </c>
      <c r="C29199">
        <v>78756</v>
      </c>
      <c r="D29199" t="str">
        <f>"78756"</f>
        <v>78756</v>
      </c>
      <c r="E29199">
        <v>87.39</v>
      </c>
    </row>
    <row r="29200" spans="1:5" x14ac:dyDescent="0.2">
      <c r="A29200">
        <v>78757</v>
      </c>
      <c r="B29200" t="s">
        <v>50</v>
      </c>
      <c r="C29200">
        <v>78757</v>
      </c>
      <c r="D29200" t="str">
        <f>"78757"</f>
        <v>78757</v>
      </c>
      <c r="E29200">
        <v>84.66</v>
      </c>
    </row>
    <row r="29201" spans="1:5" x14ac:dyDescent="0.2">
      <c r="A29201">
        <v>78758</v>
      </c>
      <c r="B29201" t="s">
        <v>50</v>
      </c>
      <c r="C29201">
        <v>78758</v>
      </c>
      <c r="D29201" t="str">
        <f>"78758"</f>
        <v>78758</v>
      </c>
      <c r="E29201">
        <v>73.37</v>
      </c>
    </row>
    <row r="29202" spans="1:5" x14ac:dyDescent="0.2">
      <c r="A29202">
        <v>78759</v>
      </c>
      <c r="B29202" t="s">
        <v>50</v>
      </c>
      <c r="C29202">
        <v>78759</v>
      </c>
      <c r="D29202" t="str">
        <f>"78759"</f>
        <v>78759</v>
      </c>
      <c r="E29202">
        <v>85.49</v>
      </c>
    </row>
    <row r="29203" spans="1:5" x14ac:dyDescent="0.2">
      <c r="A29203">
        <v>78774</v>
      </c>
      <c r="B29203" t="s">
        <v>50</v>
      </c>
      <c r="C29203">
        <v>78774</v>
      </c>
      <c r="D29203" t="str">
        <f>"78774"</f>
        <v>78774</v>
      </c>
      <c r="E29203" t="s">
        <v>6</v>
      </c>
    </row>
    <row r="29204" spans="1:5" x14ac:dyDescent="0.2">
      <c r="A29204">
        <v>78801</v>
      </c>
      <c r="B29204" t="s">
        <v>50</v>
      </c>
      <c r="C29204">
        <v>78801</v>
      </c>
      <c r="D29204" t="str">
        <f>"78801"</f>
        <v>78801</v>
      </c>
      <c r="E29204">
        <v>56.16</v>
      </c>
    </row>
    <row r="29205" spans="1:5" x14ac:dyDescent="0.2">
      <c r="A29205">
        <v>78802</v>
      </c>
      <c r="B29205" t="s">
        <v>50</v>
      </c>
      <c r="C29205">
        <v>78802</v>
      </c>
      <c r="D29205" t="str">
        <f>"78802"</f>
        <v>78802</v>
      </c>
      <c r="E29205" t="s">
        <v>6</v>
      </c>
    </row>
    <row r="29206" spans="1:5" x14ac:dyDescent="0.2">
      <c r="A29206">
        <v>78827</v>
      </c>
      <c r="B29206" t="s">
        <v>50</v>
      </c>
      <c r="C29206">
        <v>78827</v>
      </c>
      <c r="D29206" t="str">
        <f>"78827"</f>
        <v>78827</v>
      </c>
      <c r="E29206">
        <v>56</v>
      </c>
    </row>
    <row r="29207" spans="1:5" x14ac:dyDescent="0.2">
      <c r="A29207">
        <v>78828</v>
      </c>
      <c r="B29207" t="s">
        <v>50</v>
      </c>
      <c r="C29207">
        <v>78828</v>
      </c>
      <c r="D29207" t="str">
        <f>"78828"</f>
        <v>78828</v>
      </c>
      <c r="E29207">
        <v>63.64</v>
      </c>
    </row>
    <row r="29208" spans="1:5" x14ac:dyDescent="0.2">
      <c r="A29208">
        <v>78829</v>
      </c>
      <c r="B29208" t="s">
        <v>50</v>
      </c>
      <c r="C29208">
        <v>78829</v>
      </c>
      <c r="D29208" t="str">
        <f>"78829"</f>
        <v>78829</v>
      </c>
      <c r="E29208">
        <v>52.27</v>
      </c>
    </row>
    <row r="29209" spans="1:5" x14ac:dyDescent="0.2">
      <c r="A29209">
        <v>78830</v>
      </c>
      <c r="B29209" t="s">
        <v>50</v>
      </c>
      <c r="C29209">
        <v>78830</v>
      </c>
      <c r="D29209" t="str">
        <f>"78830"</f>
        <v>78830</v>
      </c>
      <c r="E29209">
        <v>50</v>
      </c>
    </row>
    <row r="29210" spans="1:5" x14ac:dyDescent="0.2">
      <c r="A29210">
        <v>78832</v>
      </c>
      <c r="B29210" t="s">
        <v>50</v>
      </c>
      <c r="C29210">
        <v>78832</v>
      </c>
      <c r="D29210" t="str">
        <f>"78832"</f>
        <v>78832</v>
      </c>
      <c r="E29210" t="s">
        <v>6</v>
      </c>
    </row>
    <row r="29211" spans="1:5" x14ac:dyDescent="0.2">
      <c r="A29211">
        <v>78833</v>
      </c>
      <c r="B29211" t="s">
        <v>50</v>
      </c>
      <c r="C29211">
        <v>78833</v>
      </c>
      <c r="D29211" t="str">
        <f>"78833"</f>
        <v>78833</v>
      </c>
      <c r="E29211">
        <v>52.83</v>
      </c>
    </row>
    <row r="29212" spans="1:5" x14ac:dyDescent="0.2">
      <c r="A29212">
        <v>78834</v>
      </c>
      <c r="B29212" t="s">
        <v>50</v>
      </c>
      <c r="C29212">
        <v>78834</v>
      </c>
      <c r="D29212" t="str">
        <f>"78834"</f>
        <v>78834</v>
      </c>
      <c r="E29212">
        <v>56.66</v>
      </c>
    </row>
    <row r="29213" spans="1:5" x14ac:dyDescent="0.2">
      <c r="A29213">
        <v>78836</v>
      </c>
      <c r="B29213" t="s">
        <v>50</v>
      </c>
      <c r="C29213">
        <v>78836</v>
      </c>
      <c r="D29213" t="str">
        <f>"78836"</f>
        <v>78836</v>
      </c>
      <c r="E29213" t="s">
        <v>6</v>
      </c>
    </row>
    <row r="29214" spans="1:5" x14ac:dyDescent="0.2">
      <c r="A29214">
        <v>78837</v>
      </c>
      <c r="B29214" t="s">
        <v>50</v>
      </c>
      <c r="C29214">
        <v>78837</v>
      </c>
      <c r="D29214" t="str">
        <f>"78837"</f>
        <v>78837</v>
      </c>
      <c r="E29214" t="s">
        <v>6</v>
      </c>
    </row>
    <row r="29215" spans="1:5" x14ac:dyDescent="0.2">
      <c r="A29215">
        <v>78838</v>
      </c>
      <c r="B29215" t="s">
        <v>50</v>
      </c>
      <c r="C29215">
        <v>78838</v>
      </c>
      <c r="D29215" t="str">
        <f>"78838"</f>
        <v>78838</v>
      </c>
      <c r="E29215">
        <v>64</v>
      </c>
    </row>
    <row r="29216" spans="1:5" x14ac:dyDescent="0.2">
      <c r="A29216">
        <v>78839</v>
      </c>
      <c r="B29216" t="s">
        <v>50</v>
      </c>
      <c r="C29216">
        <v>78839</v>
      </c>
      <c r="D29216" t="str">
        <f>"78839"</f>
        <v>78839</v>
      </c>
      <c r="E29216">
        <v>50.48</v>
      </c>
    </row>
    <row r="29217" spans="1:5" x14ac:dyDescent="0.2">
      <c r="A29217">
        <v>78840</v>
      </c>
      <c r="B29217" t="s">
        <v>50</v>
      </c>
      <c r="C29217">
        <v>78840</v>
      </c>
      <c r="D29217" t="str">
        <f>"78840"</f>
        <v>78840</v>
      </c>
      <c r="E29217">
        <v>58.89</v>
      </c>
    </row>
    <row r="29218" spans="1:5" x14ac:dyDescent="0.2">
      <c r="A29218">
        <v>78843</v>
      </c>
      <c r="B29218" t="s">
        <v>50</v>
      </c>
      <c r="C29218">
        <v>78843</v>
      </c>
      <c r="D29218" t="str">
        <f>"78843"</f>
        <v>78843</v>
      </c>
      <c r="E29218" t="s">
        <v>6</v>
      </c>
    </row>
    <row r="29219" spans="1:5" x14ac:dyDescent="0.2">
      <c r="A29219">
        <v>78850</v>
      </c>
      <c r="B29219" t="s">
        <v>50</v>
      </c>
      <c r="C29219">
        <v>78850</v>
      </c>
      <c r="D29219" t="str">
        <f>"78850"</f>
        <v>78850</v>
      </c>
      <c r="E29219">
        <v>66.67</v>
      </c>
    </row>
    <row r="29220" spans="1:5" x14ac:dyDescent="0.2">
      <c r="A29220">
        <v>78851</v>
      </c>
      <c r="B29220" t="s">
        <v>50</v>
      </c>
      <c r="C29220">
        <v>78851</v>
      </c>
      <c r="D29220" t="str">
        <f>"78851"</f>
        <v>78851</v>
      </c>
      <c r="E29220" t="s">
        <v>6</v>
      </c>
    </row>
    <row r="29221" spans="1:5" x14ac:dyDescent="0.2">
      <c r="A29221">
        <v>78852</v>
      </c>
      <c r="B29221" t="s">
        <v>50</v>
      </c>
      <c r="C29221">
        <v>78852</v>
      </c>
      <c r="D29221" t="str">
        <f>"78852"</f>
        <v>78852</v>
      </c>
      <c r="E29221">
        <v>51.68</v>
      </c>
    </row>
    <row r="29222" spans="1:5" x14ac:dyDescent="0.2">
      <c r="A29222">
        <v>78860</v>
      </c>
      <c r="B29222" t="s">
        <v>50</v>
      </c>
      <c r="C29222">
        <v>78860</v>
      </c>
      <c r="D29222" t="str">
        <f>"78860"</f>
        <v>78860</v>
      </c>
      <c r="E29222" t="s">
        <v>6</v>
      </c>
    </row>
    <row r="29223" spans="1:5" x14ac:dyDescent="0.2">
      <c r="A29223">
        <v>78861</v>
      </c>
      <c r="B29223" t="s">
        <v>50</v>
      </c>
      <c r="C29223">
        <v>78861</v>
      </c>
      <c r="D29223" t="str">
        <f>"78861"</f>
        <v>78861</v>
      </c>
      <c r="E29223">
        <v>66.540000000000006</v>
      </c>
    </row>
    <row r="29224" spans="1:5" x14ac:dyDescent="0.2">
      <c r="A29224">
        <v>78870</v>
      </c>
      <c r="B29224" t="s">
        <v>50</v>
      </c>
      <c r="C29224">
        <v>78870</v>
      </c>
      <c r="D29224" t="str">
        <f>"78870"</f>
        <v>78870</v>
      </c>
      <c r="E29224">
        <v>63.89</v>
      </c>
    </row>
    <row r="29225" spans="1:5" x14ac:dyDescent="0.2">
      <c r="A29225">
        <v>78871</v>
      </c>
      <c r="B29225" t="s">
        <v>50</v>
      </c>
      <c r="C29225">
        <v>78871</v>
      </c>
      <c r="D29225" t="str">
        <f>"78871"</f>
        <v>78871</v>
      </c>
      <c r="E29225" t="s">
        <v>6</v>
      </c>
    </row>
    <row r="29226" spans="1:5" x14ac:dyDescent="0.2">
      <c r="A29226">
        <v>78872</v>
      </c>
      <c r="B29226" t="s">
        <v>50</v>
      </c>
      <c r="C29226">
        <v>78872</v>
      </c>
      <c r="D29226" t="str">
        <f>"78872"</f>
        <v>78872</v>
      </c>
      <c r="E29226" t="s">
        <v>6</v>
      </c>
    </row>
    <row r="29227" spans="1:5" x14ac:dyDescent="0.2">
      <c r="A29227">
        <v>78873</v>
      </c>
      <c r="B29227" t="s">
        <v>50</v>
      </c>
      <c r="C29227">
        <v>78873</v>
      </c>
      <c r="D29227" t="str">
        <f>"78873"</f>
        <v>78873</v>
      </c>
      <c r="E29227">
        <v>67.069999999999993</v>
      </c>
    </row>
    <row r="29228" spans="1:5" x14ac:dyDescent="0.2">
      <c r="A29228">
        <v>78877</v>
      </c>
      <c r="B29228" t="s">
        <v>50</v>
      </c>
      <c r="C29228">
        <v>78877</v>
      </c>
      <c r="D29228" t="str">
        <f>"78877"</f>
        <v>78877</v>
      </c>
      <c r="E29228">
        <v>62.5</v>
      </c>
    </row>
    <row r="29229" spans="1:5" x14ac:dyDescent="0.2">
      <c r="A29229">
        <v>78879</v>
      </c>
      <c r="B29229" t="s">
        <v>50</v>
      </c>
      <c r="C29229">
        <v>78879</v>
      </c>
      <c r="D29229" t="str">
        <f>"78879"</f>
        <v>78879</v>
      </c>
      <c r="E29229">
        <v>66.67</v>
      </c>
    </row>
    <row r="29230" spans="1:5" x14ac:dyDescent="0.2">
      <c r="A29230">
        <v>78880</v>
      </c>
      <c r="B29230" t="s">
        <v>50</v>
      </c>
      <c r="C29230">
        <v>78880</v>
      </c>
      <c r="D29230" t="str">
        <f>"78880"</f>
        <v>78880</v>
      </c>
      <c r="E29230">
        <v>62.69</v>
      </c>
    </row>
    <row r="29231" spans="1:5" x14ac:dyDescent="0.2">
      <c r="A29231">
        <v>78881</v>
      </c>
      <c r="B29231" t="s">
        <v>50</v>
      </c>
      <c r="C29231">
        <v>78881</v>
      </c>
      <c r="D29231" t="str">
        <f>"78881"</f>
        <v>78881</v>
      </c>
      <c r="E29231">
        <v>61.22</v>
      </c>
    </row>
    <row r="29232" spans="1:5" x14ac:dyDescent="0.2">
      <c r="A29232">
        <v>78883</v>
      </c>
      <c r="B29232" t="s">
        <v>50</v>
      </c>
      <c r="C29232">
        <v>78883</v>
      </c>
      <c r="D29232" t="str">
        <f>"78883"</f>
        <v>78883</v>
      </c>
      <c r="E29232">
        <v>76.92</v>
      </c>
    </row>
    <row r="29233" spans="1:5" x14ac:dyDescent="0.2">
      <c r="A29233">
        <v>78884</v>
      </c>
      <c r="B29233" t="s">
        <v>50</v>
      </c>
      <c r="C29233">
        <v>78884</v>
      </c>
      <c r="D29233" t="str">
        <f>"78884"</f>
        <v>78884</v>
      </c>
      <c r="E29233">
        <v>67.31</v>
      </c>
    </row>
    <row r="29234" spans="1:5" x14ac:dyDescent="0.2">
      <c r="A29234">
        <v>78885</v>
      </c>
      <c r="B29234" t="s">
        <v>50</v>
      </c>
      <c r="C29234">
        <v>78885</v>
      </c>
      <c r="D29234" t="str">
        <f>"78885"</f>
        <v>78885</v>
      </c>
      <c r="E29234" t="s">
        <v>6</v>
      </c>
    </row>
    <row r="29235" spans="1:5" x14ac:dyDescent="0.2">
      <c r="A29235">
        <v>78886</v>
      </c>
      <c r="B29235" t="s">
        <v>50</v>
      </c>
      <c r="C29235">
        <v>78886</v>
      </c>
      <c r="D29235" t="str">
        <f>"78886"</f>
        <v>78886</v>
      </c>
      <c r="E29235">
        <v>75</v>
      </c>
    </row>
    <row r="29236" spans="1:5" x14ac:dyDescent="0.2">
      <c r="A29236">
        <v>78931</v>
      </c>
      <c r="B29236" t="s">
        <v>50</v>
      </c>
      <c r="C29236">
        <v>78931</v>
      </c>
      <c r="D29236" t="str">
        <f>"78931"</f>
        <v>78931</v>
      </c>
      <c r="E29236">
        <v>72.73</v>
      </c>
    </row>
    <row r="29237" spans="1:5" x14ac:dyDescent="0.2">
      <c r="A29237">
        <v>78932</v>
      </c>
      <c r="B29237" t="s">
        <v>50</v>
      </c>
      <c r="C29237">
        <v>78932</v>
      </c>
      <c r="D29237" t="str">
        <f>"78932"</f>
        <v>78932</v>
      </c>
      <c r="E29237">
        <v>76.319999999999993</v>
      </c>
    </row>
    <row r="29238" spans="1:5" x14ac:dyDescent="0.2">
      <c r="A29238">
        <v>78933</v>
      </c>
      <c r="B29238" t="s">
        <v>50</v>
      </c>
      <c r="C29238">
        <v>78933</v>
      </c>
      <c r="D29238" t="str">
        <f>"78933"</f>
        <v>78933</v>
      </c>
      <c r="E29238">
        <v>75.680000000000007</v>
      </c>
    </row>
    <row r="29239" spans="1:5" x14ac:dyDescent="0.2">
      <c r="A29239">
        <v>78934</v>
      </c>
      <c r="B29239" t="s">
        <v>50</v>
      </c>
      <c r="C29239">
        <v>78934</v>
      </c>
      <c r="D29239" t="str">
        <f>"78934"</f>
        <v>78934</v>
      </c>
      <c r="E29239">
        <v>70.25</v>
      </c>
    </row>
    <row r="29240" spans="1:5" x14ac:dyDescent="0.2">
      <c r="A29240">
        <v>78935</v>
      </c>
      <c r="B29240" t="s">
        <v>50</v>
      </c>
      <c r="C29240">
        <v>78935</v>
      </c>
      <c r="D29240" t="str">
        <f>"78935"</f>
        <v>78935</v>
      </c>
      <c r="E29240">
        <v>74.42</v>
      </c>
    </row>
    <row r="29241" spans="1:5" x14ac:dyDescent="0.2">
      <c r="A29241">
        <v>78938</v>
      </c>
      <c r="B29241" t="s">
        <v>50</v>
      </c>
      <c r="C29241">
        <v>78938</v>
      </c>
      <c r="D29241" t="str">
        <f>"78938"</f>
        <v>78938</v>
      </c>
      <c r="E29241">
        <v>68.75</v>
      </c>
    </row>
    <row r="29242" spans="1:5" x14ac:dyDescent="0.2">
      <c r="A29242">
        <v>78940</v>
      </c>
      <c r="B29242" t="s">
        <v>50</v>
      </c>
      <c r="C29242">
        <v>78940</v>
      </c>
      <c r="D29242" t="str">
        <f>"78940"</f>
        <v>78940</v>
      </c>
      <c r="E29242">
        <v>75.510000000000005</v>
      </c>
    </row>
    <row r="29243" spans="1:5" x14ac:dyDescent="0.2">
      <c r="A29243">
        <v>78941</v>
      </c>
      <c r="B29243" t="s">
        <v>50</v>
      </c>
      <c r="C29243">
        <v>78941</v>
      </c>
      <c r="D29243" t="str">
        <f>"78941"</f>
        <v>78941</v>
      </c>
      <c r="E29243">
        <v>69.72</v>
      </c>
    </row>
    <row r="29244" spans="1:5" x14ac:dyDescent="0.2">
      <c r="A29244">
        <v>78942</v>
      </c>
      <c r="B29244" t="s">
        <v>50</v>
      </c>
      <c r="C29244">
        <v>78942</v>
      </c>
      <c r="D29244" t="str">
        <f>"78942"</f>
        <v>78942</v>
      </c>
      <c r="E29244">
        <v>68.2</v>
      </c>
    </row>
    <row r="29245" spans="1:5" x14ac:dyDescent="0.2">
      <c r="A29245">
        <v>78943</v>
      </c>
      <c r="B29245" t="s">
        <v>50</v>
      </c>
      <c r="C29245">
        <v>78943</v>
      </c>
      <c r="D29245" t="str">
        <f>"78943"</f>
        <v>78943</v>
      </c>
      <c r="E29245">
        <v>66.67</v>
      </c>
    </row>
    <row r="29246" spans="1:5" x14ac:dyDescent="0.2">
      <c r="A29246">
        <v>78944</v>
      </c>
      <c r="B29246" t="s">
        <v>50</v>
      </c>
      <c r="C29246">
        <v>78944</v>
      </c>
      <c r="D29246" t="str">
        <f>"78944"</f>
        <v>78944</v>
      </c>
      <c r="E29246">
        <v>75.760000000000005</v>
      </c>
    </row>
    <row r="29247" spans="1:5" x14ac:dyDescent="0.2">
      <c r="A29247">
        <v>78945</v>
      </c>
      <c r="B29247" t="s">
        <v>50</v>
      </c>
      <c r="C29247">
        <v>78945</v>
      </c>
      <c r="D29247" t="str">
        <f>"78945"</f>
        <v>78945</v>
      </c>
      <c r="E29247">
        <v>71.72</v>
      </c>
    </row>
    <row r="29248" spans="1:5" x14ac:dyDescent="0.2">
      <c r="A29248">
        <v>78946</v>
      </c>
      <c r="B29248" t="s">
        <v>50</v>
      </c>
      <c r="C29248">
        <v>78946</v>
      </c>
      <c r="D29248" t="str">
        <f>"78946"</f>
        <v>78946</v>
      </c>
      <c r="E29248">
        <v>66.67</v>
      </c>
    </row>
    <row r="29249" spans="1:5" x14ac:dyDescent="0.2">
      <c r="A29249">
        <v>78947</v>
      </c>
      <c r="B29249" t="s">
        <v>50</v>
      </c>
      <c r="C29249">
        <v>78947</v>
      </c>
      <c r="D29249" t="str">
        <f>"78947"</f>
        <v>78947</v>
      </c>
      <c r="E29249">
        <v>73.27</v>
      </c>
    </row>
    <row r="29250" spans="1:5" x14ac:dyDescent="0.2">
      <c r="A29250">
        <v>78948</v>
      </c>
      <c r="B29250" t="s">
        <v>50</v>
      </c>
      <c r="C29250">
        <v>78948</v>
      </c>
      <c r="D29250" t="str">
        <f>"78948"</f>
        <v>78948</v>
      </c>
      <c r="E29250">
        <v>71.430000000000007</v>
      </c>
    </row>
    <row r="29251" spans="1:5" x14ac:dyDescent="0.2">
      <c r="A29251">
        <v>78949</v>
      </c>
      <c r="B29251" t="s">
        <v>50</v>
      </c>
      <c r="C29251">
        <v>78949</v>
      </c>
      <c r="D29251" t="str">
        <f>"78949"</f>
        <v>78949</v>
      </c>
      <c r="E29251">
        <v>69.569999999999993</v>
      </c>
    </row>
    <row r="29252" spans="1:5" x14ac:dyDescent="0.2">
      <c r="A29252">
        <v>78950</v>
      </c>
      <c r="B29252" t="s">
        <v>50</v>
      </c>
      <c r="C29252">
        <v>78950</v>
      </c>
      <c r="D29252" t="str">
        <f>"78950"</f>
        <v>78950</v>
      </c>
      <c r="E29252">
        <v>74.510000000000005</v>
      </c>
    </row>
    <row r="29253" spans="1:5" x14ac:dyDescent="0.2">
      <c r="A29253">
        <v>78951</v>
      </c>
      <c r="B29253" t="s">
        <v>50</v>
      </c>
      <c r="C29253">
        <v>78951</v>
      </c>
      <c r="D29253" t="str">
        <f>"78951"</f>
        <v>78951</v>
      </c>
      <c r="E29253" t="s">
        <v>6</v>
      </c>
    </row>
    <row r="29254" spans="1:5" x14ac:dyDescent="0.2">
      <c r="A29254">
        <v>78952</v>
      </c>
      <c r="B29254" t="s">
        <v>50</v>
      </c>
      <c r="C29254">
        <v>78952</v>
      </c>
      <c r="D29254" t="str">
        <f>"78952"</f>
        <v>78952</v>
      </c>
      <c r="E29254" t="s">
        <v>6</v>
      </c>
    </row>
    <row r="29255" spans="1:5" x14ac:dyDescent="0.2">
      <c r="A29255">
        <v>78953</v>
      </c>
      <c r="B29255" t="s">
        <v>50</v>
      </c>
      <c r="C29255">
        <v>78953</v>
      </c>
      <c r="D29255" t="str">
        <f>"78953"</f>
        <v>78953</v>
      </c>
      <c r="E29255">
        <v>68.52</v>
      </c>
    </row>
    <row r="29256" spans="1:5" x14ac:dyDescent="0.2">
      <c r="A29256">
        <v>78954</v>
      </c>
      <c r="B29256" t="s">
        <v>50</v>
      </c>
      <c r="C29256">
        <v>78954</v>
      </c>
      <c r="D29256" t="str">
        <f>"78954"</f>
        <v>78954</v>
      </c>
      <c r="E29256">
        <v>76.790000000000006</v>
      </c>
    </row>
    <row r="29257" spans="1:5" x14ac:dyDescent="0.2">
      <c r="A29257">
        <v>78956</v>
      </c>
      <c r="B29257" t="s">
        <v>50</v>
      </c>
      <c r="C29257">
        <v>78956</v>
      </c>
      <c r="D29257" t="str">
        <f>"78956"</f>
        <v>78956</v>
      </c>
      <c r="E29257">
        <v>72.510000000000005</v>
      </c>
    </row>
    <row r="29258" spans="1:5" x14ac:dyDescent="0.2">
      <c r="A29258">
        <v>78957</v>
      </c>
      <c r="B29258" t="s">
        <v>50</v>
      </c>
      <c r="C29258">
        <v>78957</v>
      </c>
      <c r="D29258" t="str">
        <f>"78957"</f>
        <v>78957</v>
      </c>
      <c r="E29258">
        <v>69.39</v>
      </c>
    </row>
    <row r="29259" spans="1:5" x14ac:dyDescent="0.2">
      <c r="A29259">
        <v>78959</v>
      </c>
      <c r="B29259" t="s">
        <v>50</v>
      </c>
      <c r="C29259">
        <v>78959</v>
      </c>
      <c r="D29259" t="str">
        <f>"78959"</f>
        <v>78959</v>
      </c>
      <c r="E29259">
        <v>60.92</v>
      </c>
    </row>
    <row r="29260" spans="1:5" x14ac:dyDescent="0.2">
      <c r="A29260">
        <v>78960</v>
      </c>
      <c r="B29260" t="s">
        <v>50</v>
      </c>
      <c r="C29260">
        <v>78960</v>
      </c>
      <c r="D29260" t="str">
        <f>"78960"</f>
        <v>78960</v>
      </c>
      <c r="E29260" t="s">
        <v>6</v>
      </c>
    </row>
    <row r="29261" spans="1:5" x14ac:dyDescent="0.2">
      <c r="A29261">
        <v>78962</v>
      </c>
      <c r="B29261" t="s">
        <v>50</v>
      </c>
      <c r="C29261">
        <v>78962</v>
      </c>
      <c r="D29261" t="str">
        <f>"78962"</f>
        <v>78962</v>
      </c>
      <c r="E29261">
        <v>71.819999999999993</v>
      </c>
    </row>
    <row r="29262" spans="1:5" x14ac:dyDescent="0.2">
      <c r="A29262">
        <v>78963</v>
      </c>
      <c r="B29262" t="s">
        <v>50</v>
      </c>
      <c r="C29262">
        <v>78963</v>
      </c>
      <c r="D29262" t="str">
        <f>"78963"</f>
        <v>78963</v>
      </c>
      <c r="E29262">
        <v>70.73</v>
      </c>
    </row>
    <row r="29263" spans="1:5" x14ac:dyDescent="0.2">
      <c r="A29263">
        <v>79001</v>
      </c>
      <c r="B29263" t="s">
        <v>50</v>
      </c>
      <c r="C29263">
        <v>79001</v>
      </c>
      <c r="D29263" t="str">
        <f>"79001"</f>
        <v>79001</v>
      </c>
      <c r="E29263">
        <v>64.290000000000006</v>
      </c>
    </row>
    <row r="29264" spans="1:5" x14ac:dyDescent="0.2">
      <c r="A29264">
        <v>79003</v>
      </c>
      <c r="B29264" t="s">
        <v>50</v>
      </c>
      <c r="C29264">
        <v>79003</v>
      </c>
      <c r="D29264" t="str">
        <f>"79003"</f>
        <v>79003</v>
      </c>
      <c r="E29264" t="s">
        <v>6</v>
      </c>
    </row>
    <row r="29265" spans="1:5" x14ac:dyDescent="0.2">
      <c r="A29265">
        <v>79005</v>
      </c>
      <c r="B29265" t="s">
        <v>50</v>
      </c>
      <c r="C29265">
        <v>79005</v>
      </c>
      <c r="D29265" t="str">
        <f>"79005"</f>
        <v>79005</v>
      </c>
      <c r="E29265">
        <v>66.150000000000006</v>
      </c>
    </row>
    <row r="29266" spans="1:5" x14ac:dyDescent="0.2">
      <c r="A29266">
        <v>79007</v>
      </c>
      <c r="B29266" t="s">
        <v>50</v>
      </c>
      <c r="C29266">
        <v>79007</v>
      </c>
      <c r="D29266" t="str">
        <f>"79007"</f>
        <v>79007</v>
      </c>
      <c r="E29266">
        <v>68.11</v>
      </c>
    </row>
    <row r="29267" spans="1:5" x14ac:dyDescent="0.2">
      <c r="A29267">
        <v>79009</v>
      </c>
      <c r="B29267" t="s">
        <v>50</v>
      </c>
      <c r="C29267">
        <v>79009</v>
      </c>
      <c r="D29267" t="str">
        <f>"79009"</f>
        <v>79009</v>
      </c>
      <c r="E29267">
        <v>59.26</v>
      </c>
    </row>
    <row r="29268" spans="1:5" x14ac:dyDescent="0.2">
      <c r="A29268">
        <v>79010</v>
      </c>
      <c r="B29268" t="s">
        <v>50</v>
      </c>
      <c r="C29268">
        <v>79010</v>
      </c>
      <c r="D29268" t="str">
        <f>"79010"</f>
        <v>79010</v>
      </c>
      <c r="E29268" t="s">
        <v>6</v>
      </c>
    </row>
    <row r="29269" spans="1:5" x14ac:dyDescent="0.2">
      <c r="A29269">
        <v>79011</v>
      </c>
      <c r="B29269" t="s">
        <v>50</v>
      </c>
      <c r="C29269">
        <v>79011</v>
      </c>
      <c r="D29269" t="str">
        <f>"79011"</f>
        <v>79011</v>
      </c>
      <c r="E29269">
        <v>70</v>
      </c>
    </row>
    <row r="29270" spans="1:5" x14ac:dyDescent="0.2">
      <c r="A29270">
        <v>79013</v>
      </c>
      <c r="B29270" t="s">
        <v>50</v>
      </c>
      <c r="C29270">
        <v>79013</v>
      </c>
      <c r="D29270" t="str">
        <f>"79013"</f>
        <v>79013</v>
      </c>
      <c r="E29270">
        <v>59.29</v>
      </c>
    </row>
    <row r="29271" spans="1:5" x14ac:dyDescent="0.2">
      <c r="A29271">
        <v>79014</v>
      </c>
      <c r="B29271" t="s">
        <v>50</v>
      </c>
      <c r="C29271">
        <v>79014</v>
      </c>
      <c r="D29271" t="str">
        <f>"79014"</f>
        <v>79014</v>
      </c>
      <c r="E29271">
        <v>71.430000000000007</v>
      </c>
    </row>
    <row r="29272" spans="1:5" x14ac:dyDescent="0.2">
      <c r="A29272">
        <v>79015</v>
      </c>
      <c r="B29272" t="s">
        <v>50</v>
      </c>
      <c r="C29272">
        <v>79015</v>
      </c>
      <c r="D29272" t="str">
        <f>"79015"</f>
        <v>79015</v>
      </c>
      <c r="E29272">
        <v>73.900000000000006</v>
      </c>
    </row>
    <row r="29273" spans="1:5" x14ac:dyDescent="0.2">
      <c r="A29273">
        <v>79016</v>
      </c>
      <c r="B29273" t="s">
        <v>50</v>
      </c>
      <c r="C29273">
        <v>79016</v>
      </c>
      <c r="D29273" t="str">
        <f>"79016"</f>
        <v>79016</v>
      </c>
      <c r="E29273" t="s">
        <v>6</v>
      </c>
    </row>
    <row r="29274" spans="1:5" x14ac:dyDescent="0.2">
      <c r="A29274">
        <v>79018</v>
      </c>
      <c r="B29274" t="s">
        <v>50</v>
      </c>
      <c r="C29274">
        <v>79018</v>
      </c>
      <c r="D29274" t="str">
        <f>"79018"</f>
        <v>79018</v>
      </c>
      <c r="E29274">
        <v>66.67</v>
      </c>
    </row>
    <row r="29275" spans="1:5" x14ac:dyDescent="0.2">
      <c r="A29275">
        <v>79019</v>
      </c>
      <c r="B29275" t="s">
        <v>50</v>
      </c>
      <c r="C29275">
        <v>79019</v>
      </c>
      <c r="D29275" t="str">
        <f>"79019"</f>
        <v>79019</v>
      </c>
      <c r="E29275">
        <v>74.319999999999993</v>
      </c>
    </row>
    <row r="29276" spans="1:5" x14ac:dyDescent="0.2">
      <c r="A29276">
        <v>79021</v>
      </c>
      <c r="B29276" t="s">
        <v>50</v>
      </c>
      <c r="C29276">
        <v>79021</v>
      </c>
      <c r="D29276" t="str">
        <f>"79021"</f>
        <v>79021</v>
      </c>
      <c r="E29276" t="s">
        <v>6</v>
      </c>
    </row>
    <row r="29277" spans="1:5" x14ac:dyDescent="0.2">
      <c r="A29277">
        <v>79022</v>
      </c>
      <c r="B29277" t="s">
        <v>50</v>
      </c>
      <c r="C29277">
        <v>79022</v>
      </c>
      <c r="D29277" t="str">
        <f>"79022"</f>
        <v>79022</v>
      </c>
      <c r="E29277">
        <v>68.569999999999993</v>
      </c>
    </row>
    <row r="29278" spans="1:5" x14ac:dyDescent="0.2">
      <c r="A29278">
        <v>79024</v>
      </c>
      <c r="B29278" t="s">
        <v>50</v>
      </c>
      <c r="C29278">
        <v>79024</v>
      </c>
      <c r="D29278" t="str">
        <f>"79024"</f>
        <v>79024</v>
      </c>
      <c r="E29278">
        <v>81.25</v>
      </c>
    </row>
    <row r="29279" spans="1:5" x14ac:dyDescent="0.2">
      <c r="A29279">
        <v>79025</v>
      </c>
      <c r="B29279" t="s">
        <v>50</v>
      </c>
      <c r="C29279">
        <v>79025</v>
      </c>
      <c r="D29279" t="str">
        <f>"79025"</f>
        <v>79025</v>
      </c>
      <c r="E29279" t="s">
        <v>6</v>
      </c>
    </row>
    <row r="29280" spans="1:5" x14ac:dyDescent="0.2">
      <c r="A29280">
        <v>79027</v>
      </c>
      <c r="B29280" t="s">
        <v>50</v>
      </c>
      <c r="C29280">
        <v>79027</v>
      </c>
      <c r="D29280" t="str">
        <f>"79027"</f>
        <v>79027</v>
      </c>
      <c r="E29280">
        <v>55.8</v>
      </c>
    </row>
    <row r="29281" spans="1:5" x14ac:dyDescent="0.2">
      <c r="A29281">
        <v>79029</v>
      </c>
      <c r="B29281" t="s">
        <v>50</v>
      </c>
      <c r="C29281">
        <v>79029</v>
      </c>
      <c r="D29281" t="str">
        <f>"79029"</f>
        <v>79029</v>
      </c>
      <c r="E29281">
        <v>66.95</v>
      </c>
    </row>
    <row r="29282" spans="1:5" x14ac:dyDescent="0.2">
      <c r="A29282">
        <v>79031</v>
      </c>
      <c r="B29282" t="s">
        <v>50</v>
      </c>
      <c r="C29282">
        <v>79031</v>
      </c>
      <c r="D29282" t="str">
        <f>"79031"</f>
        <v>79031</v>
      </c>
      <c r="E29282">
        <v>62.79</v>
      </c>
    </row>
    <row r="29283" spans="1:5" x14ac:dyDescent="0.2">
      <c r="A29283">
        <v>79032</v>
      </c>
      <c r="B29283" t="s">
        <v>50</v>
      </c>
      <c r="C29283">
        <v>79032</v>
      </c>
      <c r="D29283" t="str">
        <f>"79032"</f>
        <v>79032</v>
      </c>
      <c r="E29283" t="s">
        <v>6</v>
      </c>
    </row>
    <row r="29284" spans="1:5" x14ac:dyDescent="0.2">
      <c r="A29284">
        <v>79033</v>
      </c>
      <c r="B29284" t="s">
        <v>50</v>
      </c>
      <c r="C29284">
        <v>79033</v>
      </c>
      <c r="D29284" t="str">
        <f>"79033"</f>
        <v>79033</v>
      </c>
      <c r="E29284" t="s">
        <v>6</v>
      </c>
    </row>
    <row r="29285" spans="1:5" x14ac:dyDescent="0.2">
      <c r="A29285">
        <v>79034</v>
      </c>
      <c r="B29285" t="s">
        <v>50</v>
      </c>
      <c r="C29285">
        <v>79034</v>
      </c>
      <c r="D29285" t="str">
        <f>"79034"</f>
        <v>79034</v>
      </c>
      <c r="E29285">
        <v>70.37</v>
      </c>
    </row>
    <row r="29286" spans="1:5" x14ac:dyDescent="0.2">
      <c r="A29286">
        <v>79035</v>
      </c>
      <c r="B29286" t="s">
        <v>50</v>
      </c>
      <c r="C29286">
        <v>79035</v>
      </c>
      <c r="D29286" t="str">
        <f>"79035"</f>
        <v>79035</v>
      </c>
      <c r="E29286">
        <v>61.58</v>
      </c>
    </row>
    <row r="29287" spans="1:5" x14ac:dyDescent="0.2">
      <c r="A29287">
        <v>79036</v>
      </c>
      <c r="B29287" t="s">
        <v>50</v>
      </c>
      <c r="C29287">
        <v>79036</v>
      </c>
      <c r="D29287" t="str">
        <f>"79036"</f>
        <v>79036</v>
      </c>
      <c r="E29287">
        <v>75.760000000000005</v>
      </c>
    </row>
    <row r="29288" spans="1:5" x14ac:dyDescent="0.2">
      <c r="A29288">
        <v>79039</v>
      </c>
      <c r="B29288" t="s">
        <v>50</v>
      </c>
      <c r="C29288">
        <v>79039</v>
      </c>
      <c r="D29288" t="str">
        <f>"79039"</f>
        <v>79039</v>
      </c>
      <c r="E29288">
        <v>73.53</v>
      </c>
    </row>
    <row r="29289" spans="1:5" x14ac:dyDescent="0.2">
      <c r="A29289">
        <v>79040</v>
      </c>
      <c r="B29289" t="s">
        <v>50</v>
      </c>
      <c r="C29289">
        <v>79040</v>
      </c>
      <c r="D29289" t="str">
        <f>"79040"</f>
        <v>79040</v>
      </c>
      <c r="E29289">
        <v>69.44</v>
      </c>
    </row>
    <row r="29290" spans="1:5" x14ac:dyDescent="0.2">
      <c r="A29290">
        <v>79041</v>
      </c>
      <c r="B29290" t="s">
        <v>50</v>
      </c>
      <c r="C29290">
        <v>79041</v>
      </c>
      <c r="D29290" t="str">
        <f>"79041"</f>
        <v>79041</v>
      </c>
      <c r="E29290">
        <v>58.18</v>
      </c>
    </row>
    <row r="29291" spans="1:5" x14ac:dyDescent="0.2">
      <c r="A29291">
        <v>79042</v>
      </c>
      <c r="B29291" t="s">
        <v>50</v>
      </c>
      <c r="C29291">
        <v>79042</v>
      </c>
      <c r="D29291" t="str">
        <f>"79042"</f>
        <v>79042</v>
      </c>
      <c r="E29291">
        <v>68.09</v>
      </c>
    </row>
    <row r="29292" spans="1:5" x14ac:dyDescent="0.2">
      <c r="A29292">
        <v>79043</v>
      </c>
      <c r="B29292" t="s">
        <v>50</v>
      </c>
      <c r="C29292">
        <v>79043</v>
      </c>
      <c r="D29292" t="str">
        <f>"79043"</f>
        <v>79043</v>
      </c>
      <c r="E29292">
        <v>55.1</v>
      </c>
    </row>
    <row r="29293" spans="1:5" x14ac:dyDescent="0.2">
      <c r="A29293">
        <v>79044</v>
      </c>
      <c r="B29293" t="s">
        <v>50</v>
      </c>
      <c r="C29293">
        <v>79044</v>
      </c>
      <c r="D29293" t="str">
        <f>"79044"</f>
        <v>79044</v>
      </c>
      <c r="E29293">
        <v>57.69</v>
      </c>
    </row>
    <row r="29294" spans="1:5" x14ac:dyDescent="0.2">
      <c r="A29294">
        <v>79045</v>
      </c>
      <c r="B29294" t="s">
        <v>50</v>
      </c>
      <c r="C29294">
        <v>79045</v>
      </c>
      <c r="D29294" t="str">
        <f>"79045"</f>
        <v>79045</v>
      </c>
      <c r="E29294">
        <v>57.46</v>
      </c>
    </row>
    <row r="29295" spans="1:5" x14ac:dyDescent="0.2">
      <c r="A29295">
        <v>79046</v>
      </c>
      <c r="B29295" t="s">
        <v>50</v>
      </c>
      <c r="C29295">
        <v>79046</v>
      </c>
      <c r="D29295" t="str">
        <f>"79046"</f>
        <v>79046</v>
      </c>
      <c r="E29295">
        <v>62.5</v>
      </c>
    </row>
    <row r="29296" spans="1:5" x14ac:dyDescent="0.2">
      <c r="A29296">
        <v>79051</v>
      </c>
      <c r="B29296" t="s">
        <v>50</v>
      </c>
      <c r="C29296">
        <v>79051</v>
      </c>
      <c r="D29296" t="str">
        <f>"79051"</f>
        <v>79051</v>
      </c>
      <c r="E29296" t="s">
        <v>6</v>
      </c>
    </row>
    <row r="29297" spans="1:5" x14ac:dyDescent="0.2">
      <c r="A29297">
        <v>79052</v>
      </c>
      <c r="B29297" t="s">
        <v>50</v>
      </c>
      <c r="C29297">
        <v>79052</v>
      </c>
      <c r="D29297" t="str">
        <f>"79052"</f>
        <v>79052</v>
      </c>
      <c r="E29297">
        <v>57.45</v>
      </c>
    </row>
    <row r="29298" spans="1:5" x14ac:dyDescent="0.2">
      <c r="A29298">
        <v>79054</v>
      </c>
      <c r="B29298" t="s">
        <v>50</v>
      </c>
      <c r="C29298">
        <v>79054</v>
      </c>
      <c r="D29298" t="str">
        <f>"79054"</f>
        <v>79054</v>
      </c>
      <c r="E29298" t="s">
        <v>6</v>
      </c>
    </row>
    <row r="29299" spans="1:5" x14ac:dyDescent="0.2">
      <c r="A29299">
        <v>79056</v>
      </c>
      <c r="B29299" t="s">
        <v>50</v>
      </c>
      <c r="C29299">
        <v>79056</v>
      </c>
      <c r="D29299" t="str">
        <f>"79056"</f>
        <v>79056</v>
      </c>
      <c r="E29299" t="s">
        <v>6</v>
      </c>
    </row>
    <row r="29300" spans="1:5" x14ac:dyDescent="0.2">
      <c r="A29300">
        <v>79057</v>
      </c>
      <c r="B29300" t="s">
        <v>50</v>
      </c>
      <c r="C29300">
        <v>79057</v>
      </c>
      <c r="D29300" t="str">
        <f>"79057"</f>
        <v>79057</v>
      </c>
      <c r="E29300">
        <v>61.36</v>
      </c>
    </row>
    <row r="29301" spans="1:5" x14ac:dyDescent="0.2">
      <c r="A29301">
        <v>79058</v>
      </c>
      <c r="B29301" t="s">
        <v>50</v>
      </c>
      <c r="C29301">
        <v>79058</v>
      </c>
      <c r="D29301" t="str">
        <f>"79058"</f>
        <v>79058</v>
      </c>
      <c r="E29301" t="s">
        <v>6</v>
      </c>
    </row>
    <row r="29302" spans="1:5" x14ac:dyDescent="0.2">
      <c r="A29302">
        <v>79059</v>
      </c>
      <c r="B29302" t="s">
        <v>50</v>
      </c>
      <c r="C29302">
        <v>79059</v>
      </c>
      <c r="D29302" t="str">
        <f>"79059"</f>
        <v>79059</v>
      </c>
      <c r="E29302">
        <v>75.760000000000005</v>
      </c>
    </row>
    <row r="29303" spans="1:5" x14ac:dyDescent="0.2">
      <c r="A29303">
        <v>79061</v>
      </c>
      <c r="B29303" t="s">
        <v>50</v>
      </c>
      <c r="C29303">
        <v>79061</v>
      </c>
      <c r="D29303" t="str">
        <f>"79061"</f>
        <v>79061</v>
      </c>
      <c r="E29303">
        <v>78.569999999999993</v>
      </c>
    </row>
    <row r="29304" spans="1:5" x14ac:dyDescent="0.2">
      <c r="A29304">
        <v>79062</v>
      </c>
      <c r="B29304" t="s">
        <v>50</v>
      </c>
      <c r="C29304">
        <v>79062</v>
      </c>
      <c r="D29304" t="str">
        <f>"79062"</f>
        <v>79062</v>
      </c>
      <c r="E29304">
        <v>70</v>
      </c>
    </row>
    <row r="29305" spans="1:5" x14ac:dyDescent="0.2">
      <c r="A29305">
        <v>79063</v>
      </c>
      <c r="B29305" t="s">
        <v>50</v>
      </c>
      <c r="C29305">
        <v>79063</v>
      </c>
      <c r="D29305" t="str">
        <f>"79063"</f>
        <v>79063</v>
      </c>
      <c r="E29305">
        <v>71.88</v>
      </c>
    </row>
    <row r="29306" spans="1:5" x14ac:dyDescent="0.2">
      <c r="A29306">
        <v>79064</v>
      </c>
      <c r="B29306" t="s">
        <v>50</v>
      </c>
      <c r="C29306">
        <v>79064</v>
      </c>
      <c r="D29306" t="str">
        <f>"79064"</f>
        <v>79064</v>
      </c>
      <c r="E29306">
        <v>59.57</v>
      </c>
    </row>
    <row r="29307" spans="1:5" x14ac:dyDescent="0.2">
      <c r="A29307">
        <v>79065</v>
      </c>
      <c r="B29307" t="s">
        <v>50</v>
      </c>
      <c r="C29307">
        <v>79065</v>
      </c>
      <c r="D29307" t="str">
        <f>"79065"</f>
        <v>79065</v>
      </c>
      <c r="E29307">
        <v>66.8</v>
      </c>
    </row>
    <row r="29308" spans="1:5" x14ac:dyDescent="0.2">
      <c r="A29308">
        <v>79068</v>
      </c>
      <c r="B29308" t="s">
        <v>50</v>
      </c>
      <c r="C29308">
        <v>79068</v>
      </c>
      <c r="D29308" t="str">
        <f>"79068"</f>
        <v>79068</v>
      </c>
      <c r="E29308">
        <v>77.27</v>
      </c>
    </row>
    <row r="29309" spans="1:5" x14ac:dyDescent="0.2">
      <c r="A29309">
        <v>79070</v>
      </c>
      <c r="B29309" t="s">
        <v>50</v>
      </c>
      <c r="C29309">
        <v>79070</v>
      </c>
      <c r="D29309" t="str">
        <f>"79070"</f>
        <v>79070</v>
      </c>
      <c r="E29309">
        <v>67.41</v>
      </c>
    </row>
    <row r="29310" spans="1:5" x14ac:dyDescent="0.2">
      <c r="A29310">
        <v>79072</v>
      </c>
      <c r="B29310" t="s">
        <v>50</v>
      </c>
      <c r="C29310">
        <v>79072</v>
      </c>
      <c r="D29310" t="str">
        <f>"79072"</f>
        <v>79072</v>
      </c>
      <c r="E29310">
        <v>58.29</v>
      </c>
    </row>
    <row r="29311" spans="1:5" x14ac:dyDescent="0.2">
      <c r="A29311">
        <v>79078</v>
      </c>
      <c r="B29311" t="s">
        <v>50</v>
      </c>
      <c r="C29311">
        <v>79078</v>
      </c>
      <c r="D29311" t="str">
        <f>"79078"</f>
        <v>79078</v>
      </c>
      <c r="E29311" t="s">
        <v>6</v>
      </c>
    </row>
    <row r="29312" spans="1:5" x14ac:dyDescent="0.2">
      <c r="A29312">
        <v>79079</v>
      </c>
      <c r="B29312" t="s">
        <v>50</v>
      </c>
      <c r="C29312">
        <v>79079</v>
      </c>
      <c r="D29312" t="str">
        <f>"79079"</f>
        <v>79079</v>
      </c>
      <c r="E29312">
        <v>64.150000000000006</v>
      </c>
    </row>
    <row r="29313" spans="1:5" x14ac:dyDescent="0.2">
      <c r="A29313">
        <v>79080</v>
      </c>
      <c r="B29313" t="s">
        <v>50</v>
      </c>
      <c r="C29313">
        <v>79080</v>
      </c>
      <c r="D29313" t="str">
        <f>"79080"</f>
        <v>79080</v>
      </c>
      <c r="E29313">
        <v>66.67</v>
      </c>
    </row>
    <row r="29314" spans="1:5" x14ac:dyDescent="0.2">
      <c r="A29314">
        <v>79081</v>
      </c>
      <c r="B29314" t="s">
        <v>50</v>
      </c>
      <c r="C29314">
        <v>79081</v>
      </c>
      <c r="D29314" t="str">
        <f>"79081"</f>
        <v>79081</v>
      </c>
      <c r="E29314">
        <v>66.23</v>
      </c>
    </row>
    <row r="29315" spans="1:5" x14ac:dyDescent="0.2">
      <c r="A29315">
        <v>79082</v>
      </c>
      <c r="B29315" t="s">
        <v>50</v>
      </c>
      <c r="C29315">
        <v>79082</v>
      </c>
      <c r="D29315" t="str">
        <f>"79082"</f>
        <v>79082</v>
      </c>
      <c r="E29315">
        <v>63.64</v>
      </c>
    </row>
    <row r="29316" spans="1:5" x14ac:dyDescent="0.2">
      <c r="A29316">
        <v>79083</v>
      </c>
      <c r="B29316" t="s">
        <v>50</v>
      </c>
      <c r="C29316">
        <v>79083</v>
      </c>
      <c r="D29316" t="str">
        <f>"79083"</f>
        <v>79083</v>
      </c>
      <c r="E29316">
        <v>71.28</v>
      </c>
    </row>
    <row r="29317" spans="1:5" x14ac:dyDescent="0.2">
      <c r="A29317">
        <v>79084</v>
      </c>
      <c r="B29317" t="s">
        <v>50</v>
      </c>
      <c r="C29317">
        <v>79084</v>
      </c>
      <c r="D29317" t="str">
        <f>"79084"</f>
        <v>79084</v>
      </c>
      <c r="E29317">
        <v>70.97</v>
      </c>
    </row>
    <row r="29318" spans="1:5" x14ac:dyDescent="0.2">
      <c r="A29318">
        <v>79085</v>
      </c>
      <c r="B29318" t="s">
        <v>50</v>
      </c>
      <c r="C29318">
        <v>79085</v>
      </c>
      <c r="D29318" t="str">
        <f>"79085"</f>
        <v>79085</v>
      </c>
      <c r="E29318" t="s">
        <v>6</v>
      </c>
    </row>
    <row r="29319" spans="1:5" x14ac:dyDescent="0.2">
      <c r="A29319">
        <v>79086</v>
      </c>
      <c r="B29319" t="s">
        <v>50</v>
      </c>
      <c r="C29319">
        <v>79086</v>
      </c>
      <c r="D29319" t="str">
        <f>"79086"</f>
        <v>79086</v>
      </c>
      <c r="E29319">
        <v>71.430000000000007</v>
      </c>
    </row>
    <row r="29320" spans="1:5" x14ac:dyDescent="0.2">
      <c r="A29320">
        <v>79087</v>
      </c>
      <c r="B29320" t="s">
        <v>50</v>
      </c>
      <c r="C29320">
        <v>79087</v>
      </c>
      <c r="D29320" t="str">
        <f>"79087"</f>
        <v>79087</v>
      </c>
      <c r="E29320">
        <v>67.86</v>
      </c>
    </row>
    <row r="29321" spans="1:5" x14ac:dyDescent="0.2">
      <c r="A29321">
        <v>79088</v>
      </c>
      <c r="B29321" t="s">
        <v>50</v>
      </c>
      <c r="C29321">
        <v>79088</v>
      </c>
      <c r="D29321" t="str">
        <f>"79088"</f>
        <v>79088</v>
      </c>
      <c r="E29321">
        <v>57.79</v>
      </c>
    </row>
    <row r="29322" spans="1:5" x14ac:dyDescent="0.2">
      <c r="A29322">
        <v>79091</v>
      </c>
      <c r="B29322" t="s">
        <v>50</v>
      </c>
      <c r="C29322">
        <v>79091</v>
      </c>
      <c r="D29322" t="str">
        <f>"79091"</f>
        <v>79091</v>
      </c>
      <c r="E29322" t="s">
        <v>6</v>
      </c>
    </row>
    <row r="29323" spans="1:5" x14ac:dyDescent="0.2">
      <c r="A29323">
        <v>79092</v>
      </c>
      <c r="B29323" t="s">
        <v>50</v>
      </c>
      <c r="C29323">
        <v>79092</v>
      </c>
      <c r="D29323" t="str">
        <f>"79092"</f>
        <v>79092</v>
      </c>
      <c r="E29323">
        <v>72.22</v>
      </c>
    </row>
    <row r="29324" spans="1:5" x14ac:dyDescent="0.2">
      <c r="A29324">
        <v>79093</v>
      </c>
      <c r="B29324" t="s">
        <v>50</v>
      </c>
      <c r="C29324">
        <v>79093</v>
      </c>
      <c r="D29324" t="str">
        <f>"79093"</f>
        <v>79093</v>
      </c>
      <c r="E29324" t="s">
        <v>6</v>
      </c>
    </row>
    <row r="29325" spans="1:5" x14ac:dyDescent="0.2">
      <c r="A29325">
        <v>79094</v>
      </c>
      <c r="B29325" t="s">
        <v>50</v>
      </c>
      <c r="C29325">
        <v>79094</v>
      </c>
      <c r="D29325" t="str">
        <f>"79094"</f>
        <v>79094</v>
      </c>
      <c r="E29325" t="s">
        <v>6</v>
      </c>
    </row>
    <row r="29326" spans="1:5" x14ac:dyDescent="0.2">
      <c r="A29326">
        <v>79095</v>
      </c>
      <c r="B29326" t="s">
        <v>50</v>
      </c>
      <c r="C29326">
        <v>79095</v>
      </c>
      <c r="D29326" t="str">
        <f>"79095"</f>
        <v>79095</v>
      </c>
      <c r="E29326">
        <v>61.76</v>
      </c>
    </row>
    <row r="29327" spans="1:5" x14ac:dyDescent="0.2">
      <c r="A29327">
        <v>79096</v>
      </c>
      <c r="B29327" t="s">
        <v>50</v>
      </c>
      <c r="C29327">
        <v>79096</v>
      </c>
      <c r="D29327" t="str">
        <f>"79096"</f>
        <v>79096</v>
      </c>
      <c r="E29327">
        <v>69.66</v>
      </c>
    </row>
    <row r="29328" spans="1:5" x14ac:dyDescent="0.2">
      <c r="A29328">
        <v>79097</v>
      </c>
      <c r="B29328" t="s">
        <v>50</v>
      </c>
      <c r="C29328">
        <v>79097</v>
      </c>
      <c r="D29328" t="str">
        <f>"79097"</f>
        <v>79097</v>
      </c>
      <c r="E29328">
        <v>78</v>
      </c>
    </row>
    <row r="29329" spans="1:5" x14ac:dyDescent="0.2">
      <c r="A29329">
        <v>79098</v>
      </c>
      <c r="B29329" t="s">
        <v>50</v>
      </c>
      <c r="C29329">
        <v>79098</v>
      </c>
      <c r="D29329" t="str">
        <f>"79098"</f>
        <v>79098</v>
      </c>
      <c r="E29329">
        <v>68.42</v>
      </c>
    </row>
    <row r="29330" spans="1:5" x14ac:dyDescent="0.2">
      <c r="A29330">
        <v>79101</v>
      </c>
      <c r="B29330" t="s">
        <v>50</v>
      </c>
      <c r="C29330">
        <v>79101</v>
      </c>
      <c r="D29330" t="str">
        <f>"79101"</f>
        <v>79101</v>
      </c>
      <c r="E29330">
        <v>59.62</v>
      </c>
    </row>
    <row r="29331" spans="1:5" x14ac:dyDescent="0.2">
      <c r="A29331">
        <v>79102</v>
      </c>
      <c r="B29331" t="s">
        <v>50</v>
      </c>
      <c r="C29331">
        <v>79102</v>
      </c>
      <c r="D29331" t="str">
        <f>"79102"</f>
        <v>79102</v>
      </c>
      <c r="E29331">
        <v>63.64</v>
      </c>
    </row>
    <row r="29332" spans="1:5" x14ac:dyDescent="0.2">
      <c r="A29332">
        <v>79103</v>
      </c>
      <c r="B29332" t="s">
        <v>50</v>
      </c>
      <c r="C29332">
        <v>79103</v>
      </c>
      <c r="D29332" t="str">
        <f>"79103"</f>
        <v>79103</v>
      </c>
      <c r="E29332">
        <v>60.92</v>
      </c>
    </row>
    <row r="29333" spans="1:5" x14ac:dyDescent="0.2">
      <c r="A29333">
        <v>79104</v>
      </c>
      <c r="B29333" t="s">
        <v>50</v>
      </c>
      <c r="C29333">
        <v>79104</v>
      </c>
      <c r="D29333" t="str">
        <f>"79104"</f>
        <v>79104</v>
      </c>
      <c r="E29333">
        <v>53.45</v>
      </c>
    </row>
    <row r="29334" spans="1:5" x14ac:dyDescent="0.2">
      <c r="A29334">
        <v>79106</v>
      </c>
      <c r="B29334" t="s">
        <v>50</v>
      </c>
      <c r="C29334">
        <v>79106</v>
      </c>
      <c r="D29334" t="str">
        <f>"79106"</f>
        <v>79106</v>
      </c>
      <c r="E29334">
        <v>66.58</v>
      </c>
    </row>
    <row r="29335" spans="1:5" x14ac:dyDescent="0.2">
      <c r="A29335">
        <v>79107</v>
      </c>
      <c r="B29335" t="s">
        <v>50</v>
      </c>
      <c r="C29335">
        <v>79107</v>
      </c>
      <c r="D29335" t="str">
        <f>"79107"</f>
        <v>79107</v>
      </c>
      <c r="E29335">
        <v>48.91</v>
      </c>
    </row>
    <row r="29336" spans="1:5" x14ac:dyDescent="0.2">
      <c r="A29336">
        <v>79108</v>
      </c>
      <c r="B29336" t="s">
        <v>50</v>
      </c>
      <c r="C29336">
        <v>79108</v>
      </c>
      <c r="D29336" t="str">
        <f>"79108"</f>
        <v>79108</v>
      </c>
      <c r="E29336">
        <v>66.86</v>
      </c>
    </row>
    <row r="29337" spans="1:5" x14ac:dyDescent="0.2">
      <c r="A29337">
        <v>79109</v>
      </c>
      <c r="B29337" t="s">
        <v>50</v>
      </c>
      <c r="C29337">
        <v>79109</v>
      </c>
      <c r="D29337" t="str">
        <f>"79109"</f>
        <v>79109</v>
      </c>
      <c r="E29337">
        <v>73.16</v>
      </c>
    </row>
    <row r="29338" spans="1:5" x14ac:dyDescent="0.2">
      <c r="A29338">
        <v>79110</v>
      </c>
      <c r="B29338" t="s">
        <v>50</v>
      </c>
      <c r="C29338">
        <v>79110</v>
      </c>
      <c r="D29338" t="str">
        <f>"79110"</f>
        <v>79110</v>
      </c>
      <c r="E29338">
        <v>68.680000000000007</v>
      </c>
    </row>
    <row r="29339" spans="1:5" x14ac:dyDescent="0.2">
      <c r="A29339">
        <v>79111</v>
      </c>
      <c r="B29339" t="s">
        <v>50</v>
      </c>
      <c r="C29339">
        <v>79111</v>
      </c>
      <c r="D29339" t="str">
        <f>"79111"</f>
        <v>79111</v>
      </c>
      <c r="E29339">
        <v>64.81</v>
      </c>
    </row>
    <row r="29340" spans="1:5" x14ac:dyDescent="0.2">
      <c r="A29340">
        <v>79118</v>
      </c>
      <c r="B29340" t="s">
        <v>50</v>
      </c>
      <c r="C29340">
        <v>79118</v>
      </c>
      <c r="D29340" t="str">
        <f>"79118"</f>
        <v>79118</v>
      </c>
      <c r="E29340">
        <v>72.87</v>
      </c>
    </row>
    <row r="29341" spans="1:5" x14ac:dyDescent="0.2">
      <c r="A29341">
        <v>79119</v>
      </c>
      <c r="B29341" t="s">
        <v>50</v>
      </c>
      <c r="C29341">
        <v>79119</v>
      </c>
      <c r="D29341" t="str">
        <f>"79119"</f>
        <v>79119</v>
      </c>
      <c r="E29341">
        <v>80.95</v>
      </c>
    </row>
    <row r="29342" spans="1:5" x14ac:dyDescent="0.2">
      <c r="A29342">
        <v>79121</v>
      </c>
      <c r="B29342" t="s">
        <v>50</v>
      </c>
      <c r="C29342">
        <v>79121</v>
      </c>
      <c r="D29342" t="str">
        <f>"79121"</f>
        <v>79121</v>
      </c>
      <c r="E29342">
        <v>80.87</v>
      </c>
    </row>
    <row r="29343" spans="1:5" x14ac:dyDescent="0.2">
      <c r="A29343">
        <v>79124</v>
      </c>
      <c r="B29343" t="s">
        <v>50</v>
      </c>
      <c r="C29343">
        <v>79124</v>
      </c>
      <c r="D29343" t="str">
        <f>"79124"</f>
        <v>79124</v>
      </c>
      <c r="E29343">
        <v>79.05</v>
      </c>
    </row>
    <row r="29344" spans="1:5" x14ac:dyDescent="0.2">
      <c r="A29344">
        <v>79201</v>
      </c>
      <c r="B29344" t="s">
        <v>50</v>
      </c>
      <c r="C29344">
        <v>79201</v>
      </c>
      <c r="D29344" t="str">
        <f>"79201"</f>
        <v>79201</v>
      </c>
      <c r="E29344">
        <v>65.52</v>
      </c>
    </row>
    <row r="29345" spans="1:5" x14ac:dyDescent="0.2">
      <c r="A29345">
        <v>79220</v>
      </c>
      <c r="B29345" t="s">
        <v>50</v>
      </c>
      <c r="C29345">
        <v>79220</v>
      </c>
      <c r="D29345" t="str">
        <f>"79220"</f>
        <v>79220</v>
      </c>
      <c r="E29345" t="s">
        <v>6</v>
      </c>
    </row>
    <row r="29346" spans="1:5" x14ac:dyDescent="0.2">
      <c r="A29346">
        <v>79221</v>
      </c>
      <c r="B29346" t="s">
        <v>50</v>
      </c>
      <c r="C29346">
        <v>79221</v>
      </c>
      <c r="D29346" t="str">
        <f>"79221"</f>
        <v>79221</v>
      </c>
      <c r="E29346" t="s">
        <v>6</v>
      </c>
    </row>
    <row r="29347" spans="1:5" x14ac:dyDescent="0.2">
      <c r="A29347">
        <v>79223</v>
      </c>
      <c r="B29347" t="s">
        <v>50</v>
      </c>
      <c r="C29347">
        <v>79223</v>
      </c>
      <c r="D29347" t="str">
        <f>"79223"</f>
        <v>79223</v>
      </c>
      <c r="E29347" t="s">
        <v>6</v>
      </c>
    </row>
    <row r="29348" spans="1:5" x14ac:dyDescent="0.2">
      <c r="A29348">
        <v>79225</v>
      </c>
      <c r="B29348" t="s">
        <v>50</v>
      </c>
      <c r="C29348">
        <v>79225</v>
      </c>
      <c r="D29348" t="str">
        <f>"79225"</f>
        <v>79225</v>
      </c>
      <c r="E29348">
        <v>64.86</v>
      </c>
    </row>
    <row r="29349" spans="1:5" x14ac:dyDescent="0.2">
      <c r="A29349">
        <v>79226</v>
      </c>
      <c r="B29349" t="s">
        <v>50</v>
      </c>
      <c r="C29349">
        <v>79226</v>
      </c>
      <c r="D29349" t="str">
        <f>"79226"</f>
        <v>79226</v>
      </c>
      <c r="E29349">
        <v>59.29</v>
      </c>
    </row>
    <row r="29350" spans="1:5" x14ac:dyDescent="0.2">
      <c r="A29350">
        <v>79227</v>
      </c>
      <c r="B29350" t="s">
        <v>50</v>
      </c>
      <c r="C29350">
        <v>79227</v>
      </c>
      <c r="D29350" t="str">
        <f>"79227"</f>
        <v>79227</v>
      </c>
      <c r="E29350">
        <v>64</v>
      </c>
    </row>
    <row r="29351" spans="1:5" x14ac:dyDescent="0.2">
      <c r="A29351">
        <v>79229</v>
      </c>
      <c r="B29351" t="s">
        <v>50</v>
      </c>
      <c r="C29351">
        <v>79229</v>
      </c>
      <c r="D29351" t="str">
        <f>"79229"</f>
        <v>79229</v>
      </c>
      <c r="E29351">
        <v>64.290000000000006</v>
      </c>
    </row>
    <row r="29352" spans="1:5" x14ac:dyDescent="0.2">
      <c r="A29352">
        <v>79230</v>
      </c>
      <c r="B29352" t="s">
        <v>50</v>
      </c>
      <c r="C29352">
        <v>79230</v>
      </c>
      <c r="D29352" t="str">
        <f>"79230"</f>
        <v>79230</v>
      </c>
      <c r="E29352" t="s">
        <v>6</v>
      </c>
    </row>
    <row r="29353" spans="1:5" x14ac:dyDescent="0.2">
      <c r="A29353">
        <v>79233</v>
      </c>
      <c r="B29353" t="s">
        <v>50</v>
      </c>
      <c r="C29353">
        <v>79233</v>
      </c>
      <c r="D29353" t="str">
        <f>"79233"</f>
        <v>79233</v>
      </c>
      <c r="E29353" t="s">
        <v>6</v>
      </c>
    </row>
    <row r="29354" spans="1:5" x14ac:dyDescent="0.2">
      <c r="A29354">
        <v>79234</v>
      </c>
      <c r="B29354" t="s">
        <v>50</v>
      </c>
      <c r="C29354">
        <v>79234</v>
      </c>
      <c r="D29354" t="str">
        <f>"79234"</f>
        <v>79234</v>
      </c>
      <c r="E29354" t="s">
        <v>6</v>
      </c>
    </row>
    <row r="29355" spans="1:5" x14ac:dyDescent="0.2">
      <c r="A29355">
        <v>79235</v>
      </c>
      <c r="B29355" t="s">
        <v>50</v>
      </c>
      <c r="C29355">
        <v>79235</v>
      </c>
      <c r="D29355" t="str">
        <f>"79235"</f>
        <v>79235</v>
      </c>
      <c r="E29355">
        <v>59.33</v>
      </c>
    </row>
    <row r="29356" spans="1:5" x14ac:dyDescent="0.2">
      <c r="A29356">
        <v>79236</v>
      </c>
      <c r="B29356" t="s">
        <v>50</v>
      </c>
      <c r="C29356">
        <v>79236</v>
      </c>
      <c r="D29356" t="str">
        <f>"79236"</f>
        <v>79236</v>
      </c>
      <c r="E29356" t="s">
        <v>6</v>
      </c>
    </row>
    <row r="29357" spans="1:5" x14ac:dyDescent="0.2">
      <c r="A29357">
        <v>79237</v>
      </c>
      <c r="B29357" t="s">
        <v>50</v>
      </c>
      <c r="C29357">
        <v>79237</v>
      </c>
      <c r="D29357" t="str">
        <f>"79237"</f>
        <v>79237</v>
      </c>
      <c r="E29357">
        <v>60</v>
      </c>
    </row>
    <row r="29358" spans="1:5" x14ac:dyDescent="0.2">
      <c r="A29358">
        <v>79239</v>
      </c>
      <c r="B29358" t="s">
        <v>50</v>
      </c>
      <c r="C29358">
        <v>79239</v>
      </c>
      <c r="D29358" t="str">
        <f>"79239"</f>
        <v>79239</v>
      </c>
      <c r="E29358" t="s">
        <v>6</v>
      </c>
    </row>
    <row r="29359" spans="1:5" x14ac:dyDescent="0.2">
      <c r="A29359">
        <v>79240</v>
      </c>
      <c r="B29359" t="s">
        <v>50</v>
      </c>
      <c r="C29359">
        <v>79240</v>
      </c>
      <c r="D29359" t="str">
        <f>"79240"</f>
        <v>79240</v>
      </c>
      <c r="E29359" t="s">
        <v>6</v>
      </c>
    </row>
    <row r="29360" spans="1:5" x14ac:dyDescent="0.2">
      <c r="A29360">
        <v>79241</v>
      </c>
      <c r="B29360" t="s">
        <v>50</v>
      </c>
      <c r="C29360">
        <v>79241</v>
      </c>
      <c r="D29360" t="str">
        <f>"79241"</f>
        <v>79241</v>
      </c>
      <c r="E29360">
        <v>61.11</v>
      </c>
    </row>
    <row r="29361" spans="1:5" x14ac:dyDescent="0.2">
      <c r="A29361">
        <v>79243</v>
      </c>
      <c r="B29361" t="s">
        <v>50</v>
      </c>
      <c r="C29361">
        <v>79243</v>
      </c>
      <c r="D29361" t="str">
        <f>"79243"</f>
        <v>79243</v>
      </c>
      <c r="E29361" t="s">
        <v>6</v>
      </c>
    </row>
    <row r="29362" spans="1:5" x14ac:dyDescent="0.2">
      <c r="A29362">
        <v>79244</v>
      </c>
      <c r="B29362" t="s">
        <v>50</v>
      </c>
      <c r="C29362">
        <v>79244</v>
      </c>
      <c r="D29362" t="str">
        <f>"79244"</f>
        <v>79244</v>
      </c>
      <c r="E29362">
        <v>66.67</v>
      </c>
    </row>
    <row r="29363" spans="1:5" x14ac:dyDescent="0.2">
      <c r="A29363">
        <v>79245</v>
      </c>
      <c r="B29363" t="s">
        <v>50</v>
      </c>
      <c r="C29363">
        <v>79245</v>
      </c>
      <c r="D29363" t="str">
        <f>"79245"</f>
        <v>79245</v>
      </c>
      <c r="E29363">
        <v>55.17</v>
      </c>
    </row>
    <row r="29364" spans="1:5" x14ac:dyDescent="0.2">
      <c r="A29364">
        <v>79247</v>
      </c>
      <c r="B29364" t="s">
        <v>50</v>
      </c>
      <c r="C29364">
        <v>79247</v>
      </c>
      <c r="D29364" t="str">
        <f>"79247"</f>
        <v>79247</v>
      </c>
      <c r="E29364" t="s">
        <v>6</v>
      </c>
    </row>
    <row r="29365" spans="1:5" x14ac:dyDescent="0.2">
      <c r="A29365">
        <v>79248</v>
      </c>
      <c r="B29365" t="s">
        <v>50</v>
      </c>
      <c r="C29365">
        <v>79248</v>
      </c>
      <c r="D29365" t="str">
        <f>"79248"</f>
        <v>79248</v>
      </c>
      <c r="E29365">
        <v>58.18</v>
      </c>
    </row>
    <row r="29366" spans="1:5" x14ac:dyDescent="0.2">
      <c r="A29366">
        <v>79250</v>
      </c>
      <c r="B29366" t="s">
        <v>50</v>
      </c>
      <c r="C29366">
        <v>79250</v>
      </c>
      <c r="D29366" t="str">
        <f>"79250"</f>
        <v>79250</v>
      </c>
      <c r="E29366">
        <v>66.069999999999993</v>
      </c>
    </row>
    <row r="29367" spans="1:5" x14ac:dyDescent="0.2">
      <c r="A29367">
        <v>79251</v>
      </c>
      <c r="B29367" t="s">
        <v>50</v>
      </c>
      <c r="C29367">
        <v>79251</v>
      </c>
      <c r="D29367" t="str">
        <f>"79251"</f>
        <v>79251</v>
      </c>
      <c r="E29367" t="s">
        <v>6</v>
      </c>
    </row>
    <row r="29368" spans="1:5" x14ac:dyDescent="0.2">
      <c r="A29368">
        <v>79252</v>
      </c>
      <c r="B29368" t="s">
        <v>50</v>
      </c>
      <c r="C29368">
        <v>79252</v>
      </c>
      <c r="D29368" t="str">
        <f>"79252"</f>
        <v>79252</v>
      </c>
      <c r="E29368">
        <v>65.25</v>
      </c>
    </row>
    <row r="29369" spans="1:5" x14ac:dyDescent="0.2">
      <c r="A29369">
        <v>79255</v>
      </c>
      <c r="B29369" t="s">
        <v>50</v>
      </c>
      <c r="C29369">
        <v>79255</v>
      </c>
      <c r="D29369" t="str">
        <f>"79255"</f>
        <v>79255</v>
      </c>
      <c r="E29369">
        <v>61.11</v>
      </c>
    </row>
    <row r="29370" spans="1:5" x14ac:dyDescent="0.2">
      <c r="A29370">
        <v>79256</v>
      </c>
      <c r="B29370" t="s">
        <v>50</v>
      </c>
      <c r="C29370">
        <v>79256</v>
      </c>
      <c r="D29370" t="str">
        <f>"79256"</f>
        <v>79256</v>
      </c>
      <c r="E29370">
        <v>58.33</v>
      </c>
    </row>
    <row r="29371" spans="1:5" x14ac:dyDescent="0.2">
      <c r="A29371">
        <v>79257</v>
      </c>
      <c r="B29371" t="s">
        <v>50</v>
      </c>
      <c r="C29371">
        <v>79257</v>
      </c>
      <c r="D29371" t="str">
        <f>"79257"</f>
        <v>79257</v>
      </c>
      <c r="E29371">
        <v>67.569999999999993</v>
      </c>
    </row>
    <row r="29372" spans="1:5" x14ac:dyDescent="0.2">
      <c r="A29372">
        <v>79259</v>
      </c>
      <c r="B29372" t="s">
        <v>50</v>
      </c>
      <c r="C29372">
        <v>79259</v>
      </c>
      <c r="D29372" t="str">
        <f>"79259"</f>
        <v>79259</v>
      </c>
      <c r="E29372" t="s">
        <v>6</v>
      </c>
    </row>
    <row r="29373" spans="1:5" x14ac:dyDescent="0.2">
      <c r="A29373">
        <v>79261</v>
      </c>
      <c r="B29373" t="s">
        <v>50</v>
      </c>
      <c r="C29373">
        <v>79261</v>
      </c>
      <c r="D29373" t="str">
        <f>"79261"</f>
        <v>79261</v>
      </c>
      <c r="E29373">
        <v>58.82</v>
      </c>
    </row>
    <row r="29374" spans="1:5" x14ac:dyDescent="0.2">
      <c r="A29374">
        <v>79311</v>
      </c>
      <c r="B29374" t="s">
        <v>50</v>
      </c>
      <c r="C29374">
        <v>79311</v>
      </c>
      <c r="D29374" t="str">
        <f>"79311"</f>
        <v>79311</v>
      </c>
      <c r="E29374">
        <v>65.930000000000007</v>
      </c>
    </row>
    <row r="29375" spans="1:5" x14ac:dyDescent="0.2">
      <c r="A29375">
        <v>79312</v>
      </c>
      <c r="B29375" t="s">
        <v>50</v>
      </c>
      <c r="C29375">
        <v>79312</v>
      </c>
      <c r="D29375" t="str">
        <f>"79312"</f>
        <v>79312</v>
      </c>
      <c r="E29375">
        <v>56.76</v>
      </c>
    </row>
    <row r="29376" spans="1:5" x14ac:dyDescent="0.2">
      <c r="A29376">
        <v>79313</v>
      </c>
      <c r="B29376" t="s">
        <v>50</v>
      </c>
      <c r="C29376">
        <v>79313</v>
      </c>
      <c r="D29376" t="str">
        <f>"79313"</f>
        <v>79313</v>
      </c>
      <c r="E29376">
        <v>64.91</v>
      </c>
    </row>
    <row r="29377" spans="1:5" x14ac:dyDescent="0.2">
      <c r="A29377">
        <v>79316</v>
      </c>
      <c r="B29377" t="s">
        <v>50</v>
      </c>
      <c r="C29377">
        <v>79316</v>
      </c>
      <c r="D29377" t="str">
        <f>"79316"</f>
        <v>79316</v>
      </c>
      <c r="E29377">
        <v>59.15</v>
      </c>
    </row>
    <row r="29378" spans="1:5" x14ac:dyDescent="0.2">
      <c r="A29378">
        <v>79322</v>
      </c>
      <c r="B29378" t="s">
        <v>50</v>
      </c>
      <c r="C29378">
        <v>79322</v>
      </c>
      <c r="D29378" t="str">
        <f>"79322"</f>
        <v>79322</v>
      </c>
      <c r="E29378">
        <v>60.81</v>
      </c>
    </row>
    <row r="29379" spans="1:5" x14ac:dyDescent="0.2">
      <c r="A29379">
        <v>79323</v>
      </c>
      <c r="B29379" t="s">
        <v>50</v>
      </c>
      <c r="C29379">
        <v>79323</v>
      </c>
      <c r="D29379" t="str">
        <f>"79323"</f>
        <v>79323</v>
      </c>
      <c r="E29379">
        <v>68.75</v>
      </c>
    </row>
    <row r="29380" spans="1:5" x14ac:dyDescent="0.2">
      <c r="A29380">
        <v>79324</v>
      </c>
      <c r="B29380" t="s">
        <v>50</v>
      </c>
      <c r="C29380">
        <v>79324</v>
      </c>
      <c r="D29380" t="str">
        <f>"79324"</f>
        <v>79324</v>
      </c>
      <c r="E29380" t="s">
        <v>6</v>
      </c>
    </row>
    <row r="29381" spans="1:5" x14ac:dyDescent="0.2">
      <c r="A29381">
        <v>79325</v>
      </c>
      <c r="B29381" t="s">
        <v>50</v>
      </c>
      <c r="C29381">
        <v>79325</v>
      </c>
      <c r="D29381" t="str">
        <f>"79325"</f>
        <v>79325</v>
      </c>
      <c r="E29381">
        <v>67.05</v>
      </c>
    </row>
    <row r="29382" spans="1:5" x14ac:dyDescent="0.2">
      <c r="A29382">
        <v>79326</v>
      </c>
      <c r="B29382" t="s">
        <v>50</v>
      </c>
      <c r="C29382">
        <v>79326</v>
      </c>
      <c r="D29382" t="str">
        <f>"79326"</f>
        <v>79326</v>
      </c>
      <c r="E29382" t="s">
        <v>6</v>
      </c>
    </row>
    <row r="29383" spans="1:5" x14ac:dyDescent="0.2">
      <c r="A29383">
        <v>79329</v>
      </c>
      <c r="B29383" t="s">
        <v>50</v>
      </c>
      <c r="C29383">
        <v>79329</v>
      </c>
      <c r="D29383" t="str">
        <f>"79329"</f>
        <v>79329</v>
      </c>
      <c r="E29383">
        <v>71.33</v>
      </c>
    </row>
    <row r="29384" spans="1:5" x14ac:dyDescent="0.2">
      <c r="A29384">
        <v>79330</v>
      </c>
      <c r="B29384" t="s">
        <v>50</v>
      </c>
      <c r="C29384">
        <v>79330</v>
      </c>
      <c r="D29384" t="str">
        <f>"79330"</f>
        <v>79330</v>
      </c>
      <c r="E29384" t="s">
        <v>6</v>
      </c>
    </row>
    <row r="29385" spans="1:5" x14ac:dyDescent="0.2">
      <c r="A29385">
        <v>79331</v>
      </c>
      <c r="B29385" t="s">
        <v>50</v>
      </c>
      <c r="C29385">
        <v>79331</v>
      </c>
      <c r="D29385" t="str">
        <f>"79331"</f>
        <v>79331</v>
      </c>
      <c r="E29385">
        <v>64.22</v>
      </c>
    </row>
    <row r="29386" spans="1:5" x14ac:dyDescent="0.2">
      <c r="A29386">
        <v>79336</v>
      </c>
      <c r="B29386" t="s">
        <v>50</v>
      </c>
      <c r="C29386">
        <v>79336</v>
      </c>
      <c r="D29386" t="str">
        <f>"79336"</f>
        <v>79336</v>
      </c>
      <c r="E29386">
        <v>67.66</v>
      </c>
    </row>
    <row r="29387" spans="1:5" x14ac:dyDescent="0.2">
      <c r="A29387">
        <v>79339</v>
      </c>
      <c r="B29387" t="s">
        <v>50</v>
      </c>
      <c r="C29387">
        <v>79339</v>
      </c>
      <c r="D29387" t="str">
        <f>"79339"</f>
        <v>79339</v>
      </c>
      <c r="E29387">
        <v>61.4</v>
      </c>
    </row>
    <row r="29388" spans="1:5" x14ac:dyDescent="0.2">
      <c r="A29388">
        <v>79342</v>
      </c>
      <c r="B29388" t="s">
        <v>50</v>
      </c>
      <c r="C29388">
        <v>79342</v>
      </c>
      <c r="D29388" t="str">
        <f>"79342"</f>
        <v>79342</v>
      </c>
      <c r="E29388">
        <v>71.430000000000007</v>
      </c>
    </row>
    <row r="29389" spans="1:5" x14ac:dyDescent="0.2">
      <c r="A29389">
        <v>79343</v>
      </c>
      <c r="B29389" t="s">
        <v>50</v>
      </c>
      <c r="C29389">
        <v>79343</v>
      </c>
      <c r="D29389" t="str">
        <f>"79343"</f>
        <v>79343</v>
      </c>
      <c r="E29389">
        <v>62.71</v>
      </c>
    </row>
    <row r="29390" spans="1:5" x14ac:dyDescent="0.2">
      <c r="A29390">
        <v>79344</v>
      </c>
      <c r="B29390" t="s">
        <v>50</v>
      </c>
      <c r="C29390">
        <v>79344</v>
      </c>
      <c r="D29390" t="str">
        <f>"79344"</f>
        <v>79344</v>
      </c>
      <c r="E29390" t="s">
        <v>6</v>
      </c>
    </row>
    <row r="29391" spans="1:5" x14ac:dyDescent="0.2">
      <c r="A29391">
        <v>79345</v>
      </c>
      <c r="B29391" t="s">
        <v>50</v>
      </c>
      <c r="C29391">
        <v>79345</v>
      </c>
      <c r="D29391" t="str">
        <f>"79345"</f>
        <v>79345</v>
      </c>
      <c r="E29391">
        <v>61.54</v>
      </c>
    </row>
    <row r="29392" spans="1:5" x14ac:dyDescent="0.2">
      <c r="A29392">
        <v>79346</v>
      </c>
      <c r="B29392" t="s">
        <v>50</v>
      </c>
      <c r="C29392">
        <v>79346</v>
      </c>
      <c r="D29392" t="str">
        <f>"79346"</f>
        <v>79346</v>
      </c>
      <c r="E29392">
        <v>62.65</v>
      </c>
    </row>
    <row r="29393" spans="1:5" x14ac:dyDescent="0.2">
      <c r="A29393">
        <v>79347</v>
      </c>
      <c r="B29393" t="s">
        <v>50</v>
      </c>
      <c r="C29393">
        <v>79347</v>
      </c>
      <c r="D29393" t="str">
        <f>"79347"</f>
        <v>79347</v>
      </c>
      <c r="E29393">
        <v>55.89</v>
      </c>
    </row>
    <row r="29394" spans="1:5" x14ac:dyDescent="0.2">
      <c r="A29394">
        <v>79350</v>
      </c>
      <c r="B29394" t="s">
        <v>50</v>
      </c>
      <c r="C29394">
        <v>79350</v>
      </c>
      <c r="D29394" t="str">
        <f>"79350"</f>
        <v>79350</v>
      </c>
      <c r="E29394">
        <v>58.82</v>
      </c>
    </row>
    <row r="29395" spans="1:5" x14ac:dyDescent="0.2">
      <c r="A29395">
        <v>79351</v>
      </c>
      <c r="B29395" t="s">
        <v>50</v>
      </c>
      <c r="C29395">
        <v>79351</v>
      </c>
      <c r="D29395" t="str">
        <f>"79351"</f>
        <v>79351</v>
      </c>
      <c r="E29395">
        <v>71.7</v>
      </c>
    </row>
    <row r="29396" spans="1:5" x14ac:dyDescent="0.2">
      <c r="A29396">
        <v>79353</v>
      </c>
      <c r="B29396" t="s">
        <v>50</v>
      </c>
      <c r="C29396">
        <v>79353</v>
      </c>
      <c r="D29396" t="str">
        <f>"79353"</f>
        <v>79353</v>
      </c>
      <c r="E29396" t="s">
        <v>6</v>
      </c>
    </row>
    <row r="29397" spans="1:5" x14ac:dyDescent="0.2">
      <c r="A29397">
        <v>79355</v>
      </c>
      <c r="B29397" t="s">
        <v>50</v>
      </c>
      <c r="C29397">
        <v>79355</v>
      </c>
      <c r="D29397" t="str">
        <f>"79355"</f>
        <v>79355</v>
      </c>
      <c r="E29397">
        <v>69.88</v>
      </c>
    </row>
    <row r="29398" spans="1:5" x14ac:dyDescent="0.2">
      <c r="A29398">
        <v>79356</v>
      </c>
      <c r="B29398" t="s">
        <v>50</v>
      </c>
      <c r="C29398">
        <v>79356</v>
      </c>
      <c r="D29398" t="str">
        <f>"79356"</f>
        <v>79356</v>
      </c>
      <c r="E29398">
        <v>66.28</v>
      </c>
    </row>
    <row r="29399" spans="1:5" x14ac:dyDescent="0.2">
      <c r="A29399">
        <v>79357</v>
      </c>
      <c r="B29399" t="s">
        <v>50</v>
      </c>
      <c r="C29399">
        <v>79357</v>
      </c>
      <c r="D29399" t="str">
        <f>"79357"</f>
        <v>79357</v>
      </c>
      <c r="E29399">
        <v>57.47</v>
      </c>
    </row>
    <row r="29400" spans="1:5" x14ac:dyDescent="0.2">
      <c r="A29400">
        <v>79358</v>
      </c>
      <c r="B29400" t="s">
        <v>50</v>
      </c>
      <c r="C29400">
        <v>79358</v>
      </c>
      <c r="D29400" t="str">
        <f>"79358"</f>
        <v>79358</v>
      </c>
      <c r="E29400">
        <v>68.42</v>
      </c>
    </row>
    <row r="29401" spans="1:5" x14ac:dyDescent="0.2">
      <c r="A29401">
        <v>79359</v>
      </c>
      <c r="B29401" t="s">
        <v>50</v>
      </c>
      <c r="C29401">
        <v>79359</v>
      </c>
      <c r="D29401" t="str">
        <f>"79359"</f>
        <v>79359</v>
      </c>
      <c r="E29401">
        <v>59.17</v>
      </c>
    </row>
    <row r="29402" spans="1:5" x14ac:dyDescent="0.2">
      <c r="A29402">
        <v>79360</v>
      </c>
      <c r="B29402" t="s">
        <v>50</v>
      </c>
      <c r="C29402">
        <v>79360</v>
      </c>
      <c r="D29402" t="str">
        <f>"79360"</f>
        <v>79360</v>
      </c>
      <c r="E29402">
        <v>63.4</v>
      </c>
    </row>
    <row r="29403" spans="1:5" x14ac:dyDescent="0.2">
      <c r="A29403">
        <v>79363</v>
      </c>
      <c r="B29403" t="s">
        <v>50</v>
      </c>
      <c r="C29403">
        <v>79363</v>
      </c>
      <c r="D29403" t="str">
        <f>"79363"</f>
        <v>79363</v>
      </c>
      <c r="E29403">
        <v>70.5</v>
      </c>
    </row>
    <row r="29404" spans="1:5" x14ac:dyDescent="0.2">
      <c r="A29404">
        <v>79364</v>
      </c>
      <c r="B29404" t="s">
        <v>50</v>
      </c>
      <c r="C29404">
        <v>79364</v>
      </c>
      <c r="D29404" t="str">
        <f>"79364"</f>
        <v>79364</v>
      </c>
      <c r="E29404">
        <v>64.56</v>
      </c>
    </row>
    <row r="29405" spans="1:5" x14ac:dyDescent="0.2">
      <c r="A29405">
        <v>79366</v>
      </c>
      <c r="B29405" t="s">
        <v>50</v>
      </c>
      <c r="C29405">
        <v>79366</v>
      </c>
      <c r="D29405" t="str">
        <f>"79366"</f>
        <v>79366</v>
      </c>
      <c r="E29405">
        <v>81.48</v>
      </c>
    </row>
    <row r="29406" spans="1:5" x14ac:dyDescent="0.2">
      <c r="A29406">
        <v>79367</v>
      </c>
      <c r="B29406" t="s">
        <v>50</v>
      </c>
      <c r="C29406">
        <v>79367</v>
      </c>
      <c r="D29406" t="str">
        <f>"79367"</f>
        <v>79367</v>
      </c>
      <c r="E29406">
        <v>64.52</v>
      </c>
    </row>
    <row r="29407" spans="1:5" x14ac:dyDescent="0.2">
      <c r="A29407">
        <v>79370</v>
      </c>
      <c r="B29407" t="s">
        <v>50</v>
      </c>
      <c r="C29407">
        <v>79370</v>
      </c>
      <c r="D29407" t="str">
        <f>"79370"</f>
        <v>79370</v>
      </c>
      <c r="E29407">
        <v>62.5</v>
      </c>
    </row>
    <row r="29408" spans="1:5" x14ac:dyDescent="0.2">
      <c r="A29408">
        <v>79371</v>
      </c>
      <c r="B29408" t="s">
        <v>50</v>
      </c>
      <c r="C29408">
        <v>79371</v>
      </c>
      <c r="D29408" t="str">
        <f>"79371"</f>
        <v>79371</v>
      </c>
      <c r="E29408">
        <v>68.97</v>
      </c>
    </row>
    <row r="29409" spans="1:5" x14ac:dyDescent="0.2">
      <c r="A29409">
        <v>79372</v>
      </c>
      <c r="B29409" t="s">
        <v>50</v>
      </c>
      <c r="C29409">
        <v>79372</v>
      </c>
      <c r="D29409" t="str">
        <f>"79372"</f>
        <v>79372</v>
      </c>
      <c r="E29409">
        <v>65.569999999999993</v>
      </c>
    </row>
    <row r="29410" spans="1:5" x14ac:dyDescent="0.2">
      <c r="A29410">
        <v>79373</v>
      </c>
      <c r="B29410" t="s">
        <v>50</v>
      </c>
      <c r="C29410">
        <v>79373</v>
      </c>
      <c r="D29410" t="str">
        <f>"79373"</f>
        <v>79373</v>
      </c>
      <c r="E29410">
        <v>66.67</v>
      </c>
    </row>
    <row r="29411" spans="1:5" x14ac:dyDescent="0.2">
      <c r="A29411">
        <v>79376</v>
      </c>
      <c r="B29411" t="s">
        <v>50</v>
      </c>
      <c r="C29411">
        <v>79376</v>
      </c>
      <c r="D29411" t="str">
        <f>"79376"</f>
        <v>79376</v>
      </c>
      <c r="E29411" t="s">
        <v>6</v>
      </c>
    </row>
    <row r="29412" spans="1:5" x14ac:dyDescent="0.2">
      <c r="A29412">
        <v>79377</v>
      </c>
      <c r="B29412" t="s">
        <v>50</v>
      </c>
      <c r="C29412">
        <v>79377</v>
      </c>
      <c r="D29412" t="str">
        <f>"79377"</f>
        <v>79377</v>
      </c>
      <c r="E29412">
        <v>61.54</v>
      </c>
    </row>
    <row r="29413" spans="1:5" x14ac:dyDescent="0.2">
      <c r="A29413">
        <v>79378</v>
      </c>
      <c r="B29413" t="s">
        <v>50</v>
      </c>
      <c r="C29413">
        <v>79378</v>
      </c>
      <c r="D29413" t="str">
        <f>"79378"</f>
        <v>79378</v>
      </c>
      <c r="E29413" t="s">
        <v>6</v>
      </c>
    </row>
    <row r="29414" spans="1:5" x14ac:dyDescent="0.2">
      <c r="A29414">
        <v>79379</v>
      </c>
      <c r="B29414" t="s">
        <v>50</v>
      </c>
      <c r="C29414">
        <v>79379</v>
      </c>
      <c r="D29414" t="str">
        <f>"79379"</f>
        <v>79379</v>
      </c>
      <c r="E29414">
        <v>62.5</v>
      </c>
    </row>
    <row r="29415" spans="1:5" x14ac:dyDescent="0.2">
      <c r="A29415">
        <v>79381</v>
      </c>
      <c r="B29415" t="s">
        <v>50</v>
      </c>
      <c r="C29415">
        <v>79381</v>
      </c>
      <c r="D29415" t="str">
        <f>"79381"</f>
        <v>79381</v>
      </c>
      <c r="E29415">
        <v>69.23</v>
      </c>
    </row>
    <row r="29416" spans="1:5" x14ac:dyDescent="0.2">
      <c r="A29416">
        <v>79382</v>
      </c>
      <c r="B29416" t="s">
        <v>50</v>
      </c>
      <c r="C29416">
        <v>79382</v>
      </c>
      <c r="D29416" t="str">
        <f>"79382"</f>
        <v>79382</v>
      </c>
      <c r="E29416">
        <v>71.349999999999994</v>
      </c>
    </row>
    <row r="29417" spans="1:5" x14ac:dyDescent="0.2">
      <c r="A29417">
        <v>79401</v>
      </c>
      <c r="B29417" t="s">
        <v>50</v>
      </c>
      <c r="C29417">
        <v>79401</v>
      </c>
      <c r="D29417" t="str">
        <f>"79401"</f>
        <v>79401</v>
      </c>
      <c r="E29417">
        <v>54.91</v>
      </c>
    </row>
    <row r="29418" spans="1:5" x14ac:dyDescent="0.2">
      <c r="A29418">
        <v>79402</v>
      </c>
      <c r="B29418" t="s">
        <v>50</v>
      </c>
      <c r="C29418">
        <v>79402</v>
      </c>
      <c r="D29418" t="str">
        <f>"79402"</f>
        <v>79402</v>
      </c>
      <c r="E29418" t="s">
        <v>6</v>
      </c>
    </row>
    <row r="29419" spans="1:5" x14ac:dyDescent="0.2">
      <c r="A29419">
        <v>79403</v>
      </c>
      <c r="B29419" t="s">
        <v>50</v>
      </c>
      <c r="C29419">
        <v>79403</v>
      </c>
      <c r="D29419" t="str">
        <f>"79403"</f>
        <v>79403</v>
      </c>
      <c r="E29419">
        <v>51.57</v>
      </c>
    </row>
    <row r="29420" spans="1:5" x14ac:dyDescent="0.2">
      <c r="A29420">
        <v>79404</v>
      </c>
      <c r="B29420" t="s">
        <v>50</v>
      </c>
      <c r="C29420">
        <v>79404</v>
      </c>
      <c r="D29420" t="str">
        <f>"79404"</f>
        <v>79404</v>
      </c>
      <c r="E29420">
        <v>51.26</v>
      </c>
    </row>
    <row r="29421" spans="1:5" x14ac:dyDescent="0.2">
      <c r="A29421">
        <v>79406</v>
      </c>
      <c r="B29421" t="s">
        <v>50</v>
      </c>
      <c r="C29421">
        <v>79406</v>
      </c>
      <c r="D29421" t="str">
        <f>"79406"</f>
        <v>79406</v>
      </c>
      <c r="E29421" t="s">
        <v>6</v>
      </c>
    </row>
    <row r="29422" spans="1:5" x14ac:dyDescent="0.2">
      <c r="A29422">
        <v>79407</v>
      </c>
      <c r="B29422" t="s">
        <v>50</v>
      </c>
      <c r="C29422">
        <v>79407</v>
      </c>
      <c r="D29422" t="str">
        <f>"79407"</f>
        <v>79407</v>
      </c>
      <c r="E29422">
        <v>68.88</v>
      </c>
    </row>
    <row r="29423" spans="1:5" x14ac:dyDescent="0.2">
      <c r="A29423">
        <v>79408</v>
      </c>
      <c r="B29423" t="s">
        <v>50</v>
      </c>
      <c r="C29423">
        <v>79408</v>
      </c>
      <c r="D29423" t="str">
        <f>"79408"</f>
        <v>79408</v>
      </c>
      <c r="E29423" t="s">
        <v>6</v>
      </c>
    </row>
    <row r="29424" spans="1:5" x14ac:dyDescent="0.2">
      <c r="A29424">
        <v>79409</v>
      </c>
      <c r="B29424" t="s">
        <v>50</v>
      </c>
      <c r="C29424">
        <v>79409</v>
      </c>
      <c r="D29424" t="str">
        <f>"79409"</f>
        <v>79409</v>
      </c>
      <c r="E29424" t="s">
        <v>6</v>
      </c>
    </row>
    <row r="29425" spans="1:5" x14ac:dyDescent="0.2">
      <c r="A29425">
        <v>79410</v>
      </c>
      <c r="B29425" t="s">
        <v>50</v>
      </c>
      <c r="C29425">
        <v>79410</v>
      </c>
      <c r="D29425" t="str">
        <f>"79410"</f>
        <v>79410</v>
      </c>
      <c r="E29425">
        <v>68.150000000000006</v>
      </c>
    </row>
    <row r="29426" spans="1:5" x14ac:dyDescent="0.2">
      <c r="A29426">
        <v>79411</v>
      </c>
      <c r="B29426" t="s">
        <v>50</v>
      </c>
      <c r="C29426">
        <v>79411</v>
      </c>
      <c r="D29426" t="str">
        <f>"79411"</f>
        <v>79411</v>
      </c>
      <c r="E29426">
        <v>52.84</v>
      </c>
    </row>
    <row r="29427" spans="1:5" x14ac:dyDescent="0.2">
      <c r="A29427">
        <v>79412</v>
      </c>
      <c r="B29427" t="s">
        <v>50</v>
      </c>
      <c r="C29427">
        <v>79412</v>
      </c>
      <c r="D29427" t="str">
        <f>"79412"</f>
        <v>79412</v>
      </c>
      <c r="E29427">
        <v>54.03</v>
      </c>
    </row>
    <row r="29428" spans="1:5" x14ac:dyDescent="0.2">
      <c r="A29428">
        <v>79413</v>
      </c>
      <c r="B29428" t="s">
        <v>50</v>
      </c>
      <c r="C29428">
        <v>79413</v>
      </c>
      <c r="D29428" t="str">
        <f>"79413"</f>
        <v>79413</v>
      </c>
      <c r="E29428">
        <v>68.349999999999994</v>
      </c>
    </row>
    <row r="29429" spans="1:5" x14ac:dyDescent="0.2">
      <c r="A29429">
        <v>79414</v>
      </c>
      <c r="B29429" t="s">
        <v>50</v>
      </c>
      <c r="C29429">
        <v>79414</v>
      </c>
      <c r="D29429" t="str">
        <f>"79414"</f>
        <v>79414</v>
      </c>
      <c r="E29429">
        <v>65.08</v>
      </c>
    </row>
    <row r="29430" spans="1:5" x14ac:dyDescent="0.2">
      <c r="A29430">
        <v>79415</v>
      </c>
      <c r="B29430" t="s">
        <v>50</v>
      </c>
      <c r="C29430">
        <v>79415</v>
      </c>
      <c r="D29430" t="str">
        <f>"79415"</f>
        <v>79415</v>
      </c>
      <c r="E29430">
        <v>54.14</v>
      </c>
    </row>
    <row r="29431" spans="1:5" x14ac:dyDescent="0.2">
      <c r="A29431">
        <v>79416</v>
      </c>
      <c r="B29431" t="s">
        <v>50</v>
      </c>
      <c r="C29431">
        <v>79416</v>
      </c>
      <c r="D29431" t="str">
        <f>"79416"</f>
        <v>79416</v>
      </c>
      <c r="E29431">
        <v>69.11</v>
      </c>
    </row>
    <row r="29432" spans="1:5" x14ac:dyDescent="0.2">
      <c r="A29432">
        <v>79423</v>
      </c>
      <c r="B29432" t="s">
        <v>50</v>
      </c>
      <c r="C29432">
        <v>79423</v>
      </c>
      <c r="D29432" t="str">
        <f>"79423"</f>
        <v>79423</v>
      </c>
      <c r="E29432">
        <v>73.42</v>
      </c>
    </row>
    <row r="29433" spans="1:5" x14ac:dyDescent="0.2">
      <c r="A29433">
        <v>79424</v>
      </c>
      <c r="B29433" t="s">
        <v>50</v>
      </c>
      <c r="C29433">
        <v>79424</v>
      </c>
      <c r="D29433" t="str">
        <f>"79424"</f>
        <v>79424</v>
      </c>
      <c r="E29433">
        <v>79.28</v>
      </c>
    </row>
    <row r="29434" spans="1:5" x14ac:dyDescent="0.2">
      <c r="A29434">
        <v>79430</v>
      </c>
      <c r="B29434" t="s">
        <v>50</v>
      </c>
      <c r="C29434">
        <v>79430</v>
      </c>
      <c r="D29434" t="str">
        <f>"79430"</f>
        <v>79430</v>
      </c>
      <c r="E29434" t="s">
        <v>6</v>
      </c>
    </row>
    <row r="29435" spans="1:5" x14ac:dyDescent="0.2">
      <c r="A29435">
        <v>79501</v>
      </c>
      <c r="B29435" t="s">
        <v>50</v>
      </c>
      <c r="C29435">
        <v>79501</v>
      </c>
      <c r="D29435" t="str">
        <f>"79501"</f>
        <v>79501</v>
      </c>
      <c r="E29435">
        <v>63.31</v>
      </c>
    </row>
    <row r="29436" spans="1:5" x14ac:dyDescent="0.2">
      <c r="A29436">
        <v>79502</v>
      </c>
      <c r="B29436" t="s">
        <v>50</v>
      </c>
      <c r="C29436">
        <v>79502</v>
      </c>
      <c r="D29436" t="str">
        <f>"79502"</f>
        <v>79502</v>
      </c>
      <c r="E29436">
        <v>64.58</v>
      </c>
    </row>
    <row r="29437" spans="1:5" x14ac:dyDescent="0.2">
      <c r="A29437">
        <v>79503</v>
      </c>
      <c r="B29437" t="s">
        <v>50</v>
      </c>
      <c r="C29437">
        <v>79503</v>
      </c>
      <c r="D29437" t="str">
        <f>"79503"</f>
        <v>79503</v>
      </c>
      <c r="E29437" t="s">
        <v>6</v>
      </c>
    </row>
    <row r="29438" spans="1:5" x14ac:dyDescent="0.2">
      <c r="A29438">
        <v>79504</v>
      </c>
      <c r="B29438" t="s">
        <v>50</v>
      </c>
      <c r="C29438">
        <v>79504</v>
      </c>
      <c r="D29438" t="str">
        <f>"79504"</f>
        <v>79504</v>
      </c>
      <c r="E29438">
        <v>66.67</v>
      </c>
    </row>
    <row r="29439" spans="1:5" x14ac:dyDescent="0.2">
      <c r="A29439">
        <v>79505</v>
      </c>
      <c r="B29439" t="s">
        <v>50</v>
      </c>
      <c r="C29439">
        <v>79505</v>
      </c>
      <c r="D29439" t="str">
        <f>"79505"</f>
        <v>79505</v>
      </c>
      <c r="E29439" t="s">
        <v>6</v>
      </c>
    </row>
    <row r="29440" spans="1:5" x14ac:dyDescent="0.2">
      <c r="A29440">
        <v>79506</v>
      </c>
      <c r="B29440" t="s">
        <v>50</v>
      </c>
      <c r="C29440">
        <v>79506</v>
      </c>
      <c r="D29440" t="str">
        <f>"79506"</f>
        <v>79506</v>
      </c>
      <c r="E29440">
        <v>67.86</v>
      </c>
    </row>
    <row r="29441" spans="1:5" x14ac:dyDescent="0.2">
      <c r="A29441">
        <v>79508</v>
      </c>
      <c r="B29441" t="s">
        <v>50</v>
      </c>
      <c r="C29441">
        <v>79508</v>
      </c>
      <c r="D29441" t="str">
        <f>"79508"</f>
        <v>79508</v>
      </c>
      <c r="E29441">
        <v>70.91</v>
      </c>
    </row>
    <row r="29442" spans="1:5" x14ac:dyDescent="0.2">
      <c r="A29442">
        <v>79510</v>
      </c>
      <c r="B29442" t="s">
        <v>50</v>
      </c>
      <c r="C29442">
        <v>79510</v>
      </c>
      <c r="D29442" t="str">
        <f>"79510"</f>
        <v>79510</v>
      </c>
      <c r="E29442">
        <v>68.53</v>
      </c>
    </row>
    <row r="29443" spans="1:5" x14ac:dyDescent="0.2">
      <c r="A29443">
        <v>79511</v>
      </c>
      <c r="B29443" t="s">
        <v>50</v>
      </c>
      <c r="C29443">
        <v>79511</v>
      </c>
      <c r="D29443" t="str">
        <f>"79511"</f>
        <v>79511</v>
      </c>
      <c r="E29443">
        <v>77.42</v>
      </c>
    </row>
    <row r="29444" spans="1:5" x14ac:dyDescent="0.2">
      <c r="A29444">
        <v>79512</v>
      </c>
      <c r="B29444" t="s">
        <v>50</v>
      </c>
      <c r="C29444">
        <v>79512</v>
      </c>
      <c r="D29444" t="str">
        <f>"79512"</f>
        <v>79512</v>
      </c>
      <c r="E29444">
        <v>68.33</v>
      </c>
    </row>
    <row r="29445" spans="1:5" x14ac:dyDescent="0.2">
      <c r="A29445">
        <v>79517</v>
      </c>
      <c r="B29445" t="s">
        <v>50</v>
      </c>
      <c r="C29445">
        <v>79517</v>
      </c>
      <c r="D29445" t="str">
        <f>"79517"</f>
        <v>79517</v>
      </c>
      <c r="E29445" t="s">
        <v>6</v>
      </c>
    </row>
    <row r="29446" spans="1:5" x14ac:dyDescent="0.2">
      <c r="A29446">
        <v>79518</v>
      </c>
      <c r="B29446" t="s">
        <v>50</v>
      </c>
      <c r="C29446">
        <v>79518</v>
      </c>
      <c r="D29446" t="str">
        <f>"79518"</f>
        <v>79518</v>
      </c>
      <c r="E29446" t="s">
        <v>6</v>
      </c>
    </row>
    <row r="29447" spans="1:5" x14ac:dyDescent="0.2">
      <c r="A29447">
        <v>79519</v>
      </c>
      <c r="B29447" t="s">
        <v>50</v>
      </c>
      <c r="C29447">
        <v>79519</v>
      </c>
      <c r="D29447" t="str">
        <f>"79519"</f>
        <v>79519</v>
      </c>
      <c r="E29447" t="s">
        <v>6</v>
      </c>
    </row>
    <row r="29448" spans="1:5" x14ac:dyDescent="0.2">
      <c r="A29448">
        <v>79520</v>
      </c>
      <c r="B29448" t="s">
        <v>50</v>
      </c>
      <c r="C29448">
        <v>79520</v>
      </c>
      <c r="D29448" t="str">
        <f>"79520"</f>
        <v>79520</v>
      </c>
      <c r="E29448">
        <v>62.92</v>
      </c>
    </row>
    <row r="29449" spans="1:5" x14ac:dyDescent="0.2">
      <c r="A29449">
        <v>79521</v>
      </c>
      <c r="B29449" t="s">
        <v>50</v>
      </c>
      <c r="C29449">
        <v>79521</v>
      </c>
      <c r="D29449" t="str">
        <f>"79521"</f>
        <v>79521</v>
      </c>
      <c r="E29449">
        <v>62.5</v>
      </c>
    </row>
    <row r="29450" spans="1:5" x14ac:dyDescent="0.2">
      <c r="A29450">
        <v>79525</v>
      </c>
      <c r="B29450" t="s">
        <v>50</v>
      </c>
      <c r="C29450">
        <v>79525</v>
      </c>
      <c r="D29450" t="str">
        <f>"79525"</f>
        <v>79525</v>
      </c>
      <c r="E29450">
        <v>70.08</v>
      </c>
    </row>
    <row r="29451" spans="1:5" x14ac:dyDescent="0.2">
      <c r="A29451">
        <v>79526</v>
      </c>
      <c r="B29451" t="s">
        <v>50</v>
      </c>
      <c r="C29451">
        <v>79526</v>
      </c>
      <c r="D29451" t="str">
        <f>"79526"</f>
        <v>79526</v>
      </c>
      <c r="E29451">
        <v>73.81</v>
      </c>
    </row>
    <row r="29452" spans="1:5" x14ac:dyDescent="0.2">
      <c r="A29452">
        <v>79527</v>
      </c>
      <c r="B29452" t="s">
        <v>50</v>
      </c>
      <c r="C29452">
        <v>79527</v>
      </c>
      <c r="D29452" t="str">
        <f>"79527"</f>
        <v>79527</v>
      </c>
      <c r="E29452">
        <v>71.430000000000007</v>
      </c>
    </row>
    <row r="29453" spans="1:5" x14ac:dyDescent="0.2">
      <c r="A29453">
        <v>79528</v>
      </c>
      <c r="B29453" t="s">
        <v>50</v>
      </c>
      <c r="C29453">
        <v>79528</v>
      </c>
      <c r="D29453" t="str">
        <f>"79528"</f>
        <v>79528</v>
      </c>
      <c r="E29453">
        <v>63.64</v>
      </c>
    </row>
    <row r="29454" spans="1:5" x14ac:dyDescent="0.2">
      <c r="A29454">
        <v>79529</v>
      </c>
      <c r="B29454" t="s">
        <v>50</v>
      </c>
      <c r="C29454">
        <v>79529</v>
      </c>
      <c r="D29454" t="str">
        <f>"79529"</f>
        <v>79529</v>
      </c>
      <c r="E29454">
        <v>58.7</v>
      </c>
    </row>
    <row r="29455" spans="1:5" x14ac:dyDescent="0.2">
      <c r="A29455">
        <v>79530</v>
      </c>
      <c r="B29455" t="s">
        <v>50</v>
      </c>
      <c r="C29455">
        <v>79530</v>
      </c>
      <c r="D29455" t="str">
        <f>"79530"</f>
        <v>79530</v>
      </c>
      <c r="E29455">
        <v>68.180000000000007</v>
      </c>
    </row>
    <row r="29456" spans="1:5" x14ac:dyDescent="0.2">
      <c r="A29456">
        <v>79532</v>
      </c>
      <c r="B29456" t="s">
        <v>50</v>
      </c>
      <c r="C29456">
        <v>79532</v>
      </c>
      <c r="D29456" t="str">
        <f>"79532"</f>
        <v>79532</v>
      </c>
      <c r="E29456">
        <v>67.650000000000006</v>
      </c>
    </row>
    <row r="29457" spans="1:5" x14ac:dyDescent="0.2">
      <c r="A29457">
        <v>79533</v>
      </c>
      <c r="B29457" t="s">
        <v>50</v>
      </c>
      <c r="C29457">
        <v>79533</v>
      </c>
      <c r="D29457" t="str">
        <f>"79533"</f>
        <v>79533</v>
      </c>
      <c r="E29457">
        <v>59.09</v>
      </c>
    </row>
    <row r="29458" spans="1:5" x14ac:dyDescent="0.2">
      <c r="A29458">
        <v>79534</v>
      </c>
      <c r="B29458" t="s">
        <v>50</v>
      </c>
      <c r="C29458">
        <v>79534</v>
      </c>
      <c r="D29458" t="str">
        <f>"79534"</f>
        <v>79534</v>
      </c>
      <c r="E29458" t="s">
        <v>6</v>
      </c>
    </row>
    <row r="29459" spans="1:5" x14ac:dyDescent="0.2">
      <c r="A29459">
        <v>79535</v>
      </c>
      <c r="B29459" t="s">
        <v>50</v>
      </c>
      <c r="C29459">
        <v>79535</v>
      </c>
      <c r="D29459" t="str">
        <f>"79535"</f>
        <v>79535</v>
      </c>
      <c r="E29459" t="s">
        <v>6</v>
      </c>
    </row>
    <row r="29460" spans="1:5" x14ac:dyDescent="0.2">
      <c r="A29460">
        <v>79536</v>
      </c>
      <c r="B29460" t="s">
        <v>50</v>
      </c>
      <c r="C29460">
        <v>79536</v>
      </c>
      <c r="D29460" t="str">
        <f>"79536"</f>
        <v>79536</v>
      </c>
      <c r="E29460">
        <v>69.12</v>
      </c>
    </row>
    <row r="29461" spans="1:5" x14ac:dyDescent="0.2">
      <c r="A29461">
        <v>79537</v>
      </c>
      <c r="B29461" t="s">
        <v>50</v>
      </c>
      <c r="C29461">
        <v>79537</v>
      </c>
      <c r="D29461" t="str">
        <f>"79537"</f>
        <v>79537</v>
      </c>
      <c r="E29461" t="s">
        <v>6</v>
      </c>
    </row>
    <row r="29462" spans="1:5" x14ac:dyDescent="0.2">
      <c r="A29462">
        <v>79538</v>
      </c>
      <c r="B29462" t="s">
        <v>50</v>
      </c>
      <c r="C29462">
        <v>79538</v>
      </c>
      <c r="D29462" t="str">
        <f>"79538"</f>
        <v>79538</v>
      </c>
      <c r="E29462">
        <v>60</v>
      </c>
    </row>
    <row r="29463" spans="1:5" x14ac:dyDescent="0.2">
      <c r="A29463">
        <v>79539</v>
      </c>
      <c r="B29463" t="s">
        <v>50</v>
      </c>
      <c r="C29463">
        <v>79539</v>
      </c>
      <c r="D29463" t="str">
        <f>"79539"</f>
        <v>79539</v>
      </c>
      <c r="E29463" t="s">
        <v>6</v>
      </c>
    </row>
    <row r="29464" spans="1:5" x14ac:dyDescent="0.2">
      <c r="A29464">
        <v>79540</v>
      </c>
      <c r="B29464" t="s">
        <v>50</v>
      </c>
      <c r="C29464">
        <v>79540</v>
      </c>
      <c r="D29464" t="str">
        <f>"79540"</f>
        <v>79540</v>
      </c>
      <c r="E29464" t="s">
        <v>6</v>
      </c>
    </row>
    <row r="29465" spans="1:5" x14ac:dyDescent="0.2">
      <c r="A29465">
        <v>79541</v>
      </c>
      <c r="B29465" t="s">
        <v>50</v>
      </c>
      <c r="C29465">
        <v>79541</v>
      </c>
      <c r="D29465" t="str">
        <f>"79541"</f>
        <v>79541</v>
      </c>
      <c r="E29465">
        <v>75.680000000000007</v>
      </c>
    </row>
    <row r="29466" spans="1:5" x14ac:dyDescent="0.2">
      <c r="A29466">
        <v>79543</v>
      </c>
      <c r="B29466" t="s">
        <v>50</v>
      </c>
      <c r="C29466">
        <v>79543</v>
      </c>
      <c r="D29466" t="str">
        <f>"79543"</f>
        <v>79543</v>
      </c>
      <c r="E29466">
        <v>72.09</v>
      </c>
    </row>
    <row r="29467" spans="1:5" x14ac:dyDescent="0.2">
      <c r="A29467">
        <v>79544</v>
      </c>
      <c r="B29467" t="s">
        <v>50</v>
      </c>
      <c r="C29467">
        <v>79544</v>
      </c>
      <c r="D29467" t="str">
        <f>"79544"</f>
        <v>79544</v>
      </c>
      <c r="E29467">
        <v>57.14</v>
      </c>
    </row>
    <row r="29468" spans="1:5" x14ac:dyDescent="0.2">
      <c r="A29468">
        <v>79545</v>
      </c>
      <c r="B29468" t="s">
        <v>50</v>
      </c>
      <c r="C29468">
        <v>79545</v>
      </c>
      <c r="D29468" t="str">
        <f>"79545"</f>
        <v>79545</v>
      </c>
      <c r="E29468">
        <v>65.33</v>
      </c>
    </row>
    <row r="29469" spans="1:5" x14ac:dyDescent="0.2">
      <c r="A29469">
        <v>79546</v>
      </c>
      <c r="B29469" t="s">
        <v>50</v>
      </c>
      <c r="C29469">
        <v>79546</v>
      </c>
      <c r="D29469" t="str">
        <f>"79546"</f>
        <v>79546</v>
      </c>
      <c r="E29469">
        <v>71.430000000000007</v>
      </c>
    </row>
    <row r="29470" spans="1:5" x14ac:dyDescent="0.2">
      <c r="A29470">
        <v>79547</v>
      </c>
      <c r="B29470" t="s">
        <v>50</v>
      </c>
      <c r="C29470">
        <v>79547</v>
      </c>
      <c r="D29470" t="str">
        <f>"79547"</f>
        <v>79547</v>
      </c>
      <c r="E29470">
        <v>62.96</v>
      </c>
    </row>
    <row r="29471" spans="1:5" x14ac:dyDescent="0.2">
      <c r="A29471">
        <v>79548</v>
      </c>
      <c r="B29471" t="s">
        <v>50</v>
      </c>
      <c r="C29471">
        <v>79548</v>
      </c>
      <c r="D29471" t="str">
        <f>"79548"</f>
        <v>79548</v>
      </c>
      <c r="E29471" t="s">
        <v>6</v>
      </c>
    </row>
    <row r="29472" spans="1:5" x14ac:dyDescent="0.2">
      <c r="A29472">
        <v>79549</v>
      </c>
      <c r="B29472" t="s">
        <v>50</v>
      </c>
      <c r="C29472">
        <v>79549</v>
      </c>
      <c r="D29472" t="str">
        <f>"79549"</f>
        <v>79549</v>
      </c>
      <c r="E29472">
        <v>66.73</v>
      </c>
    </row>
    <row r="29473" spans="1:5" x14ac:dyDescent="0.2">
      <c r="A29473">
        <v>79553</v>
      </c>
      <c r="B29473" t="s">
        <v>50</v>
      </c>
      <c r="C29473">
        <v>79553</v>
      </c>
      <c r="D29473" t="str">
        <f>"79553"</f>
        <v>79553</v>
      </c>
      <c r="E29473">
        <v>59.84</v>
      </c>
    </row>
    <row r="29474" spans="1:5" x14ac:dyDescent="0.2">
      <c r="A29474">
        <v>79556</v>
      </c>
      <c r="B29474" t="s">
        <v>50</v>
      </c>
      <c r="C29474">
        <v>79556</v>
      </c>
      <c r="D29474" t="str">
        <f>"79556"</f>
        <v>79556</v>
      </c>
      <c r="E29474">
        <v>63.67</v>
      </c>
    </row>
    <row r="29475" spans="1:5" x14ac:dyDescent="0.2">
      <c r="A29475">
        <v>79560</v>
      </c>
      <c r="B29475" t="s">
        <v>50</v>
      </c>
      <c r="C29475">
        <v>79560</v>
      </c>
      <c r="D29475" t="str">
        <f>"79560"</f>
        <v>79560</v>
      </c>
      <c r="E29475" t="s">
        <v>6</v>
      </c>
    </row>
    <row r="29476" spans="1:5" x14ac:dyDescent="0.2">
      <c r="A29476">
        <v>79561</v>
      </c>
      <c r="B29476" t="s">
        <v>50</v>
      </c>
      <c r="C29476">
        <v>79561</v>
      </c>
      <c r="D29476" t="str">
        <f>"79561"</f>
        <v>79561</v>
      </c>
      <c r="E29476">
        <v>68.75</v>
      </c>
    </row>
    <row r="29477" spans="1:5" x14ac:dyDescent="0.2">
      <c r="A29477">
        <v>79562</v>
      </c>
      <c r="B29477" t="s">
        <v>50</v>
      </c>
      <c r="C29477">
        <v>79562</v>
      </c>
      <c r="D29477" t="str">
        <f>"79562"</f>
        <v>79562</v>
      </c>
      <c r="E29477">
        <v>77.930000000000007</v>
      </c>
    </row>
    <row r="29478" spans="1:5" x14ac:dyDescent="0.2">
      <c r="A29478">
        <v>79563</v>
      </c>
      <c r="B29478" t="s">
        <v>50</v>
      </c>
      <c r="C29478">
        <v>79563</v>
      </c>
      <c r="D29478" t="str">
        <f>"79563"</f>
        <v>79563</v>
      </c>
      <c r="E29478">
        <v>62.96</v>
      </c>
    </row>
    <row r="29479" spans="1:5" x14ac:dyDescent="0.2">
      <c r="A29479">
        <v>79565</v>
      </c>
      <c r="B29479" t="s">
        <v>50</v>
      </c>
      <c r="C29479">
        <v>79565</v>
      </c>
      <c r="D29479" t="str">
        <f>"79565"</f>
        <v>79565</v>
      </c>
      <c r="E29479">
        <v>66.67</v>
      </c>
    </row>
    <row r="29480" spans="1:5" x14ac:dyDescent="0.2">
      <c r="A29480">
        <v>79566</v>
      </c>
      <c r="B29480" t="s">
        <v>50</v>
      </c>
      <c r="C29480">
        <v>79566</v>
      </c>
      <c r="D29480" t="str">
        <f>"79566"</f>
        <v>79566</v>
      </c>
      <c r="E29480">
        <v>70</v>
      </c>
    </row>
    <row r="29481" spans="1:5" x14ac:dyDescent="0.2">
      <c r="A29481">
        <v>79567</v>
      </c>
      <c r="B29481" t="s">
        <v>50</v>
      </c>
      <c r="C29481">
        <v>79567</v>
      </c>
      <c r="D29481" t="str">
        <f>"79567"</f>
        <v>79567</v>
      </c>
      <c r="E29481">
        <v>61.65</v>
      </c>
    </row>
    <row r="29482" spans="1:5" x14ac:dyDescent="0.2">
      <c r="A29482">
        <v>79601</v>
      </c>
      <c r="B29482" t="s">
        <v>50</v>
      </c>
      <c r="C29482">
        <v>79601</v>
      </c>
      <c r="D29482" t="str">
        <f>"79601"</f>
        <v>79601</v>
      </c>
      <c r="E29482">
        <v>63.81</v>
      </c>
    </row>
    <row r="29483" spans="1:5" x14ac:dyDescent="0.2">
      <c r="A29483">
        <v>79602</v>
      </c>
      <c r="B29483" t="s">
        <v>50</v>
      </c>
      <c r="C29483">
        <v>79602</v>
      </c>
      <c r="D29483" t="str">
        <f>"79602"</f>
        <v>79602</v>
      </c>
      <c r="E29483">
        <v>70.06</v>
      </c>
    </row>
    <row r="29484" spans="1:5" x14ac:dyDescent="0.2">
      <c r="A29484">
        <v>79603</v>
      </c>
      <c r="B29484" t="s">
        <v>50</v>
      </c>
      <c r="C29484">
        <v>79603</v>
      </c>
      <c r="D29484" t="str">
        <f>"79603"</f>
        <v>79603</v>
      </c>
      <c r="E29484">
        <v>56.92</v>
      </c>
    </row>
    <row r="29485" spans="1:5" x14ac:dyDescent="0.2">
      <c r="A29485">
        <v>79605</v>
      </c>
      <c r="B29485" t="s">
        <v>50</v>
      </c>
      <c r="C29485">
        <v>79605</v>
      </c>
      <c r="D29485" t="str">
        <f>"79605"</f>
        <v>79605</v>
      </c>
      <c r="E29485">
        <v>65.37</v>
      </c>
    </row>
    <row r="29486" spans="1:5" x14ac:dyDescent="0.2">
      <c r="A29486">
        <v>79606</v>
      </c>
      <c r="B29486" t="s">
        <v>50</v>
      </c>
      <c r="C29486">
        <v>79606</v>
      </c>
      <c r="D29486" t="str">
        <f>"79606"</f>
        <v>79606</v>
      </c>
      <c r="E29486">
        <v>76.010000000000005</v>
      </c>
    </row>
    <row r="29487" spans="1:5" x14ac:dyDescent="0.2">
      <c r="A29487">
        <v>79607</v>
      </c>
      <c r="B29487" t="s">
        <v>50</v>
      </c>
      <c r="C29487">
        <v>79607</v>
      </c>
      <c r="D29487" t="str">
        <f>"79607"</f>
        <v>79607</v>
      </c>
      <c r="E29487">
        <v>66.040000000000006</v>
      </c>
    </row>
    <row r="29488" spans="1:5" x14ac:dyDescent="0.2">
      <c r="A29488">
        <v>79701</v>
      </c>
      <c r="B29488" t="s">
        <v>50</v>
      </c>
      <c r="C29488">
        <v>79701</v>
      </c>
      <c r="D29488" t="str">
        <f>"79701"</f>
        <v>79701</v>
      </c>
      <c r="E29488">
        <v>65.41</v>
      </c>
    </row>
    <row r="29489" spans="1:5" x14ac:dyDescent="0.2">
      <c r="A29489">
        <v>79703</v>
      </c>
      <c r="B29489" t="s">
        <v>50</v>
      </c>
      <c r="C29489">
        <v>79703</v>
      </c>
      <c r="D29489" t="str">
        <f>"79703"</f>
        <v>79703</v>
      </c>
      <c r="E29489">
        <v>74.569999999999993</v>
      </c>
    </row>
    <row r="29490" spans="1:5" x14ac:dyDescent="0.2">
      <c r="A29490">
        <v>79705</v>
      </c>
      <c r="B29490" t="s">
        <v>50</v>
      </c>
      <c r="C29490">
        <v>79705</v>
      </c>
      <c r="D29490" t="str">
        <f>"79705"</f>
        <v>79705</v>
      </c>
      <c r="E29490">
        <v>78.260000000000005</v>
      </c>
    </row>
    <row r="29491" spans="1:5" x14ac:dyDescent="0.2">
      <c r="A29491">
        <v>79706</v>
      </c>
      <c r="B29491" t="s">
        <v>50</v>
      </c>
      <c r="C29491">
        <v>79706</v>
      </c>
      <c r="D29491" t="str">
        <f>"79706"</f>
        <v>79706</v>
      </c>
      <c r="E29491">
        <v>71.959999999999994</v>
      </c>
    </row>
    <row r="29492" spans="1:5" x14ac:dyDescent="0.2">
      <c r="A29492">
        <v>79707</v>
      </c>
      <c r="B29492" t="s">
        <v>50</v>
      </c>
      <c r="C29492">
        <v>79707</v>
      </c>
      <c r="D29492" t="str">
        <f>"79707"</f>
        <v>79707</v>
      </c>
      <c r="E29492">
        <v>82.04</v>
      </c>
    </row>
    <row r="29493" spans="1:5" x14ac:dyDescent="0.2">
      <c r="A29493">
        <v>79711</v>
      </c>
      <c r="B29493" t="s">
        <v>50</v>
      </c>
      <c r="C29493">
        <v>79711</v>
      </c>
      <c r="D29493" t="str">
        <f>"79711"</f>
        <v>79711</v>
      </c>
      <c r="E29493" t="s">
        <v>6</v>
      </c>
    </row>
    <row r="29494" spans="1:5" x14ac:dyDescent="0.2">
      <c r="A29494">
        <v>79712</v>
      </c>
      <c r="B29494" t="s">
        <v>50</v>
      </c>
      <c r="C29494">
        <v>79712</v>
      </c>
      <c r="D29494" t="str">
        <f>"79712"</f>
        <v>79712</v>
      </c>
      <c r="E29494" t="s">
        <v>6</v>
      </c>
    </row>
    <row r="29495" spans="1:5" x14ac:dyDescent="0.2">
      <c r="A29495">
        <v>79713</v>
      </c>
      <c r="B29495" t="s">
        <v>50</v>
      </c>
      <c r="C29495">
        <v>79713</v>
      </c>
      <c r="D29495" t="str">
        <f>"79713"</f>
        <v>79713</v>
      </c>
      <c r="E29495">
        <v>69.23</v>
      </c>
    </row>
    <row r="29496" spans="1:5" x14ac:dyDescent="0.2">
      <c r="A29496">
        <v>79714</v>
      </c>
      <c r="B29496" t="s">
        <v>50</v>
      </c>
      <c r="C29496">
        <v>79714</v>
      </c>
      <c r="D29496" t="str">
        <f>"79714"</f>
        <v>79714</v>
      </c>
      <c r="E29496">
        <v>73.05</v>
      </c>
    </row>
    <row r="29497" spans="1:5" x14ac:dyDescent="0.2">
      <c r="A29497">
        <v>79718</v>
      </c>
      <c r="B29497" t="s">
        <v>50</v>
      </c>
      <c r="C29497">
        <v>79718</v>
      </c>
      <c r="D29497" t="str">
        <f>"79718"</f>
        <v>79718</v>
      </c>
      <c r="E29497">
        <v>75.86</v>
      </c>
    </row>
    <row r="29498" spans="1:5" x14ac:dyDescent="0.2">
      <c r="A29498">
        <v>79719</v>
      </c>
      <c r="B29498" t="s">
        <v>50</v>
      </c>
      <c r="C29498">
        <v>79719</v>
      </c>
      <c r="D29498" t="str">
        <f>"79719"</f>
        <v>79719</v>
      </c>
      <c r="E29498" t="s">
        <v>6</v>
      </c>
    </row>
    <row r="29499" spans="1:5" x14ac:dyDescent="0.2">
      <c r="A29499">
        <v>79720</v>
      </c>
      <c r="B29499" t="s">
        <v>50</v>
      </c>
      <c r="C29499">
        <v>79720</v>
      </c>
      <c r="D29499" t="str">
        <f>"79720"</f>
        <v>79720</v>
      </c>
      <c r="E29499">
        <v>70.02</v>
      </c>
    </row>
    <row r="29500" spans="1:5" x14ac:dyDescent="0.2">
      <c r="A29500">
        <v>79730</v>
      </c>
      <c r="B29500" t="s">
        <v>50</v>
      </c>
      <c r="C29500">
        <v>79730</v>
      </c>
      <c r="D29500" t="str">
        <f>"79730"</f>
        <v>79730</v>
      </c>
      <c r="E29500" t="s">
        <v>6</v>
      </c>
    </row>
    <row r="29501" spans="1:5" x14ac:dyDescent="0.2">
      <c r="A29501">
        <v>79731</v>
      </c>
      <c r="B29501" t="s">
        <v>50</v>
      </c>
      <c r="C29501">
        <v>79731</v>
      </c>
      <c r="D29501" t="str">
        <f>"79731"</f>
        <v>79731</v>
      </c>
      <c r="E29501">
        <v>72.58</v>
      </c>
    </row>
    <row r="29502" spans="1:5" x14ac:dyDescent="0.2">
      <c r="A29502">
        <v>79733</v>
      </c>
      <c r="B29502" t="s">
        <v>50</v>
      </c>
      <c r="C29502">
        <v>79733</v>
      </c>
      <c r="D29502" t="str">
        <f>"79733"</f>
        <v>79733</v>
      </c>
      <c r="E29502" t="s">
        <v>6</v>
      </c>
    </row>
    <row r="29503" spans="1:5" x14ac:dyDescent="0.2">
      <c r="A29503">
        <v>79734</v>
      </c>
      <c r="B29503" t="s">
        <v>50</v>
      </c>
      <c r="C29503">
        <v>79734</v>
      </c>
      <c r="D29503" t="str">
        <f>"79734"</f>
        <v>79734</v>
      </c>
      <c r="E29503">
        <v>70.209999999999994</v>
      </c>
    </row>
    <row r="29504" spans="1:5" x14ac:dyDescent="0.2">
      <c r="A29504">
        <v>79735</v>
      </c>
      <c r="B29504" t="s">
        <v>50</v>
      </c>
      <c r="C29504">
        <v>79735</v>
      </c>
      <c r="D29504" t="str">
        <f>"79735"</f>
        <v>79735</v>
      </c>
      <c r="E29504">
        <v>67.2</v>
      </c>
    </row>
    <row r="29505" spans="1:5" x14ac:dyDescent="0.2">
      <c r="A29505">
        <v>79738</v>
      </c>
      <c r="B29505" t="s">
        <v>50</v>
      </c>
      <c r="C29505">
        <v>79738</v>
      </c>
      <c r="D29505" t="str">
        <f>"79738"</f>
        <v>79738</v>
      </c>
      <c r="E29505">
        <v>78.569999999999993</v>
      </c>
    </row>
    <row r="29506" spans="1:5" x14ac:dyDescent="0.2">
      <c r="A29506">
        <v>79739</v>
      </c>
      <c r="B29506" t="s">
        <v>50</v>
      </c>
      <c r="C29506">
        <v>79739</v>
      </c>
      <c r="D29506" t="str">
        <f>"79739"</f>
        <v>79739</v>
      </c>
      <c r="E29506">
        <v>79.17</v>
      </c>
    </row>
    <row r="29507" spans="1:5" x14ac:dyDescent="0.2">
      <c r="A29507">
        <v>79740</v>
      </c>
      <c r="B29507" t="s">
        <v>50</v>
      </c>
      <c r="C29507">
        <v>79740</v>
      </c>
      <c r="D29507" t="str">
        <f>"79740"</f>
        <v>79740</v>
      </c>
      <c r="E29507" t="s">
        <v>6</v>
      </c>
    </row>
    <row r="29508" spans="1:5" x14ac:dyDescent="0.2">
      <c r="A29508">
        <v>79741</v>
      </c>
      <c r="B29508" t="s">
        <v>50</v>
      </c>
      <c r="C29508">
        <v>79741</v>
      </c>
      <c r="D29508" t="str">
        <f>"79741"</f>
        <v>79741</v>
      </c>
      <c r="E29508">
        <v>76.47</v>
      </c>
    </row>
    <row r="29509" spans="1:5" x14ac:dyDescent="0.2">
      <c r="A29509">
        <v>79742</v>
      </c>
      <c r="B29509" t="s">
        <v>50</v>
      </c>
      <c r="C29509">
        <v>79742</v>
      </c>
      <c r="D29509" t="str">
        <f>"79742"</f>
        <v>79742</v>
      </c>
      <c r="E29509" t="s">
        <v>6</v>
      </c>
    </row>
    <row r="29510" spans="1:5" x14ac:dyDescent="0.2">
      <c r="A29510">
        <v>79743</v>
      </c>
      <c r="B29510" t="s">
        <v>50</v>
      </c>
      <c r="C29510">
        <v>79743</v>
      </c>
      <c r="D29510" t="str">
        <f>"79743"</f>
        <v>79743</v>
      </c>
      <c r="E29510" t="s">
        <v>6</v>
      </c>
    </row>
    <row r="29511" spans="1:5" x14ac:dyDescent="0.2">
      <c r="A29511">
        <v>79744</v>
      </c>
      <c r="B29511" t="s">
        <v>50</v>
      </c>
      <c r="C29511">
        <v>79744</v>
      </c>
      <c r="D29511" t="str">
        <f>"79744"</f>
        <v>79744</v>
      </c>
      <c r="E29511" t="s">
        <v>6</v>
      </c>
    </row>
    <row r="29512" spans="1:5" x14ac:dyDescent="0.2">
      <c r="A29512">
        <v>79745</v>
      </c>
      <c r="B29512" t="s">
        <v>50</v>
      </c>
      <c r="C29512">
        <v>79745</v>
      </c>
      <c r="D29512" t="str">
        <f>"79745"</f>
        <v>79745</v>
      </c>
      <c r="E29512">
        <v>69.92</v>
      </c>
    </row>
    <row r="29513" spans="1:5" x14ac:dyDescent="0.2">
      <c r="A29513">
        <v>79748</v>
      </c>
      <c r="B29513" t="s">
        <v>50</v>
      </c>
      <c r="C29513">
        <v>79748</v>
      </c>
      <c r="D29513" t="str">
        <f>"79748"</f>
        <v>79748</v>
      </c>
      <c r="E29513" t="s">
        <v>6</v>
      </c>
    </row>
    <row r="29514" spans="1:5" x14ac:dyDescent="0.2">
      <c r="A29514">
        <v>79749</v>
      </c>
      <c r="B29514" t="s">
        <v>50</v>
      </c>
      <c r="C29514">
        <v>79749</v>
      </c>
      <c r="D29514" t="str">
        <f>"79749"</f>
        <v>79749</v>
      </c>
      <c r="E29514">
        <v>66.67</v>
      </c>
    </row>
    <row r="29515" spans="1:5" x14ac:dyDescent="0.2">
      <c r="A29515">
        <v>79752</v>
      </c>
      <c r="B29515" t="s">
        <v>50</v>
      </c>
      <c r="C29515">
        <v>79752</v>
      </c>
      <c r="D29515" t="str">
        <f>"79752"</f>
        <v>79752</v>
      </c>
      <c r="E29515">
        <v>70.97</v>
      </c>
    </row>
    <row r="29516" spans="1:5" x14ac:dyDescent="0.2">
      <c r="A29516">
        <v>79754</v>
      </c>
      <c r="B29516" t="s">
        <v>50</v>
      </c>
      <c r="C29516">
        <v>79754</v>
      </c>
      <c r="D29516" t="str">
        <f>"79754"</f>
        <v>79754</v>
      </c>
      <c r="E29516" t="s">
        <v>6</v>
      </c>
    </row>
    <row r="29517" spans="1:5" x14ac:dyDescent="0.2">
      <c r="A29517">
        <v>79755</v>
      </c>
      <c r="B29517" t="s">
        <v>50</v>
      </c>
      <c r="C29517">
        <v>79755</v>
      </c>
      <c r="D29517" t="str">
        <f>"79755"</f>
        <v>79755</v>
      </c>
      <c r="E29517">
        <v>72.73</v>
      </c>
    </row>
    <row r="29518" spans="1:5" x14ac:dyDescent="0.2">
      <c r="A29518">
        <v>79756</v>
      </c>
      <c r="B29518" t="s">
        <v>50</v>
      </c>
      <c r="C29518">
        <v>79756</v>
      </c>
      <c r="D29518" t="str">
        <f>"79756"</f>
        <v>79756</v>
      </c>
      <c r="E29518">
        <v>72.22</v>
      </c>
    </row>
    <row r="29519" spans="1:5" x14ac:dyDescent="0.2">
      <c r="A29519">
        <v>79758</v>
      </c>
      <c r="B29519" t="s">
        <v>50</v>
      </c>
      <c r="C29519">
        <v>79758</v>
      </c>
      <c r="D29519" t="str">
        <f>"79758"</f>
        <v>79758</v>
      </c>
      <c r="E29519">
        <v>79.099999999999994</v>
      </c>
    </row>
    <row r="29520" spans="1:5" x14ac:dyDescent="0.2">
      <c r="A29520">
        <v>79759</v>
      </c>
      <c r="B29520" t="s">
        <v>50</v>
      </c>
      <c r="C29520">
        <v>79759</v>
      </c>
      <c r="D29520" t="str">
        <f>"79759"</f>
        <v>79759</v>
      </c>
      <c r="E29520" t="s">
        <v>6</v>
      </c>
    </row>
    <row r="29521" spans="1:5" x14ac:dyDescent="0.2">
      <c r="A29521">
        <v>79761</v>
      </c>
      <c r="B29521" t="s">
        <v>50</v>
      </c>
      <c r="C29521">
        <v>79761</v>
      </c>
      <c r="D29521" t="str">
        <f>"79761"</f>
        <v>79761</v>
      </c>
      <c r="E29521">
        <v>69.010000000000005</v>
      </c>
    </row>
    <row r="29522" spans="1:5" x14ac:dyDescent="0.2">
      <c r="A29522">
        <v>79762</v>
      </c>
      <c r="B29522" t="s">
        <v>50</v>
      </c>
      <c r="C29522">
        <v>79762</v>
      </c>
      <c r="D29522" t="str">
        <f>"79762"</f>
        <v>79762</v>
      </c>
      <c r="E29522">
        <v>74.739999999999995</v>
      </c>
    </row>
    <row r="29523" spans="1:5" x14ac:dyDescent="0.2">
      <c r="A29523">
        <v>79763</v>
      </c>
      <c r="B29523" t="s">
        <v>50</v>
      </c>
      <c r="C29523">
        <v>79763</v>
      </c>
      <c r="D29523" t="str">
        <f>"79763"</f>
        <v>79763</v>
      </c>
      <c r="E29523">
        <v>64.94</v>
      </c>
    </row>
    <row r="29524" spans="1:5" x14ac:dyDescent="0.2">
      <c r="A29524">
        <v>79764</v>
      </c>
      <c r="B29524" t="s">
        <v>50</v>
      </c>
      <c r="C29524">
        <v>79764</v>
      </c>
      <c r="D29524" t="str">
        <f>"79764"</f>
        <v>79764</v>
      </c>
      <c r="E29524">
        <v>66.47</v>
      </c>
    </row>
    <row r="29525" spans="1:5" x14ac:dyDescent="0.2">
      <c r="A29525">
        <v>79765</v>
      </c>
      <c r="B29525" t="s">
        <v>50</v>
      </c>
      <c r="C29525">
        <v>79765</v>
      </c>
      <c r="D29525" t="str">
        <f>"79765"</f>
        <v>79765</v>
      </c>
      <c r="E29525">
        <v>82.67</v>
      </c>
    </row>
    <row r="29526" spans="1:5" x14ac:dyDescent="0.2">
      <c r="A29526">
        <v>79766</v>
      </c>
      <c r="B29526" t="s">
        <v>50</v>
      </c>
      <c r="C29526">
        <v>79766</v>
      </c>
      <c r="D29526" t="str">
        <f>"79766"</f>
        <v>79766</v>
      </c>
      <c r="E29526">
        <v>65.23</v>
      </c>
    </row>
    <row r="29527" spans="1:5" x14ac:dyDescent="0.2">
      <c r="A29527">
        <v>79770</v>
      </c>
      <c r="B29527" t="s">
        <v>50</v>
      </c>
      <c r="C29527">
        <v>79770</v>
      </c>
      <c r="D29527" t="str">
        <f>"79770"</f>
        <v>79770</v>
      </c>
      <c r="E29527" t="s">
        <v>6</v>
      </c>
    </row>
    <row r="29528" spans="1:5" x14ac:dyDescent="0.2">
      <c r="A29528">
        <v>79772</v>
      </c>
      <c r="B29528" t="s">
        <v>50</v>
      </c>
      <c r="C29528">
        <v>79772</v>
      </c>
      <c r="D29528" t="str">
        <f>"79772"</f>
        <v>79772</v>
      </c>
      <c r="E29528">
        <v>65.760000000000005</v>
      </c>
    </row>
    <row r="29529" spans="1:5" x14ac:dyDescent="0.2">
      <c r="A29529">
        <v>79777</v>
      </c>
      <c r="B29529" t="s">
        <v>50</v>
      </c>
      <c r="C29529">
        <v>79777</v>
      </c>
      <c r="D29529" t="str">
        <f>"79777"</f>
        <v>79777</v>
      </c>
      <c r="E29529" t="s">
        <v>6</v>
      </c>
    </row>
    <row r="29530" spans="1:5" x14ac:dyDescent="0.2">
      <c r="A29530">
        <v>79778</v>
      </c>
      <c r="B29530" t="s">
        <v>50</v>
      </c>
      <c r="C29530">
        <v>79778</v>
      </c>
      <c r="D29530" t="str">
        <f>"79778"</f>
        <v>79778</v>
      </c>
      <c r="E29530" t="s">
        <v>6</v>
      </c>
    </row>
    <row r="29531" spans="1:5" x14ac:dyDescent="0.2">
      <c r="A29531">
        <v>79780</v>
      </c>
      <c r="B29531" t="s">
        <v>50</v>
      </c>
      <c r="C29531">
        <v>79780</v>
      </c>
      <c r="D29531" t="str">
        <f>"79780"</f>
        <v>79780</v>
      </c>
      <c r="E29531" t="s">
        <v>6</v>
      </c>
    </row>
    <row r="29532" spans="1:5" x14ac:dyDescent="0.2">
      <c r="A29532">
        <v>79781</v>
      </c>
      <c r="B29532" t="s">
        <v>50</v>
      </c>
      <c r="C29532">
        <v>79781</v>
      </c>
      <c r="D29532" t="str">
        <f>"79781"</f>
        <v>79781</v>
      </c>
      <c r="E29532" t="s">
        <v>6</v>
      </c>
    </row>
    <row r="29533" spans="1:5" x14ac:dyDescent="0.2">
      <c r="A29533">
        <v>79782</v>
      </c>
      <c r="B29533" t="s">
        <v>50</v>
      </c>
      <c r="C29533">
        <v>79782</v>
      </c>
      <c r="D29533" t="str">
        <f>"79782"</f>
        <v>79782</v>
      </c>
      <c r="E29533">
        <v>74.260000000000005</v>
      </c>
    </row>
    <row r="29534" spans="1:5" x14ac:dyDescent="0.2">
      <c r="A29534">
        <v>79783</v>
      </c>
      <c r="B29534" t="s">
        <v>50</v>
      </c>
      <c r="C29534">
        <v>79783</v>
      </c>
      <c r="D29534" t="str">
        <f>"79783"</f>
        <v>79783</v>
      </c>
      <c r="E29534" t="s">
        <v>6</v>
      </c>
    </row>
    <row r="29535" spans="1:5" x14ac:dyDescent="0.2">
      <c r="A29535">
        <v>79785</v>
      </c>
      <c r="B29535" t="s">
        <v>50</v>
      </c>
      <c r="C29535">
        <v>79785</v>
      </c>
      <c r="D29535" t="str">
        <f>"79785"</f>
        <v>79785</v>
      </c>
      <c r="E29535" t="s">
        <v>6</v>
      </c>
    </row>
    <row r="29536" spans="1:5" x14ac:dyDescent="0.2">
      <c r="A29536">
        <v>79786</v>
      </c>
      <c r="B29536" t="s">
        <v>50</v>
      </c>
      <c r="C29536">
        <v>79786</v>
      </c>
      <c r="D29536" t="str">
        <f>"79786"</f>
        <v>79786</v>
      </c>
      <c r="E29536" t="s">
        <v>6</v>
      </c>
    </row>
    <row r="29537" spans="1:5" x14ac:dyDescent="0.2">
      <c r="A29537">
        <v>79788</v>
      </c>
      <c r="B29537" t="s">
        <v>50</v>
      </c>
      <c r="C29537">
        <v>79788</v>
      </c>
      <c r="D29537" t="str">
        <f>"79788"</f>
        <v>79788</v>
      </c>
      <c r="E29537" t="s">
        <v>6</v>
      </c>
    </row>
    <row r="29538" spans="1:5" x14ac:dyDescent="0.2">
      <c r="A29538">
        <v>79789</v>
      </c>
      <c r="B29538" t="s">
        <v>50</v>
      </c>
      <c r="C29538">
        <v>79789</v>
      </c>
      <c r="D29538" t="str">
        <f>"79789"</f>
        <v>79789</v>
      </c>
      <c r="E29538" t="s">
        <v>6</v>
      </c>
    </row>
    <row r="29539" spans="1:5" x14ac:dyDescent="0.2">
      <c r="A29539">
        <v>79821</v>
      </c>
      <c r="B29539" t="s">
        <v>50</v>
      </c>
      <c r="C29539">
        <v>79821</v>
      </c>
      <c r="D29539" t="str">
        <f>"79821"</f>
        <v>79821</v>
      </c>
      <c r="E29539">
        <v>54.75</v>
      </c>
    </row>
    <row r="29540" spans="1:5" x14ac:dyDescent="0.2">
      <c r="A29540">
        <v>79830</v>
      </c>
      <c r="B29540" t="s">
        <v>50</v>
      </c>
      <c r="C29540">
        <v>79830</v>
      </c>
      <c r="D29540" t="str">
        <f>"79830"</f>
        <v>79830</v>
      </c>
      <c r="E29540">
        <v>69.260000000000005</v>
      </c>
    </row>
    <row r="29541" spans="1:5" x14ac:dyDescent="0.2">
      <c r="A29541">
        <v>79831</v>
      </c>
      <c r="B29541" t="s">
        <v>50</v>
      </c>
      <c r="C29541">
        <v>79831</v>
      </c>
      <c r="D29541" t="str">
        <f>"79831"</f>
        <v>79831</v>
      </c>
      <c r="E29541" t="s">
        <v>6</v>
      </c>
    </row>
    <row r="29542" spans="1:5" x14ac:dyDescent="0.2">
      <c r="A29542">
        <v>79832</v>
      </c>
      <c r="B29542" t="s">
        <v>50</v>
      </c>
      <c r="C29542">
        <v>79832</v>
      </c>
      <c r="D29542" t="str">
        <f>"79832"</f>
        <v>79832</v>
      </c>
      <c r="E29542" t="s">
        <v>6</v>
      </c>
    </row>
    <row r="29543" spans="1:5" x14ac:dyDescent="0.2">
      <c r="A29543">
        <v>79834</v>
      </c>
      <c r="B29543" t="s">
        <v>50</v>
      </c>
      <c r="C29543">
        <v>79834</v>
      </c>
      <c r="D29543" t="str">
        <f>"79834"</f>
        <v>79834</v>
      </c>
      <c r="E29543" t="s">
        <v>6</v>
      </c>
    </row>
    <row r="29544" spans="1:5" x14ac:dyDescent="0.2">
      <c r="A29544">
        <v>79835</v>
      </c>
      <c r="B29544" t="s">
        <v>50</v>
      </c>
      <c r="C29544">
        <v>79835</v>
      </c>
      <c r="D29544" t="str">
        <f>"79835"</f>
        <v>79835</v>
      </c>
      <c r="E29544">
        <v>49.16</v>
      </c>
    </row>
    <row r="29545" spans="1:5" x14ac:dyDescent="0.2">
      <c r="A29545">
        <v>79836</v>
      </c>
      <c r="B29545" t="s">
        <v>50</v>
      </c>
      <c r="C29545">
        <v>79836</v>
      </c>
      <c r="D29545" t="str">
        <f>"79836"</f>
        <v>79836</v>
      </c>
      <c r="E29545">
        <v>51.05</v>
      </c>
    </row>
    <row r="29546" spans="1:5" x14ac:dyDescent="0.2">
      <c r="A29546">
        <v>79837</v>
      </c>
      <c r="B29546" t="s">
        <v>50</v>
      </c>
      <c r="C29546">
        <v>79837</v>
      </c>
      <c r="D29546" t="str">
        <f>"79837"</f>
        <v>79837</v>
      </c>
      <c r="E29546" t="s">
        <v>6</v>
      </c>
    </row>
    <row r="29547" spans="1:5" x14ac:dyDescent="0.2">
      <c r="A29547">
        <v>79838</v>
      </c>
      <c r="B29547" t="s">
        <v>50</v>
      </c>
      <c r="C29547">
        <v>79838</v>
      </c>
      <c r="D29547" t="str">
        <f>"79838"</f>
        <v>79838</v>
      </c>
      <c r="E29547" t="s">
        <v>6</v>
      </c>
    </row>
    <row r="29548" spans="1:5" x14ac:dyDescent="0.2">
      <c r="A29548">
        <v>79839</v>
      </c>
      <c r="B29548" t="s">
        <v>50</v>
      </c>
      <c r="C29548">
        <v>79839</v>
      </c>
      <c r="D29548" t="str">
        <f>"79839"</f>
        <v>79839</v>
      </c>
      <c r="E29548">
        <v>45.9</v>
      </c>
    </row>
    <row r="29549" spans="1:5" x14ac:dyDescent="0.2">
      <c r="A29549">
        <v>79842</v>
      </c>
      <c r="B29549" t="s">
        <v>50</v>
      </c>
      <c r="C29549">
        <v>79842</v>
      </c>
      <c r="D29549" t="str">
        <f>"79842"</f>
        <v>79842</v>
      </c>
      <c r="E29549" t="s">
        <v>6</v>
      </c>
    </row>
    <row r="29550" spans="1:5" x14ac:dyDescent="0.2">
      <c r="A29550">
        <v>79843</v>
      </c>
      <c r="B29550" t="s">
        <v>50</v>
      </c>
      <c r="C29550">
        <v>79843</v>
      </c>
      <c r="D29550" t="str">
        <f>"79843"</f>
        <v>79843</v>
      </c>
      <c r="E29550">
        <v>67.83</v>
      </c>
    </row>
    <row r="29551" spans="1:5" x14ac:dyDescent="0.2">
      <c r="A29551">
        <v>79845</v>
      </c>
      <c r="B29551" t="s">
        <v>50</v>
      </c>
      <c r="C29551">
        <v>79845</v>
      </c>
      <c r="D29551" t="str">
        <f>"79845"</f>
        <v>79845</v>
      </c>
      <c r="E29551" t="s">
        <v>6</v>
      </c>
    </row>
    <row r="29552" spans="1:5" x14ac:dyDescent="0.2">
      <c r="A29552">
        <v>79846</v>
      </c>
      <c r="B29552" t="s">
        <v>50</v>
      </c>
      <c r="C29552">
        <v>79846</v>
      </c>
      <c r="D29552" t="str">
        <f>"79846"</f>
        <v>79846</v>
      </c>
      <c r="E29552" t="s">
        <v>6</v>
      </c>
    </row>
    <row r="29553" spans="1:5" x14ac:dyDescent="0.2">
      <c r="A29553">
        <v>79847</v>
      </c>
      <c r="B29553" t="s">
        <v>50</v>
      </c>
      <c r="C29553">
        <v>79847</v>
      </c>
      <c r="D29553" t="str">
        <f>"79847"</f>
        <v>79847</v>
      </c>
      <c r="E29553" t="s">
        <v>6</v>
      </c>
    </row>
    <row r="29554" spans="1:5" x14ac:dyDescent="0.2">
      <c r="A29554">
        <v>79848</v>
      </c>
      <c r="B29554" t="s">
        <v>50</v>
      </c>
      <c r="C29554">
        <v>79848</v>
      </c>
      <c r="D29554" t="str">
        <f>"79848"</f>
        <v>79848</v>
      </c>
      <c r="E29554" t="s">
        <v>6</v>
      </c>
    </row>
    <row r="29555" spans="1:5" x14ac:dyDescent="0.2">
      <c r="A29555">
        <v>79849</v>
      </c>
      <c r="B29555" t="s">
        <v>50</v>
      </c>
      <c r="C29555">
        <v>79849</v>
      </c>
      <c r="D29555" t="str">
        <f>"79849"</f>
        <v>79849</v>
      </c>
      <c r="E29555">
        <v>41.7</v>
      </c>
    </row>
    <row r="29556" spans="1:5" x14ac:dyDescent="0.2">
      <c r="A29556">
        <v>79851</v>
      </c>
      <c r="B29556" t="s">
        <v>50</v>
      </c>
      <c r="C29556">
        <v>79851</v>
      </c>
      <c r="D29556" t="str">
        <f>"79851"</f>
        <v>79851</v>
      </c>
      <c r="E29556" t="s">
        <v>6</v>
      </c>
    </row>
    <row r="29557" spans="1:5" x14ac:dyDescent="0.2">
      <c r="A29557">
        <v>79852</v>
      </c>
      <c r="B29557" t="s">
        <v>50</v>
      </c>
      <c r="C29557">
        <v>79852</v>
      </c>
      <c r="D29557" t="str">
        <f>"79852"</f>
        <v>79852</v>
      </c>
      <c r="E29557">
        <v>71.430000000000007</v>
      </c>
    </row>
    <row r="29558" spans="1:5" x14ac:dyDescent="0.2">
      <c r="A29558">
        <v>79853</v>
      </c>
      <c r="B29558" t="s">
        <v>50</v>
      </c>
      <c r="C29558">
        <v>79853</v>
      </c>
      <c r="D29558" t="str">
        <f>"79853"</f>
        <v>79853</v>
      </c>
      <c r="E29558" t="s">
        <v>6</v>
      </c>
    </row>
    <row r="29559" spans="1:5" x14ac:dyDescent="0.2">
      <c r="A29559">
        <v>79854</v>
      </c>
      <c r="B29559" t="s">
        <v>50</v>
      </c>
      <c r="C29559">
        <v>79854</v>
      </c>
      <c r="D29559" t="str">
        <f>"79854"</f>
        <v>79854</v>
      </c>
      <c r="E29559" t="s">
        <v>6</v>
      </c>
    </row>
    <row r="29560" spans="1:5" x14ac:dyDescent="0.2">
      <c r="A29560">
        <v>79855</v>
      </c>
      <c r="B29560" t="s">
        <v>50</v>
      </c>
      <c r="C29560">
        <v>79855</v>
      </c>
      <c r="D29560" t="str">
        <f>"79855"</f>
        <v>79855</v>
      </c>
      <c r="E29560" t="s">
        <v>6</v>
      </c>
    </row>
    <row r="29561" spans="1:5" x14ac:dyDescent="0.2">
      <c r="A29561">
        <v>79901</v>
      </c>
      <c r="B29561" t="s">
        <v>50</v>
      </c>
      <c r="C29561">
        <v>79901</v>
      </c>
      <c r="D29561" t="str">
        <f>"79901"</f>
        <v>79901</v>
      </c>
      <c r="E29561">
        <v>33.54</v>
      </c>
    </row>
    <row r="29562" spans="1:5" x14ac:dyDescent="0.2">
      <c r="A29562">
        <v>79902</v>
      </c>
      <c r="B29562" t="s">
        <v>50</v>
      </c>
      <c r="C29562">
        <v>79902</v>
      </c>
      <c r="D29562" t="str">
        <f>"79902"</f>
        <v>79902</v>
      </c>
      <c r="E29562">
        <v>57.54</v>
      </c>
    </row>
    <row r="29563" spans="1:5" x14ac:dyDescent="0.2">
      <c r="A29563">
        <v>79903</v>
      </c>
      <c r="B29563" t="s">
        <v>50</v>
      </c>
      <c r="C29563">
        <v>79903</v>
      </c>
      <c r="D29563" t="str">
        <f>"79903"</f>
        <v>79903</v>
      </c>
      <c r="E29563">
        <v>53.52</v>
      </c>
    </row>
    <row r="29564" spans="1:5" x14ac:dyDescent="0.2">
      <c r="A29564">
        <v>79904</v>
      </c>
      <c r="B29564" t="s">
        <v>50</v>
      </c>
      <c r="C29564">
        <v>79904</v>
      </c>
      <c r="D29564" t="str">
        <f>"79904"</f>
        <v>79904</v>
      </c>
      <c r="E29564">
        <v>51.88</v>
      </c>
    </row>
    <row r="29565" spans="1:5" x14ac:dyDescent="0.2">
      <c r="A29565">
        <v>79905</v>
      </c>
      <c r="B29565" t="s">
        <v>50</v>
      </c>
      <c r="C29565">
        <v>79905</v>
      </c>
      <c r="D29565" t="str">
        <f>"79905"</f>
        <v>79905</v>
      </c>
      <c r="E29565">
        <v>43.8</v>
      </c>
    </row>
    <row r="29566" spans="1:5" x14ac:dyDescent="0.2">
      <c r="A29566">
        <v>79906</v>
      </c>
      <c r="B29566" t="s">
        <v>50</v>
      </c>
      <c r="C29566">
        <v>79906</v>
      </c>
      <c r="D29566" t="str">
        <f>"79906"</f>
        <v>79906</v>
      </c>
      <c r="E29566">
        <v>57.27</v>
      </c>
    </row>
    <row r="29567" spans="1:5" x14ac:dyDescent="0.2">
      <c r="A29567">
        <v>79907</v>
      </c>
      <c r="B29567" t="s">
        <v>50</v>
      </c>
      <c r="C29567">
        <v>79907</v>
      </c>
      <c r="D29567" t="str">
        <f>"79907"</f>
        <v>79907</v>
      </c>
      <c r="E29567">
        <v>50.74</v>
      </c>
    </row>
    <row r="29568" spans="1:5" x14ac:dyDescent="0.2">
      <c r="A29568">
        <v>79908</v>
      </c>
      <c r="B29568" t="s">
        <v>50</v>
      </c>
      <c r="C29568">
        <v>79908</v>
      </c>
      <c r="D29568" t="str">
        <f>"79908"</f>
        <v>79908</v>
      </c>
      <c r="E29568">
        <v>47.22</v>
      </c>
    </row>
    <row r="29569" spans="1:5" x14ac:dyDescent="0.2">
      <c r="A29569">
        <v>79911</v>
      </c>
      <c r="B29569" t="s">
        <v>50</v>
      </c>
      <c r="C29569">
        <v>79911</v>
      </c>
      <c r="D29569" t="str">
        <f>"79911"</f>
        <v>79911</v>
      </c>
      <c r="E29569">
        <v>79.62</v>
      </c>
    </row>
    <row r="29570" spans="1:5" x14ac:dyDescent="0.2">
      <c r="A29570">
        <v>79912</v>
      </c>
      <c r="B29570" t="s">
        <v>50</v>
      </c>
      <c r="C29570">
        <v>79912</v>
      </c>
      <c r="D29570" t="str">
        <f>"79912"</f>
        <v>79912</v>
      </c>
      <c r="E29570">
        <v>66.97</v>
      </c>
    </row>
    <row r="29571" spans="1:5" x14ac:dyDescent="0.2">
      <c r="A29571">
        <v>79915</v>
      </c>
      <c r="B29571" t="s">
        <v>50</v>
      </c>
      <c r="C29571">
        <v>79915</v>
      </c>
      <c r="D29571" t="str">
        <f>"79915"</f>
        <v>79915</v>
      </c>
      <c r="E29571">
        <v>50.32</v>
      </c>
    </row>
    <row r="29572" spans="1:5" x14ac:dyDescent="0.2">
      <c r="A29572">
        <v>79916</v>
      </c>
      <c r="B29572" t="s">
        <v>50</v>
      </c>
      <c r="C29572">
        <v>79916</v>
      </c>
      <c r="D29572" t="str">
        <f>"79916"</f>
        <v>79916</v>
      </c>
      <c r="E29572" t="s">
        <v>6</v>
      </c>
    </row>
    <row r="29573" spans="1:5" x14ac:dyDescent="0.2">
      <c r="A29573">
        <v>79918</v>
      </c>
      <c r="B29573" t="s">
        <v>50</v>
      </c>
      <c r="C29573">
        <v>79918</v>
      </c>
      <c r="D29573" t="str">
        <f>"79918"</f>
        <v>79918</v>
      </c>
      <c r="E29573" t="s">
        <v>6</v>
      </c>
    </row>
    <row r="29574" spans="1:5" x14ac:dyDescent="0.2">
      <c r="A29574">
        <v>79922</v>
      </c>
      <c r="B29574" t="s">
        <v>50</v>
      </c>
      <c r="C29574">
        <v>79922</v>
      </c>
      <c r="D29574" t="str">
        <f>"79922"</f>
        <v>79922</v>
      </c>
      <c r="E29574">
        <v>69.75</v>
      </c>
    </row>
    <row r="29575" spans="1:5" x14ac:dyDescent="0.2">
      <c r="A29575">
        <v>79924</v>
      </c>
      <c r="B29575" t="s">
        <v>50</v>
      </c>
      <c r="C29575">
        <v>79924</v>
      </c>
      <c r="D29575" t="str">
        <f>"79924"</f>
        <v>79924</v>
      </c>
      <c r="E29575">
        <v>57.3</v>
      </c>
    </row>
    <row r="29576" spans="1:5" x14ac:dyDescent="0.2">
      <c r="A29576">
        <v>79925</v>
      </c>
      <c r="B29576" t="s">
        <v>50</v>
      </c>
      <c r="C29576">
        <v>79925</v>
      </c>
      <c r="D29576" t="str">
        <f>"79925"</f>
        <v>79925</v>
      </c>
      <c r="E29576">
        <v>64.06</v>
      </c>
    </row>
    <row r="29577" spans="1:5" x14ac:dyDescent="0.2">
      <c r="A29577">
        <v>79927</v>
      </c>
      <c r="B29577" t="s">
        <v>50</v>
      </c>
      <c r="C29577">
        <v>79927</v>
      </c>
      <c r="D29577" t="str">
        <f>"79927"</f>
        <v>79927</v>
      </c>
      <c r="E29577">
        <v>48.66</v>
      </c>
    </row>
    <row r="29578" spans="1:5" x14ac:dyDescent="0.2">
      <c r="A29578">
        <v>79928</v>
      </c>
      <c r="B29578" t="s">
        <v>50</v>
      </c>
      <c r="C29578">
        <v>79928</v>
      </c>
      <c r="D29578" t="str">
        <f>"79928"</f>
        <v>79928</v>
      </c>
      <c r="E29578">
        <v>55.74</v>
      </c>
    </row>
    <row r="29579" spans="1:5" x14ac:dyDescent="0.2">
      <c r="A29579">
        <v>79930</v>
      </c>
      <c r="B29579" t="s">
        <v>50</v>
      </c>
      <c r="C29579">
        <v>79930</v>
      </c>
      <c r="D29579" t="str">
        <f>"79930"</f>
        <v>79930</v>
      </c>
      <c r="E29579">
        <v>53.1</v>
      </c>
    </row>
    <row r="29580" spans="1:5" x14ac:dyDescent="0.2">
      <c r="A29580">
        <v>79932</v>
      </c>
      <c r="B29580" t="s">
        <v>50</v>
      </c>
      <c r="C29580">
        <v>79932</v>
      </c>
      <c r="D29580" t="str">
        <f>"79932"</f>
        <v>79932</v>
      </c>
      <c r="E29580">
        <v>63.09</v>
      </c>
    </row>
    <row r="29581" spans="1:5" x14ac:dyDescent="0.2">
      <c r="A29581">
        <v>79934</v>
      </c>
      <c r="B29581" t="s">
        <v>50</v>
      </c>
      <c r="C29581">
        <v>79934</v>
      </c>
      <c r="D29581" t="str">
        <f>"79934"</f>
        <v>79934</v>
      </c>
      <c r="E29581">
        <v>66.180000000000007</v>
      </c>
    </row>
    <row r="29582" spans="1:5" x14ac:dyDescent="0.2">
      <c r="A29582">
        <v>79935</v>
      </c>
      <c r="B29582" t="s">
        <v>50</v>
      </c>
      <c r="C29582">
        <v>79935</v>
      </c>
      <c r="D29582" t="str">
        <f>"79935"</f>
        <v>79935</v>
      </c>
      <c r="E29582">
        <v>62.88</v>
      </c>
    </row>
    <row r="29583" spans="1:5" x14ac:dyDescent="0.2">
      <c r="A29583">
        <v>79936</v>
      </c>
      <c r="B29583" t="s">
        <v>50</v>
      </c>
      <c r="C29583">
        <v>79936</v>
      </c>
      <c r="D29583" t="str">
        <f>"79936"</f>
        <v>79936</v>
      </c>
      <c r="E29583">
        <v>62.16</v>
      </c>
    </row>
    <row r="29584" spans="1:5" x14ac:dyDescent="0.2">
      <c r="A29584">
        <v>79938</v>
      </c>
      <c r="B29584" t="s">
        <v>50</v>
      </c>
      <c r="C29584">
        <v>79938</v>
      </c>
      <c r="D29584" t="str">
        <f>"79938"</f>
        <v>79938</v>
      </c>
      <c r="E29584">
        <v>59.05</v>
      </c>
    </row>
    <row r="29585" spans="1:5" x14ac:dyDescent="0.2">
      <c r="A29585">
        <v>79942</v>
      </c>
      <c r="B29585" t="s">
        <v>50</v>
      </c>
      <c r="C29585">
        <v>79942</v>
      </c>
      <c r="D29585" t="str">
        <f>"79942"</f>
        <v>79942</v>
      </c>
      <c r="E29585" t="s">
        <v>6</v>
      </c>
    </row>
    <row r="29586" spans="1:5" x14ac:dyDescent="0.2">
      <c r="A29586">
        <v>79968</v>
      </c>
      <c r="B29586" t="s">
        <v>50</v>
      </c>
      <c r="C29586">
        <v>79968</v>
      </c>
      <c r="D29586" t="str">
        <f>"79968"</f>
        <v>79968</v>
      </c>
      <c r="E29586" t="s">
        <v>6</v>
      </c>
    </row>
    <row r="29587" spans="1:5" x14ac:dyDescent="0.2">
      <c r="A29587">
        <v>84001</v>
      </c>
      <c r="B29587" t="s">
        <v>51</v>
      </c>
      <c r="C29587">
        <v>84001</v>
      </c>
      <c r="D29587" t="str">
        <f>"84001"</f>
        <v>84001</v>
      </c>
      <c r="E29587">
        <v>72.97</v>
      </c>
    </row>
    <row r="29588" spans="1:5" x14ac:dyDescent="0.2">
      <c r="A29588">
        <v>84002</v>
      </c>
      <c r="B29588" t="s">
        <v>51</v>
      </c>
      <c r="C29588">
        <v>84002</v>
      </c>
      <c r="D29588" t="str">
        <f>"84002"</f>
        <v>84002</v>
      </c>
      <c r="E29588" t="s">
        <v>6</v>
      </c>
    </row>
    <row r="29589" spans="1:5" x14ac:dyDescent="0.2">
      <c r="A29589">
        <v>84003</v>
      </c>
      <c r="B29589" t="s">
        <v>51</v>
      </c>
      <c r="C29589">
        <v>84003</v>
      </c>
      <c r="D29589" t="str">
        <f>"84003"</f>
        <v>84003</v>
      </c>
      <c r="E29589">
        <v>71.13</v>
      </c>
    </row>
    <row r="29590" spans="1:5" x14ac:dyDescent="0.2">
      <c r="A29590">
        <v>84004</v>
      </c>
      <c r="B29590" t="s">
        <v>51</v>
      </c>
      <c r="C29590">
        <v>84004</v>
      </c>
      <c r="D29590" t="str">
        <f>"84004"</f>
        <v>84004</v>
      </c>
      <c r="E29590">
        <v>72.209999999999994</v>
      </c>
    </row>
    <row r="29591" spans="1:5" x14ac:dyDescent="0.2">
      <c r="A29591">
        <v>84005</v>
      </c>
      <c r="B29591" t="s">
        <v>51</v>
      </c>
      <c r="C29591">
        <v>84005</v>
      </c>
      <c r="D29591" t="str">
        <f>"84005"</f>
        <v>84005</v>
      </c>
      <c r="E29591">
        <v>68.319999999999993</v>
      </c>
    </row>
    <row r="29592" spans="1:5" x14ac:dyDescent="0.2">
      <c r="A29592">
        <v>84006</v>
      </c>
      <c r="B29592" t="s">
        <v>51</v>
      </c>
      <c r="C29592">
        <v>84006</v>
      </c>
      <c r="D29592" t="str">
        <f>"84006"</f>
        <v>84006</v>
      </c>
      <c r="E29592">
        <v>78.38</v>
      </c>
    </row>
    <row r="29593" spans="1:5" x14ac:dyDescent="0.2">
      <c r="A29593">
        <v>84007</v>
      </c>
      <c r="B29593" t="s">
        <v>51</v>
      </c>
      <c r="C29593">
        <v>84007</v>
      </c>
      <c r="D29593" t="str">
        <f>"84007"</f>
        <v>84007</v>
      </c>
      <c r="E29593">
        <v>68.97</v>
      </c>
    </row>
    <row r="29594" spans="1:5" x14ac:dyDescent="0.2">
      <c r="A29594">
        <v>84009</v>
      </c>
      <c r="B29594" t="s">
        <v>51</v>
      </c>
      <c r="C29594">
        <v>84009</v>
      </c>
      <c r="D29594" t="str">
        <f>"84009"</f>
        <v>84009</v>
      </c>
      <c r="E29594" t="s">
        <v>6</v>
      </c>
    </row>
    <row r="29595" spans="1:5" x14ac:dyDescent="0.2">
      <c r="A29595">
        <v>84010</v>
      </c>
      <c r="B29595" t="s">
        <v>51</v>
      </c>
      <c r="C29595">
        <v>84010</v>
      </c>
      <c r="D29595" t="str">
        <f>"84010"</f>
        <v>84010</v>
      </c>
      <c r="E29595">
        <v>75.2</v>
      </c>
    </row>
    <row r="29596" spans="1:5" x14ac:dyDescent="0.2">
      <c r="A29596">
        <v>84013</v>
      </c>
      <c r="B29596" t="s">
        <v>51</v>
      </c>
      <c r="C29596">
        <v>84013</v>
      </c>
      <c r="D29596" t="str">
        <f>"84013"</f>
        <v>84013</v>
      </c>
      <c r="E29596">
        <v>76</v>
      </c>
    </row>
    <row r="29597" spans="1:5" x14ac:dyDescent="0.2">
      <c r="A29597">
        <v>84014</v>
      </c>
      <c r="B29597" t="s">
        <v>51</v>
      </c>
      <c r="C29597">
        <v>84014</v>
      </c>
      <c r="D29597" t="str">
        <f>"84014"</f>
        <v>84014</v>
      </c>
      <c r="E29597">
        <v>76.97</v>
      </c>
    </row>
    <row r="29598" spans="1:5" x14ac:dyDescent="0.2">
      <c r="A29598">
        <v>84015</v>
      </c>
      <c r="B29598" t="s">
        <v>51</v>
      </c>
      <c r="C29598">
        <v>84015</v>
      </c>
      <c r="D29598" t="str">
        <f>"84015"</f>
        <v>84015</v>
      </c>
      <c r="E29598">
        <v>72.03</v>
      </c>
    </row>
    <row r="29599" spans="1:5" x14ac:dyDescent="0.2">
      <c r="A29599">
        <v>84016</v>
      </c>
      <c r="B29599" t="s">
        <v>51</v>
      </c>
      <c r="C29599">
        <v>84016</v>
      </c>
      <c r="D29599" t="str">
        <f>"84016"</f>
        <v>84016</v>
      </c>
      <c r="E29599" t="s">
        <v>6</v>
      </c>
    </row>
    <row r="29600" spans="1:5" x14ac:dyDescent="0.2">
      <c r="A29600">
        <v>84017</v>
      </c>
      <c r="B29600" t="s">
        <v>51</v>
      </c>
      <c r="C29600">
        <v>84017</v>
      </c>
      <c r="D29600" t="str">
        <f>"84017"</f>
        <v>84017</v>
      </c>
      <c r="E29600">
        <v>77.84</v>
      </c>
    </row>
    <row r="29601" spans="1:5" x14ac:dyDescent="0.2">
      <c r="A29601">
        <v>84018</v>
      </c>
      <c r="B29601" t="s">
        <v>51</v>
      </c>
      <c r="C29601">
        <v>84018</v>
      </c>
      <c r="D29601" t="str">
        <f>"84018"</f>
        <v>84018</v>
      </c>
      <c r="E29601" t="s">
        <v>6</v>
      </c>
    </row>
    <row r="29602" spans="1:5" x14ac:dyDescent="0.2">
      <c r="A29602">
        <v>84020</v>
      </c>
      <c r="B29602" t="s">
        <v>51</v>
      </c>
      <c r="C29602">
        <v>84020</v>
      </c>
      <c r="D29602" t="str">
        <f>"84020"</f>
        <v>84020</v>
      </c>
      <c r="E29602">
        <v>78.72</v>
      </c>
    </row>
    <row r="29603" spans="1:5" x14ac:dyDescent="0.2">
      <c r="A29603">
        <v>84021</v>
      </c>
      <c r="B29603" t="s">
        <v>51</v>
      </c>
      <c r="C29603">
        <v>84021</v>
      </c>
      <c r="D29603" t="str">
        <f>"84021"</f>
        <v>84021</v>
      </c>
      <c r="E29603">
        <v>66.930000000000007</v>
      </c>
    </row>
    <row r="29604" spans="1:5" x14ac:dyDescent="0.2">
      <c r="A29604">
        <v>84022</v>
      </c>
      <c r="B29604" t="s">
        <v>51</v>
      </c>
      <c r="C29604">
        <v>84022</v>
      </c>
      <c r="D29604" t="str">
        <f>"84022"</f>
        <v>84022</v>
      </c>
      <c r="E29604">
        <v>85</v>
      </c>
    </row>
    <row r="29605" spans="1:5" x14ac:dyDescent="0.2">
      <c r="A29605">
        <v>84023</v>
      </c>
      <c r="B29605" t="s">
        <v>51</v>
      </c>
      <c r="C29605">
        <v>84023</v>
      </c>
      <c r="D29605" t="str">
        <f>"84023"</f>
        <v>84023</v>
      </c>
      <c r="E29605">
        <v>66.67</v>
      </c>
    </row>
    <row r="29606" spans="1:5" x14ac:dyDescent="0.2">
      <c r="A29606">
        <v>84024</v>
      </c>
      <c r="B29606" t="s">
        <v>51</v>
      </c>
      <c r="C29606">
        <v>84024</v>
      </c>
      <c r="D29606" t="str">
        <f>"84024"</f>
        <v>84024</v>
      </c>
      <c r="E29606" t="s">
        <v>6</v>
      </c>
    </row>
    <row r="29607" spans="1:5" x14ac:dyDescent="0.2">
      <c r="A29607">
        <v>84025</v>
      </c>
      <c r="B29607" t="s">
        <v>51</v>
      </c>
      <c r="C29607">
        <v>84025</v>
      </c>
      <c r="D29607" t="str">
        <f>"84025"</f>
        <v>84025</v>
      </c>
      <c r="E29607">
        <v>78.489999999999995</v>
      </c>
    </row>
    <row r="29608" spans="1:5" x14ac:dyDescent="0.2">
      <c r="A29608">
        <v>84026</v>
      </c>
      <c r="B29608" t="s">
        <v>51</v>
      </c>
      <c r="C29608">
        <v>84026</v>
      </c>
      <c r="D29608" t="str">
        <f>"84026"</f>
        <v>84026</v>
      </c>
      <c r="E29608">
        <v>53.03</v>
      </c>
    </row>
    <row r="29609" spans="1:5" x14ac:dyDescent="0.2">
      <c r="A29609">
        <v>84027</v>
      </c>
      <c r="B29609" t="s">
        <v>51</v>
      </c>
      <c r="C29609">
        <v>84027</v>
      </c>
      <c r="D29609" t="str">
        <f>"84027"</f>
        <v>84027</v>
      </c>
      <c r="E29609">
        <v>68.75</v>
      </c>
    </row>
    <row r="29610" spans="1:5" x14ac:dyDescent="0.2">
      <c r="A29610">
        <v>84028</v>
      </c>
      <c r="B29610" t="s">
        <v>51</v>
      </c>
      <c r="C29610">
        <v>84028</v>
      </c>
      <c r="D29610" t="str">
        <f>"84028"</f>
        <v>84028</v>
      </c>
      <c r="E29610">
        <v>68.569999999999993</v>
      </c>
    </row>
    <row r="29611" spans="1:5" x14ac:dyDescent="0.2">
      <c r="A29611">
        <v>84029</v>
      </c>
      <c r="B29611" t="s">
        <v>51</v>
      </c>
      <c r="C29611">
        <v>84029</v>
      </c>
      <c r="D29611" t="str">
        <f>"84029"</f>
        <v>84029</v>
      </c>
      <c r="E29611">
        <v>74.13</v>
      </c>
    </row>
    <row r="29612" spans="1:5" x14ac:dyDescent="0.2">
      <c r="A29612">
        <v>84031</v>
      </c>
      <c r="B29612" t="s">
        <v>51</v>
      </c>
      <c r="C29612">
        <v>84031</v>
      </c>
      <c r="D29612" t="str">
        <f>"84031"</f>
        <v>84031</v>
      </c>
      <c r="E29612" t="s">
        <v>6</v>
      </c>
    </row>
    <row r="29613" spans="1:5" x14ac:dyDescent="0.2">
      <c r="A29613">
        <v>84032</v>
      </c>
      <c r="B29613" t="s">
        <v>51</v>
      </c>
      <c r="C29613">
        <v>84032</v>
      </c>
      <c r="D29613" t="str">
        <f>"84032"</f>
        <v>84032</v>
      </c>
      <c r="E29613">
        <v>71.94</v>
      </c>
    </row>
    <row r="29614" spans="1:5" x14ac:dyDescent="0.2">
      <c r="A29614">
        <v>84033</v>
      </c>
      <c r="B29614" t="s">
        <v>51</v>
      </c>
      <c r="C29614">
        <v>84033</v>
      </c>
      <c r="D29614" t="str">
        <f>"84033"</f>
        <v>84033</v>
      </c>
      <c r="E29614" t="s">
        <v>6</v>
      </c>
    </row>
    <row r="29615" spans="1:5" x14ac:dyDescent="0.2">
      <c r="A29615">
        <v>84034</v>
      </c>
      <c r="B29615" t="s">
        <v>51</v>
      </c>
      <c r="C29615">
        <v>84034</v>
      </c>
      <c r="D29615" t="str">
        <f>"84034"</f>
        <v>84034</v>
      </c>
      <c r="E29615" t="s">
        <v>6</v>
      </c>
    </row>
    <row r="29616" spans="1:5" x14ac:dyDescent="0.2">
      <c r="A29616">
        <v>84035</v>
      </c>
      <c r="B29616" t="s">
        <v>51</v>
      </c>
      <c r="C29616">
        <v>84035</v>
      </c>
      <c r="D29616" t="str">
        <f>"84035"</f>
        <v>84035</v>
      </c>
      <c r="E29616">
        <v>67.739999999999995</v>
      </c>
    </row>
    <row r="29617" spans="1:5" x14ac:dyDescent="0.2">
      <c r="A29617">
        <v>84036</v>
      </c>
      <c r="B29617" t="s">
        <v>51</v>
      </c>
      <c r="C29617">
        <v>84036</v>
      </c>
      <c r="D29617" t="str">
        <f>"84036"</f>
        <v>84036</v>
      </c>
      <c r="E29617">
        <v>73.47</v>
      </c>
    </row>
    <row r="29618" spans="1:5" x14ac:dyDescent="0.2">
      <c r="A29618">
        <v>84037</v>
      </c>
      <c r="B29618" t="s">
        <v>51</v>
      </c>
      <c r="C29618">
        <v>84037</v>
      </c>
      <c r="D29618" t="str">
        <f>"84037"</f>
        <v>84037</v>
      </c>
      <c r="E29618">
        <v>75.47</v>
      </c>
    </row>
    <row r="29619" spans="1:5" x14ac:dyDescent="0.2">
      <c r="A29619">
        <v>84038</v>
      </c>
      <c r="B29619" t="s">
        <v>51</v>
      </c>
      <c r="C29619">
        <v>84038</v>
      </c>
      <c r="D29619" t="str">
        <f>"84038"</f>
        <v>84038</v>
      </c>
      <c r="E29619" t="s">
        <v>6</v>
      </c>
    </row>
    <row r="29620" spans="1:5" x14ac:dyDescent="0.2">
      <c r="A29620">
        <v>84039</v>
      </c>
      <c r="B29620" t="s">
        <v>51</v>
      </c>
      <c r="C29620">
        <v>84039</v>
      </c>
      <c r="D29620" t="str">
        <f>"84039"</f>
        <v>84039</v>
      </c>
      <c r="E29620">
        <v>65.63</v>
      </c>
    </row>
    <row r="29621" spans="1:5" x14ac:dyDescent="0.2">
      <c r="A29621">
        <v>84040</v>
      </c>
      <c r="B29621" t="s">
        <v>51</v>
      </c>
      <c r="C29621">
        <v>84040</v>
      </c>
      <c r="D29621" t="str">
        <f>"84040"</f>
        <v>84040</v>
      </c>
      <c r="E29621">
        <v>77.02</v>
      </c>
    </row>
    <row r="29622" spans="1:5" x14ac:dyDescent="0.2">
      <c r="A29622">
        <v>84041</v>
      </c>
      <c r="B29622" t="s">
        <v>51</v>
      </c>
      <c r="C29622">
        <v>84041</v>
      </c>
      <c r="D29622" t="str">
        <f>"84041"</f>
        <v>84041</v>
      </c>
      <c r="E29622">
        <v>72.930000000000007</v>
      </c>
    </row>
    <row r="29623" spans="1:5" x14ac:dyDescent="0.2">
      <c r="A29623">
        <v>84042</v>
      </c>
      <c r="B29623" t="s">
        <v>51</v>
      </c>
      <c r="C29623">
        <v>84042</v>
      </c>
      <c r="D29623" t="str">
        <f>"84042"</f>
        <v>84042</v>
      </c>
      <c r="E29623">
        <v>69.05</v>
      </c>
    </row>
    <row r="29624" spans="1:5" x14ac:dyDescent="0.2">
      <c r="A29624">
        <v>84043</v>
      </c>
      <c r="B29624" t="s">
        <v>51</v>
      </c>
      <c r="C29624">
        <v>84043</v>
      </c>
      <c r="D29624" t="str">
        <f>"84043"</f>
        <v>84043</v>
      </c>
      <c r="E29624">
        <v>74.959999999999994</v>
      </c>
    </row>
    <row r="29625" spans="1:5" x14ac:dyDescent="0.2">
      <c r="A29625">
        <v>84044</v>
      </c>
      <c r="B29625" t="s">
        <v>51</v>
      </c>
      <c r="C29625">
        <v>84044</v>
      </c>
      <c r="D29625" t="str">
        <f>"84044"</f>
        <v>84044</v>
      </c>
      <c r="E29625">
        <v>68.209999999999994</v>
      </c>
    </row>
    <row r="29626" spans="1:5" x14ac:dyDescent="0.2">
      <c r="A29626">
        <v>84045</v>
      </c>
      <c r="B29626" t="s">
        <v>51</v>
      </c>
      <c r="C29626">
        <v>84045</v>
      </c>
      <c r="D29626" t="str">
        <f>"84045"</f>
        <v>84045</v>
      </c>
      <c r="E29626">
        <v>73.55</v>
      </c>
    </row>
    <row r="29627" spans="1:5" x14ac:dyDescent="0.2">
      <c r="A29627">
        <v>84046</v>
      </c>
      <c r="B29627" t="s">
        <v>51</v>
      </c>
      <c r="C29627">
        <v>84046</v>
      </c>
      <c r="D29627" t="str">
        <f>"84046"</f>
        <v>84046</v>
      </c>
      <c r="E29627">
        <v>65.52</v>
      </c>
    </row>
    <row r="29628" spans="1:5" x14ac:dyDescent="0.2">
      <c r="A29628">
        <v>84047</v>
      </c>
      <c r="B29628" t="s">
        <v>51</v>
      </c>
      <c r="C29628">
        <v>84047</v>
      </c>
      <c r="D29628" t="str">
        <f>"84047"</f>
        <v>84047</v>
      </c>
      <c r="E29628">
        <v>71.97</v>
      </c>
    </row>
    <row r="29629" spans="1:5" x14ac:dyDescent="0.2">
      <c r="A29629">
        <v>84049</v>
      </c>
      <c r="B29629" t="s">
        <v>51</v>
      </c>
      <c r="C29629">
        <v>84049</v>
      </c>
      <c r="D29629" t="str">
        <f>"84049"</f>
        <v>84049</v>
      </c>
      <c r="E29629">
        <v>76.45</v>
      </c>
    </row>
    <row r="29630" spans="1:5" x14ac:dyDescent="0.2">
      <c r="A29630">
        <v>84050</v>
      </c>
      <c r="B29630" t="s">
        <v>51</v>
      </c>
      <c r="C29630">
        <v>84050</v>
      </c>
      <c r="D29630" t="str">
        <f>"84050"</f>
        <v>84050</v>
      </c>
      <c r="E29630">
        <v>77.42</v>
      </c>
    </row>
    <row r="29631" spans="1:5" x14ac:dyDescent="0.2">
      <c r="A29631">
        <v>84051</v>
      </c>
      <c r="B29631" t="s">
        <v>51</v>
      </c>
      <c r="C29631">
        <v>84051</v>
      </c>
      <c r="D29631" t="str">
        <f>"84051"</f>
        <v>84051</v>
      </c>
      <c r="E29631" t="s">
        <v>6</v>
      </c>
    </row>
    <row r="29632" spans="1:5" x14ac:dyDescent="0.2">
      <c r="A29632">
        <v>84052</v>
      </c>
      <c r="B29632" t="s">
        <v>51</v>
      </c>
      <c r="C29632">
        <v>84052</v>
      </c>
      <c r="D29632" t="str">
        <f>"84052"</f>
        <v>84052</v>
      </c>
      <c r="E29632">
        <v>61.7</v>
      </c>
    </row>
    <row r="29633" spans="1:5" x14ac:dyDescent="0.2">
      <c r="A29633">
        <v>84053</v>
      </c>
      <c r="B29633" t="s">
        <v>51</v>
      </c>
      <c r="C29633">
        <v>84053</v>
      </c>
      <c r="D29633" t="str">
        <f>"84053"</f>
        <v>84053</v>
      </c>
      <c r="E29633">
        <v>69.23</v>
      </c>
    </row>
    <row r="29634" spans="1:5" x14ac:dyDescent="0.2">
      <c r="A29634">
        <v>84054</v>
      </c>
      <c r="B29634" t="s">
        <v>51</v>
      </c>
      <c r="C29634">
        <v>84054</v>
      </c>
      <c r="D29634" t="str">
        <f>"84054"</f>
        <v>84054</v>
      </c>
      <c r="E29634">
        <v>75.45</v>
      </c>
    </row>
    <row r="29635" spans="1:5" x14ac:dyDescent="0.2">
      <c r="A29635">
        <v>84055</v>
      </c>
      <c r="B29635" t="s">
        <v>51</v>
      </c>
      <c r="C29635">
        <v>84055</v>
      </c>
      <c r="D29635" t="str">
        <f>"84055"</f>
        <v>84055</v>
      </c>
      <c r="E29635">
        <v>75</v>
      </c>
    </row>
    <row r="29636" spans="1:5" x14ac:dyDescent="0.2">
      <c r="A29636">
        <v>84056</v>
      </c>
      <c r="B29636" t="s">
        <v>51</v>
      </c>
      <c r="C29636">
        <v>84056</v>
      </c>
      <c r="D29636" t="str">
        <f>"84056"</f>
        <v>84056</v>
      </c>
      <c r="E29636">
        <v>66.89</v>
      </c>
    </row>
    <row r="29637" spans="1:5" x14ac:dyDescent="0.2">
      <c r="A29637">
        <v>84057</v>
      </c>
      <c r="B29637" t="s">
        <v>51</v>
      </c>
      <c r="C29637">
        <v>84057</v>
      </c>
      <c r="D29637" t="str">
        <f>"84057"</f>
        <v>84057</v>
      </c>
      <c r="E29637">
        <v>65.31</v>
      </c>
    </row>
    <row r="29638" spans="1:5" x14ac:dyDescent="0.2">
      <c r="A29638">
        <v>84058</v>
      </c>
      <c r="B29638" t="s">
        <v>51</v>
      </c>
      <c r="C29638">
        <v>84058</v>
      </c>
      <c r="D29638" t="str">
        <f>"84058"</f>
        <v>84058</v>
      </c>
      <c r="E29638">
        <v>66.319999999999993</v>
      </c>
    </row>
    <row r="29639" spans="1:5" x14ac:dyDescent="0.2">
      <c r="A29639">
        <v>84059</v>
      </c>
      <c r="B29639" t="s">
        <v>51</v>
      </c>
      <c r="C29639">
        <v>84059</v>
      </c>
      <c r="D29639" t="str">
        <f>"84059"</f>
        <v>84059</v>
      </c>
      <c r="E29639" t="s">
        <v>6</v>
      </c>
    </row>
    <row r="29640" spans="1:5" x14ac:dyDescent="0.2">
      <c r="A29640">
        <v>84060</v>
      </c>
      <c r="B29640" t="s">
        <v>51</v>
      </c>
      <c r="C29640">
        <v>84060</v>
      </c>
      <c r="D29640" t="str">
        <f>"84060"</f>
        <v>84060</v>
      </c>
      <c r="E29640">
        <v>70.099999999999994</v>
      </c>
    </row>
    <row r="29641" spans="1:5" x14ac:dyDescent="0.2">
      <c r="A29641">
        <v>84061</v>
      </c>
      <c r="B29641" t="s">
        <v>51</v>
      </c>
      <c r="C29641">
        <v>84061</v>
      </c>
      <c r="D29641" t="str">
        <f>"84061"</f>
        <v>84061</v>
      </c>
      <c r="E29641">
        <v>80</v>
      </c>
    </row>
    <row r="29642" spans="1:5" x14ac:dyDescent="0.2">
      <c r="A29642">
        <v>84062</v>
      </c>
      <c r="B29642" t="s">
        <v>51</v>
      </c>
      <c r="C29642">
        <v>84062</v>
      </c>
      <c r="D29642" t="str">
        <f>"84062"</f>
        <v>84062</v>
      </c>
      <c r="E29642">
        <v>70.010000000000005</v>
      </c>
    </row>
    <row r="29643" spans="1:5" x14ac:dyDescent="0.2">
      <c r="A29643">
        <v>84063</v>
      </c>
      <c r="B29643" t="s">
        <v>51</v>
      </c>
      <c r="C29643">
        <v>84063</v>
      </c>
      <c r="D29643" t="str">
        <f>"84063"</f>
        <v>84063</v>
      </c>
      <c r="E29643">
        <v>70</v>
      </c>
    </row>
    <row r="29644" spans="1:5" x14ac:dyDescent="0.2">
      <c r="A29644">
        <v>84064</v>
      </c>
      <c r="B29644" t="s">
        <v>51</v>
      </c>
      <c r="C29644">
        <v>84064</v>
      </c>
      <c r="D29644" t="str">
        <f>"84064"</f>
        <v>84064</v>
      </c>
      <c r="E29644" t="s">
        <v>6</v>
      </c>
    </row>
    <row r="29645" spans="1:5" x14ac:dyDescent="0.2">
      <c r="A29645">
        <v>84065</v>
      </c>
      <c r="B29645" t="s">
        <v>51</v>
      </c>
      <c r="C29645">
        <v>84065</v>
      </c>
      <c r="D29645" t="str">
        <f>"84065"</f>
        <v>84065</v>
      </c>
      <c r="E29645">
        <v>77.19</v>
      </c>
    </row>
    <row r="29646" spans="1:5" x14ac:dyDescent="0.2">
      <c r="A29646">
        <v>84066</v>
      </c>
      <c r="B29646" t="s">
        <v>51</v>
      </c>
      <c r="C29646">
        <v>84066</v>
      </c>
      <c r="D29646" t="str">
        <f>"84066"</f>
        <v>84066</v>
      </c>
      <c r="E29646">
        <v>69.349999999999994</v>
      </c>
    </row>
    <row r="29647" spans="1:5" x14ac:dyDescent="0.2">
      <c r="A29647">
        <v>84067</v>
      </c>
      <c r="B29647" t="s">
        <v>51</v>
      </c>
      <c r="C29647">
        <v>84067</v>
      </c>
      <c r="D29647" t="str">
        <f>"84067"</f>
        <v>84067</v>
      </c>
      <c r="E29647">
        <v>74.2</v>
      </c>
    </row>
    <row r="29648" spans="1:5" x14ac:dyDescent="0.2">
      <c r="A29648">
        <v>84069</v>
      </c>
      <c r="B29648" t="s">
        <v>51</v>
      </c>
      <c r="C29648">
        <v>84069</v>
      </c>
      <c r="D29648" t="str">
        <f>"84069"</f>
        <v>84069</v>
      </c>
      <c r="E29648">
        <v>75</v>
      </c>
    </row>
    <row r="29649" spans="1:5" x14ac:dyDescent="0.2">
      <c r="A29649">
        <v>84070</v>
      </c>
      <c r="B29649" t="s">
        <v>51</v>
      </c>
      <c r="C29649">
        <v>84070</v>
      </c>
      <c r="D29649" t="str">
        <f>"84070"</f>
        <v>84070</v>
      </c>
      <c r="E29649">
        <v>75</v>
      </c>
    </row>
    <row r="29650" spans="1:5" x14ac:dyDescent="0.2">
      <c r="A29650">
        <v>84071</v>
      </c>
      <c r="B29650" t="s">
        <v>51</v>
      </c>
      <c r="C29650">
        <v>84071</v>
      </c>
      <c r="D29650" t="str">
        <f>"84071"</f>
        <v>84071</v>
      </c>
      <c r="E29650">
        <v>76.06</v>
      </c>
    </row>
    <row r="29651" spans="1:5" x14ac:dyDescent="0.2">
      <c r="A29651">
        <v>84072</v>
      </c>
      <c r="B29651" t="s">
        <v>51</v>
      </c>
      <c r="C29651">
        <v>84072</v>
      </c>
      <c r="D29651" t="str">
        <f>"84072"</f>
        <v>84072</v>
      </c>
      <c r="E29651">
        <v>68.180000000000007</v>
      </c>
    </row>
    <row r="29652" spans="1:5" x14ac:dyDescent="0.2">
      <c r="A29652">
        <v>84074</v>
      </c>
      <c r="B29652" t="s">
        <v>51</v>
      </c>
      <c r="C29652">
        <v>84074</v>
      </c>
      <c r="D29652" t="str">
        <f>"84074"</f>
        <v>84074</v>
      </c>
      <c r="E29652">
        <v>72.73</v>
      </c>
    </row>
    <row r="29653" spans="1:5" x14ac:dyDescent="0.2">
      <c r="A29653">
        <v>84075</v>
      </c>
      <c r="B29653" t="s">
        <v>51</v>
      </c>
      <c r="C29653">
        <v>84075</v>
      </c>
      <c r="D29653" t="str">
        <f>"84075"</f>
        <v>84075</v>
      </c>
      <c r="E29653">
        <v>75.87</v>
      </c>
    </row>
    <row r="29654" spans="1:5" x14ac:dyDescent="0.2">
      <c r="A29654">
        <v>84076</v>
      </c>
      <c r="B29654" t="s">
        <v>51</v>
      </c>
      <c r="C29654">
        <v>84076</v>
      </c>
      <c r="D29654" t="str">
        <f>"84076"</f>
        <v>84076</v>
      </c>
      <c r="E29654">
        <v>70</v>
      </c>
    </row>
    <row r="29655" spans="1:5" x14ac:dyDescent="0.2">
      <c r="A29655">
        <v>84078</v>
      </c>
      <c r="B29655" t="s">
        <v>51</v>
      </c>
      <c r="C29655">
        <v>84078</v>
      </c>
      <c r="D29655" t="str">
        <f>"84078"</f>
        <v>84078</v>
      </c>
      <c r="E29655">
        <v>70.010000000000005</v>
      </c>
    </row>
    <row r="29656" spans="1:5" x14ac:dyDescent="0.2">
      <c r="A29656">
        <v>84080</v>
      </c>
      <c r="B29656" t="s">
        <v>51</v>
      </c>
      <c r="C29656">
        <v>84080</v>
      </c>
      <c r="D29656" t="str">
        <f>"84080"</f>
        <v>84080</v>
      </c>
      <c r="E29656">
        <v>72.73</v>
      </c>
    </row>
    <row r="29657" spans="1:5" x14ac:dyDescent="0.2">
      <c r="A29657">
        <v>84081</v>
      </c>
      <c r="B29657" t="s">
        <v>51</v>
      </c>
      <c r="C29657">
        <v>84081</v>
      </c>
      <c r="D29657" t="str">
        <f>"84081"</f>
        <v>84081</v>
      </c>
      <c r="E29657">
        <v>74.95</v>
      </c>
    </row>
    <row r="29658" spans="1:5" x14ac:dyDescent="0.2">
      <c r="A29658">
        <v>84082</v>
      </c>
      <c r="B29658" t="s">
        <v>51</v>
      </c>
      <c r="C29658">
        <v>84082</v>
      </c>
      <c r="D29658" t="str">
        <f>"84082"</f>
        <v>84082</v>
      </c>
      <c r="E29658">
        <v>75</v>
      </c>
    </row>
    <row r="29659" spans="1:5" x14ac:dyDescent="0.2">
      <c r="A29659">
        <v>84083</v>
      </c>
      <c r="B29659" t="s">
        <v>51</v>
      </c>
      <c r="C29659">
        <v>84083</v>
      </c>
      <c r="D29659" t="str">
        <f>"84083"</f>
        <v>84083</v>
      </c>
      <c r="E29659">
        <v>57.38</v>
      </c>
    </row>
    <row r="29660" spans="1:5" x14ac:dyDescent="0.2">
      <c r="A29660">
        <v>84084</v>
      </c>
      <c r="B29660" t="s">
        <v>51</v>
      </c>
      <c r="C29660">
        <v>84084</v>
      </c>
      <c r="D29660" t="str">
        <f>"84084"</f>
        <v>84084</v>
      </c>
      <c r="E29660">
        <v>72.39</v>
      </c>
    </row>
    <row r="29661" spans="1:5" x14ac:dyDescent="0.2">
      <c r="A29661">
        <v>84085</v>
      </c>
      <c r="B29661" t="s">
        <v>51</v>
      </c>
      <c r="C29661">
        <v>84085</v>
      </c>
      <c r="D29661" t="str">
        <f>"84085"</f>
        <v>84085</v>
      </c>
      <c r="E29661">
        <v>58.33</v>
      </c>
    </row>
    <row r="29662" spans="1:5" x14ac:dyDescent="0.2">
      <c r="A29662">
        <v>84086</v>
      </c>
      <c r="B29662" t="s">
        <v>51</v>
      </c>
      <c r="C29662">
        <v>84086</v>
      </c>
      <c r="D29662" t="str">
        <f>"84086"</f>
        <v>84086</v>
      </c>
      <c r="E29662">
        <v>64.290000000000006</v>
      </c>
    </row>
    <row r="29663" spans="1:5" x14ac:dyDescent="0.2">
      <c r="A29663">
        <v>84087</v>
      </c>
      <c r="B29663" t="s">
        <v>51</v>
      </c>
      <c r="C29663">
        <v>84087</v>
      </c>
      <c r="D29663" t="str">
        <f>"84087"</f>
        <v>84087</v>
      </c>
      <c r="E29663">
        <v>76.28</v>
      </c>
    </row>
    <row r="29664" spans="1:5" x14ac:dyDescent="0.2">
      <c r="A29664">
        <v>84088</v>
      </c>
      <c r="B29664" t="s">
        <v>51</v>
      </c>
      <c r="C29664">
        <v>84088</v>
      </c>
      <c r="D29664" t="str">
        <f>"84088"</f>
        <v>84088</v>
      </c>
      <c r="E29664">
        <v>73.06</v>
      </c>
    </row>
    <row r="29665" spans="1:5" x14ac:dyDescent="0.2">
      <c r="A29665">
        <v>84092</v>
      </c>
      <c r="B29665" t="s">
        <v>51</v>
      </c>
      <c r="C29665">
        <v>84092</v>
      </c>
      <c r="D29665" t="str">
        <f>"84092"</f>
        <v>84092</v>
      </c>
      <c r="E29665">
        <v>79.03</v>
      </c>
    </row>
    <row r="29666" spans="1:5" x14ac:dyDescent="0.2">
      <c r="A29666">
        <v>84093</v>
      </c>
      <c r="B29666" t="s">
        <v>51</v>
      </c>
      <c r="C29666">
        <v>84093</v>
      </c>
      <c r="D29666" t="str">
        <f>"84093"</f>
        <v>84093</v>
      </c>
      <c r="E29666">
        <v>79.08</v>
      </c>
    </row>
    <row r="29667" spans="1:5" x14ac:dyDescent="0.2">
      <c r="A29667">
        <v>84094</v>
      </c>
      <c r="B29667" t="s">
        <v>51</v>
      </c>
      <c r="C29667">
        <v>84094</v>
      </c>
      <c r="D29667" t="str">
        <f>"84094"</f>
        <v>84094</v>
      </c>
      <c r="E29667">
        <v>76.540000000000006</v>
      </c>
    </row>
    <row r="29668" spans="1:5" x14ac:dyDescent="0.2">
      <c r="A29668">
        <v>84095</v>
      </c>
      <c r="B29668" t="s">
        <v>51</v>
      </c>
      <c r="C29668">
        <v>84095</v>
      </c>
      <c r="D29668" t="str">
        <f>"84095"</f>
        <v>84095</v>
      </c>
      <c r="E29668">
        <v>78.959999999999994</v>
      </c>
    </row>
    <row r="29669" spans="1:5" x14ac:dyDescent="0.2">
      <c r="A29669">
        <v>84096</v>
      </c>
      <c r="B29669" t="s">
        <v>51</v>
      </c>
      <c r="C29669">
        <v>84096</v>
      </c>
      <c r="D29669" t="str">
        <f>"84096"</f>
        <v>84096</v>
      </c>
      <c r="E29669">
        <v>77.45</v>
      </c>
    </row>
    <row r="29670" spans="1:5" x14ac:dyDescent="0.2">
      <c r="A29670">
        <v>84097</v>
      </c>
      <c r="B29670" t="s">
        <v>51</v>
      </c>
      <c r="C29670">
        <v>84097</v>
      </c>
      <c r="D29670" t="str">
        <f>"84097"</f>
        <v>84097</v>
      </c>
      <c r="E29670">
        <v>67.989999999999995</v>
      </c>
    </row>
    <row r="29671" spans="1:5" x14ac:dyDescent="0.2">
      <c r="A29671">
        <v>84098</v>
      </c>
      <c r="B29671" t="s">
        <v>51</v>
      </c>
      <c r="C29671">
        <v>84098</v>
      </c>
      <c r="D29671" t="str">
        <f>"84098"</f>
        <v>84098</v>
      </c>
      <c r="E29671">
        <v>80.14</v>
      </c>
    </row>
    <row r="29672" spans="1:5" x14ac:dyDescent="0.2">
      <c r="A29672">
        <v>84101</v>
      </c>
      <c r="B29672" t="s">
        <v>51</v>
      </c>
      <c r="C29672">
        <v>84101</v>
      </c>
      <c r="D29672" t="str">
        <f>"84101"</f>
        <v>84101</v>
      </c>
      <c r="E29672">
        <v>76.92</v>
      </c>
    </row>
    <row r="29673" spans="1:5" x14ac:dyDescent="0.2">
      <c r="A29673">
        <v>84102</v>
      </c>
      <c r="B29673" t="s">
        <v>51</v>
      </c>
      <c r="C29673">
        <v>84102</v>
      </c>
      <c r="D29673" t="str">
        <f>"84102"</f>
        <v>84102</v>
      </c>
      <c r="E29673">
        <v>74.55</v>
      </c>
    </row>
    <row r="29674" spans="1:5" x14ac:dyDescent="0.2">
      <c r="A29674">
        <v>84103</v>
      </c>
      <c r="B29674" t="s">
        <v>51</v>
      </c>
      <c r="C29674">
        <v>84103</v>
      </c>
      <c r="D29674" t="str">
        <f>"84103"</f>
        <v>84103</v>
      </c>
      <c r="E29674">
        <v>82.62</v>
      </c>
    </row>
    <row r="29675" spans="1:5" x14ac:dyDescent="0.2">
      <c r="A29675">
        <v>84104</v>
      </c>
      <c r="B29675" t="s">
        <v>51</v>
      </c>
      <c r="C29675">
        <v>84104</v>
      </c>
      <c r="D29675" t="str">
        <f>"84104"</f>
        <v>84104</v>
      </c>
      <c r="E29675">
        <v>58.7</v>
      </c>
    </row>
    <row r="29676" spans="1:5" x14ac:dyDescent="0.2">
      <c r="A29676">
        <v>84105</v>
      </c>
      <c r="B29676" t="s">
        <v>51</v>
      </c>
      <c r="C29676">
        <v>84105</v>
      </c>
      <c r="D29676" t="str">
        <f>"84105"</f>
        <v>84105</v>
      </c>
      <c r="E29676">
        <v>81.84</v>
      </c>
    </row>
    <row r="29677" spans="1:5" x14ac:dyDescent="0.2">
      <c r="A29677">
        <v>84106</v>
      </c>
      <c r="B29677" t="s">
        <v>51</v>
      </c>
      <c r="C29677">
        <v>84106</v>
      </c>
      <c r="D29677" t="str">
        <f>"84106"</f>
        <v>84106</v>
      </c>
      <c r="E29677">
        <v>78.88</v>
      </c>
    </row>
    <row r="29678" spans="1:5" x14ac:dyDescent="0.2">
      <c r="A29678">
        <v>84107</v>
      </c>
      <c r="B29678" t="s">
        <v>51</v>
      </c>
      <c r="C29678">
        <v>84107</v>
      </c>
      <c r="D29678" t="str">
        <f>"84107"</f>
        <v>84107</v>
      </c>
      <c r="E29678">
        <v>74.09</v>
      </c>
    </row>
    <row r="29679" spans="1:5" x14ac:dyDescent="0.2">
      <c r="A29679">
        <v>84108</v>
      </c>
      <c r="B29679" t="s">
        <v>51</v>
      </c>
      <c r="C29679">
        <v>84108</v>
      </c>
      <c r="D29679" t="str">
        <f>"84108"</f>
        <v>84108</v>
      </c>
      <c r="E29679">
        <v>80.28</v>
      </c>
    </row>
    <row r="29680" spans="1:5" x14ac:dyDescent="0.2">
      <c r="A29680">
        <v>84109</v>
      </c>
      <c r="B29680" t="s">
        <v>51</v>
      </c>
      <c r="C29680">
        <v>84109</v>
      </c>
      <c r="D29680" t="str">
        <f>"84109"</f>
        <v>84109</v>
      </c>
      <c r="E29680">
        <v>80.34</v>
      </c>
    </row>
    <row r="29681" spans="1:5" x14ac:dyDescent="0.2">
      <c r="A29681">
        <v>84111</v>
      </c>
      <c r="B29681" t="s">
        <v>51</v>
      </c>
      <c r="C29681">
        <v>84111</v>
      </c>
      <c r="D29681" t="str">
        <f>"84111"</f>
        <v>84111</v>
      </c>
      <c r="E29681">
        <v>74.47</v>
      </c>
    </row>
    <row r="29682" spans="1:5" x14ac:dyDescent="0.2">
      <c r="A29682">
        <v>84112</v>
      </c>
      <c r="B29682" t="s">
        <v>51</v>
      </c>
      <c r="C29682">
        <v>84112</v>
      </c>
      <c r="D29682" t="str">
        <f>"84112"</f>
        <v>84112</v>
      </c>
      <c r="E29682">
        <v>26.53</v>
      </c>
    </row>
    <row r="29683" spans="1:5" x14ac:dyDescent="0.2">
      <c r="A29683">
        <v>84113</v>
      </c>
      <c r="B29683" t="s">
        <v>51</v>
      </c>
      <c r="C29683">
        <v>84113</v>
      </c>
      <c r="D29683" t="str">
        <f>"84113"</f>
        <v>84113</v>
      </c>
      <c r="E29683" t="s">
        <v>6</v>
      </c>
    </row>
    <row r="29684" spans="1:5" x14ac:dyDescent="0.2">
      <c r="A29684">
        <v>84115</v>
      </c>
      <c r="B29684" t="s">
        <v>51</v>
      </c>
      <c r="C29684">
        <v>84115</v>
      </c>
      <c r="D29684" t="str">
        <f>"84115"</f>
        <v>84115</v>
      </c>
      <c r="E29684">
        <v>67.69</v>
      </c>
    </row>
    <row r="29685" spans="1:5" x14ac:dyDescent="0.2">
      <c r="A29685">
        <v>84116</v>
      </c>
      <c r="B29685" t="s">
        <v>51</v>
      </c>
      <c r="C29685">
        <v>84116</v>
      </c>
      <c r="D29685" t="str">
        <f>"84116"</f>
        <v>84116</v>
      </c>
      <c r="E29685">
        <v>63.99</v>
      </c>
    </row>
    <row r="29686" spans="1:5" x14ac:dyDescent="0.2">
      <c r="A29686">
        <v>84117</v>
      </c>
      <c r="B29686" t="s">
        <v>51</v>
      </c>
      <c r="C29686">
        <v>84117</v>
      </c>
      <c r="D29686" t="str">
        <f>"84117"</f>
        <v>84117</v>
      </c>
      <c r="E29686">
        <v>78.91</v>
      </c>
    </row>
    <row r="29687" spans="1:5" x14ac:dyDescent="0.2">
      <c r="A29687">
        <v>84118</v>
      </c>
      <c r="B29687" t="s">
        <v>51</v>
      </c>
      <c r="C29687">
        <v>84118</v>
      </c>
      <c r="D29687" t="str">
        <f>"84118"</f>
        <v>84118</v>
      </c>
      <c r="E29687">
        <v>66.39</v>
      </c>
    </row>
    <row r="29688" spans="1:5" x14ac:dyDescent="0.2">
      <c r="A29688">
        <v>84119</v>
      </c>
      <c r="B29688" t="s">
        <v>51</v>
      </c>
      <c r="C29688">
        <v>84119</v>
      </c>
      <c r="D29688" t="str">
        <f>"84119"</f>
        <v>84119</v>
      </c>
      <c r="E29688">
        <v>62.35</v>
      </c>
    </row>
    <row r="29689" spans="1:5" x14ac:dyDescent="0.2">
      <c r="A29689">
        <v>84120</v>
      </c>
      <c r="B29689" t="s">
        <v>51</v>
      </c>
      <c r="C29689">
        <v>84120</v>
      </c>
      <c r="D29689" t="str">
        <f>"84120"</f>
        <v>84120</v>
      </c>
      <c r="E29689">
        <v>66.06</v>
      </c>
    </row>
    <row r="29690" spans="1:5" x14ac:dyDescent="0.2">
      <c r="A29690">
        <v>84121</v>
      </c>
      <c r="B29690" t="s">
        <v>51</v>
      </c>
      <c r="C29690">
        <v>84121</v>
      </c>
      <c r="D29690" t="str">
        <f>"84121"</f>
        <v>84121</v>
      </c>
      <c r="E29690">
        <v>79.7</v>
      </c>
    </row>
    <row r="29691" spans="1:5" x14ac:dyDescent="0.2">
      <c r="A29691">
        <v>84123</v>
      </c>
      <c r="B29691" t="s">
        <v>51</v>
      </c>
      <c r="C29691">
        <v>84123</v>
      </c>
      <c r="D29691" t="str">
        <f>"84123"</f>
        <v>84123</v>
      </c>
      <c r="E29691">
        <v>71.739999999999995</v>
      </c>
    </row>
    <row r="29692" spans="1:5" x14ac:dyDescent="0.2">
      <c r="A29692">
        <v>84124</v>
      </c>
      <c r="B29692" t="s">
        <v>51</v>
      </c>
      <c r="C29692">
        <v>84124</v>
      </c>
      <c r="D29692" t="str">
        <f>"84124"</f>
        <v>84124</v>
      </c>
      <c r="E29692">
        <v>79.13</v>
      </c>
    </row>
    <row r="29693" spans="1:5" x14ac:dyDescent="0.2">
      <c r="A29693">
        <v>84128</v>
      </c>
      <c r="B29693" t="s">
        <v>51</v>
      </c>
      <c r="C29693">
        <v>84128</v>
      </c>
      <c r="D29693" t="str">
        <f>"84128"</f>
        <v>84128</v>
      </c>
      <c r="E29693">
        <v>69.41</v>
      </c>
    </row>
    <row r="29694" spans="1:5" x14ac:dyDescent="0.2">
      <c r="A29694">
        <v>84129</v>
      </c>
      <c r="B29694" t="s">
        <v>51</v>
      </c>
      <c r="C29694">
        <v>84129</v>
      </c>
      <c r="D29694" t="str">
        <f>"84129"</f>
        <v>84129</v>
      </c>
      <c r="E29694" t="s">
        <v>6</v>
      </c>
    </row>
    <row r="29695" spans="1:5" x14ac:dyDescent="0.2">
      <c r="A29695">
        <v>84138</v>
      </c>
      <c r="B29695" t="s">
        <v>51</v>
      </c>
      <c r="C29695">
        <v>84138</v>
      </c>
      <c r="D29695" t="str">
        <f>"84138"</f>
        <v>84138</v>
      </c>
      <c r="E29695" t="s">
        <v>6</v>
      </c>
    </row>
    <row r="29696" spans="1:5" x14ac:dyDescent="0.2">
      <c r="A29696">
        <v>84143</v>
      </c>
      <c r="B29696" t="s">
        <v>51</v>
      </c>
      <c r="C29696">
        <v>84143</v>
      </c>
      <c r="D29696" t="str">
        <f>"84143"</f>
        <v>84143</v>
      </c>
      <c r="E29696" t="s">
        <v>6</v>
      </c>
    </row>
    <row r="29697" spans="1:5" x14ac:dyDescent="0.2">
      <c r="A29697">
        <v>84148</v>
      </c>
      <c r="B29697" t="s">
        <v>51</v>
      </c>
      <c r="C29697">
        <v>84148</v>
      </c>
      <c r="D29697" t="str">
        <f>"84148"</f>
        <v>84148</v>
      </c>
      <c r="E29697" t="s">
        <v>6</v>
      </c>
    </row>
    <row r="29698" spans="1:5" x14ac:dyDescent="0.2">
      <c r="A29698">
        <v>84150</v>
      </c>
      <c r="B29698" t="s">
        <v>51</v>
      </c>
      <c r="C29698">
        <v>84150</v>
      </c>
      <c r="D29698" t="str">
        <f>"84150"</f>
        <v>84150</v>
      </c>
      <c r="E29698" t="s">
        <v>6</v>
      </c>
    </row>
    <row r="29699" spans="1:5" x14ac:dyDescent="0.2">
      <c r="A29699">
        <v>84199</v>
      </c>
      <c r="B29699" t="s">
        <v>51</v>
      </c>
      <c r="C29699">
        <v>84199</v>
      </c>
      <c r="D29699" t="str">
        <f>"84199"</f>
        <v>84199</v>
      </c>
      <c r="E29699" t="s">
        <v>6</v>
      </c>
    </row>
    <row r="29700" spans="1:5" x14ac:dyDescent="0.2">
      <c r="A29700">
        <v>84201</v>
      </c>
      <c r="B29700" t="s">
        <v>51</v>
      </c>
      <c r="C29700">
        <v>84201</v>
      </c>
      <c r="D29700" t="str">
        <f>"84201"</f>
        <v>84201</v>
      </c>
      <c r="E29700" t="s">
        <v>6</v>
      </c>
    </row>
    <row r="29701" spans="1:5" x14ac:dyDescent="0.2">
      <c r="A29701">
        <v>84301</v>
      </c>
      <c r="B29701" t="s">
        <v>51</v>
      </c>
      <c r="C29701">
        <v>84301</v>
      </c>
      <c r="D29701" t="str">
        <f>"84301"</f>
        <v>84301</v>
      </c>
      <c r="E29701" t="s">
        <v>6</v>
      </c>
    </row>
    <row r="29702" spans="1:5" x14ac:dyDescent="0.2">
      <c r="A29702">
        <v>84302</v>
      </c>
      <c r="B29702" t="s">
        <v>51</v>
      </c>
      <c r="C29702">
        <v>84302</v>
      </c>
      <c r="D29702" t="str">
        <f>"84302"</f>
        <v>84302</v>
      </c>
      <c r="E29702">
        <v>70.31</v>
      </c>
    </row>
    <row r="29703" spans="1:5" x14ac:dyDescent="0.2">
      <c r="A29703">
        <v>84304</v>
      </c>
      <c r="B29703" t="s">
        <v>51</v>
      </c>
      <c r="C29703">
        <v>84304</v>
      </c>
      <c r="D29703" t="str">
        <f>"84304"</f>
        <v>84304</v>
      </c>
      <c r="E29703" t="s">
        <v>6</v>
      </c>
    </row>
    <row r="29704" spans="1:5" x14ac:dyDescent="0.2">
      <c r="A29704">
        <v>84305</v>
      </c>
      <c r="B29704" t="s">
        <v>51</v>
      </c>
      <c r="C29704">
        <v>84305</v>
      </c>
      <c r="D29704" t="str">
        <f>"84305"</f>
        <v>84305</v>
      </c>
      <c r="E29704" t="s">
        <v>6</v>
      </c>
    </row>
    <row r="29705" spans="1:5" x14ac:dyDescent="0.2">
      <c r="A29705">
        <v>84306</v>
      </c>
      <c r="B29705" t="s">
        <v>51</v>
      </c>
      <c r="C29705">
        <v>84306</v>
      </c>
      <c r="D29705" t="str">
        <f>"84306"</f>
        <v>84306</v>
      </c>
      <c r="E29705">
        <v>73.33</v>
      </c>
    </row>
    <row r="29706" spans="1:5" x14ac:dyDescent="0.2">
      <c r="A29706">
        <v>84307</v>
      </c>
      <c r="B29706" t="s">
        <v>51</v>
      </c>
      <c r="C29706">
        <v>84307</v>
      </c>
      <c r="D29706" t="str">
        <f>"84307"</f>
        <v>84307</v>
      </c>
      <c r="E29706">
        <v>73.13</v>
      </c>
    </row>
    <row r="29707" spans="1:5" x14ac:dyDescent="0.2">
      <c r="A29707">
        <v>84308</v>
      </c>
      <c r="B29707" t="s">
        <v>51</v>
      </c>
      <c r="C29707">
        <v>84308</v>
      </c>
      <c r="D29707" t="str">
        <f>"84308"</f>
        <v>84308</v>
      </c>
      <c r="E29707">
        <v>60</v>
      </c>
    </row>
    <row r="29708" spans="1:5" x14ac:dyDescent="0.2">
      <c r="A29708">
        <v>84309</v>
      </c>
      <c r="B29708" t="s">
        <v>51</v>
      </c>
      <c r="C29708">
        <v>84309</v>
      </c>
      <c r="D29708" t="str">
        <f>"84309"</f>
        <v>84309</v>
      </c>
      <c r="E29708">
        <v>76.92</v>
      </c>
    </row>
    <row r="29709" spans="1:5" x14ac:dyDescent="0.2">
      <c r="A29709">
        <v>84310</v>
      </c>
      <c r="B29709" t="s">
        <v>51</v>
      </c>
      <c r="C29709">
        <v>84310</v>
      </c>
      <c r="D29709" t="str">
        <f>"84310"</f>
        <v>84310</v>
      </c>
      <c r="E29709">
        <v>80.37</v>
      </c>
    </row>
    <row r="29710" spans="1:5" x14ac:dyDescent="0.2">
      <c r="A29710">
        <v>84311</v>
      </c>
      <c r="B29710" t="s">
        <v>51</v>
      </c>
      <c r="C29710">
        <v>84311</v>
      </c>
      <c r="D29710" t="str">
        <f>"84311"</f>
        <v>84311</v>
      </c>
      <c r="E29710">
        <v>67.650000000000006</v>
      </c>
    </row>
    <row r="29711" spans="1:5" x14ac:dyDescent="0.2">
      <c r="A29711">
        <v>84312</v>
      </c>
      <c r="B29711" t="s">
        <v>51</v>
      </c>
      <c r="C29711">
        <v>84312</v>
      </c>
      <c r="D29711" t="str">
        <f>"84312"</f>
        <v>84312</v>
      </c>
      <c r="E29711">
        <v>68.13</v>
      </c>
    </row>
    <row r="29712" spans="1:5" x14ac:dyDescent="0.2">
      <c r="A29712">
        <v>84313</v>
      </c>
      <c r="B29712" t="s">
        <v>51</v>
      </c>
      <c r="C29712">
        <v>84313</v>
      </c>
      <c r="D29712" t="str">
        <f>"84313"</f>
        <v>84313</v>
      </c>
      <c r="E29712" t="s">
        <v>6</v>
      </c>
    </row>
    <row r="29713" spans="1:5" x14ac:dyDescent="0.2">
      <c r="A29713">
        <v>84314</v>
      </c>
      <c r="B29713" t="s">
        <v>51</v>
      </c>
      <c r="C29713">
        <v>84314</v>
      </c>
      <c r="D29713" t="str">
        <f>"84314"</f>
        <v>84314</v>
      </c>
      <c r="E29713">
        <v>72.55</v>
      </c>
    </row>
    <row r="29714" spans="1:5" x14ac:dyDescent="0.2">
      <c r="A29714">
        <v>84315</v>
      </c>
      <c r="B29714" t="s">
        <v>51</v>
      </c>
      <c r="C29714">
        <v>84315</v>
      </c>
      <c r="D29714" t="str">
        <f>"84315"</f>
        <v>84315</v>
      </c>
      <c r="E29714">
        <v>78.010000000000005</v>
      </c>
    </row>
    <row r="29715" spans="1:5" x14ac:dyDescent="0.2">
      <c r="A29715">
        <v>84316</v>
      </c>
      <c r="B29715" t="s">
        <v>51</v>
      </c>
      <c r="C29715">
        <v>84316</v>
      </c>
      <c r="D29715" t="str">
        <f>"84316"</f>
        <v>84316</v>
      </c>
      <c r="E29715" t="s">
        <v>6</v>
      </c>
    </row>
    <row r="29716" spans="1:5" x14ac:dyDescent="0.2">
      <c r="A29716">
        <v>84317</v>
      </c>
      <c r="B29716" t="s">
        <v>51</v>
      </c>
      <c r="C29716">
        <v>84317</v>
      </c>
      <c r="D29716" t="str">
        <f>"84317"</f>
        <v>84317</v>
      </c>
      <c r="E29716">
        <v>76.790000000000006</v>
      </c>
    </row>
    <row r="29717" spans="1:5" x14ac:dyDescent="0.2">
      <c r="A29717">
        <v>84318</v>
      </c>
      <c r="B29717" t="s">
        <v>51</v>
      </c>
      <c r="C29717">
        <v>84318</v>
      </c>
      <c r="D29717" t="str">
        <f>"84318"</f>
        <v>84318</v>
      </c>
      <c r="E29717">
        <v>71.36</v>
      </c>
    </row>
    <row r="29718" spans="1:5" x14ac:dyDescent="0.2">
      <c r="A29718">
        <v>84319</v>
      </c>
      <c r="B29718" t="s">
        <v>51</v>
      </c>
      <c r="C29718">
        <v>84319</v>
      </c>
      <c r="D29718" t="str">
        <f>"84319"</f>
        <v>84319</v>
      </c>
      <c r="E29718">
        <v>67.540000000000006</v>
      </c>
    </row>
    <row r="29719" spans="1:5" x14ac:dyDescent="0.2">
      <c r="A29719">
        <v>84320</v>
      </c>
      <c r="B29719" t="s">
        <v>51</v>
      </c>
      <c r="C29719">
        <v>84320</v>
      </c>
      <c r="D29719" t="str">
        <f>"84320"</f>
        <v>84320</v>
      </c>
      <c r="E29719">
        <v>67.02</v>
      </c>
    </row>
    <row r="29720" spans="1:5" x14ac:dyDescent="0.2">
      <c r="A29720">
        <v>84321</v>
      </c>
      <c r="B29720" t="s">
        <v>51</v>
      </c>
      <c r="C29720">
        <v>84321</v>
      </c>
      <c r="D29720" t="str">
        <f>"84321"</f>
        <v>84321</v>
      </c>
      <c r="E29720">
        <v>62.14</v>
      </c>
    </row>
    <row r="29721" spans="1:5" x14ac:dyDescent="0.2">
      <c r="A29721">
        <v>84322</v>
      </c>
      <c r="B29721" t="s">
        <v>51</v>
      </c>
      <c r="C29721">
        <v>84322</v>
      </c>
      <c r="D29721" t="str">
        <f>"84322"</f>
        <v>84322</v>
      </c>
      <c r="E29721" t="s">
        <v>6</v>
      </c>
    </row>
    <row r="29722" spans="1:5" x14ac:dyDescent="0.2">
      <c r="A29722">
        <v>84324</v>
      </c>
      <c r="B29722" t="s">
        <v>51</v>
      </c>
      <c r="C29722">
        <v>84324</v>
      </c>
      <c r="D29722" t="str">
        <f>"84324"</f>
        <v>84324</v>
      </c>
      <c r="E29722">
        <v>78.569999999999993</v>
      </c>
    </row>
    <row r="29723" spans="1:5" x14ac:dyDescent="0.2">
      <c r="A29723">
        <v>84325</v>
      </c>
      <c r="B29723" t="s">
        <v>51</v>
      </c>
      <c r="C29723">
        <v>84325</v>
      </c>
      <c r="D29723" t="str">
        <f>"84325"</f>
        <v>84325</v>
      </c>
      <c r="E29723">
        <v>68.75</v>
      </c>
    </row>
    <row r="29724" spans="1:5" x14ac:dyDescent="0.2">
      <c r="A29724">
        <v>84326</v>
      </c>
      <c r="B29724" t="s">
        <v>51</v>
      </c>
      <c r="C29724">
        <v>84326</v>
      </c>
      <c r="D29724" t="str">
        <f>"84326"</f>
        <v>84326</v>
      </c>
      <c r="E29724" t="s">
        <v>6</v>
      </c>
    </row>
    <row r="29725" spans="1:5" x14ac:dyDescent="0.2">
      <c r="A29725">
        <v>84327</v>
      </c>
      <c r="B29725" t="s">
        <v>51</v>
      </c>
      <c r="C29725">
        <v>84327</v>
      </c>
      <c r="D29725" t="str">
        <f>"84327"</f>
        <v>84327</v>
      </c>
      <c r="E29725" t="s">
        <v>6</v>
      </c>
    </row>
    <row r="29726" spans="1:5" x14ac:dyDescent="0.2">
      <c r="A29726">
        <v>84328</v>
      </c>
      <c r="B29726" t="s">
        <v>51</v>
      </c>
      <c r="C29726">
        <v>84328</v>
      </c>
      <c r="D29726" t="str">
        <f>"84328"</f>
        <v>84328</v>
      </c>
      <c r="E29726">
        <v>70.73</v>
      </c>
    </row>
    <row r="29727" spans="1:5" x14ac:dyDescent="0.2">
      <c r="A29727">
        <v>84329</v>
      </c>
      <c r="B29727" t="s">
        <v>51</v>
      </c>
      <c r="C29727">
        <v>84329</v>
      </c>
      <c r="D29727" t="str">
        <f>"84329"</f>
        <v>84329</v>
      </c>
      <c r="E29727" t="s">
        <v>6</v>
      </c>
    </row>
    <row r="29728" spans="1:5" x14ac:dyDescent="0.2">
      <c r="A29728">
        <v>84330</v>
      </c>
      <c r="B29728" t="s">
        <v>51</v>
      </c>
      <c r="C29728">
        <v>84330</v>
      </c>
      <c r="D29728" t="str">
        <f>"84330"</f>
        <v>84330</v>
      </c>
      <c r="E29728" t="s">
        <v>6</v>
      </c>
    </row>
    <row r="29729" spans="1:5" x14ac:dyDescent="0.2">
      <c r="A29729">
        <v>84331</v>
      </c>
      <c r="B29729" t="s">
        <v>51</v>
      </c>
      <c r="C29729">
        <v>84331</v>
      </c>
      <c r="D29729" t="str">
        <f>"84331"</f>
        <v>84331</v>
      </c>
      <c r="E29729">
        <v>72.73</v>
      </c>
    </row>
    <row r="29730" spans="1:5" x14ac:dyDescent="0.2">
      <c r="A29730">
        <v>84332</v>
      </c>
      <c r="B29730" t="s">
        <v>51</v>
      </c>
      <c r="C29730">
        <v>84332</v>
      </c>
      <c r="D29730" t="str">
        <f>"84332"</f>
        <v>84332</v>
      </c>
      <c r="E29730">
        <v>73.75</v>
      </c>
    </row>
    <row r="29731" spans="1:5" x14ac:dyDescent="0.2">
      <c r="A29731">
        <v>84333</v>
      </c>
      <c r="B29731" t="s">
        <v>51</v>
      </c>
      <c r="C29731">
        <v>84333</v>
      </c>
      <c r="D29731" t="str">
        <f>"84333"</f>
        <v>84333</v>
      </c>
      <c r="E29731">
        <v>68.849999999999994</v>
      </c>
    </row>
    <row r="29732" spans="1:5" x14ac:dyDescent="0.2">
      <c r="A29732">
        <v>84334</v>
      </c>
      <c r="B29732" t="s">
        <v>51</v>
      </c>
      <c r="C29732">
        <v>84334</v>
      </c>
      <c r="D29732" t="str">
        <f>"84334"</f>
        <v>84334</v>
      </c>
      <c r="E29732" t="s">
        <v>6</v>
      </c>
    </row>
    <row r="29733" spans="1:5" x14ac:dyDescent="0.2">
      <c r="A29733">
        <v>84335</v>
      </c>
      <c r="B29733" t="s">
        <v>51</v>
      </c>
      <c r="C29733">
        <v>84335</v>
      </c>
      <c r="D29733" t="str">
        <f>"84335"</f>
        <v>84335</v>
      </c>
      <c r="E29733">
        <v>67.959999999999994</v>
      </c>
    </row>
    <row r="29734" spans="1:5" x14ac:dyDescent="0.2">
      <c r="A29734">
        <v>84336</v>
      </c>
      <c r="B29734" t="s">
        <v>51</v>
      </c>
      <c r="C29734">
        <v>84336</v>
      </c>
      <c r="D29734" t="str">
        <f>"84336"</f>
        <v>84336</v>
      </c>
      <c r="E29734">
        <v>40</v>
      </c>
    </row>
    <row r="29735" spans="1:5" x14ac:dyDescent="0.2">
      <c r="A29735">
        <v>84337</v>
      </c>
      <c r="B29735" t="s">
        <v>51</v>
      </c>
      <c r="C29735">
        <v>84337</v>
      </c>
      <c r="D29735" t="str">
        <f>"84337"</f>
        <v>84337</v>
      </c>
      <c r="E29735">
        <v>69.83</v>
      </c>
    </row>
    <row r="29736" spans="1:5" x14ac:dyDescent="0.2">
      <c r="A29736">
        <v>84338</v>
      </c>
      <c r="B29736" t="s">
        <v>51</v>
      </c>
      <c r="C29736">
        <v>84338</v>
      </c>
      <c r="D29736" t="str">
        <f>"84338"</f>
        <v>84338</v>
      </c>
      <c r="E29736">
        <v>63.64</v>
      </c>
    </row>
    <row r="29737" spans="1:5" x14ac:dyDescent="0.2">
      <c r="A29737">
        <v>84339</v>
      </c>
      <c r="B29737" t="s">
        <v>51</v>
      </c>
      <c r="C29737">
        <v>84339</v>
      </c>
      <c r="D29737" t="str">
        <f>"84339"</f>
        <v>84339</v>
      </c>
      <c r="E29737">
        <v>74.89</v>
      </c>
    </row>
    <row r="29738" spans="1:5" x14ac:dyDescent="0.2">
      <c r="A29738">
        <v>84340</v>
      </c>
      <c r="B29738" t="s">
        <v>51</v>
      </c>
      <c r="C29738">
        <v>84340</v>
      </c>
      <c r="D29738" t="str">
        <f>"84340"</f>
        <v>84340</v>
      </c>
      <c r="E29738">
        <v>75.3</v>
      </c>
    </row>
    <row r="29739" spans="1:5" x14ac:dyDescent="0.2">
      <c r="A29739">
        <v>84341</v>
      </c>
      <c r="B29739" t="s">
        <v>51</v>
      </c>
      <c r="C29739">
        <v>84341</v>
      </c>
      <c r="D29739" t="str">
        <f>"84341"</f>
        <v>84341</v>
      </c>
      <c r="E29739">
        <v>63.4</v>
      </c>
    </row>
    <row r="29740" spans="1:5" x14ac:dyDescent="0.2">
      <c r="A29740">
        <v>84401</v>
      </c>
      <c r="B29740" t="s">
        <v>51</v>
      </c>
      <c r="C29740">
        <v>84401</v>
      </c>
      <c r="D29740" t="str">
        <f>"84401"</f>
        <v>84401</v>
      </c>
      <c r="E29740">
        <v>70.34</v>
      </c>
    </row>
    <row r="29741" spans="1:5" x14ac:dyDescent="0.2">
      <c r="A29741">
        <v>84403</v>
      </c>
      <c r="B29741" t="s">
        <v>51</v>
      </c>
      <c r="C29741">
        <v>84403</v>
      </c>
      <c r="D29741" t="str">
        <f>"84403"</f>
        <v>84403</v>
      </c>
      <c r="E29741">
        <v>71.900000000000006</v>
      </c>
    </row>
    <row r="29742" spans="1:5" x14ac:dyDescent="0.2">
      <c r="A29742">
        <v>84404</v>
      </c>
      <c r="B29742" t="s">
        <v>51</v>
      </c>
      <c r="C29742">
        <v>84404</v>
      </c>
      <c r="D29742" t="str">
        <f>"84404"</f>
        <v>84404</v>
      </c>
      <c r="E29742">
        <v>71.06</v>
      </c>
    </row>
    <row r="29743" spans="1:5" x14ac:dyDescent="0.2">
      <c r="A29743">
        <v>84405</v>
      </c>
      <c r="B29743" t="s">
        <v>51</v>
      </c>
      <c r="C29743">
        <v>84405</v>
      </c>
      <c r="D29743" t="str">
        <f>"84405"</f>
        <v>84405</v>
      </c>
      <c r="E29743">
        <v>74.41</v>
      </c>
    </row>
    <row r="29744" spans="1:5" x14ac:dyDescent="0.2">
      <c r="A29744">
        <v>84408</v>
      </c>
      <c r="B29744" t="s">
        <v>51</v>
      </c>
      <c r="C29744">
        <v>84408</v>
      </c>
      <c r="D29744" t="str">
        <f>"84408"</f>
        <v>84408</v>
      </c>
      <c r="E29744" t="s">
        <v>6</v>
      </c>
    </row>
    <row r="29745" spans="1:5" x14ac:dyDescent="0.2">
      <c r="A29745">
        <v>84414</v>
      </c>
      <c r="B29745" t="s">
        <v>51</v>
      </c>
      <c r="C29745">
        <v>84414</v>
      </c>
      <c r="D29745" t="str">
        <f>"84414"</f>
        <v>84414</v>
      </c>
      <c r="E29745">
        <v>77.17</v>
      </c>
    </row>
    <row r="29746" spans="1:5" x14ac:dyDescent="0.2">
      <c r="A29746">
        <v>84501</v>
      </c>
      <c r="B29746" t="s">
        <v>51</v>
      </c>
      <c r="C29746">
        <v>84501</v>
      </c>
      <c r="D29746" t="str">
        <f>"84501"</f>
        <v>84501</v>
      </c>
      <c r="E29746">
        <v>67.459999999999994</v>
      </c>
    </row>
    <row r="29747" spans="1:5" x14ac:dyDescent="0.2">
      <c r="A29747">
        <v>84510</v>
      </c>
      <c r="B29747" t="s">
        <v>51</v>
      </c>
      <c r="C29747">
        <v>84510</v>
      </c>
      <c r="D29747" t="str">
        <f>"84510"</f>
        <v>84510</v>
      </c>
      <c r="E29747" t="s">
        <v>6</v>
      </c>
    </row>
    <row r="29748" spans="1:5" x14ac:dyDescent="0.2">
      <c r="A29748">
        <v>84511</v>
      </c>
      <c r="B29748" t="s">
        <v>51</v>
      </c>
      <c r="C29748">
        <v>84511</v>
      </c>
      <c r="D29748" t="str">
        <f>"84511"</f>
        <v>84511</v>
      </c>
      <c r="E29748">
        <v>59.35</v>
      </c>
    </row>
    <row r="29749" spans="1:5" x14ac:dyDescent="0.2">
      <c r="A29749">
        <v>84512</v>
      </c>
      <c r="B29749" t="s">
        <v>51</v>
      </c>
      <c r="C29749">
        <v>84512</v>
      </c>
      <c r="D29749" t="str">
        <f>"84512"</f>
        <v>84512</v>
      </c>
      <c r="E29749" t="s">
        <v>6</v>
      </c>
    </row>
    <row r="29750" spans="1:5" x14ac:dyDescent="0.2">
      <c r="A29750">
        <v>84513</v>
      </c>
      <c r="B29750" t="s">
        <v>51</v>
      </c>
      <c r="C29750">
        <v>84513</v>
      </c>
      <c r="D29750" t="str">
        <f>"84513"</f>
        <v>84513</v>
      </c>
      <c r="E29750" t="s">
        <v>6</v>
      </c>
    </row>
    <row r="29751" spans="1:5" x14ac:dyDescent="0.2">
      <c r="A29751">
        <v>84515</v>
      </c>
      <c r="B29751" t="s">
        <v>51</v>
      </c>
      <c r="C29751">
        <v>84515</v>
      </c>
      <c r="D29751" t="str">
        <f>"84515"</f>
        <v>84515</v>
      </c>
      <c r="E29751" t="s">
        <v>6</v>
      </c>
    </row>
    <row r="29752" spans="1:5" x14ac:dyDescent="0.2">
      <c r="A29752">
        <v>84516</v>
      </c>
      <c r="B29752" t="s">
        <v>51</v>
      </c>
      <c r="C29752">
        <v>84516</v>
      </c>
      <c r="D29752" t="str">
        <f>"84516"</f>
        <v>84516</v>
      </c>
      <c r="E29752" t="s">
        <v>6</v>
      </c>
    </row>
    <row r="29753" spans="1:5" x14ac:dyDescent="0.2">
      <c r="A29753">
        <v>84518</v>
      </c>
      <c r="B29753" t="s">
        <v>51</v>
      </c>
      <c r="C29753">
        <v>84518</v>
      </c>
      <c r="D29753" t="str">
        <f>"84518"</f>
        <v>84518</v>
      </c>
      <c r="E29753" t="s">
        <v>6</v>
      </c>
    </row>
    <row r="29754" spans="1:5" x14ac:dyDescent="0.2">
      <c r="A29754">
        <v>84520</v>
      </c>
      <c r="B29754" t="s">
        <v>51</v>
      </c>
      <c r="C29754">
        <v>84520</v>
      </c>
      <c r="D29754" t="str">
        <f>"84520"</f>
        <v>84520</v>
      </c>
      <c r="E29754">
        <v>60.61</v>
      </c>
    </row>
    <row r="29755" spans="1:5" x14ac:dyDescent="0.2">
      <c r="A29755">
        <v>84521</v>
      </c>
      <c r="B29755" t="s">
        <v>51</v>
      </c>
      <c r="C29755">
        <v>84521</v>
      </c>
      <c r="D29755" t="str">
        <f>"84521"</f>
        <v>84521</v>
      </c>
      <c r="E29755">
        <v>62.5</v>
      </c>
    </row>
    <row r="29756" spans="1:5" x14ac:dyDescent="0.2">
      <c r="A29756">
        <v>84522</v>
      </c>
      <c r="B29756" t="s">
        <v>51</v>
      </c>
      <c r="C29756">
        <v>84522</v>
      </c>
      <c r="D29756" t="str">
        <f>"84522"</f>
        <v>84522</v>
      </c>
      <c r="E29756" t="s">
        <v>6</v>
      </c>
    </row>
    <row r="29757" spans="1:5" x14ac:dyDescent="0.2">
      <c r="A29757">
        <v>84523</v>
      </c>
      <c r="B29757" t="s">
        <v>51</v>
      </c>
      <c r="C29757">
        <v>84523</v>
      </c>
      <c r="D29757" t="str">
        <f>"84523"</f>
        <v>84523</v>
      </c>
      <c r="E29757" t="s">
        <v>6</v>
      </c>
    </row>
    <row r="29758" spans="1:5" x14ac:dyDescent="0.2">
      <c r="A29758">
        <v>84525</v>
      </c>
      <c r="B29758" t="s">
        <v>51</v>
      </c>
      <c r="C29758">
        <v>84525</v>
      </c>
      <c r="D29758" t="str">
        <f>"84525"</f>
        <v>84525</v>
      </c>
      <c r="E29758">
        <v>60.87</v>
      </c>
    </row>
    <row r="29759" spans="1:5" x14ac:dyDescent="0.2">
      <c r="A29759">
        <v>84526</v>
      </c>
      <c r="B29759" t="s">
        <v>51</v>
      </c>
      <c r="C29759">
        <v>84526</v>
      </c>
      <c r="D29759" t="str">
        <f>"84526"</f>
        <v>84526</v>
      </c>
      <c r="E29759">
        <v>70.319999999999993</v>
      </c>
    </row>
    <row r="29760" spans="1:5" x14ac:dyDescent="0.2">
      <c r="A29760">
        <v>84528</v>
      </c>
      <c r="B29760" t="s">
        <v>51</v>
      </c>
      <c r="C29760">
        <v>84528</v>
      </c>
      <c r="D29760" t="str">
        <f>"84528"</f>
        <v>84528</v>
      </c>
      <c r="E29760" t="s">
        <v>6</v>
      </c>
    </row>
    <row r="29761" spans="1:5" x14ac:dyDescent="0.2">
      <c r="A29761">
        <v>84530</v>
      </c>
      <c r="B29761" t="s">
        <v>51</v>
      </c>
      <c r="C29761">
        <v>84530</v>
      </c>
      <c r="D29761" t="str">
        <f>"84530"</f>
        <v>84530</v>
      </c>
      <c r="E29761" t="s">
        <v>6</v>
      </c>
    </row>
    <row r="29762" spans="1:5" x14ac:dyDescent="0.2">
      <c r="A29762">
        <v>84531</v>
      </c>
      <c r="B29762" t="s">
        <v>51</v>
      </c>
      <c r="C29762">
        <v>84531</v>
      </c>
      <c r="D29762" t="str">
        <f>"84531"</f>
        <v>84531</v>
      </c>
      <c r="E29762" t="s">
        <v>6</v>
      </c>
    </row>
    <row r="29763" spans="1:5" x14ac:dyDescent="0.2">
      <c r="A29763">
        <v>84532</v>
      </c>
      <c r="B29763" t="s">
        <v>51</v>
      </c>
      <c r="C29763">
        <v>84532</v>
      </c>
      <c r="D29763" t="str">
        <f>"84532"</f>
        <v>84532</v>
      </c>
      <c r="E29763">
        <v>71.709999999999994</v>
      </c>
    </row>
    <row r="29764" spans="1:5" x14ac:dyDescent="0.2">
      <c r="A29764">
        <v>84533</v>
      </c>
      <c r="B29764" t="s">
        <v>51</v>
      </c>
      <c r="C29764">
        <v>84533</v>
      </c>
      <c r="D29764" t="str">
        <f>"84533"</f>
        <v>84533</v>
      </c>
      <c r="E29764" t="s">
        <v>6</v>
      </c>
    </row>
    <row r="29765" spans="1:5" x14ac:dyDescent="0.2">
      <c r="A29765">
        <v>84534</v>
      </c>
      <c r="B29765" t="s">
        <v>51</v>
      </c>
      <c r="C29765">
        <v>84534</v>
      </c>
      <c r="D29765" t="str">
        <f>"84534"</f>
        <v>84534</v>
      </c>
      <c r="E29765" t="s">
        <v>6</v>
      </c>
    </row>
    <row r="29766" spans="1:5" x14ac:dyDescent="0.2">
      <c r="A29766">
        <v>84535</v>
      </c>
      <c r="B29766" t="s">
        <v>51</v>
      </c>
      <c r="C29766">
        <v>84535</v>
      </c>
      <c r="D29766" t="str">
        <f>"84535"</f>
        <v>84535</v>
      </c>
      <c r="E29766">
        <v>66.319999999999993</v>
      </c>
    </row>
    <row r="29767" spans="1:5" x14ac:dyDescent="0.2">
      <c r="A29767">
        <v>84536</v>
      </c>
      <c r="B29767" t="s">
        <v>51</v>
      </c>
      <c r="C29767">
        <v>84536</v>
      </c>
      <c r="D29767" t="str">
        <f>"84536"</f>
        <v>84536</v>
      </c>
      <c r="E29767" t="s">
        <v>6</v>
      </c>
    </row>
    <row r="29768" spans="1:5" x14ac:dyDescent="0.2">
      <c r="A29768">
        <v>84537</v>
      </c>
      <c r="B29768" t="s">
        <v>51</v>
      </c>
      <c r="C29768">
        <v>84537</v>
      </c>
      <c r="D29768" t="str">
        <f>"84537"</f>
        <v>84537</v>
      </c>
      <c r="E29768" t="s">
        <v>6</v>
      </c>
    </row>
    <row r="29769" spans="1:5" x14ac:dyDescent="0.2">
      <c r="A29769">
        <v>84539</v>
      </c>
      <c r="B29769" t="s">
        <v>51</v>
      </c>
      <c r="C29769">
        <v>84539</v>
      </c>
      <c r="D29769" t="str">
        <f>"84539"</f>
        <v>84539</v>
      </c>
      <c r="E29769" t="s">
        <v>6</v>
      </c>
    </row>
    <row r="29770" spans="1:5" x14ac:dyDescent="0.2">
      <c r="A29770">
        <v>84540</v>
      </c>
      <c r="B29770" t="s">
        <v>51</v>
      </c>
      <c r="C29770">
        <v>84540</v>
      </c>
      <c r="D29770" t="str">
        <f>"84540"</f>
        <v>84540</v>
      </c>
      <c r="E29770" t="s">
        <v>6</v>
      </c>
    </row>
    <row r="29771" spans="1:5" x14ac:dyDescent="0.2">
      <c r="A29771">
        <v>84542</v>
      </c>
      <c r="B29771" t="s">
        <v>51</v>
      </c>
      <c r="C29771">
        <v>84542</v>
      </c>
      <c r="D29771" t="str">
        <f>"84542"</f>
        <v>84542</v>
      </c>
      <c r="E29771">
        <v>64.709999999999994</v>
      </c>
    </row>
    <row r="29772" spans="1:5" x14ac:dyDescent="0.2">
      <c r="A29772">
        <v>84601</v>
      </c>
      <c r="B29772" t="s">
        <v>51</v>
      </c>
      <c r="C29772">
        <v>84601</v>
      </c>
      <c r="D29772" t="str">
        <f>"84601"</f>
        <v>84601</v>
      </c>
      <c r="E29772">
        <v>60.26</v>
      </c>
    </row>
    <row r="29773" spans="1:5" x14ac:dyDescent="0.2">
      <c r="A29773">
        <v>84602</v>
      </c>
      <c r="B29773" t="s">
        <v>51</v>
      </c>
      <c r="C29773">
        <v>84602</v>
      </c>
      <c r="D29773" t="str">
        <f>"84602"</f>
        <v>84602</v>
      </c>
      <c r="E29773" t="s">
        <v>6</v>
      </c>
    </row>
    <row r="29774" spans="1:5" x14ac:dyDescent="0.2">
      <c r="A29774">
        <v>84604</v>
      </c>
      <c r="B29774" t="s">
        <v>51</v>
      </c>
      <c r="C29774">
        <v>84604</v>
      </c>
      <c r="D29774" t="str">
        <f>"84604"</f>
        <v>84604</v>
      </c>
      <c r="E29774">
        <v>61.41</v>
      </c>
    </row>
    <row r="29775" spans="1:5" x14ac:dyDescent="0.2">
      <c r="A29775">
        <v>84606</v>
      </c>
      <c r="B29775" t="s">
        <v>51</v>
      </c>
      <c r="C29775">
        <v>84606</v>
      </c>
      <c r="D29775" t="str">
        <f>"84606"</f>
        <v>84606</v>
      </c>
      <c r="E29775">
        <v>53.49</v>
      </c>
    </row>
    <row r="29776" spans="1:5" x14ac:dyDescent="0.2">
      <c r="A29776">
        <v>84620</v>
      </c>
      <c r="B29776" t="s">
        <v>51</v>
      </c>
      <c r="C29776">
        <v>84620</v>
      </c>
      <c r="D29776" t="str">
        <f>"84620"</f>
        <v>84620</v>
      </c>
      <c r="E29776" t="s">
        <v>6</v>
      </c>
    </row>
    <row r="29777" spans="1:5" x14ac:dyDescent="0.2">
      <c r="A29777">
        <v>84621</v>
      </c>
      <c r="B29777" t="s">
        <v>51</v>
      </c>
      <c r="C29777">
        <v>84621</v>
      </c>
      <c r="D29777" t="str">
        <f>"84621"</f>
        <v>84621</v>
      </c>
      <c r="E29777">
        <v>63.64</v>
      </c>
    </row>
    <row r="29778" spans="1:5" x14ac:dyDescent="0.2">
      <c r="A29778">
        <v>84622</v>
      </c>
      <c r="B29778" t="s">
        <v>51</v>
      </c>
      <c r="C29778">
        <v>84622</v>
      </c>
      <c r="D29778" t="str">
        <f>"84622"</f>
        <v>84622</v>
      </c>
      <c r="E29778" t="s">
        <v>6</v>
      </c>
    </row>
    <row r="29779" spans="1:5" x14ac:dyDescent="0.2">
      <c r="A29779">
        <v>84624</v>
      </c>
      <c r="B29779" t="s">
        <v>51</v>
      </c>
      <c r="C29779">
        <v>84624</v>
      </c>
      <c r="D29779" t="str">
        <f>"84624"</f>
        <v>84624</v>
      </c>
      <c r="E29779">
        <v>63.21</v>
      </c>
    </row>
    <row r="29780" spans="1:5" x14ac:dyDescent="0.2">
      <c r="A29780">
        <v>84626</v>
      </c>
      <c r="B29780" t="s">
        <v>51</v>
      </c>
      <c r="C29780">
        <v>84626</v>
      </c>
      <c r="D29780" t="str">
        <f>"84626"</f>
        <v>84626</v>
      </c>
      <c r="E29780" t="s">
        <v>6</v>
      </c>
    </row>
    <row r="29781" spans="1:5" x14ac:dyDescent="0.2">
      <c r="A29781">
        <v>84627</v>
      </c>
      <c r="B29781" t="s">
        <v>51</v>
      </c>
      <c r="C29781">
        <v>84627</v>
      </c>
      <c r="D29781" t="str">
        <f>"84627"</f>
        <v>84627</v>
      </c>
      <c r="E29781">
        <v>55.43</v>
      </c>
    </row>
    <row r="29782" spans="1:5" x14ac:dyDescent="0.2">
      <c r="A29782">
        <v>84628</v>
      </c>
      <c r="B29782" t="s">
        <v>51</v>
      </c>
      <c r="C29782">
        <v>84628</v>
      </c>
      <c r="D29782" t="str">
        <f>"84628"</f>
        <v>84628</v>
      </c>
      <c r="E29782" t="s">
        <v>6</v>
      </c>
    </row>
    <row r="29783" spans="1:5" x14ac:dyDescent="0.2">
      <c r="A29783">
        <v>84629</v>
      </c>
      <c r="B29783" t="s">
        <v>51</v>
      </c>
      <c r="C29783">
        <v>84629</v>
      </c>
      <c r="D29783" t="str">
        <f>"84629"</f>
        <v>84629</v>
      </c>
      <c r="E29783">
        <v>65.77</v>
      </c>
    </row>
    <row r="29784" spans="1:5" x14ac:dyDescent="0.2">
      <c r="A29784">
        <v>84630</v>
      </c>
      <c r="B29784" t="s">
        <v>51</v>
      </c>
      <c r="C29784">
        <v>84630</v>
      </c>
      <c r="D29784" t="str">
        <f>"84630"</f>
        <v>84630</v>
      </c>
      <c r="E29784">
        <v>70</v>
      </c>
    </row>
    <row r="29785" spans="1:5" x14ac:dyDescent="0.2">
      <c r="A29785">
        <v>84631</v>
      </c>
      <c r="B29785" t="s">
        <v>51</v>
      </c>
      <c r="C29785">
        <v>84631</v>
      </c>
      <c r="D29785" t="str">
        <f>"84631"</f>
        <v>84631</v>
      </c>
      <c r="E29785">
        <v>66.13</v>
      </c>
    </row>
    <row r="29786" spans="1:5" x14ac:dyDescent="0.2">
      <c r="A29786">
        <v>84632</v>
      </c>
      <c r="B29786" t="s">
        <v>51</v>
      </c>
      <c r="C29786">
        <v>84632</v>
      </c>
      <c r="D29786" t="str">
        <f>"84632"</f>
        <v>84632</v>
      </c>
      <c r="E29786" t="s">
        <v>6</v>
      </c>
    </row>
    <row r="29787" spans="1:5" x14ac:dyDescent="0.2">
      <c r="A29787">
        <v>84633</v>
      </c>
      <c r="B29787" t="s">
        <v>51</v>
      </c>
      <c r="C29787">
        <v>84633</v>
      </c>
      <c r="D29787" t="str">
        <f>"84633"</f>
        <v>84633</v>
      </c>
      <c r="E29787" t="s">
        <v>6</v>
      </c>
    </row>
    <row r="29788" spans="1:5" x14ac:dyDescent="0.2">
      <c r="A29788">
        <v>84634</v>
      </c>
      <c r="B29788" t="s">
        <v>51</v>
      </c>
      <c r="C29788">
        <v>84634</v>
      </c>
      <c r="D29788" t="str">
        <f>"84634"</f>
        <v>84634</v>
      </c>
      <c r="E29788" t="s">
        <v>6</v>
      </c>
    </row>
    <row r="29789" spans="1:5" x14ac:dyDescent="0.2">
      <c r="A29789">
        <v>84635</v>
      </c>
      <c r="B29789" t="s">
        <v>51</v>
      </c>
      <c r="C29789">
        <v>84635</v>
      </c>
      <c r="D29789" t="str">
        <f>"84635"</f>
        <v>84635</v>
      </c>
      <c r="E29789">
        <v>61.29</v>
      </c>
    </row>
    <row r="29790" spans="1:5" x14ac:dyDescent="0.2">
      <c r="A29790">
        <v>84637</v>
      </c>
      <c r="B29790" t="s">
        <v>51</v>
      </c>
      <c r="C29790">
        <v>84637</v>
      </c>
      <c r="D29790" t="str">
        <f>"84637"</f>
        <v>84637</v>
      </c>
      <c r="E29790" t="s">
        <v>6</v>
      </c>
    </row>
    <row r="29791" spans="1:5" x14ac:dyDescent="0.2">
      <c r="A29791">
        <v>84638</v>
      </c>
      <c r="B29791" t="s">
        <v>51</v>
      </c>
      <c r="C29791">
        <v>84638</v>
      </c>
      <c r="D29791" t="str">
        <f>"84638"</f>
        <v>84638</v>
      </c>
      <c r="E29791" t="s">
        <v>6</v>
      </c>
    </row>
    <row r="29792" spans="1:5" x14ac:dyDescent="0.2">
      <c r="A29792">
        <v>84639</v>
      </c>
      <c r="B29792" t="s">
        <v>51</v>
      </c>
      <c r="C29792">
        <v>84639</v>
      </c>
      <c r="D29792" t="str">
        <f>"84639"</f>
        <v>84639</v>
      </c>
      <c r="E29792" t="s">
        <v>6</v>
      </c>
    </row>
    <row r="29793" spans="1:5" x14ac:dyDescent="0.2">
      <c r="A29793">
        <v>84640</v>
      </c>
      <c r="B29793" t="s">
        <v>51</v>
      </c>
      <c r="C29793">
        <v>84640</v>
      </c>
      <c r="D29793" t="str">
        <f>"84640"</f>
        <v>84640</v>
      </c>
      <c r="E29793" t="s">
        <v>6</v>
      </c>
    </row>
    <row r="29794" spans="1:5" x14ac:dyDescent="0.2">
      <c r="A29794">
        <v>84642</v>
      </c>
      <c r="B29794" t="s">
        <v>51</v>
      </c>
      <c r="C29794">
        <v>84642</v>
      </c>
      <c r="D29794" t="str">
        <f>"84642"</f>
        <v>84642</v>
      </c>
      <c r="E29794">
        <v>60.74</v>
      </c>
    </row>
    <row r="29795" spans="1:5" x14ac:dyDescent="0.2">
      <c r="A29795">
        <v>84643</v>
      </c>
      <c r="B29795" t="s">
        <v>51</v>
      </c>
      <c r="C29795">
        <v>84643</v>
      </c>
      <c r="D29795" t="str">
        <f>"84643"</f>
        <v>84643</v>
      </c>
      <c r="E29795" t="s">
        <v>6</v>
      </c>
    </row>
    <row r="29796" spans="1:5" x14ac:dyDescent="0.2">
      <c r="A29796">
        <v>84644</v>
      </c>
      <c r="B29796" t="s">
        <v>51</v>
      </c>
      <c r="C29796">
        <v>84644</v>
      </c>
      <c r="D29796" t="str">
        <f>"84644"</f>
        <v>84644</v>
      </c>
      <c r="E29796" t="s">
        <v>6</v>
      </c>
    </row>
    <row r="29797" spans="1:5" x14ac:dyDescent="0.2">
      <c r="A29797">
        <v>84645</v>
      </c>
      <c r="B29797" t="s">
        <v>51</v>
      </c>
      <c r="C29797">
        <v>84645</v>
      </c>
      <c r="D29797" t="str">
        <f>"84645"</f>
        <v>84645</v>
      </c>
      <c r="E29797">
        <v>66.37</v>
      </c>
    </row>
    <row r="29798" spans="1:5" x14ac:dyDescent="0.2">
      <c r="A29798">
        <v>84646</v>
      </c>
      <c r="B29798" t="s">
        <v>51</v>
      </c>
      <c r="C29798">
        <v>84646</v>
      </c>
      <c r="D29798" t="str">
        <f>"84646"</f>
        <v>84646</v>
      </c>
      <c r="E29798" t="s">
        <v>6</v>
      </c>
    </row>
    <row r="29799" spans="1:5" x14ac:dyDescent="0.2">
      <c r="A29799">
        <v>84647</v>
      </c>
      <c r="B29799" t="s">
        <v>51</v>
      </c>
      <c r="C29799">
        <v>84647</v>
      </c>
      <c r="D29799" t="str">
        <f>"84647"</f>
        <v>84647</v>
      </c>
      <c r="E29799">
        <v>63.23</v>
      </c>
    </row>
    <row r="29800" spans="1:5" x14ac:dyDescent="0.2">
      <c r="A29800">
        <v>84648</v>
      </c>
      <c r="B29800" t="s">
        <v>51</v>
      </c>
      <c r="C29800">
        <v>84648</v>
      </c>
      <c r="D29800" t="str">
        <f>"84648"</f>
        <v>84648</v>
      </c>
      <c r="E29800">
        <v>70.61</v>
      </c>
    </row>
    <row r="29801" spans="1:5" x14ac:dyDescent="0.2">
      <c r="A29801">
        <v>84649</v>
      </c>
      <c r="B29801" t="s">
        <v>51</v>
      </c>
      <c r="C29801">
        <v>84649</v>
      </c>
      <c r="D29801" t="str">
        <f>"84649"</f>
        <v>84649</v>
      </c>
      <c r="E29801" t="s">
        <v>6</v>
      </c>
    </row>
    <row r="29802" spans="1:5" x14ac:dyDescent="0.2">
      <c r="A29802">
        <v>84651</v>
      </c>
      <c r="B29802" t="s">
        <v>51</v>
      </c>
      <c r="C29802">
        <v>84651</v>
      </c>
      <c r="D29802" t="str">
        <f>"84651"</f>
        <v>84651</v>
      </c>
      <c r="E29802">
        <v>68.150000000000006</v>
      </c>
    </row>
    <row r="29803" spans="1:5" x14ac:dyDescent="0.2">
      <c r="A29803">
        <v>84652</v>
      </c>
      <c r="B29803" t="s">
        <v>51</v>
      </c>
      <c r="C29803">
        <v>84652</v>
      </c>
      <c r="D29803" t="str">
        <f>"84652"</f>
        <v>84652</v>
      </c>
      <c r="E29803" t="s">
        <v>6</v>
      </c>
    </row>
    <row r="29804" spans="1:5" x14ac:dyDescent="0.2">
      <c r="A29804">
        <v>84653</v>
      </c>
      <c r="B29804" t="s">
        <v>51</v>
      </c>
      <c r="C29804">
        <v>84653</v>
      </c>
      <c r="D29804" t="str">
        <f>"84653"</f>
        <v>84653</v>
      </c>
      <c r="E29804">
        <v>74.510000000000005</v>
      </c>
    </row>
    <row r="29805" spans="1:5" x14ac:dyDescent="0.2">
      <c r="A29805">
        <v>84654</v>
      </c>
      <c r="B29805" t="s">
        <v>51</v>
      </c>
      <c r="C29805">
        <v>84654</v>
      </c>
      <c r="D29805" t="str">
        <f>"84654"</f>
        <v>84654</v>
      </c>
      <c r="E29805">
        <v>66.36</v>
      </c>
    </row>
    <row r="29806" spans="1:5" x14ac:dyDescent="0.2">
      <c r="A29806">
        <v>84655</v>
      </c>
      <c r="B29806" t="s">
        <v>51</v>
      </c>
      <c r="C29806">
        <v>84655</v>
      </c>
      <c r="D29806" t="str">
        <f>"84655"</f>
        <v>84655</v>
      </c>
      <c r="E29806">
        <v>66.989999999999995</v>
      </c>
    </row>
    <row r="29807" spans="1:5" x14ac:dyDescent="0.2">
      <c r="A29807">
        <v>84656</v>
      </c>
      <c r="B29807" t="s">
        <v>51</v>
      </c>
      <c r="C29807">
        <v>84656</v>
      </c>
      <c r="D29807" t="str">
        <f>"84656"</f>
        <v>84656</v>
      </c>
      <c r="E29807" t="s">
        <v>6</v>
      </c>
    </row>
    <row r="29808" spans="1:5" x14ac:dyDescent="0.2">
      <c r="A29808">
        <v>84657</v>
      </c>
      <c r="B29808" t="s">
        <v>51</v>
      </c>
      <c r="C29808">
        <v>84657</v>
      </c>
      <c r="D29808" t="str">
        <f>"84657"</f>
        <v>84657</v>
      </c>
      <c r="E29808" t="s">
        <v>6</v>
      </c>
    </row>
    <row r="29809" spans="1:5" x14ac:dyDescent="0.2">
      <c r="A29809">
        <v>84660</v>
      </c>
      <c r="B29809" t="s">
        <v>51</v>
      </c>
      <c r="C29809">
        <v>84660</v>
      </c>
      <c r="D29809" t="str">
        <f>"84660"</f>
        <v>84660</v>
      </c>
      <c r="E29809">
        <v>69.81</v>
      </c>
    </row>
    <row r="29810" spans="1:5" x14ac:dyDescent="0.2">
      <c r="A29810">
        <v>84662</v>
      </c>
      <c r="B29810" t="s">
        <v>51</v>
      </c>
      <c r="C29810">
        <v>84662</v>
      </c>
      <c r="D29810" t="str">
        <f>"84662"</f>
        <v>84662</v>
      </c>
      <c r="E29810" t="s">
        <v>6</v>
      </c>
    </row>
    <row r="29811" spans="1:5" x14ac:dyDescent="0.2">
      <c r="A29811">
        <v>84663</v>
      </c>
      <c r="B29811" t="s">
        <v>51</v>
      </c>
      <c r="C29811">
        <v>84663</v>
      </c>
      <c r="D29811" t="str">
        <f>"84663"</f>
        <v>84663</v>
      </c>
      <c r="E29811">
        <v>68.91</v>
      </c>
    </row>
    <row r="29812" spans="1:5" x14ac:dyDescent="0.2">
      <c r="A29812">
        <v>84664</v>
      </c>
      <c r="B29812" t="s">
        <v>51</v>
      </c>
      <c r="C29812">
        <v>84664</v>
      </c>
      <c r="D29812" t="str">
        <f>"84664"</f>
        <v>84664</v>
      </c>
      <c r="E29812">
        <v>71.08</v>
      </c>
    </row>
    <row r="29813" spans="1:5" x14ac:dyDescent="0.2">
      <c r="A29813">
        <v>84665</v>
      </c>
      <c r="B29813" t="s">
        <v>51</v>
      </c>
      <c r="C29813">
        <v>84665</v>
      </c>
      <c r="D29813" t="str">
        <f>"84665"</f>
        <v>84665</v>
      </c>
      <c r="E29813" t="s">
        <v>6</v>
      </c>
    </row>
    <row r="29814" spans="1:5" x14ac:dyDescent="0.2">
      <c r="A29814">
        <v>84667</v>
      </c>
      <c r="B29814" t="s">
        <v>51</v>
      </c>
      <c r="C29814">
        <v>84667</v>
      </c>
      <c r="D29814" t="str">
        <f>"84667"</f>
        <v>84667</v>
      </c>
      <c r="E29814">
        <v>60</v>
      </c>
    </row>
    <row r="29815" spans="1:5" x14ac:dyDescent="0.2">
      <c r="A29815">
        <v>84701</v>
      </c>
      <c r="B29815" t="s">
        <v>51</v>
      </c>
      <c r="C29815">
        <v>84701</v>
      </c>
      <c r="D29815" t="str">
        <f>"84701"</f>
        <v>84701</v>
      </c>
      <c r="E29815">
        <v>63.53</v>
      </c>
    </row>
    <row r="29816" spans="1:5" x14ac:dyDescent="0.2">
      <c r="A29816">
        <v>84710</v>
      </c>
      <c r="B29816" t="s">
        <v>51</v>
      </c>
      <c r="C29816">
        <v>84710</v>
      </c>
      <c r="D29816" t="str">
        <f>"84710"</f>
        <v>84710</v>
      </c>
      <c r="E29816" t="s">
        <v>6</v>
      </c>
    </row>
    <row r="29817" spans="1:5" x14ac:dyDescent="0.2">
      <c r="A29817">
        <v>84711</v>
      </c>
      <c r="B29817" t="s">
        <v>51</v>
      </c>
      <c r="C29817">
        <v>84711</v>
      </c>
      <c r="D29817" t="str">
        <f>"84711"</f>
        <v>84711</v>
      </c>
      <c r="E29817" t="s">
        <v>6</v>
      </c>
    </row>
    <row r="29818" spans="1:5" x14ac:dyDescent="0.2">
      <c r="A29818">
        <v>84712</v>
      </c>
      <c r="B29818" t="s">
        <v>51</v>
      </c>
      <c r="C29818">
        <v>84712</v>
      </c>
      <c r="D29818" t="str">
        <f>"84712"</f>
        <v>84712</v>
      </c>
      <c r="E29818" t="s">
        <v>6</v>
      </c>
    </row>
    <row r="29819" spans="1:5" x14ac:dyDescent="0.2">
      <c r="A29819">
        <v>84713</v>
      </c>
      <c r="B29819" t="s">
        <v>51</v>
      </c>
      <c r="C29819">
        <v>84713</v>
      </c>
      <c r="D29819" t="str">
        <f>"84713"</f>
        <v>84713</v>
      </c>
      <c r="E29819">
        <v>63.86</v>
      </c>
    </row>
    <row r="29820" spans="1:5" x14ac:dyDescent="0.2">
      <c r="A29820">
        <v>84714</v>
      </c>
      <c r="B29820" t="s">
        <v>51</v>
      </c>
      <c r="C29820">
        <v>84714</v>
      </c>
      <c r="D29820" t="str">
        <f>"84714"</f>
        <v>84714</v>
      </c>
      <c r="E29820">
        <v>52.38</v>
      </c>
    </row>
    <row r="29821" spans="1:5" x14ac:dyDescent="0.2">
      <c r="A29821">
        <v>84715</v>
      </c>
      <c r="B29821" t="s">
        <v>51</v>
      </c>
      <c r="C29821">
        <v>84715</v>
      </c>
      <c r="D29821" t="str">
        <f>"84715"</f>
        <v>84715</v>
      </c>
      <c r="E29821" t="s">
        <v>6</v>
      </c>
    </row>
    <row r="29822" spans="1:5" x14ac:dyDescent="0.2">
      <c r="A29822">
        <v>84716</v>
      </c>
      <c r="B29822" t="s">
        <v>51</v>
      </c>
      <c r="C29822">
        <v>84716</v>
      </c>
      <c r="D29822" t="str">
        <f>"84716"</f>
        <v>84716</v>
      </c>
      <c r="E29822" t="s">
        <v>6</v>
      </c>
    </row>
    <row r="29823" spans="1:5" x14ac:dyDescent="0.2">
      <c r="A29823">
        <v>84718</v>
      </c>
      <c r="B29823" t="s">
        <v>51</v>
      </c>
      <c r="C29823">
        <v>84718</v>
      </c>
      <c r="D29823" t="str">
        <f>"84718"</f>
        <v>84718</v>
      </c>
      <c r="E29823" t="s">
        <v>6</v>
      </c>
    </row>
    <row r="29824" spans="1:5" x14ac:dyDescent="0.2">
      <c r="A29824">
        <v>84719</v>
      </c>
      <c r="B29824" t="s">
        <v>51</v>
      </c>
      <c r="C29824">
        <v>84719</v>
      </c>
      <c r="D29824" t="str">
        <f>"84719"</f>
        <v>84719</v>
      </c>
      <c r="E29824" t="s">
        <v>6</v>
      </c>
    </row>
    <row r="29825" spans="1:5" x14ac:dyDescent="0.2">
      <c r="A29825">
        <v>84720</v>
      </c>
      <c r="B29825" t="s">
        <v>51</v>
      </c>
      <c r="C29825">
        <v>84720</v>
      </c>
      <c r="D29825" t="str">
        <f>"84720"</f>
        <v>84720</v>
      </c>
      <c r="E29825">
        <v>62.58</v>
      </c>
    </row>
    <row r="29826" spans="1:5" x14ac:dyDescent="0.2">
      <c r="A29826">
        <v>84721</v>
      </c>
      <c r="B29826" t="s">
        <v>51</v>
      </c>
      <c r="C29826">
        <v>84721</v>
      </c>
      <c r="D29826" t="str">
        <f>"84721"</f>
        <v>84721</v>
      </c>
      <c r="E29826">
        <v>61.52</v>
      </c>
    </row>
    <row r="29827" spans="1:5" x14ac:dyDescent="0.2">
      <c r="A29827">
        <v>84722</v>
      </c>
      <c r="B29827" t="s">
        <v>51</v>
      </c>
      <c r="C29827">
        <v>84722</v>
      </c>
      <c r="D29827" t="str">
        <f>"84722"</f>
        <v>84722</v>
      </c>
      <c r="E29827">
        <v>65.38</v>
      </c>
    </row>
    <row r="29828" spans="1:5" x14ac:dyDescent="0.2">
      <c r="A29828">
        <v>84723</v>
      </c>
      <c r="B29828" t="s">
        <v>51</v>
      </c>
      <c r="C29828">
        <v>84723</v>
      </c>
      <c r="D29828" t="str">
        <f>"84723"</f>
        <v>84723</v>
      </c>
      <c r="E29828" t="s">
        <v>6</v>
      </c>
    </row>
    <row r="29829" spans="1:5" x14ac:dyDescent="0.2">
      <c r="A29829">
        <v>84724</v>
      </c>
      <c r="B29829" t="s">
        <v>51</v>
      </c>
      <c r="C29829">
        <v>84724</v>
      </c>
      <c r="D29829" t="str">
        <f>"84724"</f>
        <v>84724</v>
      </c>
      <c r="E29829">
        <v>57.14</v>
      </c>
    </row>
    <row r="29830" spans="1:5" x14ac:dyDescent="0.2">
      <c r="A29830">
        <v>84725</v>
      </c>
      <c r="B29830" t="s">
        <v>51</v>
      </c>
      <c r="C29830">
        <v>84725</v>
      </c>
      <c r="D29830" t="str">
        <f>"84725"</f>
        <v>84725</v>
      </c>
      <c r="E29830" t="s">
        <v>6</v>
      </c>
    </row>
    <row r="29831" spans="1:5" x14ac:dyDescent="0.2">
      <c r="A29831">
        <v>84726</v>
      </c>
      <c r="B29831" t="s">
        <v>51</v>
      </c>
      <c r="C29831">
        <v>84726</v>
      </c>
      <c r="D29831" t="str">
        <f>"84726"</f>
        <v>84726</v>
      </c>
      <c r="E29831" t="s">
        <v>6</v>
      </c>
    </row>
    <row r="29832" spans="1:5" x14ac:dyDescent="0.2">
      <c r="A29832">
        <v>84728</v>
      </c>
      <c r="B29832" t="s">
        <v>51</v>
      </c>
      <c r="C29832">
        <v>84728</v>
      </c>
      <c r="D29832" t="str">
        <f>"84728"</f>
        <v>84728</v>
      </c>
      <c r="E29832" t="s">
        <v>6</v>
      </c>
    </row>
    <row r="29833" spans="1:5" x14ac:dyDescent="0.2">
      <c r="A29833">
        <v>84729</v>
      </c>
      <c r="B29833" t="s">
        <v>51</v>
      </c>
      <c r="C29833">
        <v>84729</v>
      </c>
      <c r="D29833" t="str">
        <f>"84729"</f>
        <v>84729</v>
      </c>
      <c r="E29833" t="s">
        <v>6</v>
      </c>
    </row>
    <row r="29834" spans="1:5" x14ac:dyDescent="0.2">
      <c r="A29834">
        <v>84730</v>
      </c>
      <c r="B29834" t="s">
        <v>51</v>
      </c>
      <c r="C29834">
        <v>84730</v>
      </c>
      <c r="D29834" t="str">
        <f>"84730"</f>
        <v>84730</v>
      </c>
      <c r="E29834" t="s">
        <v>6</v>
      </c>
    </row>
    <row r="29835" spans="1:5" x14ac:dyDescent="0.2">
      <c r="A29835">
        <v>84731</v>
      </c>
      <c r="B29835" t="s">
        <v>51</v>
      </c>
      <c r="C29835">
        <v>84731</v>
      </c>
      <c r="D29835" t="str">
        <f>"84731"</f>
        <v>84731</v>
      </c>
      <c r="E29835" t="s">
        <v>6</v>
      </c>
    </row>
    <row r="29836" spans="1:5" x14ac:dyDescent="0.2">
      <c r="A29836">
        <v>84732</v>
      </c>
      <c r="B29836" t="s">
        <v>51</v>
      </c>
      <c r="C29836">
        <v>84732</v>
      </c>
      <c r="D29836" t="str">
        <f>"84732"</f>
        <v>84732</v>
      </c>
      <c r="E29836" t="s">
        <v>6</v>
      </c>
    </row>
    <row r="29837" spans="1:5" x14ac:dyDescent="0.2">
      <c r="A29837">
        <v>84733</v>
      </c>
      <c r="B29837" t="s">
        <v>51</v>
      </c>
      <c r="C29837">
        <v>84733</v>
      </c>
      <c r="D29837" t="str">
        <f>"84733"</f>
        <v>84733</v>
      </c>
      <c r="E29837" t="s">
        <v>6</v>
      </c>
    </row>
    <row r="29838" spans="1:5" x14ac:dyDescent="0.2">
      <c r="A29838">
        <v>84734</v>
      </c>
      <c r="B29838" t="s">
        <v>51</v>
      </c>
      <c r="C29838">
        <v>84734</v>
      </c>
      <c r="D29838" t="str">
        <f>"84734"</f>
        <v>84734</v>
      </c>
      <c r="E29838" t="s">
        <v>6</v>
      </c>
    </row>
    <row r="29839" spans="1:5" x14ac:dyDescent="0.2">
      <c r="A29839">
        <v>84735</v>
      </c>
      <c r="B29839" t="s">
        <v>51</v>
      </c>
      <c r="C29839">
        <v>84735</v>
      </c>
      <c r="D29839" t="str">
        <f>"84735"</f>
        <v>84735</v>
      </c>
      <c r="E29839" t="s">
        <v>6</v>
      </c>
    </row>
    <row r="29840" spans="1:5" x14ac:dyDescent="0.2">
      <c r="A29840">
        <v>84736</v>
      </c>
      <c r="B29840" t="s">
        <v>51</v>
      </c>
      <c r="C29840">
        <v>84736</v>
      </c>
      <c r="D29840" t="str">
        <f>"84736"</f>
        <v>84736</v>
      </c>
      <c r="E29840" t="s">
        <v>6</v>
      </c>
    </row>
    <row r="29841" spans="1:5" x14ac:dyDescent="0.2">
      <c r="A29841">
        <v>84737</v>
      </c>
      <c r="B29841" t="s">
        <v>51</v>
      </c>
      <c r="C29841">
        <v>84737</v>
      </c>
      <c r="D29841" t="str">
        <f>"84737"</f>
        <v>84737</v>
      </c>
      <c r="E29841">
        <v>68.16</v>
      </c>
    </row>
    <row r="29842" spans="1:5" x14ac:dyDescent="0.2">
      <c r="A29842">
        <v>84738</v>
      </c>
      <c r="B29842" t="s">
        <v>51</v>
      </c>
      <c r="C29842">
        <v>84738</v>
      </c>
      <c r="D29842" t="str">
        <f>"84738"</f>
        <v>84738</v>
      </c>
      <c r="E29842">
        <v>71.03</v>
      </c>
    </row>
    <row r="29843" spans="1:5" x14ac:dyDescent="0.2">
      <c r="A29843">
        <v>84739</v>
      </c>
      <c r="B29843" t="s">
        <v>51</v>
      </c>
      <c r="C29843">
        <v>84739</v>
      </c>
      <c r="D29843" t="str">
        <f>"84739"</f>
        <v>84739</v>
      </c>
      <c r="E29843">
        <v>57.89</v>
      </c>
    </row>
    <row r="29844" spans="1:5" x14ac:dyDescent="0.2">
      <c r="A29844">
        <v>84740</v>
      </c>
      <c r="B29844" t="s">
        <v>51</v>
      </c>
      <c r="C29844">
        <v>84740</v>
      </c>
      <c r="D29844" t="str">
        <f>"84740"</f>
        <v>84740</v>
      </c>
      <c r="E29844" t="s">
        <v>6</v>
      </c>
    </row>
    <row r="29845" spans="1:5" x14ac:dyDescent="0.2">
      <c r="A29845">
        <v>84741</v>
      </c>
      <c r="B29845" t="s">
        <v>51</v>
      </c>
      <c r="C29845">
        <v>84741</v>
      </c>
      <c r="D29845" t="str">
        <f>"84741"</f>
        <v>84741</v>
      </c>
      <c r="E29845">
        <v>70.31</v>
      </c>
    </row>
    <row r="29846" spans="1:5" x14ac:dyDescent="0.2">
      <c r="A29846">
        <v>84742</v>
      </c>
      <c r="B29846" t="s">
        <v>51</v>
      </c>
      <c r="C29846">
        <v>84742</v>
      </c>
      <c r="D29846" t="str">
        <f>"84742"</f>
        <v>84742</v>
      </c>
      <c r="E29846">
        <v>65</v>
      </c>
    </row>
    <row r="29847" spans="1:5" x14ac:dyDescent="0.2">
      <c r="A29847">
        <v>84743</v>
      </c>
      <c r="B29847" t="s">
        <v>51</v>
      </c>
      <c r="C29847">
        <v>84743</v>
      </c>
      <c r="D29847" t="str">
        <f>"84743"</f>
        <v>84743</v>
      </c>
      <c r="E29847" t="s">
        <v>6</v>
      </c>
    </row>
    <row r="29848" spans="1:5" x14ac:dyDescent="0.2">
      <c r="A29848">
        <v>84744</v>
      </c>
      <c r="B29848" t="s">
        <v>51</v>
      </c>
      <c r="C29848">
        <v>84744</v>
      </c>
      <c r="D29848" t="str">
        <f>"84744"</f>
        <v>84744</v>
      </c>
      <c r="E29848" t="s">
        <v>6</v>
      </c>
    </row>
    <row r="29849" spans="1:5" x14ac:dyDescent="0.2">
      <c r="A29849">
        <v>84745</v>
      </c>
      <c r="B29849" t="s">
        <v>51</v>
      </c>
      <c r="C29849">
        <v>84745</v>
      </c>
      <c r="D29849" t="str">
        <f>"84745"</f>
        <v>84745</v>
      </c>
      <c r="E29849">
        <v>65.52</v>
      </c>
    </row>
    <row r="29850" spans="1:5" x14ac:dyDescent="0.2">
      <c r="A29850">
        <v>84746</v>
      </c>
      <c r="B29850" t="s">
        <v>51</v>
      </c>
      <c r="C29850">
        <v>84746</v>
      </c>
      <c r="D29850" t="str">
        <f>"84746"</f>
        <v>84746</v>
      </c>
      <c r="E29850" t="s">
        <v>6</v>
      </c>
    </row>
    <row r="29851" spans="1:5" x14ac:dyDescent="0.2">
      <c r="A29851">
        <v>84747</v>
      </c>
      <c r="B29851" t="s">
        <v>51</v>
      </c>
      <c r="C29851">
        <v>84747</v>
      </c>
      <c r="D29851" t="str">
        <f>"84747"</f>
        <v>84747</v>
      </c>
      <c r="E29851">
        <v>57.5</v>
      </c>
    </row>
    <row r="29852" spans="1:5" x14ac:dyDescent="0.2">
      <c r="A29852">
        <v>84749</v>
      </c>
      <c r="B29852" t="s">
        <v>51</v>
      </c>
      <c r="C29852">
        <v>84749</v>
      </c>
      <c r="D29852" t="str">
        <f>"84749"</f>
        <v>84749</v>
      </c>
      <c r="E29852" t="s">
        <v>6</v>
      </c>
    </row>
    <row r="29853" spans="1:5" x14ac:dyDescent="0.2">
      <c r="A29853">
        <v>84750</v>
      </c>
      <c r="B29853" t="s">
        <v>51</v>
      </c>
      <c r="C29853">
        <v>84750</v>
      </c>
      <c r="D29853" t="str">
        <f>"84750"</f>
        <v>84750</v>
      </c>
      <c r="E29853" t="s">
        <v>6</v>
      </c>
    </row>
    <row r="29854" spans="1:5" x14ac:dyDescent="0.2">
      <c r="A29854">
        <v>84751</v>
      </c>
      <c r="B29854" t="s">
        <v>51</v>
      </c>
      <c r="C29854">
        <v>84751</v>
      </c>
      <c r="D29854" t="str">
        <f>"84751"</f>
        <v>84751</v>
      </c>
      <c r="E29854">
        <v>65.22</v>
      </c>
    </row>
    <row r="29855" spans="1:5" x14ac:dyDescent="0.2">
      <c r="A29855">
        <v>84752</v>
      </c>
      <c r="B29855" t="s">
        <v>51</v>
      </c>
      <c r="C29855">
        <v>84752</v>
      </c>
      <c r="D29855" t="str">
        <f>"84752"</f>
        <v>84752</v>
      </c>
      <c r="E29855" t="s">
        <v>6</v>
      </c>
    </row>
    <row r="29856" spans="1:5" x14ac:dyDescent="0.2">
      <c r="A29856">
        <v>84753</v>
      </c>
      <c r="B29856" t="s">
        <v>51</v>
      </c>
      <c r="C29856">
        <v>84753</v>
      </c>
      <c r="D29856" t="str">
        <f>"84753"</f>
        <v>84753</v>
      </c>
      <c r="E29856" t="s">
        <v>6</v>
      </c>
    </row>
    <row r="29857" spans="1:5" x14ac:dyDescent="0.2">
      <c r="A29857">
        <v>84754</v>
      </c>
      <c r="B29857" t="s">
        <v>51</v>
      </c>
      <c r="C29857">
        <v>84754</v>
      </c>
      <c r="D29857" t="str">
        <f>"84754"</f>
        <v>84754</v>
      </c>
      <c r="E29857">
        <v>66.010000000000005</v>
      </c>
    </row>
    <row r="29858" spans="1:5" x14ac:dyDescent="0.2">
      <c r="A29858">
        <v>84755</v>
      </c>
      <c r="B29858" t="s">
        <v>51</v>
      </c>
      <c r="C29858">
        <v>84755</v>
      </c>
      <c r="D29858" t="str">
        <f>"84755"</f>
        <v>84755</v>
      </c>
      <c r="E29858" t="s">
        <v>6</v>
      </c>
    </row>
    <row r="29859" spans="1:5" x14ac:dyDescent="0.2">
      <c r="A29859">
        <v>84756</v>
      </c>
      <c r="B29859" t="s">
        <v>51</v>
      </c>
      <c r="C29859">
        <v>84756</v>
      </c>
      <c r="D29859" t="str">
        <f>"84756"</f>
        <v>84756</v>
      </c>
      <c r="E29859" t="s">
        <v>6</v>
      </c>
    </row>
    <row r="29860" spans="1:5" x14ac:dyDescent="0.2">
      <c r="A29860">
        <v>84757</v>
      </c>
      <c r="B29860" t="s">
        <v>51</v>
      </c>
      <c r="C29860">
        <v>84757</v>
      </c>
      <c r="D29860" t="str">
        <f>"84757"</f>
        <v>84757</v>
      </c>
      <c r="E29860">
        <v>73.33</v>
      </c>
    </row>
    <row r="29861" spans="1:5" x14ac:dyDescent="0.2">
      <c r="A29861">
        <v>84758</v>
      </c>
      <c r="B29861" t="s">
        <v>51</v>
      </c>
      <c r="C29861">
        <v>84758</v>
      </c>
      <c r="D29861" t="str">
        <f>"84758"</f>
        <v>84758</v>
      </c>
      <c r="E29861" t="s">
        <v>6</v>
      </c>
    </row>
    <row r="29862" spans="1:5" x14ac:dyDescent="0.2">
      <c r="A29862">
        <v>84759</v>
      </c>
      <c r="B29862" t="s">
        <v>51</v>
      </c>
      <c r="C29862">
        <v>84759</v>
      </c>
      <c r="D29862" t="str">
        <f>"84759"</f>
        <v>84759</v>
      </c>
      <c r="E29862" t="s">
        <v>6</v>
      </c>
    </row>
    <row r="29863" spans="1:5" x14ac:dyDescent="0.2">
      <c r="A29863">
        <v>84760</v>
      </c>
      <c r="B29863" t="s">
        <v>51</v>
      </c>
      <c r="C29863">
        <v>84760</v>
      </c>
      <c r="D29863" t="str">
        <f>"84760"</f>
        <v>84760</v>
      </c>
      <c r="E29863" t="s">
        <v>6</v>
      </c>
    </row>
    <row r="29864" spans="1:5" x14ac:dyDescent="0.2">
      <c r="A29864">
        <v>84761</v>
      </c>
      <c r="B29864" t="s">
        <v>51</v>
      </c>
      <c r="C29864">
        <v>84761</v>
      </c>
      <c r="D29864" t="str">
        <f>"84761"</f>
        <v>84761</v>
      </c>
      <c r="E29864" t="s">
        <v>6</v>
      </c>
    </row>
    <row r="29865" spans="1:5" x14ac:dyDescent="0.2">
      <c r="A29865">
        <v>84762</v>
      </c>
      <c r="B29865" t="s">
        <v>51</v>
      </c>
      <c r="C29865">
        <v>84762</v>
      </c>
      <c r="D29865" t="str">
        <f>"84762"</f>
        <v>84762</v>
      </c>
      <c r="E29865">
        <v>66.67</v>
      </c>
    </row>
    <row r="29866" spans="1:5" x14ac:dyDescent="0.2">
      <c r="A29866">
        <v>84763</v>
      </c>
      <c r="B29866" t="s">
        <v>51</v>
      </c>
      <c r="C29866">
        <v>84763</v>
      </c>
      <c r="D29866" t="str">
        <f>"84763"</f>
        <v>84763</v>
      </c>
      <c r="E29866" t="s">
        <v>6</v>
      </c>
    </row>
    <row r="29867" spans="1:5" x14ac:dyDescent="0.2">
      <c r="A29867">
        <v>84764</v>
      </c>
      <c r="B29867" t="s">
        <v>51</v>
      </c>
      <c r="C29867">
        <v>84764</v>
      </c>
      <c r="D29867" t="str">
        <f>"84764"</f>
        <v>84764</v>
      </c>
      <c r="E29867" t="s">
        <v>6</v>
      </c>
    </row>
    <row r="29868" spans="1:5" x14ac:dyDescent="0.2">
      <c r="A29868">
        <v>84765</v>
      </c>
      <c r="B29868" t="s">
        <v>51</v>
      </c>
      <c r="C29868">
        <v>84765</v>
      </c>
      <c r="D29868" t="str">
        <f>"84765"</f>
        <v>84765</v>
      </c>
      <c r="E29868">
        <v>71.91</v>
      </c>
    </row>
    <row r="29869" spans="1:5" x14ac:dyDescent="0.2">
      <c r="A29869">
        <v>84766</v>
      </c>
      <c r="B29869" t="s">
        <v>51</v>
      </c>
      <c r="C29869">
        <v>84766</v>
      </c>
      <c r="D29869" t="str">
        <f>"84766"</f>
        <v>84766</v>
      </c>
      <c r="E29869" t="s">
        <v>6</v>
      </c>
    </row>
    <row r="29870" spans="1:5" x14ac:dyDescent="0.2">
      <c r="A29870">
        <v>84767</v>
      </c>
      <c r="B29870" t="s">
        <v>51</v>
      </c>
      <c r="C29870">
        <v>84767</v>
      </c>
      <c r="D29870" t="str">
        <f>"84767"</f>
        <v>84767</v>
      </c>
      <c r="E29870" t="s">
        <v>6</v>
      </c>
    </row>
    <row r="29871" spans="1:5" x14ac:dyDescent="0.2">
      <c r="A29871">
        <v>84770</v>
      </c>
      <c r="B29871" t="s">
        <v>51</v>
      </c>
      <c r="C29871">
        <v>84770</v>
      </c>
      <c r="D29871" t="str">
        <f>"84770"</f>
        <v>84770</v>
      </c>
      <c r="E29871">
        <v>65.25</v>
      </c>
    </row>
    <row r="29872" spans="1:5" x14ac:dyDescent="0.2">
      <c r="A29872">
        <v>84772</v>
      </c>
      <c r="B29872" t="s">
        <v>51</v>
      </c>
      <c r="C29872">
        <v>84772</v>
      </c>
      <c r="D29872" t="str">
        <f>"84772"</f>
        <v>84772</v>
      </c>
      <c r="E29872" t="s">
        <v>6</v>
      </c>
    </row>
    <row r="29873" spans="1:5" x14ac:dyDescent="0.2">
      <c r="A29873">
        <v>84773</v>
      </c>
      <c r="B29873" t="s">
        <v>51</v>
      </c>
      <c r="C29873">
        <v>84773</v>
      </c>
      <c r="D29873" t="str">
        <f>"84773"</f>
        <v>84773</v>
      </c>
      <c r="E29873">
        <v>70</v>
      </c>
    </row>
    <row r="29874" spans="1:5" x14ac:dyDescent="0.2">
      <c r="A29874">
        <v>84774</v>
      </c>
      <c r="B29874" t="s">
        <v>51</v>
      </c>
      <c r="C29874">
        <v>84774</v>
      </c>
      <c r="D29874" t="str">
        <f>"84774"</f>
        <v>84774</v>
      </c>
      <c r="E29874">
        <v>63.38</v>
      </c>
    </row>
    <row r="29875" spans="1:5" x14ac:dyDescent="0.2">
      <c r="A29875">
        <v>84775</v>
      </c>
      <c r="B29875" t="s">
        <v>51</v>
      </c>
      <c r="C29875">
        <v>84775</v>
      </c>
      <c r="D29875" t="str">
        <f>"84775"</f>
        <v>84775</v>
      </c>
      <c r="E29875">
        <v>65.22</v>
      </c>
    </row>
    <row r="29876" spans="1:5" x14ac:dyDescent="0.2">
      <c r="A29876">
        <v>84776</v>
      </c>
      <c r="B29876" t="s">
        <v>51</v>
      </c>
      <c r="C29876">
        <v>84776</v>
      </c>
      <c r="D29876" t="str">
        <f>"84776"</f>
        <v>84776</v>
      </c>
      <c r="E29876" t="s">
        <v>6</v>
      </c>
    </row>
    <row r="29877" spans="1:5" x14ac:dyDescent="0.2">
      <c r="A29877">
        <v>84779</v>
      </c>
      <c r="B29877" t="s">
        <v>51</v>
      </c>
      <c r="C29877">
        <v>84779</v>
      </c>
      <c r="D29877" t="str">
        <f>"84779"</f>
        <v>84779</v>
      </c>
      <c r="E29877">
        <v>68.97</v>
      </c>
    </row>
    <row r="29878" spans="1:5" x14ac:dyDescent="0.2">
      <c r="A29878">
        <v>84780</v>
      </c>
      <c r="B29878" t="s">
        <v>51</v>
      </c>
      <c r="C29878">
        <v>84780</v>
      </c>
      <c r="D29878" t="str">
        <f>"84780"</f>
        <v>84780</v>
      </c>
      <c r="E29878">
        <v>70.8</v>
      </c>
    </row>
    <row r="29879" spans="1:5" x14ac:dyDescent="0.2">
      <c r="A29879">
        <v>84781</v>
      </c>
      <c r="B29879" t="s">
        <v>51</v>
      </c>
      <c r="C29879">
        <v>84781</v>
      </c>
      <c r="D29879" t="str">
        <f>"84781"</f>
        <v>84781</v>
      </c>
      <c r="E29879" t="s">
        <v>6</v>
      </c>
    </row>
    <row r="29880" spans="1:5" x14ac:dyDescent="0.2">
      <c r="A29880">
        <v>84782</v>
      </c>
      <c r="B29880" t="s">
        <v>51</v>
      </c>
      <c r="C29880">
        <v>84782</v>
      </c>
      <c r="D29880" t="str">
        <f>"84782"</f>
        <v>84782</v>
      </c>
      <c r="E29880">
        <v>68.569999999999993</v>
      </c>
    </row>
    <row r="29881" spans="1:5" x14ac:dyDescent="0.2">
      <c r="A29881">
        <v>84783</v>
      </c>
      <c r="B29881" t="s">
        <v>51</v>
      </c>
      <c r="C29881">
        <v>84783</v>
      </c>
      <c r="D29881" t="str">
        <f>"84783"</f>
        <v>84783</v>
      </c>
      <c r="E29881">
        <v>75.61</v>
      </c>
    </row>
    <row r="29882" spans="1:5" x14ac:dyDescent="0.2">
      <c r="A29882">
        <v>84784</v>
      </c>
      <c r="B29882" t="s">
        <v>51</v>
      </c>
      <c r="C29882">
        <v>84784</v>
      </c>
      <c r="D29882" t="str">
        <f>"84784"</f>
        <v>84784</v>
      </c>
      <c r="E29882" t="s">
        <v>6</v>
      </c>
    </row>
    <row r="29883" spans="1:5" x14ac:dyDescent="0.2">
      <c r="A29883">
        <v>84790</v>
      </c>
      <c r="B29883" t="s">
        <v>51</v>
      </c>
      <c r="C29883">
        <v>84790</v>
      </c>
      <c r="D29883" t="str">
        <f>"84790"</f>
        <v>84790</v>
      </c>
      <c r="E29883">
        <v>70.849999999999994</v>
      </c>
    </row>
    <row r="29884" spans="1:5" x14ac:dyDescent="0.2">
      <c r="A29884">
        <v>20105</v>
      </c>
      <c r="B29884" t="s">
        <v>52</v>
      </c>
      <c r="C29884">
        <v>20105</v>
      </c>
      <c r="D29884" t="str">
        <f>"20105"</f>
        <v>20105</v>
      </c>
      <c r="E29884">
        <v>85.43</v>
      </c>
    </row>
    <row r="29885" spans="1:5" x14ac:dyDescent="0.2">
      <c r="A29885">
        <v>20106</v>
      </c>
      <c r="B29885" t="s">
        <v>52</v>
      </c>
      <c r="C29885">
        <v>20106</v>
      </c>
      <c r="D29885" t="str">
        <f>"20106"</f>
        <v>20106</v>
      </c>
      <c r="E29885">
        <v>81.47</v>
      </c>
    </row>
    <row r="29886" spans="1:5" x14ac:dyDescent="0.2">
      <c r="A29886">
        <v>20109</v>
      </c>
      <c r="B29886" t="s">
        <v>52</v>
      </c>
      <c r="C29886">
        <v>20109</v>
      </c>
      <c r="D29886" t="str">
        <f>"20109"</f>
        <v>20109</v>
      </c>
      <c r="E29886">
        <v>70.41</v>
      </c>
    </row>
    <row r="29887" spans="1:5" x14ac:dyDescent="0.2">
      <c r="A29887">
        <v>20110</v>
      </c>
      <c r="B29887" t="s">
        <v>52</v>
      </c>
      <c r="C29887">
        <v>20110</v>
      </c>
      <c r="D29887" t="str">
        <f>"20110"</f>
        <v>20110</v>
      </c>
      <c r="E29887">
        <v>72.67</v>
      </c>
    </row>
    <row r="29888" spans="1:5" x14ac:dyDescent="0.2">
      <c r="A29888">
        <v>20111</v>
      </c>
      <c r="B29888" t="s">
        <v>52</v>
      </c>
      <c r="C29888">
        <v>20111</v>
      </c>
      <c r="D29888" t="str">
        <f>"20111"</f>
        <v>20111</v>
      </c>
      <c r="E29888">
        <v>72.930000000000007</v>
      </c>
    </row>
    <row r="29889" spans="1:5" x14ac:dyDescent="0.2">
      <c r="A29889">
        <v>20112</v>
      </c>
      <c r="B29889" t="s">
        <v>52</v>
      </c>
      <c r="C29889">
        <v>20112</v>
      </c>
      <c r="D29889" t="str">
        <f>"20112"</f>
        <v>20112</v>
      </c>
      <c r="E29889">
        <v>81.56</v>
      </c>
    </row>
    <row r="29890" spans="1:5" x14ac:dyDescent="0.2">
      <c r="A29890">
        <v>20115</v>
      </c>
      <c r="B29890" t="s">
        <v>52</v>
      </c>
      <c r="C29890">
        <v>20115</v>
      </c>
      <c r="D29890" t="str">
        <f>"20115"</f>
        <v>20115</v>
      </c>
      <c r="E29890">
        <v>77.819999999999993</v>
      </c>
    </row>
    <row r="29891" spans="1:5" x14ac:dyDescent="0.2">
      <c r="A29891">
        <v>20117</v>
      </c>
      <c r="B29891" t="s">
        <v>52</v>
      </c>
      <c r="C29891">
        <v>20117</v>
      </c>
      <c r="D29891" t="str">
        <f>"20117"</f>
        <v>20117</v>
      </c>
      <c r="E29891">
        <v>77.91</v>
      </c>
    </row>
    <row r="29892" spans="1:5" x14ac:dyDescent="0.2">
      <c r="A29892">
        <v>20119</v>
      </c>
      <c r="B29892" t="s">
        <v>52</v>
      </c>
      <c r="C29892">
        <v>20119</v>
      </c>
      <c r="D29892" t="str">
        <f>"20119"</f>
        <v>20119</v>
      </c>
      <c r="E29892">
        <v>76</v>
      </c>
    </row>
    <row r="29893" spans="1:5" x14ac:dyDescent="0.2">
      <c r="A29893">
        <v>20120</v>
      </c>
      <c r="B29893" t="s">
        <v>52</v>
      </c>
      <c r="C29893">
        <v>20120</v>
      </c>
      <c r="D29893" t="str">
        <f>"20120"</f>
        <v>20120</v>
      </c>
      <c r="E29893">
        <v>80.459999999999994</v>
      </c>
    </row>
    <row r="29894" spans="1:5" x14ac:dyDescent="0.2">
      <c r="A29894">
        <v>20121</v>
      </c>
      <c r="B29894" t="s">
        <v>52</v>
      </c>
      <c r="C29894">
        <v>20121</v>
      </c>
      <c r="D29894" t="str">
        <f>"20121"</f>
        <v>20121</v>
      </c>
      <c r="E29894">
        <v>77.819999999999993</v>
      </c>
    </row>
    <row r="29895" spans="1:5" x14ac:dyDescent="0.2">
      <c r="A29895">
        <v>20124</v>
      </c>
      <c r="B29895" t="s">
        <v>52</v>
      </c>
      <c r="C29895">
        <v>20124</v>
      </c>
      <c r="D29895" t="str">
        <f>"20124"</f>
        <v>20124</v>
      </c>
      <c r="E29895">
        <v>83.64</v>
      </c>
    </row>
    <row r="29896" spans="1:5" x14ac:dyDescent="0.2">
      <c r="A29896">
        <v>20129</v>
      </c>
      <c r="B29896" t="s">
        <v>52</v>
      </c>
      <c r="C29896">
        <v>20129</v>
      </c>
      <c r="D29896" t="str">
        <f>"20129"</f>
        <v>20129</v>
      </c>
      <c r="E29896">
        <v>83.33</v>
      </c>
    </row>
    <row r="29897" spans="1:5" x14ac:dyDescent="0.2">
      <c r="A29897">
        <v>20130</v>
      </c>
      <c r="B29897" t="s">
        <v>52</v>
      </c>
      <c r="C29897">
        <v>20130</v>
      </c>
      <c r="D29897" t="str">
        <f>"20130"</f>
        <v>20130</v>
      </c>
      <c r="E29897">
        <v>76.92</v>
      </c>
    </row>
    <row r="29898" spans="1:5" x14ac:dyDescent="0.2">
      <c r="A29898">
        <v>20132</v>
      </c>
      <c r="B29898" t="s">
        <v>52</v>
      </c>
      <c r="C29898">
        <v>20132</v>
      </c>
      <c r="D29898" t="str">
        <f>"20132"</f>
        <v>20132</v>
      </c>
      <c r="E29898">
        <v>81.790000000000006</v>
      </c>
    </row>
    <row r="29899" spans="1:5" x14ac:dyDescent="0.2">
      <c r="A29899">
        <v>20135</v>
      </c>
      <c r="B29899" t="s">
        <v>52</v>
      </c>
      <c r="C29899">
        <v>20135</v>
      </c>
      <c r="D29899" t="str">
        <f>"20135"</f>
        <v>20135</v>
      </c>
      <c r="E29899">
        <v>83.45</v>
      </c>
    </row>
    <row r="29900" spans="1:5" x14ac:dyDescent="0.2">
      <c r="A29900">
        <v>20136</v>
      </c>
      <c r="B29900" t="s">
        <v>52</v>
      </c>
      <c r="C29900">
        <v>20136</v>
      </c>
      <c r="D29900" t="str">
        <f>"20136"</f>
        <v>20136</v>
      </c>
      <c r="E29900">
        <v>81.36</v>
      </c>
    </row>
    <row r="29901" spans="1:5" x14ac:dyDescent="0.2">
      <c r="A29901">
        <v>20137</v>
      </c>
      <c r="B29901" t="s">
        <v>52</v>
      </c>
      <c r="C29901">
        <v>20137</v>
      </c>
      <c r="D29901" t="str">
        <f>"20137"</f>
        <v>20137</v>
      </c>
      <c r="E29901">
        <v>83.16</v>
      </c>
    </row>
    <row r="29902" spans="1:5" x14ac:dyDescent="0.2">
      <c r="A29902">
        <v>20141</v>
      </c>
      <c r="B29902" t="s">
        <v>52</v>
      </c>
      <c r="C29902">
        <v>20141</v>
      </c>
      <c r="D29902" t="str">
        <f>"20141"</f>
        <v>20141</v>
      </c>
      <c r="E29902">
        <v>82.8</v>
      </c>
    </row>
    <row r="29903" spans="1:5" x14ac:dyDescent="0.2">
      <c r="A29903">
        <v>20143</v>
      </c>
      <c r="B29903" t="s">
        <v>52</v>
      </c>
      <c r="C29903">
        <v>20143</v>
      </c>
      <c r="D29903" t="str">
        <f>"20143"</f>
        <v>20143</v>
      </c>
      <c r="E29903">
        <v>82.14</v>
      </c>
    </row>
    <row r="29904" spans="1:5" x14ac:dyDescent="0.2">
      <c r="A29904">
        <v>20144</v>
      </c>
      <c r="B29904" t="s">
        <v>52</v>
      </c>
      <c r="C29904">
        <v>20144</v>
      </c>
      <c r="D29904" t="str">
        <f>"20144"</f>
        <v>20144</v>
      </c>
      <c r="E29904">
        <v>83.33</v>
      </c>
    </row>
    <row r="29905" spans="1:5" x14ac:dyDescent="0.2">
      <c r="A29905">
        <v>20147</v>
      </c>
      <c r="B29905" t="s">
        <v>52</v>
      </c>
      <c r="C29905">
        <v>20147</v>
      </c>
      <c r="D29905" t="str">
        <f>"20147"</f>
        <v>20147</v>
      </c>
      <c r="E29905">
        <v>82.81</v>
      </c>
    </row>
    <row r="29906" spans="1:5" x14ac:dyDescent="0.2">
      <c r="A29906">
        <v>20148</v>
      </c>
      <c r="B29906" t="s">
        <v>52</v>
      </c>
      <c r="C29906">
        <v>20148</v>
      </c>
      <c r="D29906" t="str">
        <f>"20148"</f>
        <v>20148</v>
      </c>
      <c r="E29906">
        <v>85.96</v>
      </c>
    </row>
    <row r="29907" spans="1:5" x14ac:dyDescent="0.2">
      <c r="A29907">
        <v>20151</v>
      </c>
      <c r="B29907" t="s">
        <v>52</v>
      </c>
      <c r="C29907">
        <v>20151</v>
      </c>
      <c r="D29907" t="str">
        <f>"20151"</f>
        <v>20151</v>
      </c>
      <c r="E29907">
        <v>76.709999999999994</v>
      </c>
    </row>
    <row r="29908" spans="1:5" x14ac:dyDescent="0.2">
      <c r="A29908">
        <v>20152</v>
      </c>
      <c r="B29908" t="s">
        <v>52</v>
      </c>
      <c r="C29908">
        <v>20152</v>
      </c>
      <c r="D29908" t="str">
        <f>"20152"</f>
        <v>20152</v>
      </c>
      <c r="E29908">
        <v>83.14</v>
      </c>
    </row>
    <row r="29909" spans="1:5" x14ac:dyDescent="0.2">
      <c r="A29909">
        <v>20155</v>
      </c>
      <c r="B29909" t="s">
        <v>52</v>
      </c>
      <c r="C29909">
        <v>20155</v>
      </c>
      <c r="D29909" t="str">
        <f>"20155"</f>
        <v>20155</v>
      </c>
      <c r="E29909">
        <v>82.3</v>
      </c>
    </row>
    <row r="29910" spans="1:5" x14ac:dyDescent="0.2">
      <c r="A29910">
        <v>20158</v>
      </c>
      <c r="B29910" t="s">
        <v>52</v>
      </c>
      <c r="C29910">
        <v>20158</v>
      </c>
      <c r="D29910" t="str">
        <f>"20158"</f>
        <v>20158</v>
      </c>
      <c r="E29910">
        <v>83</v>
      </c>
    </row>
    <row r="29911" spans="1:5" x14ac:dyDescent="0.2">
      <c r="A29911">
        <v>20164</v>
      </c>
      <c r="B29911" t="s">
        <v>52</v>
      </c>
      <c r="C29911">
        <v>20164</v>
      </c>
      <c r="D29911" t="str">
        <f>"20164"</f>
        <v>20164</v>
      </c>
      <c r="E29911">
        <v>73.14</v>
      </c>
    </row>
    <row r="29912" spans="1:5" x14ac:dyDescent="0.2">
      <c r="A29912">
        <v>20165</v>
      </c>
      <c r="B29912" t="s">
        <v>52</v>
      </c>
      <c r="C29912">
        <v>20165</v>
      </c>
      <c r="D29912" t="str">
        <f>"20165"</f>
        <v>20165</v>
      </c>
      <c r="E29912">
        <v>82.78</v>
      </c>
    </row>
    <row r="29913" spans="1:5" x14ac:dyDescent="0.2">
      <c r="A29913">
        <v>20166</v>
      </c>
      <c r="B29913" t="s">
        <v>52</v>
      </c>
      <c r="C29913">
        <v>20166</v>
      </c>
      <c r="D29913" t="str">
        <f>"20166"</f>
        <v>20166</v>
      </c>
      <c r="E29913">
        <v>79.97</v>
      </c>
    </row>
    <row r="29914" spans="1:5" x14ac:dyDescent="0.2">
      <c r="A29914">
        <v>20169</v>
      </c>
      <c r="B29914" t="s">
        <v>52</v>
      </c>
      <c r="C29914">
        <v>20169</v>
      </c>
      <c r="D29914" t="str">
        <f>"20169"</f>
        <v>20169</v>
      </c>
      <c r="E29914">
        <v>84.14</v>
      </c>
    </row>
    <row r="29915" spans="1:5" x14ac:dyDescent="0.2">
      <c r="A29915">
        <v>20170</v>
      </c>
      <c r="B29915" t="s">
        <v>52</v>
      </c>
      <c r="C29915">
        <v>20170</v>
      </c>
      <c r="D29915" t="str">
        <f>"20170"</f>
        <v>20170</v>
      </c>
      <c r="E29915">
        <v>75.84</v>
      </c>
    </row>
    <row r="29916" spans="1:5" x14ac:dyDescent="0.2">
      <c r="A29916">
        <v>20171</v>
      </c>
      <c r="B29916" t="s">
        <v>52</v>
      </c>
      <c r="C29916">
        <v>20171</v>
      </c>
      <c r="D29916" t="str">
        <f>"20171"</f>
        <v>20171</v>
      </c>
      <c r="E29916">
        <v>84.5</v>
      </c>
    </row>
    <row r="29917" spans="1:5" x14ac:dyDescent="0.2">
      <c r="A29917">
        <v>20175</v>
      </c>
      <c r="B29917" t="s">
        <v>52</v>
      </c>
      <c r="C29917">
        <v>20175</v>
      </c>
      <c r="D29917" t="str">
        <f>"20175"</f>
        <v>20175</v>
      </c>
      <c r="E29917">
        <v>82.35</v>
      </c>
    </row>
    <row r="29918" spans="1:5" x14ac:dyDescent="0.2">
      <c r="A29918">
        <v>20176</v>
      </c>
      <c r="B29918" t="s">
        <v>52</v>
      </c>
      <c r="C29918">
        <v>20176</v>
      </c>
      <c r="D29918" t="str">
        <f>"20176"</f>
        <v>20176</v>
      </c>
      <c r="E29918">
        <v>79.25</v>
      </c>
    </row>
    <row r="29919" spans="1:5" x14ac:dyDescent="0.2">
      <c r="A29919">
        <v>20180</v>
      </c>
      <c r="B29919" t="s">
        <v>52</v>
      </c>
      <c r="C29919">
        <v>20180</v>
      </c>
      <c r="D29919" t="str">
        <f>"20180"</f>
        <v>20180</v>
      </c>
      <c r="E29919">
        <v>83.06</v>
      </c>
    </row>
    <row r="29920" spans="1:5" x14ac:dyDescent="0.2">
      <c r="A29920">
        <v>20181</v>
      </c>
      <c r="B29920" t="s">
        <v>52</v>
      </c>
      <c r="C29920">
        <v>20181</v>
      </c>
      <c r="D29920" t="str">
        <f>"20181"</f>
        <v>20181</v>
      </c>
      <c r="E29920">
        <v>81.52</v>
      </c>
    </row>
    <row r="29921" spans="1:5" x14ac:dyDescent="0.2">
      <c r="A29921">
        <v>20184</v>
      </c>
      <c r="B29921" t="s">
        <v>52</v>
      </c>
      <c r="C29921">
        <v>20184</v>
      </c>
      <c r="D29921" t="str">
        <f>"20184"</f>
        <v>20184</v>
      </c>
      <c r="E29921">
        <v>72.73</v>
      </c>
    </row>
    <row r="29922" spans="1:5" x14ac:dyDescent="0.2">
      <c r="A29922">
        <v>20186</v>
      </c>
      <c r="B29922" t="s">
        <v>52</v>
      </c>
      <c r="C29922">
        <v>20186</v>
      </c>
      <c r="D29922" t="str">
        <f>"20186"</f>
        <v>20186</v>
      </c>
      <c r="E29922">
        <v>79.55</v>
      </c>
    </row>
    <row r="29923" spans="1:5" x14ac:dyDescent="0.2">
      <c r="A29923">
        <v>20187</v>
      </c>
      <c r="B29923" t="s">
        <v>52</v>
      </c>
      <c r="C29923">
        <v>20187</v>
      </c>
      <c r="D29923" t="str">
        <f>"20187"</f>
        <v>20187</v>
      </c>
      <c r="E29923">
        <v>83.15</v>
      </c>
    </row>
    <row r="29924" spans="1:5" x14ac:dyDescent="0.2">
      <c r="A29924">
        <v>20190</v>
      </c>
      <c r="B29924" t="s">
        <v>52</v>
      </c>
      <c r="C29924">
        <v>20190</v>
      </c>
      <c r="D29924" t="str">
        <f>"20190"</f>
        <v>20190</v>
      </c>
      <c r="E29924">
        <v>84.43</v>
      </c>
    </row>
    <row r="29925" spans="1:5" x14ac:dyDescent="0.2">
      <c r="A29925">
        <v>20191</v>
      </c>
      <c r="B29925" t="s">
        <v>52</v>
      </c>
      <c r="C29925">
        <v>20191</v>
      </c>
      <c r="D29925" t="str">
        <f>"20191"</f>
        <v>20191</v>
      </c>
      <c r="E29925">
        <v>81.290000000000006</v>
      </c>
    </row>
    <row r="29926" spans="1:5" x14ac:dyDescent="0.2">
      <c r="A29926">
        <v>20194</v>
      </c>
      <c r="B29926" t="s">
        <v>52</v>
      </c>
      <c r="C29926">
        <v>20194</v>
      </c>
      <c r="D29926" t="str">
        <f>"20194"</f>
        <v>20194</v>
      </c>
      <c r="E29926">
        <v>88.47</v>
      </c>
    </row>
    <row r="29927" spans="1:5" x14ac:dyDescent="0.2">
      <c r="A29927">
        <v>20197</v>
      </c>
      <c r="B29927" t="s">
        <v>52</v>
      </c>
      <c r="C29927">
        <v>20197</v>
      </c>
      <c r="D29927" t="str">
        <f>"20197"</f>
        <v>20197</v>
      </c>
      <c r="E29927">
        <v>83.64</v>
      </c>
    </row>
    <row r="29928" spans="1:5" x14ac:dyDescent="0.2">
      <c r="A29928">
        <v>20198</v>
      </c>
      <c r="B29928" t="s">
        <v>52</v>
      </c>
      <c r="C29928">
        <v>20198</v>
      </c>
      <c r="D29928" t="str">
        <f>"20198"</f>
        <v>20198</v>
      </c>
      <c r="E29928">
        <v>77.08</v>
      </c>
    </row>
    <row r="29929" spans="1:5" x14ac:dyDescent="0.2">
      <c r="A29929">
        <v>22003</v>
      </c>
      <c r="B29929" t="s">
        <v>52</v>
      </c>
      <c r="C29929">
        <v>22003</v>
      </c>
      <c r="D29929" t="str">
        <f>"22003"</f>
        <v>22003</v>
      </c>
      <c r="E29929">
        <v>75.53</v>
      </c>
    </row>
    <row r="29930" spans="1:5" x14ac:dyDescent="0.2">
      <c r="A29930">
        <v>22015</v>
      </c>
      <c r="B29930" t="s">
        <v>52</v>
      </c>
      <c r="C29930">
        <v>22015</v>
      </c>
      <c r="D29930" t="str">
        <f>"22015"</f>
        <v>22015</v>
      </c>
      <c r="E29930">
        <v>82.1</v>
      </c>
    </row>
    <row r="29931" spans="1:5" x14ac:dyDescent="0.2">
      <c r="A29931">
        <v>22025</v>
      </c>
      <c r="B29931" t="s">
        <v>52</v>
      </c>
      <c r="C29931">
        <v>22025</v>
      </c>
      <c r="D29931" t="str">
        <f>"22025"</f>
        <v>22025</v>
      </c>
      <c r="E29931">
        <v>82.34</v>
      </c>
    </row>
    <row r="29932" spans="1:5" x14ac:dyDescent="0.2">
      <c r="A29932">
        <v>22026</v>
      </c>
      <c r="B29932" t="s">
        <v>52</v>
      </c>
      <c r="C29932">
        <v>22026</v>
      </c>
      <c r="D29932" t="str">
        <f>"22026"</f>
        <v>22026</v>
      </c>
      <c r="E29932">
        <v>70.45</v>
      </c>
    </row>
    <row r="29933" spans="1:5" x14ac:dyDescent="0.2">
      <c r="A29933">
        <v>22027</v>
      </c>
      <c r="B29933" t="s">
        <v>52</v>
      </c>
      <c r="C29933">
        <v>22027</v>
      </c>
      <c r="D29933" t="str">
        <f>"22027"</f>
        <v>22027</v>
      </c>
      <c r="E29933">
        <v>83.33</v>
      </c>
    </row>
    <row r="29934" spans="1:5" x14ac:dyDescent="0.2">
      <c r="A29934">
        <v>22030</v>
      </c>
      <c r="B29934" t="s">
        <v>52</v>
      </c>
      <c r="C29934">
        <v>22030</v>
      </c>
      <c r="D29934" t="str">
        <f>"22030"</f>
        <v>22030</v>
      </c>
      <c r="E29934">
        <v>81.150000000000006</v>
      </c>
    </row>
    <row r="29935" spans="1:5" x14ac:dyDescent="0.2">
      <c r="A29935">
        <v>22031</v>
      </c>
      <c r="B29935" t="s">
        <v>52</v>
      </c>
      <c r="C29935">
        <v>22031</v>
      </c>
      <c r="D29935" t="str">
        <f>"22031"</f>
        <v>22031</v>
      </c>
      <c r="E29935">
        <v>81.069999999999993</v>
      </c>
    </row>
    <row r="29936" spans="1:5" x14ac:dyDescent="0.2">
      <c r="A29936">
        <v>22032</v>
      </c>
      <c r="B29936" t="s">
        <v>52</v>
      </c>
      <c r="C29936">
        <v>22032</v>
      </c>
      <c r="D29936" t="str">
        <f>"22032"</f>
        <v>22032</v>
      </c>
      <c r="E29936">
        <v>81.55</v>
      </c>
    </row>
    <row r="29937" spans="1:5" x14ac:dyDescent="0.2">
      <c r="A29937">
        <v>22033</v>
      </c>
      <c r="B29937" t="s">
        <v>52</v>
      </c>
      <c r="C29937">
        <v>22033</v>
      </c>
      <c r="D29937" t="str">
        <f>"22033"</f>
        <v>22033</v>
      </c>
      <c r="E29937">
        <v>83.84</v>
      </c>
    </row>
    <row r="29938" spans="1:5" x14ac:dyDescent="0.2">
      <c r="A29938">
        <v>22035</v>
      </c>
      <c r="B29938" t="s">
        <v>52</v>
      </c>
      <c r="C29938">
        <v>22035</v>
      </c>
      <c r="D29938" t="str">
        <f>"22035"</f>
        <v>22035</v>
      </c>
      <c r="E29938" t="s">
        <v>6</v>
      </c>
    </row>
    <row r="29939" spans="1:5" x14ac:dyDescent="0.2">
      <c r="A29939">
        <v>22037</v>
      </c>
      <c r="B29939" t="s">
        <v>52</v>
      </c>
      <c r="C29939">
        <v>22037</v>
      </c>
      <c r="D29939" t="str">
        <f>"22037"</f>
        <v>22037</v>
      </c>
      <c r="E29939" t="s">
        <v>6</v>
      </c>
    </row>
    <row r="29940" spans="1:5" x14ac:dyDescent="0.2">
      <c r="A29940">
        <v>22039</v>
      </c>
      <c r="B29940" t="s">
        <v>52</v>
      </c>
      <c r="C29940">
        <v>22039</v>
      </c>
      <c r="D29940" t="str">
        <f>"22039"</f>
        <v>22039</v>
      </c>
      <c r="E29940">
        <v>85.49</v>
      </c>
    </row>
    <row r="29941" spans="1:5" x14ac:dyDescent="0.2">
      <c r="A29941">
        <v>22041</v>
      </c>
      <c r="B29941" t="s">
        <v>52</v>
      </c>
      <c r="C29941">
        <v>22041</v>
      </c>
      <c r="D29941" t="str">
        <f>"22041"</f>
        <v>22041</v>
      </c>
      <c r="E29941">
        <v>69.64</v>
      </c>
    </row>
    <row r="29942" spans="1:5" x14ac:dyDescent="0.2">
      <c r="A29942">
        <v>22042</v>
      </c>
      <c r="B29942" t="s">
        <v>52</v>
      </c>
      <c r="C29942">
        <v>22042</v>
      </c>
      <c r="D29942" t="str">
        <f>"22042"</f>
        <v>22042</v>
      </c>
      <c r="E29942">
        <v>77.290000000000006</v>
      </c>
    </row>
    <row r="29943" spans="1:5" x14ac:dyDescent="0.2">
      <c r="A29943">
        <v>22043</v>
      </c>
      <c r="B29943" t="s">
        <v>52</v>
      </c>
      <c r="C29943">
        <v>22043</v>
      </c>
      <c r="D29943" t="str">
        <f>"22043"</f>
        <v>22043</v>
      </c>
      <c r="E29943">
        <v>82.95</v>
      </c>
    </row>
    <row r="29944" spans="1:5" x14ac:dyDescent="0.2">
      <c r="A29944">
        <v>22044</v>
      </c>
      <c r="B29944" t="s">
        <v>52</v>
      </c>
      <c r="C29944">
        <v>22044</v>
      </c>
      <c r="D29944" t="str">
        <f>"22044"</f>
        <v>22044</v>
      </c>
      <c r="E29944">
        <v>72.73</v>
      </c>
    </row>
    <row r="29945" spans="1:5" x14ac:dyDescent="0.2">
      <c r="A29945">
        <v>22046</v>
      </c>
      <c r="B29945" t="s">
        <v>52</v>
      </c>
      <c r="C29945">
        <v>22046</v>
      </c>
      <c r="D29945" t="str">
        <f>"22046"</f>
        <v>22046</v>
      </c>
      <c r="E29945">
        <v>84.25</v>
      </c>
    </row>
    <row r="29946" spans="1:5" x14ac:dyDescent="0.2">
      <c r="A29946">
        <v>22060</v>
      </c>
      <c r="B29946" t="s">
        <v>52</v>
      </c>
      <c r="C29946">
        <v>22060</v>
      </c>
      <c r="D29946" t="str">
        <f>"22060"</f>
        <v>22060</v>
      </c>
      <c r="E29946">
        <v>71.260000000000005</v>
      </c>
    </row>
    <row r="29947" spans="1:5" x14ac:dyDescent="0.2">
      <c r="A29947">
        <v>22066</v>
      </c>
      <c r="B29947" t="s">
        <v>52</v>
      </c>
      <c r="C29947">
        <v>22066</v>
      </c>
      <c r="D29947" t="str">
        <f>"22066"</f>
        <v>22066</v>
      </c>
      <c r="E29947">
        <v>83.56</v>
      </c>
    </row>
    <row r="29948" spans="1:5" x14ac:dyDescent="0.2">
      <c r="A29948">
        <v>22079</v>
      </c>
      <c r="B29948" t="s">
        <v>52</v>
      </c>
      <c r="C29948">
        <v>22079</v>
      </c>
      <c r="D29948" t="str">
        <f>"22079"</f>
        <v>22079</v>
      </c>
      <c r="E29948">
        <v>76.81</v>
      </c>
    </row>
    <row r="29949" spans="1:5" x14ac:dyDescent="0.2">
      <c r="A29949">
        <v>22101</v>
      </c>
      <c r="B29949" t="s">
        <v>52</v>
      </c>
      <c r="C29949">
        <v>22101</v>
      </c>
      <c r="D29949" t="str">
        <f>"22101"</f>
        <v>22101</v>
      </c>
      <c r="E29949">
        <v>85.13</v>
      </c>
    </row>
    <row r="29950" spans="1:5" x14ac:dyDescent="0.2">
      <c r="A29950">
        <v>22102</v>
      </c>
      <c r="B29950" t="s">
        <v>52</v>
      </c>
      <c r="C29950">
        <v>22102</v>
      </c>
      <c r="D29950" t="str">
        <f>"22102"</f>
        <v>22102</v>
      </c>
      <c r="E29950">
        <v>86.24</v>
      </c>
    </row>
    <row r="29951" spans="1:5" x14ac:dyDescent="0.2">
      <c r="A29951">
        <v>22124</v>
      </c>
      <c r="B29951" t="s">
        <v>52</v>
      </c>
      <c r="C29951">
        <v>22124</v>
      </c>
      <c r="D29951" t="str">
        <f>"22124"</f>
        <v>22124</v>
      </c>
      <c r="E29951">
        <v>84.65</v>
      </c>
    </row>
    <row r="29952" spans="1:5" x14ac:dyDescent="0.2">
      <c r="A29952">
        <v>22125</v>
      </c>
      <c r="B29952" t="s">
        <v>52</v>
      </c>
      <c r="C29952">
        <v>22125</v>
      </c>
      <c r="D29952" t="str">
        <f>"22125"</f>
        <v>22125</v>
      </c>
      <c r="E29952" t="s">
        <v>6</v>
      </c>
    </row>
    <row r="29953" spans="1:5" x14ac:dyDescent="0.2">
      <c r="A29953">
        <v>22134</v>
      </c>
      <c r="B29953" t="s">
        <v>52</v>
      </c>
      <c r="C29953">
        <v>22134</v>
      </c>
      <c r="D29953" t="str">
        <f>"22134"</f>
        <v>22134</v>
      </c>
      <c r="E29953">
        <v>75.88</v>
      </c>
    </row>
    <row r="29954" spans="1:5" x14ac:dyDescent="0.2">
      <c r="A29954">
        <v>22150</v>
      </c>
      <c r="B29954" t="s">
        <v>52</v>
      </c>
      <c r="C29954">
        <v>22150</v>
      </c>
      <c r="D29954" t="str">
        <f>"22150"</f>
        <v>22150</v>
      </c>
      <c r="E29954">
        <v>73.3</v>
      </c>
    </row>
    <row r="29955" spans="1:5" x14ac:dyDescent="0.2">
      <c r="A29955">
        <v>22151</v>
      </c>
      <c r="B29955" t="s">
        <v>52</v>
      </c>
      <c r="C29955">
        <v>22151</v>
      </c>
      <c r="D29955" t="str">
        <f>"22151"</f>
        <v>22151</v>
      </c>
      <c r="E29955">
        <v>77.98</v>
      </c>
    </row>
    <row r="29956" spans="1:5" x14ac:dyDescent="0.2">
      <c r="A29956">
        <v>22152</v>
      </c>
      <c r="B29956" t="s">
        <v>52</v>
      </c>
      <c r="C29956">
        <v>22152</v>
      </c>
      <c r="D29956" t="str">
        <f>"22152"</f>
        <v>22152</v>
      </c>
      <c r="E29956">
        <v>82.25</v>
      </c>
    </row>
    <row r="29957" spans="1:5" x14ac:dyDescent="0.2">
      <c r="A29957">
        <v>22153</v>
      </c>
      <c r="B29957" t="s">
        <v>52</v>
      </c>
      <c r="C29957">
        <v>22153</v>
      </c>
      <c r="D29957" t="str">
        <f>"22153"</f>
        <v>22153</v>
      </c>
      <c r="E29957">
        <v>81.81</v>
      </c>
    </row>
    <row r="29958" spans="1:5" x14ac:dyDescent="0.2">
      <c r="A29958">
        <v>22172</v>
      </c>
      <c r="B29958" t="s">
        <v>52</v>
      </c>
      <c r="C29958">
        <v>22172</v>
      </c>
      <c r="D29958" t="str">
        <f>"22172"</f>
        <v>22172</v>
      </c>
      <c r="E29958">
        <v>70.94</v>
      </c>
    </row>
    <row r="29959" spans="1:5" x14ac:dyDescent="0.2">
      <c r="A29959">
        <v>22180</v>
      </c>
      <c r="B29959" t="s">
        <v>52</v>
      </c>
      <c r="C29959">
        <v>22180</v>
      </c>
      <c r="D29959" t="str">
        <f>"22180"</f>
        <v>22180</v>
      </c>
      <c r="E29959">
        <v>84.9</v>
      </c>
    </row>
    <row r="29960" spans="1:5" x14ac:dyDescent="0.2">
      <c r="A29960">
        <v>22181</v>
      </c>
      <c r="B29960" t="s">
        <v>52</v>
      </c>
      <c r="C29960">
        <v>22181</v>
      </c>
      <c r="D29960" t="str">
        <f>"22181"</f>
        <v>22181</v>
      </c>
      <c r="E29960">
        <v>84.16</v>
      </c>
    </row>
    <row r="29961" spans="1:5" x14ac:dyDescent="0.2">
      <c r="A29961">
        <v>22182</v>
      </c>
      <c r="B29961" t="s">
        <v>52</v>
      </c>
      <c r="C29961">
        <v>22182</v>
      </c>
      <c r="D29961" t="str">
        <f>"22182"</f>
        <v>22182</v>
      </c>
      <c r="E29961">
        <v>83.75</v>
      </c>
    </row>
    <row r="29962" spans="1:5" x14ac:dyDescent="0.2">
      <c r="A29962">
        <v>22185</v>
      </c>
      <c r="B29962" t="s">
        <v>52</v>
      </c>
      <c r="C29962">
        <v>22185</v>
      </c>
      <c r="D29962" t="str">
        <f>"22185"</f>
        <v>22185</v>
      </c>
      <c r="E29962" t="s">
        <v>6</v>
      </c>
    </row>
    <row r="29963" spans="1:5" x14ac:dyDescent="0.2">
      <c r="A29963">
        <v>22191</v>
      </c>
      <c r="B29963" t="s">
        <v>52</v>
      </c>
      <c r="C29963">
        <v>22191</v>
      </c>
      <c r="D29963" t="str">
        <f>"22191"</f>
        <v>22191</v>
      </c>
      <c r="E29963">
        <v>71.77</v>
      </c>
    </row>
    <row r="29964" spans="1:5" x14ac:dyDescent="0.2">
      <c r="A29964">
        <v>22192</v>
      </c>
      <c r="B29964" t="s">
        <v>52</v>
      </c>
      <c r="C29964">
        <v>22192</v>
      </c>
      <c r="D29964" t="str">
        <f>"22192"</f>
        <v>22192</v>
      </c>
      <c r="E29964">
        <v>79.05</v>
      </c>
    </row>
    <row r="29965" spans="1:5" x14ac:dyDescent="0.2">
      <c r="A29965">
        <v>22193</v>
      </c>
      <c r="B29965" t="s">
        <v>52</v>
      </c>
      <c r="C29965">
        <v>22193</v>
      </c>
      <c r="D29965" t="str">
        <f>"22193"</f>
        <v>22193</v>
      </c>
      <c r="E29965">
        <v>73.17</v>
      </c>
    </row>
    <row r="29966" spans="1:5" x14ac:dyDescent="0.2">
      <c r="A29966">
        <v>22201</v>
      </c>
      <c r="B29966" t="s">
        <v>52</v>
      </c>
      <c r="C29966">
        <v>22201</v>
      </c>
      <c r="D29966" t="str">
        <f>"22201"</f>
        <v>22201</v>
      </c>
      <c r="E29966">
        <v>91.38</v>
      </c>
    </row>
    <row r="29967" spans="1:5" x14ac:dyDescent="0.2">
      <c r="A29967">
        <v>22202</v>
      </c>
      <c r="B29967" t="s">
        <v>52</v>
      </c>
      <c r="C29967">
        <v>22202</v>
      </c>
      <c r="D29967" t="str">
        <f>"22202"</f>
        <v>22202</v>
      </c>
      <c r="E29967">
        <v>91.58</v>
      </c>
    </row>
    <row r="29968" spans="1:5" x14ac:dyDescent="0.2">
      <c r="A29968">
        <v>22203</v>
      </c>
      <c r="B29968" t="s">
        <v>52</v>
      </c>
      <c r="C29968">
        <v>22203</v>
      </c>
      <c r="D29968" t="str">
        <f>"22203"</f>
        <v>22203</v>
      </c>
      <c r="E29968">
        <v>86.81</v>
      </c>
    </row>
    <row r="29969" spans="1:5" x14ac:dyDescent="0.2">
      <c r="A29969">
        <v>22204</v>
      </c>
      <c r="B29969" t="s">
        <v>52</v>
      </c>
      <c r="C29969">
        <v>22204</v>
      </c>
      <c r="D29969" t="str">
        <f>"22204"</f>
        <v>22204</v>
      </c>
      <c r="E29969">
        <v>78.52</v>
      </c>
    </row>
    <row r="29970" spans="1:5" x14ac:dyDescent="0.2">
      <c r="A29970">
        <v>22205</v>
      </c>
      <c r="B29970" t="s">
        <v>52</v>
      </c>
      <c r="C29970">
        <v>22205</v>
      </c>
      <c r="D29970" t="str">
        <f>"22205"</f>
        <v>22205</v>
      </c>
      <c r="E29970">
        <v>85.77</v>
      </c>
    </row>
    <row r="29971" spans="1:5" x14ac:dyDescent="0.2">
      <c r="A29971">
        <v>22206</v>
      </c>
      <c r="B29971" t="s">
        <v>52</v>
      </c>
      <c r="C29971">
        <v>22206</v>
      </c>
      <c r="D29971" t="str">
        <f>"22206"</f>
        <v>22206</v>
      </c>
      <c r="E29971">
        <v>87.82</v>
      </c>
    </row>
    <row r="29972" spans="1:5" x14ac:dyDescent="0.2">
      <c r="A29972">
        <v>22207</v>
      </c>
      <c r="B29972" t="s">
        <v>52</v>
      </c>
      <c r="C29972">
        <v>22207</v>
      </c>
      <c r="D29972" t="str">
        <f>"22207"</f>
        <v>22207</v>
      </c>
      <c r="E29972">
        <v>86.73</v>
      </c>
    </row>
    <row r="29973" spans="1:5" x14ac:dyDescent="0.2">
      <c r="A29973">
        <v>22209</v>
      </c>
      <c r="B29973" t="s">
        <v>52</v>
      </c>
      <c r="C29973">
        <v>22209</v>
      </c>
      <c r="D29973" t="str">
        <f>"22209"</f>
        <v>22209</v>
      </c>
      <c r="E29973">
        <v>87.48</v>
      </c>
    </row>
    <row r="29974" spans="1:5" x14ac:dyDescent="0.2">
      <c r="A29974">
        <v>22211</v>
      </c>
      <c r="B29974" t="s">
        <v>52</v>
      </c>
      <c r="C29974">
        <v>22211</v>
      </c>
      <c r="D29974" t="str">
        <f>"22211"</f>
        <v>22211</v>
      </c>
      <c r="E29974">
        <v>88.46</v>
      </c>
    </row>
    <row r="29975" spans="1:5" x14ac:dyDescent="0.2">
      <c r="A29975">
        <v>22212</v>
      </c>
      <c r="B29975" t="s">
        <v>52</v>
      </c>
      <c r="C29975">
        <v>22212</v>
      </c>
      <c r="D29975" t="str">
        <f>"22212"</f>
        <v>22212</v>
      </c>
      <c r="E29975" t="s">
        <v>6</v>
      </c>
    </row>
    <row r="29976" spans="1:5" x14ac:dyDescent="0.2">
      <c r="A29976">
        <v>22213</v>
      </c>
      <c r="B29976" t="s">
        <v>52</v>
      </c>
      <c r="C29976">
        <v>22213</v>
      </c>
      <c r="D29976" t="str">
        <f>"22213"</f>
        <v>22213</v>
      </c>
      <c r="E29976">
        <v>90.06</v>
      </c>
    </row>
    <row r="29977" spans="1:5" x14ac:dyDescent="0.2">
      <c r="A29977">
        <v>22214</v>
      </c>
      <c r="B29977" t="s">
        <v>52</v>
      </c>
      <c r="C29977">
        <v>22214</v>
      </c>
      <c r="D29977" t="str">
        <f>"22214"</f>
        <v>22214</v>
      </c>
      <c r="E29977" t="s">
        <v>6</v>
      </c>
    </row>
    <row r="29978" spans="1:5" x14ac:dyDescent="0.2">
      <c r="A29978">
        <v>22301</v>
      </c>
      <c r="B29978" t="s">
        <v>52</v>
      </c>
      <c r="C29978">
        <v>22301</v>
      </c>
      <c r="D29978" t="str">
        <f>"22301"</f>
        <v>22301</v>
      </c>
      <c r="E29978">
        <v>90.06</v>
      </c>
    </row>
    <row r="29979" spans="1:5" x14ac:dyDescent="0.2">
      <c r="A29979">
        <v>22302</v>
      </c>
      <c r="B29979" t="s">
        <v>52</v>
      </c>
      <c r="C29979">
        <v>22302</v>
      </c>
      <c r="D29979" t="str">
        <f>"22302"</f>
        <v>22302</v>
      </c>
      <c r="E29979">
        <v>87.21</v>
      </c>
    </row>
    <row r="29980" spans="1:5" x14ac:dyDescent="0.2">
      <c r="A29980">
        <v>22303</v>
      </c>
      <c r="B29980" t="s">
        <v>52</v>
      </c>
      <c r="C29980">
        <v>22303</v>
      </c>
      <c r="D29980" t="str">
        <f>"22303"</f>
        <v>22303</v>
      </c>
      <c r="E29980">
        <v>84.29</v>
      </c>
    </row>
    <row r="29981" spans="1:5" x14ac:dyDescent="0.2">
      <c r="A29981">
        <v>22304</v>
      </c>
      <c r="B29981" t="s">
        <v>52</v>
      </c>
      <c r="C29981">
        <v>22304</v>
      </c>
      <c r="D29981" t="str">
        <f>"22304"</f>
        <v>22304</v>
      </c>
      <c r="E29981">
        <v>79.760000000000005</v>
      </c>
    </row>
    <row r="29982" spans="1:5" x14ac:dyDescent="0.2">
      <c r="A29982">
        <v>22305</v>
      </c>
      <c r="B29982" t="s">
        <v>52</v>
      </c>
      <c r="C29982">
        <v>22305</v>
      </c>
      <c r="D29982" t="str">
        <f>"22305"</f>
        <v>22305</v>
      </c>
      <c r="E29982">
        <v>78.150000000000006</v>
      </c>
    </row>
    <row r="29983" spans="1:5" x14ac:dyDescent="0.2">
      <c r="A29983">
        <v>22306</v>
      </c>
      <c r="B29983" t="s">
        <v>52</v>
      </c>
      <c r="C29983">
        <v>22306</v>
      </c>
      <c r="D29983" t="str">
        <f>"22306"</f>
        <v>22306</v>
      </c>
      <c r="E29983">
        <v>70.38</v>
      </c>
    </row>
    <row r="29984" spans="1:5" x14ac:dyDescent="0.2">
      <c r="A29984">
        <v>22307</v>
      </c>
      <c r="B29984" t="s">
        <v>52</v>
      </c>
      <c r="C29984">
        <v>22307</v>
      </c>
      <c r="D29984" t="str">
        <f>"22307"</f>
        <v>22307</v>
      </c>
      <c r="E29984">
        <v>85.95</v>
      </c>
    </row>
    <row r="29985" spans="1:5" x14ac:dyDescent="0.2">
      <c r="A29985">
        <v>22308</v>
      </c>
      <c r="B29985" t="s">
        <v>52</v>
      </c>
      <c r="C29985">
        <v>22308</v>
      </c>
      <c r="D29985" t="str">
        <f>"22308"</f>
        <v>22308</v>
      </c>
      <c r="E29985">
        <v>87.31</v>
      </c>
    </row>
    <row r="29986" spans="1:5" x14ac:dyDescent="0.2">
      <c r="A29986">
        <v>22309</v>
      </c>
      <c r="B29986" t="s">
        <v>52</v>
      </c>
      <c r="C29986">
        <v>22309</v>
      </c>
      <c r="D29986" t="str">
        <f>"22309"</f>
        <v>22309</v>
      </c>
      <c r="E29986">
        <v>73</v>
      </c>
    </row>
    <row r="29987" spans="1:5" x14ac:dyDescent="0.2">
      <c r="A29987">
        <v>22310</v>
      </c>
      <c r="B29987" t="s">
        <v>52</v>
      </c>
      <c r="C29987">
        <v>22310</v>
      </c>
      <c r="D29987" t="str">
        <f>"22310"</f>
        <v>22310</v>
      </c>
      <c r="E29987">
        <v>82.79</v>
      </c>
    </row>
    <row r="29988" spans="1:5" x14ac:dyDescent="0.2">
      <c r="A29988">
        <v>22311</v>
      </c>
      <c r="B29988" t="s">
        <v>52</v>
      </c>
      <c r="C29988">
        <v>22311</v>
      </c>
      <c r="D29988" t="str">
        <f>"22311"</f>
        <v>22311</v>
      </c>
      <c r="E29988">
        <v>73.73</v>
      </c>
    </row>
    <row r="29989" spans="1:5" x14ac:dyDescent="0.2">
      <c r="A29989">
        <v>22312</v>
      </c>
      <c r="B29989" t="s">
        <v>52</v>
      </c>
      <c r="C29989">
        <v>22312</v>
      </c>
      <c r="D29989" t="str">
        <f>"22312"</f>
        <v>22312</v>
      </c>
      <c r="E29989">
        <v>73.73</v>
      </c>
    </row>
    <row r="29990" spans="1:5" x14ac:dyDescent="0.2">
      <c r="A29990">
        <v>22314</v>
      </c>
      <c r="B29990" t="s">
        <v>52</v>
      </c>
      <c r="C29990">
        <v>22314</v>
      </c>
      <c r="D29990" t="str">
        <f>"22314"</f>
        <v>22314</v>
      </c>
      <c r="E29990">
        <v>89.31</v>
      </c>
    </row>
    <row r="29991" spans="1:5" x14ac:dyDescent="0.2">
      <c r="A29991">
        <v>22315</v>
      </c>
      <c r="B29991" t="s">
        <v>52</v>
      </c>
      <c r="C29991">
        <v>22315</v>
      </c>
      <c r="D29991" t="str">
        <f>"22315"</f>
        <v>22315</v>
      </c>
      <c r="E29991">
        <v>85.84</v>
      </c>
    </row>
    <row r="29992" spans="1:5" x14ac:dyDescent="0.2">
      <c r="A29992">
        <v>22332</v>
      </c>
      <c r="B29992" t="s">
        <v>52</v>
      </c>
      <c r="C29992">
        <v>22332</v>
      </c>
      <c r="D29992" t="str">
        <f>"22332"</f>
        <v>22332</v>
      </c>
      <c r="E29992" t="s">
        <v>6</v>
      </c>
    </row>
    <row r="29993" spans="1:5" x14ac:dyDescent="0.2">
      <c r="A29993">
        <v>22401</v>
      </c>
      <c r="B29993" t="s">
        <v>52</v>
      </c>
      <c r="C29993">
        <v>22401</v>
      </c>
      <c r="D29993" t="str">
        <f>"22401"</f>
        <v>22401</v>
      </c>
      <c r="E29993">
        <v>72.47</v>
      </c>
    </row>
    <row r="29994" spans="1:5" x14ac:dyDescent="0.2">
      <c r="A29994">
        <v>22405</v>
      </c>
      <c r="B29994" t="s">
        <v>52</v>
      </c>
      <c r="C29994">
        <v>22405</v>
      </c>
      <c r="D29994" t="str">
        <f>"22405"</f>
        <v>22405</v>
      </c>
      <c r="E29994">
        <v>78.3</v>
      </c>
    </row>
    <row r="29995" spans="1:5" x14ac:dyDescent="0.2">
      <c r="A29995">
        <v>22406</v>
      </c>
      <c r="B29995" t="s">
        <v>52</v>
      </c>
      <c r="C29995">
        <v>22406</v>
      </c>
      <c r="D29995" t="str">
        <f>"22406"</f>
        <v>22406</v>
      </c>
      <c r="E29995">
        <v>78.680000000000007</v>
      </c>
    </row>
    <row r="29996" spans="1:5" x14ac:dyDescent="0.2">
      <c r="A29996">
        <v>22407</v>
      </c>
      <c r="B29996" t="s">
        <v>52</v>
      </c>
      <c r="C29996">
        <v>22407</v>
      </c>
      <c r="D29996" t="str">
        <f>"22407"</f>
        <v>22407</v>
      </c>
      <c r="E29996">
        <v>75.42</v>
      </c>
    </row>
    <row r="29997" spans="1:5" x14ac:dyDescent="0.2">
      <c r="A29997">
        <v>22408</v>
      </c>
      <c r="B29997" t="s">
        <v>52</v>
      </c>
      <c r="C29997">
        <v>22408</v>
      </c>
      <c r="D29997" t="str">
        <f>"22408"</f>
        <v>22408</v>
      </c>
      <c r="E29997">
        <v>76.08</v>
      </c>
    </row>
    <row r="29998" spans="1:5" x14ac:dyDescent="0.2">
      <c r="A29998">
        <v>22427</v>
      </c>
      <c r="B29998" t="s">
        <v>52</v>
      </c>
      <c r="C29998">
        <v>22427</v>
      </c>
      <c r="D29998" t="str">
        <f>"22427"</f>
        <v>22427</v>
      </c>
      <c r="E29998">
        <v>72.73</v>
      </c>
    </row>
    <row r="29999" spans="1:5" x14ac:dyDescent="0.2">
      <c r="A29999">
        <v>22432</v>
      </c>
      <c r="B29999" t="s">
        <v>52</v>
      </c>
      <c r="C29999">
        <v>22432</v>
      </c>
      <c r="D29999" t="str">
        <f>"22432"</f>
        <v>22432</v>
      </c>
      <c r="E29999">
        <v>62.86</v>
      </c>
    </row>
    <row r="30000" spans="1:5" x14ac:dyDescent="0.2">
      <c r="A30000">
        <v>22433</v>
      </c>
      <c r="B30000" t="s">
        <v>52</v>
      </c>
      <c r="C30000">
        <v>22433</v>
      </c>
      <c r="D30000" t="str">
        <f>"22433"</f>
        <v>22433</v>
      </c>
      <c r="E30000">
        <v>63.64</v>
      </c>
    </row>
    <row r="30001" spans="1:5" x14ac:dyDescent="0.2">
      <c r="A30001">
        <v>22435</v>
      </c>
      <c r="B30001" t="s">
        <v>52</v>
      </c>
      <c r="C30001">
        <v>22435</v>
      </c>
      <c r="D30001" t="str">
        <f>"22435"</f>
        <v>22435</v>
      </c>
      <c r="E30001">
        <v>60.55</v>
      </c>
    </row>
    <row r="30002" spans="1:5" x14ac:dyDescent="0.2">
      <c r="A30002">
        <v>22436</v>
      </c>
      <c r="B30002" t="s">
        <v>52</v>
      </c>
      <c r="C30002">
        <v>22436</v>
      </c>
      <c r="D30002" t="str">
        <f>"22436"</f>
        <v>22436</v>
      </c>
      <c r="E30002">
        <v>60</v>
      </c>
    </row>
    <row r="30003" spans="1:5" x14ac:dyDescent="0.2">
      <c r="A30003">
        <v>22437</v>
      </c>
      <c r="B30003" t="s">
        <v>52</v>
      </c>
      <c r="C30003">
        <v>22437</v>
      </c>
      <c r="D30003" t="str">
        <f>"22437"</f>
        <v>22437</v>
      </c>
      <c r="E30003">
        <v>73.33</v>
      </c>
    </row>
    <row r="30004" spans="1:5" x14ac:dyDescent="0.2">
      <c r="A30004">
        <v>22438</v>
      </c>
      <c r="B30004" t="s">
        <v>52</v>
      </c>
      <c r="C30004">
        <v>22438</v>
      </c>
      <c r="D30004" t="str">
        <f>"22438"</f>
        <v>22438</v>
      </c>
      <c r="E30004">
        <v>60.87</v>
      </c>
    </row>
    <row r="30005" spans="1:5" x14ac:dyDescent="0.2">
      <c r="A30005">
        <v>22443</v>
      </c>
      <c r="B30005" t="s">
        <v>52</v>
      </c>
      <c r="C30005">
        <v>22443</v>
      </c>
      <c r="D30005" t="str">
        <f>"22443"</f>
        <v>22443</v>
      </c>
      <c r="E30005">
        <v>70.959999999999994</v>
      </c>
    </row>
    <row r="30006" spans="1:5" x14ac:dyDescent="0.2">
      <c r="A30006">
        <v>22448</v>
      </c>
      <c r="B30006" t="s">
        <v>52</v>
      </c>
      <c r="C30006">
        <v>22448</v>
      </c>
      <c r="D30006" t="str">
        <f>"22448"</f>
        <v>22448</v>
      </c>
      <c r="E30006">
        <v>82.67</v>
      </c>
    </row>
    <row r="30007" spans="1:5" x14ac:dyDescent="0.2">
      <c r="A30007">
        <v>22454</v>
      </c>
      <c r="B30007" t="s">
        <v>52</v>
      </c>
      <c r="C30007">
        <v>22454</v>
      </c>
      <c r="D30007" t="str">
        <f>"22454"</f>
        <v>22454</v>
      </c>
      <c r="E30007">
        <v>68.67</v>
      </c>
    </row>
    <row r="30008" spans="1:5" x14ac:dyDescent="0.2">
      <c r="A30008">
        <v>22460</v>
      </c>
      <c r="B30008" t="s">
        <v>52</v>
      </c>
      <c r="C30008">
        <v>22460</v>
      </c>
      <c r="D30008" t="str">
        <f>"22460"</f>
        <v>22460</v>
      </c>
      <c r="E30008">
        <v>68.42</v>
      </c>
    </row>
    <row r="30009" spans="1:5" x14ac:dyDescent="0.2">
      <c r="A30009">
        <v>22469</v>
      </c>
      <c r="B30009" t="s">
        <v>52</v>
      </c>
      <c r="C30009">
        <v>22469</v>
      </c>
      <c r="D30009" t="str">
        <f>"22469"</f>
        <v>22469</v>
      </c>
      <c r="E30009">
        <v>61.8</v>
      </c>
    </row>
    <row r="30010" spans="1:5" x14ac:dyDescent="0.2">
      <c r="A30010">
        <v>22473</v>
      </c>
      <c r="B30010" t="s">
        <v>52</v>
      </c>
      <c r="C30010">
        <v>22473</v>
      </c>
      <c r="D30010" t="str">
        <f>"22473"</f>
        <v>22473</v>
      </c>
      <c r="E30010">
        <v>69.67</v>
      </c>
    </row>
    <row r="30011" spans="1:5" x14ac:dyDescent="0.2">
      <c r="A30011">
        <v>22476</v>
      </c>
      <c r="B30011" t="s">
        <v>52</v>
      </c>
      <c r="C30011">
        <v>22476</v>
      </c>
      <c r="D30011" t="str">
        <f>"22476"</f>
        <v>22476</v>
      </c>
      <c r="E30011">
        <v>60</v>
      </c>
    </row>
    <row r="30012" spans="1:5" x14ac:dyDescent="0.2">
      <c r="A30012">
        <v>22480</v>
      </c>
      <c r="B30012" t="s">
        <v>52</v>
      </c>
      <c r="C30012">
        <v>22480</v>
      </c>
      <c r="D30012" t="str">
        <f>"22480"</f>
        <v>22480</v>
      </c>
      <c r="E30012">
        <v>75.41</v>
      </c>
    </row>
    <row r="30013" spans="1:5" x14ac:dyDescent="0.2">
      <c r="A30013">
        <v>22482</v>
      </c>
      <c r="B30013" t="s">
        <v>52</v>
      </c>
      <c r="C30013">
        <v>22482</v>
      </c>
      <c r="D30013" t="str">
        <f>"22482"</f>
        <v>22482</v>
      </c>
      <c r="E30013">
        <v>72.260000000000005</v>
      </c>
    </row>
    <row r="30014" spans="1:5" x14ac:dyDescent="0.2">
      <c r="A30014">
        <v>22485</v>
      </c>
      <c r="B30014" t="s">
        <v>52</v>
      </c>
      <c r="C30014">
        <v>22485</v>
      </c>
      <c r="D30014" t="str">
        <f>"22485"</f>
        <v>22485</v>
      </c>
      <c r="E30014">
        <v>77.45</v>
      </c>
    </row>
    <row r="30015" spans="1:5" x14ac:dyDescent="0.2">
      <c r="A30015">
        <v>22488</v>
      </c>
      <c r="B30015" t="s">
        <v>52</v>
      </c>
      <c r="C30015">
        <v>22488</v>
      </c>
      <c r="D30015" t="str">
        <f>"22488"</f>
        <v>22488</v>
      </c>
      <c r="E30015">
        <v>53.85</v>
      </c>
    </row>
    <row r="30016" spans="1:5" x14ac:dyDescent="0.2">
      <c r="A30016">
        <v>22503</v>
      </c>
      <c r="B30016" t="s">
        <v>52</v>
      </c>
      <c r="C30016">
        <v>22503</v>
      </c>
      <c r="D30016" t="str">
        <f>"22503"</f>
        <v>22503</v>
      </c>
      <c r="E30016">
        <v>67.069999999999993</v>
      </c>
    </row>
    <row r="30017" spans="1:5" x14ac:dyDescent="0.2">
      <c r="A30017">
        <v>22504</v>
      </c>
      <c r="B30017" t="s">
        <v>52</v>
      </c>
      <c r="C30017">
        <v>22504</v>
      </c>
      <c r="D30017" t="str">
        <f>"22504"</f>
        <v>22504</v>
      </c>
      <c r="E30017">
        <v>72.73</v>
      </c>
    </row>
    <row r="30018" spans="1:5" x14ac:dyDescent="0.2">
      <c r="A30018">
        <v>22508</v>
      </c>
      <c r="B30018" t="s">
        <v>52</v>
      </c>
      <c r="C30018">
        <v>22508</v>
      </c>
      <c r="D30018" t="str">
        <f>"22508"</f>
        <v>22508</v>
      </c>
      <c r="E30018">
        <v>78.989999999999995</v>
      </c>
    </row>
    <row r="30019" spans="1:5" x14ac:dyDescent="0.2">
      <c r="A30019">
        <v>22509</v>
      </c>
      <c r="B30019" t="s">
        <v>52</v>
      </c>
      <c r="C30019">
        <v>22509</v>
      </c>
      <c r="D30019" t="str">
        <f>"22509"</f>
        <v>22509</v>
      </c>
      <c r="E30019" t="s">
        <v>6</v>
      </c>
    </row>
    <row r="30020" spans="1:5" x14ac:dyDescent="0.2">
      <c r="A30020">
        <v>22511</v>
      </c>
      <c r="B30020" t="s">
        <v>52</v>
      </c>
      <c r="C30020">
        <v>22511</v>
      </c>
      <c r="D30020" t="str">
        <f>"22511"</f>
        <v>22511</v>
      </c>
      <c r="E30020">
        <v>67.69</v>
      </c>
    </row>
    <row r="30021" spans="1:5" x14ac:dyDescent="0.2">
      <c r="A30021">
        <v>22514</v>
      </c>
      <c r="B30021" t="s">
        <v>52</v>
      </c>
      <c r="C30021">
        <v>22514</v>
      </c>
      <c r="D30021" t="str">
        <f>"22514"</f>
        <v>22514</v>
      </c>
      <c r="E30021">
        <v>72.81</v>
      </c>
    </row>
    <row r="30022" spans="1:5" x14ac:dyDescent="0.2">
      <c r="A30022">
        <v>22520</v>
      </c>
      <c r="B30022" t="s">
        <v>52</v>
      </c>
      <c r="C30022">
        <v>22520</v>
      </c>
      <c r="D30022" t="str">
        <f>"22520"</f>
        <v>22520</v>
      </c>
      <c r="E30022">
        <v>70</v>
      </c>
    </row>
    <row r="30023" spans="1:5" x14ac:dyDescent="0.2">
      <c r="A30023">
        <v>22530</v>
      </c>
      <c r="B30023" t="s">
        <v>52</v>
      </c>
      <c r="C30023">
        <v>22530</v>
      </c>
      <c r="D30023" t="str">
        <f>"22530"</f>
        <v>22530</v>
      </c>
      <c r="E30023" t="s">
        <v>6</v>
      </c>
    </row>
    <row r="30024" spans="1:5" x14ac:dyDescent="0.2">
      <c r="A30024">
        <v>22534</v>
      </c>
      <c r="B30024" t="s">
        <v>52</v>
      </c>
      <c r="C30024">
        <v>22534</v>
      </c>
      <c r="D30024" t="str">
        <f>"22534"</f>
        <v>22534</v>
      </c>
      <c r="E30024">
        <v>75.180000000000007</v>
      </c>
    </row>
    <row r="30025" spans="1:5" x14ac:dyDescent="0.2">
      <c r="A30025">
        <v>22535</v>
      </c>
      <c r="B30025" t="s">
        <v>52</v>
      </c>
      <c r="C30025">
        <v>22535</v>
      </c>
      <c r="D30025" t="str">
        <f>"22535"</f>
        <v>22535</v>
      </c>
      <c r="E30025">
        <v>72.73</v>
      </c>
    </row>
    <row r="30026" spans="1:5" x14ac:dyDescent="0.2">
      <c r="A30026">
        <v>22538</v>
      </c>
      <c r="B30026" t="s">
        <v>52</v>
      </c>
      <c r="C30026">
        <v>22538</v>
      </c>
      <c r="D30026" t="str">
        <f>"22538"</f>
        <v>22538</v>
      </c>
      <c r="E30026">
        <v>71.430000000000007</v>
      </c>
    </row>
    <row r="30027" spans="1:5" x14ac:dyDescent="0.2">
      <c r="A30027">
        <v>22539</v>
      </c>
      <c r="B30027" t="s">
        <v>52</v>
      </c>
      <c r="C30027">
        <v>22539</v>
      </c>
      <c r="D30027" t="str">
        <f>"22539"</f>
        <v>22539</v>
      </c>
      <c r="E30027">
        <v>75.7</v>
      </c>
    </row>
    <row r="30028" spans="1:5" x14ac:dyDescent="0.2">
      <c r="A30028">
        <v>22542</v>
      </c>
      <c r="B30028" t="s">
        <v>52</v>
      </c>
      <c r="C30028">
        <v>22542</v>
      </c>
      <c r="D30028" t="str">
        <f>"22542"</f>
        <v>22542</v>
      </c>
      <c r="E30028">
        <v>75.27</v>
      </c>
    </row>
    <row r="30029" spans="1:5" x14ac:dyDescent="0.2">
      <c r="A30029">
        <v>22546</v>
      </c>
      <c r="B30029" t="s">
        <v>52</v>
      </c>
      <c r="C30029">
        <v>22546</v>
      </c>
      <c r="D30029" t="str">
        <f>"22546"</f>
        <v>22546</v>
      </c>
      <c r="E30029">
        <v>74.11</v>
      </c>
    </row>
    <row r="30030" spans="1:5" x14ac:dyDescent="0.2">
      <c r="A30030">
        <v>22551</v>
      </c>
      <c r="B30030" t="s">
        <v>52</v>
      </c>
      <c r="C30030">
        <v>22551</v>
      </c>
      <c r="D30030" t="str">
        <f>"22551"</f>
        <v>22551</v>
      </c>
      <c r="E30030">
        <v>76.239999999999995</v>
      </c>
    </row>
    <row r="30031" spans="1:5" x14ac:dyDescent="0.2">
      <c r="A30031">
        <v>22553</v>
      </c>
      <c r="B30031" t="s">
        <v>52</v>
      </c>
      <c r="C30031">
        <v>22553</v>
      </c>
      <c r="D30031" t="str">
        <f>"22553"</f>
        <v>22553</v>
      </c>
      <c r="E30031">
        <v>78</v>
      </c>
    </row>
    <row r="30032" spans="1:5" x14ac:dyDescent="0.2">
      <c r="A30032">
        <v>22554</v>
      </c>
      <c r="B30032" t="s">
        <v>52</v>
      </c>
      <c r="C30032">
        <v>22554</v>
      </c>
      <c r="D30032" t="str">
        <f>"22554"</f>
        <v>22554</v>
      </c>
      <c r="E30032">
        <v>77.69</v>
      </c>
    </row>
    <row r="30033" spans="1:5" x14ac:dyDescent="0.2">
      <c r="A30033">
        <v>22556</v>
      </c>
      <c r="B30033" t="s">
        <v>52</v>
      </c>
      <c r="C30033">
        <v>22556</v>
      </c>
      <c r="D30033" t="str">
        <f>"22556"</f>
        <v>22556</v>
      </c>
      <c r="E30033">
        <v>76.78</v>
      </c>
    </row>
    <row r="30034" spans="1:5" x14ac:dyDescent="0.2">
      <c r="A30034">
        <v>22560</v>
      </c>
      <c r="B30034" t="s">
        <v>52</v>
      </c>
      <c r="C30034">
        <v>22560</v>
      </c>
      <c r="D30034" t="str">
        <f>"22560"</f>
        <v>22560</v>
      </c>
      <c r="E30034">
        <v>68.319999999999993</v>
      </c>
    </row>
    <row r="30035" spans="1:5" x14ac:dyDescent="0.2">
      <c r="A30035">
        <v>22567</v>
      </c>
      <c r="B30035" t="s">
        <v>52</v>
      </c>
      <c r="C30035">
        <v>22567</v>
      </c>
      <c r="D30035" t="str">
        <f>"22567"</f>
        <v>22567</v>
      </c>
      <c r="E30035">
        <v>75</v>
      </c>
    </row>
    <row r="30036" spans="1:5" x14ac:dyDescent="0.2">
      <c r="A30036">
        <v>22572</v>
      </c>
      <c r="B30036" t="s">
        <v>52</v>
      </c>
      <c r="C30036">
        <v>22572</v>
      </c>
      <c r="D30036" t="str">
        <f>"22572"</f>
        <v>22572</v>
      </c>
      <c r="E30036">
        <v>68.42</v>
      </c>
    </row>
    <row r="30037" spans="1:5" x14ac:dyDescent="0.2">
      <c r="A30037">
        <v>22576</v>
      </c>
      <c r="B30037" t="s">
        <v>52</v>
      </c>
      <c r="C30037">
        <v>22576</v>
      </c>
      <c r="D30037" t="str">
        <f>"22576"</f>
        <v>22576</v>
      </c>
      <c r="E30037">
        <v>67.61</v>
      </c>
    </row>
    <row r="30038" spans="1:5" x14ac:dyDescent="0.2">
      <c r="A30038">
        <v>22578</v>
      </c>
      <c r="B30038" t="s">
        <v>52</v>
      </c>
      <c r="C30038">
        <v>22578</v>
      </c>
      <c r="D30038" t="str">
        <f>"22578"</f>
        <v>22578</v>
      </c>
      <c r="E30038">
        <v>72.41</v>
      </c>
    </row>
    <row r="30039" spans="1:5" x14ac:dyDescent="0.2">
      <c r="A30039">
        <v>22580</v>
      </c>
      <c r="B30039" t="s">
        <v>52</v>
      </c>
      <c r="C30039">
        <v>22580</v>
      </c>
      <c r="D30039" t="str">
        <f>"22580"</f>
        <v>22580</v>
      </c>
      <c r="E30039">
        <v>71</v>
      </c>
    </row>
    <row r="30040" spans="1:5" x14ac:dyDescent="0.2">
      <c r="A30040">
        <v>22601</v>
      </c>
      <c r="B30040" t="s">
        <v>52</v>
      </c>
      <c r="C30040">
        <v>22601</v>
      </c>
      <c r="D30040" t="str">
        <f>"22601"</f>
        <v>22601</v>
      </c>
      <c r="E30040">
        <v>70.540000000000006</v>
      </c>
    </row>
    <row r="30041" spans="1:5" x14ac:dyDescent="0.2">
      <c r="A30041">
        <v>22602</v>
      </c>
      <c r="B30041" t="s">
        <v>52</v>
      </c>
      <c r="C30041">
        <v>22602</v>
      </c>
      <c r="D30041" t="str">
        <f>"22602"</f>
        <v>22602</v>
      </c>
      <c r="E30041">
        <v>76.930000000000007</v>
      </c>
    </row>
    <row r="30042" spans="1:5" x14ac:dyDescent="0.2">
      <c r="A30042">
        <v>22603</v>
      </c>
      <c r="B30042" t="s">
        <v>52</v>
      </c>
      <c r="C30042">
        <v>22603</v>
      </c>
      <c r="D30042" t="str">
        <f>"22603"</f>
        <v>22603</v>
      </c>
      <c r="E30042">
        <v>73.489999999999995</v>
      </c>
    </row>
    <row r="30043" spans="1:5" x14ac:dyDescent="0.2">
      <c r="A30043">
        <v>22610</v>
      </c>
      <c r="B30043" t="s">
        <v>52</v>
      </c>
      <c r="C30043">
        <v>22610</v>
      </c>
      <c r="D30043" t="str">
        <f>"22610"</f>
        <v>22610</v>
      </c>
      <c r="E30043">
        <v>78.95</v>
      </c>
    </row>
    <row r="30044" spans="1:5" x14ac:dyDescent="0.2">
      <c r="A30044">
        <v>22611</v>
      </c>
      <c r="B30044" t="s">
        <v>52</v>
      </c>
      <c r="C30044">
        <v>22611</v>
      </c>
      <c r="D30044" t="str">
        <f>"22611"</f>
        <v>22611</v>
      </c>
      <c r="E30044">
        <v>78.8</v>
      </c>
    </row>
    <row r="30045" spans="1:5" x14ac:dyDescent="0.2">
      <c r="A30045">
        <v>22620</v>
      </c>
      <c r="B30045" t="s">
        <v>52</v>
      </c>
      <c r="C30045">
        <v>22620</v>
      </c>
      <c r="D30045" t="str">
        <f>"22620"</f>
        <v>22620</v>
      </c>
      <c r="E30045">
        <v>79.650000000000006</v>
      </c>
    </row>
    <row r="30046" spans="1:5" x14ac:dyDescent="0.2">
      <c r="A30046">
        <v>22623</v>
      </c>
      <c r="B30046" t="s">
        <v>52</v>
      </c>
      <c r="C30046">
        <v>22623</v>
      </c>
      <c r="D30046" t="str">
        <f>"22623"</f>
        <v>22623</v>
      </c>
      <c r="E30046">
        <v>74.069999999999993</v>
      </c>
    </row>
    <row r="30047" spans="1:5" x14ac:dyDescent="0.2">
      <c r="A30047">
        <v>22624</v>
      </c>
      <c r="B30047" t="s">
        <v>52</v>
      </c>
      <c r="C30047">
        <v>22624</v>
      </c>
      <c r="D30047" t="str">
        <f>"22624"</f>
        <v>22624</v>
      </c>
      <c r="E30047">
        <v>77.69</v>
      </c>
    </row>
    <row r="30048" spans="1:5" x14ac:dyDescent="0.2">
      <c r="A30048">
        <v>22625</v>
      </c>
      <c r="B30048" t="s">
        <v>52</v>
      </c>
      <c r="C30048">
        <v>22625</v>
      </c>
      <c r="D30048" t="str">
        <f>"22625"</f>
        <v>22625</v>
      </c>
      <c r="E30048">
        <v>79.209999999999994</v>
      </c>
    </row>
    <row r="30049" spans="1:5" x14ac:dyDescent="0.2">
      <c r="A30049">
        <v>22627</v>
      </c>
      <c r="B30049" t="s">
        <v>52</v>
      </c>
      <c r="C30049">
        <v>22627</v>
      </c>
      <c r="D30049" t="str">
        <f>"22627"</f>
        <v>22627</v>
      </c>
      <c r="E30049">
        <v>80</v>
      </c>
    </row>
    <row r="30050" spans="1:5" x14ac:dyDescent="0.2">
      <c r="A30050">
        <v>22630</v>
      </c>
      <c r="B30050" t="s">
        <v>52</v>
      </c>
      <c r="C30050">
        <v>22630</v>
      </c>
      <c r="D30050" t="str">
        <f>"22630"</f>
        <v>22630</v>
      </c>
      <c r="E30050">
        <v>75.180000000000007</v>
      </c>
    </row>
    <row r="30051" spans="1:5" x14ac:dyDescent="0.2">
      <c r="A30051">
        <v>22637</v>
      </c>
      <c r="B30051" t="s">
        <v>52</v>
      </c>
      <c r="C30051">
        <v>22637</v>
      </c>
      <c r="D30051" t="str">
        <f>"22637"</f>
        <v>22637</v>
      </c>
      <c r="E30051">
        <v>78.099999999999994</v>
      </c>
    </row>
    <row r="30052" spans="1:5" x14ac:dyDescent="0.2">
      <c r="A30052">
        <v>22639</v>
      </c>
      <c r="B30052" t="s">
        <v>52</v>
      </c>
      <c r="C30052">
        <v>22639</v>
      </c>
      <c r="D30052" t="str">
        <f>"22639"</f>
        <v>22639</v>
      </c>
      <c r="E30052">
        <v>86.21</v>
      </c>
    </row>
    <row r="30053" spans="1:5" x14ac:dyDescent="0.2">
      <c r="A30053">
        <v>22640</v>
      </c>
      <c r="B30053" t="s">
        <v>52</v>
      </c>
      <c r="C30053">
        <v>22640</v>
      </c>
      <c r="D30053" t="str">
        <f>"22640"</f>
        <v>22640</v>
      </c>
      <c r="E30053">
        <v>82.35</v>
      </c>
    </row>
    <row r="30054" spans="1:5" x14ac:dyDescent="0.2">
      <c r="A30054">
        <v>22641</v>
      </c>
      <c r="B30054" t="s">
        <v>52</v>
      </c>
      <c r="C30054">
        <v>22641</v>
      </c>
      <c r="D30054" t="str">
        <f>"22641"</f>
        <v>22641</v>
      </c>
      <c r="E30054">
        <v>76.92</v>
      </c>
    </row>
    <row r="30055" spans="1:5" x14ac:dyDescent="0.2">
      <c r="A30055">
        <v>22642</v>
      </c>
      <c r="B30055" t="s">
        <v>52</v>
      </c>
      <c r="C30055">
        <v>22642</v>
      </c>
      <c r="D30055" t="str">
        <f>"22642"</f>
        <v>22642</v>
      </c>
      <c r="E30055">
        <v>82.38</v>
      </c>
    </row>
    <row r="30056" spans="1:5" x14ac:dyDescent="0.2">
      <c r="A30056">
        <v>22643</v>
      </c>
      <c r="B30056" t="s">
        <v>52</v>
      </c>
      <c r="C30056">
        <v>22643</v>
      </c>
      <c r="D30056" t="str">
        <f>"22643"</f>
        <v>22643</v>
      </c>
      <c r="E30056">
        <v>78.95</v>
      </c>
    </row>
    <row r="30057" spans="1:5" x14ac:dyDescent="0.2">
      <c r="A30057">
        <v>22644</v>
      </c>
      <c r="B30057" t="s">
        <v>52</v>
      </c>
      <c r="C30057">
        <v>22644</v>
      </c>
      <c r="D30057" t="str">
        <f>"22644"</f>
        <v>22644</v>
      </c>
      <c r="E30057">
        <v>75.680000000000007</v>
      </c>
    </row>
    <row r="30058" spans="1:5" x14ac:dyDescent="0.2">
      <c r="A30058">
        <v>22645</v>
      </c>
      <c r="B30058" t="s">
        <v>52</v>
      </c>
      <c r="C30058">
        <v>22645</v>
      </c>
      <c r="D30058" t="str">
        <f>"22645"</f>
        <v>22645</v>
      </c>
      <c r="E30058">
        <v>77.84</v>
      </c>
    </row>
    <row r="30059" spans="1:5" x14ac:dyDescent="0.2">
      <c r="A30059">
        <v>22650</v>
      </c>
      <c r="B30059" t="s">
        <v>52</v>
      </c>
      <c r="C30059">
        <v>22650</v>
      </c>
      <c r="D30059" t="str">
        <f>"22650"</f>
        <v>22650</v>
      </c>
      <c r="E30059">
        <v>72.73</v>
      </c>
    </row>
    <row r="30060" spans="1:5" x14ac:dyDescent="0.2">
      <c r="A30060">
        <v>22652</v>
      </c>
      <c r="B30060" t="s">
        <v>52</v>
      </c>
      <c r="C30060">
        <v>22652</v>
      </c>
      <c r="D30060" t="str">
        <f>"22652"</f>
        <v>22652</v>
      </c>
      <c r="E30060">
        <v>73.13</v>
      </c>
    </row>
    <row r="30061" spans="1:5" x14ac:dyDescent="0.2">
      <c r="A30061">
        <v>22654</v>
      </c>
      <c r="B30061" t="s">
        <v>52</v>
      </c>
      <c r="C30061">
        <v>22654</v>
      </c>
      <c r="D30061" t="str">
        <f>"22654"</f>
        <v>22654</v>
      </c>
      <c r="E30061">
        <v>82.5</v>
      </c>
    </row>
    <row r="30062" spans="1:5" x14ac:dyDescent="0.2">
      <c r="A30062">
        <v>22655</v>
      </c>
      <c r="B30062" t="s">
        <v>52</v>
      </c>
      <c r="C30062">
        <v>22655</v>
      </c>
      <c r="D30062" t="str">
        <f>"22655"</f>
        <v>22655</v>
      </c>
      <c r="E30062">
        <v>77.319999999999993</v>
      </c>
    </row>
    <row r="30063" spans="1:5" x14ac:dyDescent="0.2">
      <c r="A30063">
        <v>22656</v>
      </c>
      <c r="B30063" t="s">
        <v>52</v>
      </c>
      <c r="C30063">
        <v>22656</v>
      </c>
      <c r="D30063" t="str">
        <f>"22656"</f>
        <v>22656</v>
      </c>
      <c r="E30063">
        <v>80</v>
      </c>
    </row>
    <row r="30064" spans="1:5" x14ac:dyDescent="0.2">
      <c r="A30064">
        <v>22657</v>
      </c>
      <c r="B30064" t="s">
        <v>52</v>
      </c>
      <c r="C30064">
        <v>22657</v>
      </c>
      <c r="D30064" t="str">
        <f>"22657"</f>
        <v>22657</v>
      </c>
      <c r="E30064">
        <v>74.5</v>
      </c>
    </row>
    <row r="30065" spans="1:5" x14ac:dyDescent="0.2">
      <c r="A30065">
        <v>22660</v>
      </c>
      <c r="B30065" t="s">
        <v>52</v>
      </c>
      <c r="C30065">
        <v>22660</v>
      </c>
      <c r="D30065" t="str">
        <f>"22660"</f>
        <v>22660</v>
      </c>
      <c r="E30065">
        <v>76.19</v>
      </c>
    </row>
    <row r="30066" spans="1:5" x14ac:dyDescent="0.2">
      <c r="A30066">
        <v>22663</v>
      </c>
      <c r="B30066" t="s">
        <v>52</v>
      </c>
      <c r="C30066">
        <v>22663</v>
      </c>
      <c r="D30066" t="str">
        <f>"22663"</f>
        <v>22663</v>
      </c>
      <c r="E30066">
        <v>71.599999999999994</v>
      </c>
    </row>
    <row r="30067" spans="1:5" x14ac:dyDescent="0.2">
      <c r="A30067">
        <v>22664</v>
      </c>
      <c r="B30067" t="s">
        <v>52</v>
      </c>
      <c r="C30067">
        <v>22664</v>
      </c>
      <c r="D30067" t="str">
        <f>"22664"</f>
        <v>22664</v>
      </c>
      <c r="E30067">
        <v>70.75</v>
      </c>
    </row>
    <row r="30068" spans="1:5" x14ac:dyDescent="0.2">
      <c r="A30068">
        <v>22701</v>
      </c>
      <c r="B30068" t="s">
        <v>52</v>
      </c>
      <c r="C30068">
        <v>22701</v>
      </c>
      <c r="D30068" t="str">
        <f>"22701"</f>
        <v>22701</v>
      </c>
      <c r="E30068">
        <v>72.19</v>
      </c>
    </row>
    <row r="30069" spans="1:5" x14ac:dyDescent="0.2">
      <c r="A30069">
        <v>22709</v>
      </c>
      <c r="B30069" t="s">
        <v>52</v>
      </c>
      <c r="C30069">
        <v>22709</v>
      </c>
      <c r="D30069" t="str">
        <f>"22709"</f>
        <v>22709</v>
      </c>
      <c r="E30069">
        <v>71.11</v>
      </c>
    </row>
    <row r="30070" spans="1:5" x14ac:dyDescent="0.2">
      <c r="A30070">
        <v>22711</v>
      </c>
      <c r="B30070" t="s">
        <v>52</v>
      </c>
      <c r="C30070">
        <v>22711</v>
      </c>
      <c r="D30070" t="str">
        <f>"22711"</f>
        <v>22711</v>
      </c>
      <c r="E30070" t="s">
        <v>6</v>
      </c>
    </row>
    <row r="30071" spans="1:5" x14ac:dyDescent="0.2">
      <c r="A30071">
        <v>22712</v>
      </c>
      <c r="B30071" t="s">
        <v>52</v>
      </c>
      <c r="C30071">
        <v>22712</v>
      </c>
      <c r="D30071" t="str">
        <f>"22712"</f>
        <v>22712</v>
      </c>
      <c r="E30071">
        <v>76.680000000000007</v>
      </c>
    </row>
    <row r="30072" spans="1:5" x14ac:dyDescent="0.2">
      <c r="A30072">
        <v>22713</v>
      </c>
      <c r="B30072" t="s">
        <v>52</v>
      </c>
      <c r="C30072">
        <v>22713</v>
      </c>
      <c r="D30072" t="str">
        <f>"22713"</f>
        <v>22713</v>
      </c>
      <c r="E30072">
        <v>73.02</v>
      </c>
    </row>
    <row r="30073" spans="1:5" x14ac:dyDescent="0.2">
      <c r="A30073">
        <v>22714</v>
      </c>
      <c r="B30073" t="s">
        <v>52</v>
      </c>
      <c r="C30073">
        <v>22714</v>
      </c>
      <c r="D30073" t="str">
        <f>"22714"</f>
        <v>22714</v>
      </c>
      <c r="E30073">
        <v>76</v>
      </c>
    </row>
    <row r="30074" spans="1:5" x14ac:dyDescent="0.2">
      <c r="A30074">
        <v>22715</v>
      </c>
      <c r="B30074" t="s">
        <v>52</v>
      </c>
      <c r="C30074">
        <v>22715</v>
      </c>
      <c r="D30074" t="str">
        <f>"22715"</f>
        <v>22715</v>
      </c>
      <c r="E30074">
        <v>75.86</v>
      </c>
    </row>
    <row r="30075" spans="1:5" x14ac:dyDescent="0.2">
      <c r="A30075">
        <v>22716</v>
      </c>
      <c r="B30075" t="s">
        <v>52</v>
      </c>
      <c r="C30075">
        <v>22716</v>
      </c>
      <c r="D30075" t="str">
        <f>"22716"</f>
        <v>22716</v>
      </c>
      <c r="E30075">
        <v>75</v>
      </c>
    </row>
    <row r="30076" spans="1:5" x14ac:dyDescent="0.2">
      <c r="A30076">
        <v>22718</v>
      </c>
      <c r="B30076" t="s">
        <v>52</v>
      </c>
      <c r="C30076">
        <v>22718</v>
      </c>
      <c r="D30076" t="str">
        <f>"22718"</f>
        <v>22718</v>
      </c>
      <c r="E30076">
        <v>69.7</v>
      </c>
    </row>
    <row r="30077" spans="1:5" x14ac:dyDescent="0.2">
      <c r="A30077">
        <v>22719</v>
      </c>
      <c r="B30077" t="s">
        <v>52</v>
      </c>
      <c r="C30077">
        <v>22719</v>
      </c>
      <c r="D30077" t="str">
        <f>"22719"</f>
        <v>22719</v>
      </c>
      <c r="E30077">
        <v>62.5</v>
      </c>
    </row>
    <row r="30078" spans="1:5" x14ac:dyDescent="0.2">
      <c r="A30078">
        <v>22720</v>
      </c>
      <c r="B30078" t="s">
        <v>52</v>
      </c>
      <c r="C30078">
        <v>22720</v>
      </c>
      <c r="D30078" t="str">
        <f>"22720"</f>
        <v>22720</v>
      </c>
      <c r="E30078">
        <v>83.33</v>
      </c>
    </row>
    <row r="30079" spans="1:5" x14ac:dyDescent="0.2">
      <c r="A30079">
        <v>22722</v>
      </c>
      <c r="B30079" t="s">
        <v>52</v>
      </c>
      <c r="C30079">
        <v>22722</v>
      </c>
      <c r="D30079" t="str">
        <f>"22722"</f>
        <v>22722</v>
      </c>
      <c r="E30079" t="s">
        <v>6</v>
      </c>
    </row>
    <row r="30080" spans="1:5" x14ac:dyDescent="0.2">
      <c r="A30080">
        <v>22723</v>
      </c>
      <c r="B30080" t="s">
        <v>52</v>
      </c>
      <c r="C30080">
        <v>22723</v>
      </c>
      <c r="D30080" t="str">
        <f>"22723"</f>
        <v>22723</v>
      </c>
      <c r="E30080" t="s">
        <v>6</v>
      </c>
    </row>
    <row r="30081" spans="1:5" x14ac:dyDescent="0.2">
      <c r="A30081">
        <v>22724</v>
      </c>
      <c r="B30081" t="s">
        <v>52</v>
      </c>
      <c r="C30081">
        <v>22724</v>
      </c>
      <c r="D30081" t="str">
        <f>"22724"</f>
        <v>22724</v>
      </c>
      <c r="E30081">
        <v>79.650000000000006</v>
      </c>
    </row>
    <row r="30082" spans="1:5" x14ac:dyDescent="0.2">
      <c r="A30082">
        <v>22725</v>
      </c>
      <c r="B30082" t="s">
        <v>52</v>
      </c>
      <c r="C30082">
        <v>22725</v>
      </c>
      <c r="D30082" t="str">
        <f>"22725"</f>
        <v>22725</v>
      </c>
      <c r="E30082" t="s">
        <v>6</v>
      </c>
    </row>
    <row r="30083" spans="1:5" x14ac:dyDescent="0.2">
      <c r="A30083">
        <v>22726</v>
      </c>
      <c r="B30083" t="s">
        <v>52</v>
      </c>
      <c r="C30083">
        <v>22726</v>
      </c>
      <c r="D30083" t="str">
        <f>"22726"</f>
        <v>22726</v>
      </c>
      <c r="E30083">
        <v>68.42</v>
      </c>
    </row>
    <row r="30084" spans="1:5" x14ac:dyDescent="0.2">
      <c r="A30084">
        <v>22727</v>
      </c>
      <c r="B30084" t="s">
        <v>52</v>
      </c>
      <c r="C30084">
        <v>22727</v>
      </c>
      <c r="D30084" t="str">
        <f>"22727"</f>
        <v>22727</v>
      </c>
      <c r="E30084">
        <v>73.12</v>
      </c>
    </row>
    <row r="30085" spans="1:5" x14ac:dyDescent="0.2">
      <c r="A30085">
        <v>22728</v>
      </c>
      <c r="B30085" t="s">
        <v>52</v>
      </c>
      <c r="C30085">
        <v>22728</v>
      </c>
      <c r="D30085" t="str">
        <f>"22728"</f>
        <v>22728</v>
      </c>
      <c r="E30085">
        <v>79.08</v>
      </c>
    </row>
    <row r="30086" spans="1:5" x14ac:dyDescent="0.2">
      <c r="A30086">
        <v>22729</v>
      </c>
      <c r="B30086" t="s">
        <v>52</v>
      </c>
      <c r="C30086">
        <v>22729</v>
      </c>
      <c r="D30086" t="str">
        <f>"22729"</f>
        <v>22729</v>
      </c>
      <c r="E30086" t="s">
        <v>6</v>
      </c>
    </row>
    <row r="30087" spans="1:5" x14ac:dyDescent="0.2">
      <c r="A30087">
        <v>22730</v>
      </c>
      <c r="B30087" t="s">
        <v>52</v>
      </c>
      <c r="C30087">
        <v>22730</v>
      </c>
      <c r="D30087" t="str">
        <f>"22730"</f>
        <v>22730</v>
      </c>
      <c r="E30087" t="s">
        <v>6</v>
      </c>
    </row>
    <row r="30088" spans="1:5" x14ac:dyDescent="0.2">
      <c r="A30088">
        <v>22731</v>
      </c>
      <c r="B30088" t="s">
        <v>52</v>
      </c>
      <c r="C30088">
        <v>22731</v>
      </c>
      <c r="D30088" t="str">
        <f>"22731"</f>
        <v>22731</v>
      </c>
      <c r="E30088">
        <v>81.819999999999993</v>
      </c>
    </row>
    <row r="30089" spans="1:5" x14ac:dyDescent="0.2">
      <c r="A30089">
        <v>22732</v>
      </c>
      <c r="B30089" t="s">
        <v>52</v>
      </c>
      <c r="C30089">
        <v>22732</v>
      </c>
      <c r="D30089" t="str">
        <f>"22732"</f>
        <v>22732</v>
      </c>
      <c r="E30089">
        <v>73.33</v>
      </c>
    </row>
    <row r="30090" spans="1:5" x14ac:dyDescent="0.2">
      <c r="A30090">
        <v>22733</v>
      </c>
      <c r="B30090" t="s">
        <v>52</v>
      </c>
      <c r="C30090">
        <v>22733</v>
      </c>
      <c r="D30090" t="str">
        <f>"22733"</f>
        <v>22733</v>
      </c>
      <c r="E30090">
        <v>72.13</v>
      </c>
    </row>
    <row r="30091" spans="1:5" x14ac:dyDescent="0.2">
      <c r="A30091">
        <v>22734</v>
      </c>
      <c r="B30091" t="s">
        <v>52</v>
      </c>
      <c r="C30091">
        <v>22734</v>
      </c>
      <c r="D30091" t="str">
        <f>"22734"</f>
        <v>22734</v>
      </c>
      <c r="E30091">
        <v>75.97</v>
      </c>
    </row>
    <row r="30092" spans="1:5" x14ac:dyDescent="0.2">
      <c r="A30092">
        <v>22735</v>
      </c>
      <c r="B30092" t="s">
        <v>52</v>
      </c>
      <c r="C30092">
        <v>22735</v>
      </c>
      <c r="D30092" t="str">
        <f>"22735"</f>
        <v>22735</v>
      </c>
      <c r="E30092">
        <v>75</v>
      </c>
    </row>
    <row r="30093" spans="1:5" x14ac:dyDescent="0.2">
      <c r="A30093">
        <v>22736</v>
      </c>
      <c r="B30093" t="s">
        <v>52</v>
      </c>
      <c r="C30093">
        <v>22736</v>
      </c>
      <c r="D30093" t="str">
        <f>"22736"</f>
        <v>22736</v>
      </c>
      <c r="E30093">
        <v>77.78</v>
      </c>
    </row>
    <row r="30094" spans="1:5" x14ac:dyDescent="0.2">
      <c r="A30094">
        <v>22737</v>
      </c>
      <c r="B30094" t="s">
        <v>52</v>
      </c>
      <c r="C30094">
        <v>22737</v>
      </c>
      <c r="D30094" t="str">
        <f>"22737"</f>
        <v>22737</v>
      </c>
      <c r="E30094">
        <v>76.319999999999993</v>
      </c>
    </row>
    <row r="30095" spans="1:5" x14ac:dyDescent="0.2">
      <c r="A30095">
        <v>22738</v>
      </c>
      <c r="B30095" t="s">
        <v>52</v>
      </c>
      <c r="C30095">
        <v>22738</v>
      </c>
      <c r="D30095" t="str">
        <f>"22738"</f>
        <v>22738</v>
      </c>
      <c r="E30095">
        <v>74.47</v>
      </c>
    </row>
    <row r="30096" spans="1:5" x14ac:dyDescent="0.2">
      <c r="A30096">
        <v>22740</v>
      </c>
      <c r="B30096" t="s">
        <v>52</v>
      </c>
      <c r="C30096">
        <v>22740</v>
      </c>
      <c r="D30096" t="str">
        <f>"22740"</f>
        <v>22740</v>
      </c>
      <c r="E30096">
        <v>75.81</v>
      </c>
    </row>
    <row r="30097" spans="1:5" x14ac:dyDescent="0.2">
      <c r="A30097">
        <v>22741</v>
      </c>
      <c r="B30097" t="s">
        <v>52</v>
      </c>
      <c r="C30097">
        <v>22741</v>
      </c>
      <c r="D30097" t="str">
        <f>"22741"</f>
        <v>22741</v>
      </c>
      <c r="E30097">
        <v>80</v>
      </c>
    </row>
    <row r="30098" spans="1:5" x14ac:dyDescent="0.2">
      <c r="A30098">
        <v>22742</v>
      </c>
      <c r="B30098" t="s">
        <v>52</v>
      </c>
      <c r="C30098">
        <v>22742</v>
      </c>
      <c r="D30098" t="str">
        <f>"22742"</f>
        <v>22742</v>
      </c>
      <c r="E30098">
        <v>80.95</v>
      </c>
    </row>
    <row r="30099" spans="1:5" x14ac:dyDescent="0.2">
      <c r="A30099">
        <v>22743</v>
      </c>
      <c r="B30099" t="s">
        <v>52</v>
      </c>
      <c r="C30099">
        <v>22743</v>
      </c>
      <c r="D30099" t="str">
        <f>"22743"</f>
        <v>22743</v>
      </c>
      <c r="E30099" t="s">
        <v>6</v>
      </c>
    </row>
    <row r="30100" spans="1:5" x14ac:dyDescent="0.2">
      <c r="A30100">
        <v>22747</v>
      </c>
      <c r="B30100" t="s">
        <v>52</v>
      </c>
      <c r="C30100">
        <v>22747</v>
      </c>
      <c r="D30100" t="str">
        <f>"22747"</f>
        <v>22747</v>
      </c>
      <c r="E30100">
        <v>76.67</v>
      </c>
    </row>
    <row r="30101" spans="1:5" x14ac:dyDescent="0.2">
      <c r="A30101">
        <v>22749</v>
      </c>
      <c r="B30101" t="s">
        <v>52</v>
      </c>
      <c r="C30101">
        <v>22749</v>
      </c>
      <c r="D30101" t="str">
        <f>"22749"</f>
        <v>22749</v>
      </c>
      <c r="E30101">
        <v>81.25</v>
      </c>
    </row>
    <row r="30102" spans="1:5" x14ac:dyDescent="0.2">
      <c r="A30102">
        <v>22801</v>
      </c>
      <c r="B30102" t="s">
        <v>52</v>
      </c>
      <c r="C30102">
        <v>22801</v>
      </c>
      <c r="D30102" t="str">
        <f>"22801"</f>
        <v>22801</v>
      </c>
      <c r="E30102">
        <v>70.39</v>
      </c>
    </row>
    <row r="30103" spans="1:5" x14ac:dyDescent="0.2">
      <c r="A30103">
        <v>22802</v>
      </c>
      <c r="B30103" t="s">
        <v>52</v>
      </c>
      <c r="C30103">
        <v>22802</v>
      </c>
      <c r="D30103" t="str">
        <f>"22802"</f>
        <v>22802</v>
      </c>
      <c r="E30103">
        <v>66.83</v>
      </c>
    </row>
    <row r="30104" spans="1:5" x14ac:dyDescent="0.2">
      <c r="A30104">
        <v>22807</v>
      </c>
      <c r="B30104" t="s">
        <v>52</v>
      </c>
      <c r="C30104">
        <v>22807</v>
      </c>
      <c r="D30104" t="str">
        <f>"22807"</f>
        <v>22807</v>
      </c>
      <c r="E30104" t="s">
        <v>6</v>
      </c>
    </row>
    <row r="30105" spans="1:5" x14ac:dyDescent="0.2">
      <c r="A30105">
        <v>22810</v>
      </c>
      <c r="B30105" t="s">
        <v>52</v>
      </c>
      <c r="C30105">
        <v>22810</v>
      </c>
      <c r="D30105" t="str">
        <f>"22810"</f>
        <v>22810</v>
      </c>
      <c r="E30105">
        <v>75.510000000000005</v>
      </c>
    </row>
    <row r="30106" spans="1:5" x14ac:dyDescent="0.2">
      <c r="A30106">
        <v>22811</v>
      </c>
      <c r="B30106" t="s">
        <v>52</v>
      </c>
      <c r="C30106">
        <v>22811</v>
      </c>
      <c r="D30106" t="str">
        <f>"22811"</f>
        <v>22811</v>
      </c>
      <c r="E30106">
        <v>68.180000000000007</v>
      </c>
    </row>
    <row r="30107" spans="1:5" x14ac:dyDescent="0.2">
      <c r="A30107">
        <v>22812</v>
      </c>
      <c r="B30107" t="s">
        <v>52</v>
      </c>
      <c r="C30107">
        <v>22812</v>
      </c>
      <c r="D30107" t="str">
        <f>"22812"</f>
        <v>22812</v>
      </c>
      <c r="E30107">
        <v>75.819999999999993</v>
      </c>
    </row>
    <row r="30108" spans="1:5" x14ac:dyDescent="0.2">
      <c r="A30108">
        <v>22815</v>
      </c>
      <c r="B30108" t="s">
        <v>52</v>
      </c>
      <c r="C30108">
        <v>22815</v>
      </c>
      <c r="D30108" t="str">
        <f>"22815"</f>
        <v>22815</v>
      </c>
      <c r="E30108">
        <v>72.41</v>
      </c>
    </row>
    <row r="30109" spans="1:5" x14ac:dyDescent="0.2">
      <c r="A30109">
        <v>22820</v>
      </c>
      <c r="B30109" t="s">
        <v>52</v>
      </c>
      <c r="C30109">
        <v>22820</v>
      </c>
      <c r="D30109" t="str">
        <f>"22820"</f>
        <v>22820</v>
      </c>
      <c r="E30109">
        <v>70</v>
      </c>
    </row>
    <row r="30110" spans="1:5" x14ac:dyDescent="0.2">
      <c r="A30110">
        <v>22821</v>
      </c>
      <c r="B30110" t="s">
        <v>52</v>
      </c>
      <c r="C30110">
        <v>22821</v>
      </c>
      <c r="D30110" t="str">
        <f>"22821"</f>
        <v>22821</v>
      </c>
      <c r="E30110">
        <v>71.650000000000006</v>
      </c>
    </row>
    <row r="30111" spans="1:5" x14ac:dyDescent="0.2">
      <c r="A30111">
        <v>22824</v>
      </c>
      <c r="B30111" t="s">
        <v>52</v>
      </c>
      <c r="C30111">
        <v>22824</v>
      </c>
      <c r="D30111" t="str">
        <f>"22824"</f>
        <v>22824</v>
      </c>
      <c r="E30111">
        <v>73</v>
      </c>
    </row>
    <row r="30112" spans="1:5" x14ac:dyDescent="0.2">
      <c r="A30112">
        <v>22827</v>
      </c>
      <c r="B30112" t="s">
        <v>52</v>
      </c>
      <c r="C30112">
        <v>22827</v>
      </c>
      <c r="D30112" t="str">
        <f>"22827"</f>
        <v>22827</v>
      </c>
      <c r="E30112">
        <v>71.569999999999993</v>
      </c>
    </row>
    <row r="30113" spans="1:5" x14ac:dyDescent="0.2">
      <c r="A30113">
        <v>22830</v>
      </c>
      <c r="B30113" t="s">
        <v>52</v>
      </c>
      <c r="C30113">
        <v>22830</v>
      </c>
      <c r="D30113" t="str">
        <f>"22830"</f>
        <v>22830</v>
      </c>
      <c r="E30113">
        <v>68</v>
      </c>
    </row>
    <row r="30114" spans="1:5" x14ac:dyDescent="0.2">
      <c r="A30114">
        <v>22831</v>
      </c>
      <c r="B30114" t="s">
        <v>52</v>
      </c>
      <c r="C30114">
        <v>22831</v>
      </c>
      <c r="D30114" t="str">
        <f>"22831"</f>
        <v>22831</v>
      </c>
      <c r="E30114">
        <v>70</v>
      </c>
    </row>
    <row r="30115" spans="1:5" x14ac:dyDescent="0.2">
      <c r="A30115">
        <v>22832</v>
      </c>
      <c r="B30115" t="s">
        <v>52</v>
      </c>
      <c r="C30115">
        <v>22832</v>
      </c>
      <c r="D30115" t="str">
        <f>"22832"</f>
        <v>22832</v>
      </c>
      <c r="E30115">
        <v>72.73</v>
      </c>
    </row>
    <row r="30116" spans="1:5" x14ac:dyDescent="0.2">
      <c r="A30116">
        <v>22834</v>
      </c>
      <c r="B30116" t="s">
        <v>52</v>
      </c>
      <c r="C30116">
        <v>22834</v>
      </c>
      <c r="D30116" t="str">
        <f>"22834"</f>
        <v>22834</v>
      </c>
      <c r="E30116">
        <v>75.41</v>
      </c>
    </row>
    <row r="30117" spans="1:5" x14ac:dyDescent="0.2">
      <c r="A30117">
        <v>22835</v>
      </c>
      <c r="B30117" t="s">
        <v>52</v>
      </c>
      <c r="C30117">
        <v>22835</v>
      </c>
      <c r="D30117" t="str">
        <f>"22835"</f>
        <v>22835</v>
      </c>
      <c r="E30117">
        <v>70.63</v>
      </c>
    </row>
    <row r="30118" spans="1:5" x14ac:dyDescent="0.2">
      <c r="A30118">
        <v>22840</v>
      </c>
      <c r="B30118" t="s">
        <v>52</v>
      </c>
      <c r="C30118">
        <v>22840</v>
      </c>
      <c r="D30118" t="str">
        <f>"22840"</f>
        <v>22840</v>
      </c>
      <c r="E30118">
        <v>75.22</v>
      </c>
    </row>
    <row r="30119" spans="1:5" x14ac:dyDescent="0.2">
      <c r="A30119">
        <v>22841</v>
      </c>
      <c r="B30119" t="s">
        <v>52</v>
      </c>
      <c r="C30119">
        <v>22841</v>
      </c>
      <c r="D30119" t="str">
        <f>"22841"</f>
        <v>22841</v>
      </c>
      <c r="E30119">
        <v>72.06</v>
      </c>
    </row>
    <row r="30120" spans="1:5" x14ac:dyDescent="0.2">
      <c r="A30120">
        <v>22842</v>
      </c>
      <c r="B30120" t="s">
        <v>52</v>
      </c>
      <c r="C30120">
        <v>22842</v>
      </c>
      <c r="D30120" t="str">
        <f>"22842"</f>
        <v>22842</v>
      </c>
      <c r="E30120">
        <v>70.59</v>
      </c>
    </row>
    <row r="30121" spans="1:5" x14ac:dyDescent="0.2">
      <c r="A30121">
        <v>22843</v>
      </c>
      <c r="B30121" t="s">
        <v>52</v>
      </c>
      <c r="C30121">
        <v>22843</v>
      </c>
      <c r="D30121" t="str">
        <f>"22843"</f>
        <v>22843</v>
      </c>
      <c r="E30121">
        <v>72.48</v>
      </c>
    </row>
    <row r="30122" spans="1:5" x14ac:dyDescent="0.2">
      <c r="A30122">
        <v>22844</v>
      </c>
      <c r="B30122" t="s">
        <v>52</v>
      </c>
      <c r="C30122">
        <v>22844</v>
      </c>
      <c r="D30122" t="str">
        <f>"22844"</f>
        <v>22844</v>
      </c>
      <c r="E30122">
        <v>72.680000000000007</v>
      </c>
    </row>
    <row r="30123" spans="1:5" x14ac:dyDescent="0.2">
      <c r="A30123">
        <v>22845</v>
      </c>
      <c r="B30123" t="s">
        <v>52</v>
      </c>
      <c r="C30123">
        <v>22845</v>
      </c>
      <c r="D30123" t="str">
        <f>"22845"</f>
        <v>22845</v>
      </c>
      <c r="E30123" t="s">
        <v>6</v>
      </c>
    </row>
    <row r="30124" spans="1:5" x14ac:dyDescent="0.2">
      <c r="A30124">
        <v>22846</v>
      </c>
      <c r="B30124" t="s">
        <v>52</v>
      </c>
      <c r="C30124">
        <v>22846</v>
      </c>
      <c r="D30124" t="str">
        <f>"22846"</f>
        <v>22846</v>
      </c>
      <c r="E30124">
        <v>77</v>
      </c>
    </row>
    <row r="30125" spans="1:5" x14ac:dyDescent="0.2">
      <c r="A30125">
        <v>22847</v>
      </c>
      <c r="B30125" t="s">
        <v>52</v>
      </c>
      <c r="C30125">
        <v>22847</v>
      </c>
      <c r="D30125" t="str">
        <f>"22847"</f>
        <v>22847</v>
      </c>
      <c r="E30125">
        <v>73.33</v>
      </c>
    </row>
    <row r="30126" spans="1:5" x14ac:dyDescent="0.2">
      <c r="A30126">
        <v>22849</v>
      </c>
      <c r="B30126" t="s">
        <v>52</v>
      </c>
      <c r="C30126">
        <v>22849</v>
      </c>
      <c r="D30126" t="str">
        <f>"22849"</f>
        <v>22849</v>
      </c>
      <c r="E30126">
        <v>72.94</v>
      </c>
    </row>
    <row r="30127" spans="1:5" x14ac:dyDescent="0.2">
      <c r="A30127">
        <v>22850</v>
      </c>
      <c r="B30127" t="s">
        <v>52</v>
      </c>
      <c r="C30127">
        <v>22850</v>
      </c>
      <c r="D30127" t="str">
        <f>"22850"</f>
        <v>22850</v>
      </c>
      <c r="E30127">
        <v>73.91</v>
      </c>
    </row>
    <row r="30128" spans="1:5" x14ac:dyDescent="0.2">
      <c r="A30128">
        <v>22851</v>
      </c>
      <c r="B30128" t="s">
        <v>52</v>
      </c>
      <c r="C30128">
        <v>22851</v>
      </c>
      <c r="D30128" t="str">
        <f>"22851"</f>
        <v>22851</v>
      </c>
      <c r="E30128">
        <v>68.5</v>
      </c>
    </row>
    <row r="30129" spans="1:5" x14ac:dyDescent="0.2">
      <c r="A30129">
        <v>22853</v>
      </c>
      <c r="B30129" t="s">
        <v>52</v>
      </c>
      <c r="C30129">
        <v>22853</v>
      </c>
      <c r="D30129" t="str">
        <f>"22853"</f>
        <v>22853</v>
      </c>
      <c r="E30129">
        <v>70.27</v>
      </c>
    </row>
    <row r="30130" spans="1:5" x14ac:dyDescent="0.2">
      <c r="A30130">
        <v>22901</v>
      </c>
      <c r="B30130" t="s">
        <v>52</v>
      </c>
      <c r="C30130">
        <v>22901</v>
      </c>
      <c r="D30130" t="str">
        <f>"22901"</f>
        <v>22901</v>
      </c>
      <c r="E30130">
        <v>77.13</v>
      </c>
    </row>
    <row r="30131" spans="1:5" x14ac:dyDescent="0.2">
      <c r="A30131">
        <v>22902</v>
      </c>
      <c r="B30131" t="s">
        <v>52</v>
      </c>
      <c r="C30131">
        <v>22902</v>
      </c>
      <c r="D30131" t="str">
        <f>"22902"</f>
        <v>22902</v>
      </c>
      <c r="E30131">
        <v>76.400000000000006</v>
      </c>
    </row>
    <row r="30132" spans="1:5" x14ac:dyDescent="0.2">
      <c r="A30132">
        <v>22903</v>
      </c>
      <c r="B30132" t="s">
        <v>52</v>
      </c>
      <c r="C30132">
        <v>22903</v>
      </c>
      <c r="D30132" t="str">
        <f>"22903"</f>
        <v>22903</v>
      </c>
      <c r="E30132">
        <v>76.25</v>
      </c>
    </row>
    <row r="30133" spans="1:5" x14ac:dyDescent="0.2">
      <c r="A30133">
        <v>22904</v>
      </c>
      <c r="B30133" t="s">
        <v>52</v>
      </c>
      <c r="C30133">
        <v>22904</v>
      </c>
      <c r="D30133" t="str">
        <f>"22904"</f>
        <v>22904</v>
      </c>
      <c r="E30133" t="s">
        <v>6</v>
      </c>
    </row>
    <row r="30134" spans="1:5" x14ac:dyDescent="0.2">
      <c r="A30134">
        <v>22911</v>
      </c>
      <c r="B30134" t="s">
        <v>52</v>
      </c>
      <c r="C30134">
        <v>22911</v>
      </c>
      <c r="D30134" t="str">
        <f>"22911"</f>
        <v>22911</v>
      </c>
      <c r="E30134">
        <v>81.23</v>
      </c>
    </row>
    <row r="30135" spans="1:5" x14ac:dyDescent="0.2">
      <c r="A30135">
        <v>22920</v>
      </c>
      <c r="B30135" t="s">
        <v>52</v>
      </c>
      <c r="C30135">
        <v>22920</v>
      </c>
      <c r="D30135" t="str">
        <f>"22920"</f>
        <v>22920</v>
      </c>
      <c r="E30135">
        <v>77.040000000000006</v>
      </c>
    </row>
    <row r="30136" spans="1:5" x14ac:dyDescent="0.2">
      <c r="A30136">
        <v>22922</v>
      </c>
      <c r="B30136" t="s">
        <v>52</v>
      </c>
      <c r="C30136">
        <v>22922</v>
      </c>
      <c r="D30136" t="str">
        <f>"22922"</f>
        <v>22922</v>
      </c>
      <c r="E30136">
        <v>66.28</v>
      </c>
    </row>
    <row r="30137" spans="1:5" x14ac:dyDescent="0.2">
      <c r="A30137">
        <v>22923</v>
      </c>
      <c r="B30137" t="s">
        <v>52</v>
      </c>
      <c r="C30137">
        <v>22923</v>
      </c>
      <c r="D30137" t="str">
        <f>"22923"</f>
        <v>22923</v>
      </c>
      <c r="E30137">
        <v>78.02</v>
      </c>
    </row>
    <row r="30138" spans="1:5" x14ac:dyDescent="0.2">
      <c r="A30138">
        <v>22931</v>
      </c>
      <c r="B30138" t="s">
        <v>52</v>
      </c>
      <c r="C30138">
        <v>22931</v>
      </c>
      <c r="D30138" t="str">
        <f>"22931"</f>
        <v>22931</v>
      </c>
      <c r="E30138">
        <v>73.680000000000007</v>
      </c>
    </row>
    <row r="30139" spans="1:5" x14ac:dyDescent="0.2">
      <c r="A30139">
        <v>22932</v>
      </c>
      <c r="B30139" t="s">
        <v>52</v>
      </c>
      <c r="C30139">
        <v>22932</v>
      </c>
      <c r="D30139" t="str">
        <f>"22932"</f>
        <v>22932</v>
      </c>
      <c r="E30139">
        <v>80.19</v>
      </c>
    </row>
    <row r="30140" spans="1:5" x14ac:dyDescent="0.2">
      <c r="A30140">
        <v>22935</v>
      </c>
      <c r="B30140" t="s">
        <v>52</v>
      </c>
      <c r="C30140">
        <v>22935</v>
      </c>
      <c r="D30140" t="str">
        <f>"22935"</f>
        <v>22935</v>
      </c>
      <c r="E30140">
        <v>72.73</v>
      </c>
    </row>
    <row r="30141" spans="1:5" x14ac:dyDescent="0.2">
      <c r="A30141">
        <v>22936</v>
      </c>
      <c r="B30141" t="s">
        <v>52</v>
      </c>
      <c r="C30141">
        <v>22936</v>
      </c>
      <c r="D30141" t="str">
        <f>"22936"</f>
        <v>22936</v>
      </c>
      <c r="E30141">
        <v>80.97</v>
      </c>
    </row>
    <row r="30142" spans="1:5" x14ac:dyDescent="0.2">
      <c r="A30142">
        <v>22937</v>
      </c>
      <c r="B30142" t="s">
        <v>52</v>
      </c>
      <c r="C30142">
        <v>22937</v>
      </c>
      <c r="D30142" t="str">
        <f>"22937"</f>
        <v>22937</v>
      </c>
      <c r="E30142">
        <v>71.209999999999994</v>
      </c>
    </row>
    <row r="30143" spans="1:5" x14ac:dyDescent="0.2">
      <c r="A30143">
        <v>22938</v>
      </c>
      <c r="B30143" t="s">
        <v>52</v>
      </c>
      <c r="C30143">
        <v>22938</v>
      </c>
      <c r="D30143" t="str">
        <f>"22938"</f>
        <v>22938</v>
      </c>
      <c r="E30143">
        <v>73.13</v>
      </c>
    </row>
    <row r="30144" spans="1:5" x14ac:dyDescent="0.2">
      <c r="A30144">
        <v>22939</v>
      </c>
      <c r="B30144" t="s">
        <v>52</v>
      </c>
      <c r="C30144">
        <v>22939</v>
      </c>
      <c r="D30144" t="str">
        <f>"22939"</f>
        <v>22939</v>
      </c>
      <c r="E30144">
        <v>77.459999999999994</v>
      </c>
    </row>
    <row r="30145" spans="1:5" x14ac:dyDescent="0.2">
      <c r="A30145">
        <v>22940</v>
      </c>
      <c r="B30145" t="s">
        <v>52</v>
      </c>
      <c r="C30145">
        <v>22940</v>
      </c>
      <c r="D30145" t="str">
        <f>"22940"</f>
        <v>22940</v>
      </c>
      <c r="E30145">
        <v>77.59</v>
      </c>
    </row>
    <row r="30146" spans="1:5" x14ac:dyDescent="0.2">
      <c r="A30146">
        <v>22942</v>
      </c>
      <c r="B30146" t="s">
        <v>52</v>
      </c>
      <c r="C30146">
        <v>22942</v>
      </c>
      <c r="D30146" t="str">
        <f>"22942"</f>
        <v>22942</v>
      </c>
      <c r="E30146">
        <v>75.989999999999995</v>
      </c>
    </row>
    <row r="30147" spans="1:5" x14ac:dyDescent="0.2">
      <c r="A30147">
        <v>22943</v>
      </c>
      <c r="B30147" t="s">
        <v>52</v>
      </c>
      <c r="C30147">
        <v>22943</v>
      </c>
      <c r="D30147" t="str">
        <f>"22943"</f>
        <v>22943</v>
      </c>
      <c r="E30147">
        <v>79.31</v>
      </c>
    </row>
    <row r="30148" spans="1:5" x14ac:dyDescent="0.2">
      <c r="A30148">
        <v>22946</v>
      </c>
      <c r="B30148" t="s">
        <v>52</v>
      </c>
      <c r="C30148">
        <v>22946</v>
      </c>
      <c r="D30148" t="str">
        <f>"22946"</f>
        <v>22946</v>
      </c>
      <c r="E30148">
        <v>69.23</v>
      </c>
    </row>
    <row r="30149" spans="1:5" x14ac:dyDescent="0.2">
      <c r="A30149">
        <v>22947</v>
      </c>
      <c r="B30149" t="s">
        <v>52</v>
      </c>
      <c r="C30149">
        <v>22947</v>
      </c>
      <c r="D30149" t="str">
        <f>"22947"</f>
        <v>22947</v>
      </c>
      <c r="E30149">
        <v>79.599999999999994</v>
      </c>
    </row>
    <row r="30150" spans="1:5" x14ac:dyDescent="0.2">
      <c r="A30150">
        <v>22948</v>
      </c>
      <c r="B30150" t="s">
        <v>52</v>
      </c>
      <c r="C30150">
        <v>22948</v>
      </c>
      <c r="D30150" t="str">
        <f>"22948"</f>
        <v>22948</v>
      </c>
      <c r="E30150">
        <v>72.73</v>
      </c>
    </row>
    <row r="30151" spans="1:5" x14ac:dyDescent="0.2">
      <c r="A30151">
        <v>22949</v>
      </c>
      <c r="B30151" t="s">
        <v>52</v>
      </c>
      <c r="C30151">
        <v>22949</v>
      </c>
      <c r="D30151" t="str">
        <f>"22949"</f>
        <v>22949</v>
      </c>
      <c r="E30151">
        <v>74.239999999999995</v>
      </c>
    </row>
    <row r="30152" spans="1:5" x14ac:dyDescent="0.2">
      <c r="A30152">
        <v>22952</v>
      </c>
      <c r="B30152" t="s">
        <v>52</v>
      </c>
      <c r="C30152">
        <v>22952</v>
      </c>
      <c r="D30152" t="str">
        <f>"22952"</f>
        <v>22952</v>
      </c>
      <c r="E30152">
        <v>73.2</v>
      </c>
    </row>
    <row r="30153" spans="1:5" x14ac:dyDescent="0.2">
      <c r="A30153">
        <v>22958</v>
      </c>
      <c r="B30153" t="s">
        <v>52</v>
      </c>
      <c r="C30153">
        <v>22958</v>
      </c>
      <c r="D30153" t="str">
        <f>"22958"</f>
        <v>22958</v>
      </c>
      <c r="E30153">
        <v>77.78</v>
      </c>
    </row>
    <row r="30154" spans="1:5" x14ac:dyDescent="0.2">
      <c r="A30154">
        <v>22959</v>
      </c>
      <c r="B30154" t="s">
        <v>52</v>
      </c>
      <c r="C30154">
        <v>22959</v>
      </c>
      <c r="D30154" t="str">
        <f>"22959"</f>
        <v>22959</v>
      </c>
      <c r="E30154">
        <v>74.42</v>
      </c>
    </row>
    <row r="30155" spans="1:5" x14ac:dyDescent="0.2">
      <c r="A30155">
        <v>22960</v>
      </c>
      <c r="B30155" t="s">
        <v>52</v>
      </c>
      <c r="C30155">
        <v>22960</v>
      </c>
      <c r="D30155" t="str">
        <f>"22960"</f>
        <v>22960</v>
      </c>
      <c r="E30155">
        <v>70.78</v>
      </c>
    </row>
    <row r="30156" spans="1:5" x14ac:dyDescent="0.2">
      <c r="A30156">
        <v>22963</v>
      </c>
      <c r="B30156" t="s">
        <v>52</v>
      </c>
      <c r="C30156">
        <v>22963</v>
      </c>
      <c r="D30156" t="str">
        <f>"22963"</f>
        <v>22963</v>
      </c>
      <c r="E30156">
        <v>79.349999999999994</v>
      </c>
    </row>
    <row r="30157" spans="1:5" x14ac:dyDescent="0.2">
      <c r="A30157">
        <v>22964</v>
      </c>
      <c r="B30157" t="s">
        <v>52</v>
      </c>
      <c r="C30157">
        <v>22964</v>
      </c>
      <c r="D30157" t="str">
        <f>"22964"</f>
        <v>22964</v>
      </c>
      <c r="E30157">
        <v>71.430000000000007</v>
      </c>
    </row>
    <row r="30158" spans="1:5" x14ac:dyDescent="0.2">
      <c r="A30158">
        <v>22967</v>
      </c>
      <c r="B30158" t="s">
        <v>52</v>
      </c>
      <c r="C30158">
        <v>22967</v>
      </c>
      <c r="D30158" t="str">
        <f>"22967"</f>
        <v>22967</v>
      </c>
      <c r="E30158">
        <v>70.87</v>
      </c>
    </row>
    <row r="30159" spans="1:5" x14ac:dyDescent="0.2">
      <c r="A30159">
        <v>22968</v>
      </c>
      <c r="B30159" t="s">
        <v>52</v>
      </c>
      <c r="C30159">
        <v>22968</v>
      </c>
      <c r="D30159" t="str">
        <f>"22968"</f>
        <v>22968</v>
      </c>
      <c r="E30159">
        <v>75.930000000000007</v>
      </c>
    </row>
    <row r="30160" spans="1:5" x14ac:dyDescent="0.2">
      <c r="A30160">
        <v>22969</v>
      </c>
      <c r="B30160" t="s">
        <v>52</v>
      </c>
      <c r="C30160">
        <v>22969</v>
      </c>
      <c r="D30160" t="str">
        <f>"22969"</f>
        <v>22969</v>
      </c>
      <c r="E30160">
        <v>71.67</v>
      </c>
    </row>
    <row r="30161" spans="1:5" x14ac:dyDescent="0.2">
      <c r="A30161">
        <v>22971</v>
      </c>
      <c r="B30161" t="s">
        <v>52</v>
      </c>
      <c r="C30161">
        <v>22971</v>
      </c>
      <c r="D30161" t="str">
        <f>"22971"</f>
        <v>22971</v>
      </c>
      <c r="E30161">
        <v>73.680000000000007</v>
      </c>
    </row>
    <row r="30162" spans="1:5" x14ac:dyDescent="0.2">
      <c r="A30162">
        <v>22972</v>
      </c>
      <c r="B30162" t="s">
        <v>52</v>
      </c>
      <c r="C30162">
        <v>22972</v>
      </c>
      <c r="D30162" t="str">
        <f>"22972"</f>
        <v>22972</v>
      </c>
      <c r="E30162">
        <v>80.95</v>
      </c>
    </row>
    <row r="30163" spans="1:5" x14ac:dyDescent="0.2">
      <c r="A30163">
        <v>22973</v>
      </c>
      <c r="B30163" t="s">
        <v>52</v>
      </c>
      <c r="C30163">
        <v>22973</v>
      </c>
      <c r="D30163" t="str">
        <f>"22973"</f>
        <v>22973</v>
      </c>
      <c r="E30163">
        <v>73.45</v>
      </c>
    </row>
    <row r="30164" spans="1:5" x14ac:dyDescent="0.2">
      <c r="A30164">
        <v>22974</v>
      </c>
      <c r="B30164" t="s">
        <v>52</v>
      </c>
      <c r="C30164">
        <v>22974</v>
      </c>
      <c r="D30164" t="str">
        <f>"22974"</f>
        <v>22974</v>
      </c>
      <c r="E30164">
        <v>77.63</v>
      </c>
    </row>
    <row r="30165" spans="1:5" x14ac:dyDescent="0.2">
      <c r="A30165">
        <v>22976</v>
      </c>
      <c r="B30165" t="s">
        <v>52</v>
      </c>
      <c r="C30165">
        <v>22976</v>
      </c>
      <c r="D30165" t="str">
        <f>"22976"</f>
        <v>22976</v>
      </c>
      <c r="E30165">
        <v>63.64</v>
      </c>
    </row>
    <row r="30166" spans="1:5" x14ac:dyDescent="0.2">
      <c r="A30166">
        <v>22980</v>
      </c>
      <c r="B30166" t="s">
        <v>52</v>
      </c>
      <c r="C30166">
        <v>22980</v>
      </c>
      <c r="D30166" t="str">
        <f>"22980"</f>
        <v>22980</v>
      </c>
      <c r="E30166">
        <v>72.239999999999995</v>
      </c>
    </row>
    <row r="30167" spans="1:5" x14ac:dyDescent="0.2">
      <c r="A30167">
        <v>23002</v>
      </c>
      <c r="B30167" t="s">
        <v>52</v>
      </c>
      <c r="C30167">
        <v>23002</v>
      </c>
      <c r="D30167" t="str">
        <f>"23002"</f>
        <v>23002</v>
      </c>
      <c r="E30167">
        <v>72.34</v>
      </c>
    </row>
    <row r="30168" spans="1:5" x14ac:dyDescent="0.2">
      <c r="A30168">
        <v>23004</v>
      </c>
      <c r="B30168" t="s">
        <v>52</v>
      </c>
      <c r="C30168">
        <v>23004</v>
      </c>
      <c r="D30168" t="str">
        <f>"23004"</f>
        <v>23004</v>
      </c>
      <c r="E30168">
        <v>68.42</v>
      </c>
    </row>
    <row r="30169" spans="1:5" x14ac:dyDescent="0.2">
      <c r="A30169">
        <v>23005</v>
      </c>
      <c r="B30169" t="s">
        <v>52</v>
      </c>
      <c r="C30169">
        <v>23005</v>
      </c>
      <c r="D30169" t="str">
        <f>"23005"</f>
        <v>23005</v>
      </c>
      <c r="E30169">
        <v>76.459999999999994</v>
      </c>
    </row>
    <row r="30170" spans="1:5" x14ac:dyDescent="0.2">
      <c r="A30170">
        <v>23009</v>
      </c>
      <c r="B30170" t="s">
        <v>52</v>
      </c>
      <c r="C30170">
        <v>23009</v>
      </c>
      <c r="D30170" t="str">
        <f>"23009"</f>
        <v>23009</v>
      </c>
      <c r="E30170">
        <v>78.650000000000006</v>
      </c>
    </row>
    <row r="30171" spans="1:5" x14ac:dyDescent="0.2">
      <c r="A30171">
        <v>23011</v>
      </c>
      <c r="B30171" t="s">
        <v>52</v>
      </c>
      <c r="C30171">
        <v>23011</v>
      </c>
      <c r="D30171" t="str">
        <f>"23011"</f>
        <v>23011</v>
      </c>
      <c r="E30171">
        <v>80.77</v>
      </c>
    </row>
    <row r="30172" spans="1:5" x14ac:dyDescent="0.2">
      <c r="A30172">
        <v>23015</v>
      </c>
      <c r="B30172" t="s">
        <v>52</v>
      </c>
      <c r="C30172">
        <v>23015</v>
      </c>
      <c r="D30172" t="str">
        <f>"23015"</f>
        <v>23015</v>
      </c>
      <c r="E30172">
        <v>75.91</v>
      </c>
    </row>
    <row r="30173" spans="1:5" x14ac:dyDescent="0.2">
      <c r="A30173">
        <v>23021</v>
      </c>
      <c r="B30173" t="s">
        <v>52</v>
      </c>
      <c r="C30173">
        <v>23021</v>
      </c>
      <c r="D30173" t="str">
        <f>"23021"</f>
        <v>23021</v>
      </c>
      <c r="E30173" t="s">
        <v>6</v>
      </c>
    </row>
    <row r="30174" spans="1:5" x14ac:dyDescent="0.2">
      <c r="A30174">
        <v>23022</v>
      </c>
      <c r="B30174" t="s">
        <v>52</v>
      </c>
      <c r="C30174">
        <v>23022</v>
      </c>
      <c r="D30174" t="str">
        <f>"23022"</f>
        <v>23022</v>
      </c>
      <c r="E30174">
        <v>67.650000000000006</v>
      </c>
    </row>
    <row r="30175" spans="1:5" x14ac:dyDescent="0.2">
      <c r="A30175">
        <v>23023</v>
      </c>
      <c r="B30175" t="s">
        <v>52</v>
      </c>
      <c r="C30175">
        <v>23023</v>
      </c>
      <c r="D30175" t="str">
        <f>"23023"</f>
        <v>23023</v>
      </c>
      <c r="E30175">
        <v>68.75</v>
      </c>
    </row>
    <row r="30176" spans="1:5" x14ac:dyDescent="0.2">
      <c r="A30176">
        <v>23024</v>
      </c>
      <c r="B30176" t="s">
        <v>52</v>
      </c>
      <c r="C30176">
        <v>23024</v>
      </c>
      <c r="D30176" t="str">
        <f>"23024"</f>
        <v>23024</v>
      </c>
      <c r="E30176">
        <v>77.86</v>
      </c>
    </row>
    <row r="30177" spans="1:5" x14ac:dyDescent="0.2">
      <c r="A30177">
        <v>23025</v>
      </c>
      <c r="B30177" t="s">
        <v>52</v>
      </c>
      <c r="C30177">
        <v>23025</v>
      </c>
      <c r="D30177" t="str">
        <f>"23025"</f>
        <v>23025</v>
      </c>
      <c r="E30177">
        <v>58.33</v>
      </c>
    </row>
    <row r="30178" spans="1:5" x14ac:dyDescent="0.2">
      <c r="A30178">
        <v>23027</v>
      </c>
      <c r="B30178" t="s">
        <v>52</v>
      </c>
      <c r="C30178">
        <v>23027</v>
      </c>
      <c r="D30178" t="str">
        <f>"23027"</f>
        <v>23027</v>
      </c>
      <c r="E30178">
        <v>66.13</v>
      </c>
    </row>
    <row r="30179" spans="1:5" x14ac:dyDescent="0.2">
      <c r="A30179">
        <v>23030</v>
      </c>
      <c r="B30179" t="s">
        <v>52</v>
      </c>
      <c r="C30179">
        <v>23030</v>
      </c>
      <c r="D30179" t="str">
        <f>"23030"</f>
        <v>23030</v>
      </c>
      <c r="E30179">
        <v>74.38</v>
      </c>
    </row>
    <row r="30180" spans="1:5" x14ac:dyDescent="0.2">
      <c r="A30180">
        <v>23032</v>
      </c>
      <c r="B30180" t="s">
        <v>52</v>
      </c>
      <c r="C30180">
        <v>23032</v>
      </c>
      <c r="D30180" t="str">
        <f>"23032"</f>
        <v>23032</v>
      </c>
      <c r="E30180">
        <v>61.54</v>
      </c>
    </row>
    <row r="30181" spans="1:5" x14ac:dyDescent="0.2">
      <c r="A30181">
        <v>23035</v>
      </c>
      <c r="B30181" t="s">
        <v>52</v>
      </c>
      <c r="C30181">
        <v>23035</v>
      </c>
      <c r="D30181" t="str">
        <f>"23035"</f>
        <v>23035</v>
      </c>
      <c r="E30181">
        <v>74.239999999999995</v>
      </c>
    </row>
    <row r="30182" spans="1:5" x14ac:dyDescent="0.2">
      <c r="A30182">
        <v>23038</v>
      </c>
      <c r="B30182" t="s">
        <v>52</v>
      </c>
      <c r="C30182">
        <v>23038</v>
      </c>
      <c r="D30182" t="str">
        <f>"23038"</f>
        <v>23038</v>
      </c>
      <c r="E30182">
        <v>74.12</v>
      </c>
    </row>
    <row r="30183" spans="1:5" x14ac:dyDescent="0.2">
      <c r="A30183">
        <v>23039</v>
      </c>
      <c r="B30183" t="s">
        <v>52</v>
      </c>
      <c r="C30183">
        <v>23039</v>
      </c>
      <c r="D30183" t="str">
        <f>"23039"</f>
        <v>23039</v>
      </c>
      <c r="E30183">
        <v>79.25</v>
      </c>
    </row>
    <row r="30184" spans="1:5" x14ac:dyDescent="0.2">
      <c r="A30184">
        <v>23040</v>
      </c>
      <c r="B30184" t="s">
        <v>52</v>
      </c>
      <c r="C30184">
        <v>23040</v>
      </c>
      <c r="D30184" t="str">
        <f>"23040"</f>
        <v>23040</v>
      </c>
      <c r="E30184">
        <v>66.03</v>
      </c>
    </row>
    <row r="30185" spans="1:5" x14ac:dyDescent="0.2">
      <c r="A30185">
        <v>23043</v>
      </c>
      <c r="B30185" t="s">
        <v>52</v>
      </c>
      <c r="C30185">
        <v>23043</v>
      </c>
      <c r="D30185" t="str">
        <f>"23043"</f>
        <v>23043</v>
      </c>
      <c r="E30185">
        <v>72.84</v>
      </c>
    </row>
    <row r="30186" spans="1:5" x14ac:dyDescent="0.2">
      <c r="A30186">
        <v>23045</v>
      </c>
      <c r="B30186" t="s">
        <v>52</v>
      </c>
      <c r="C30186">
        <v>23045</v>
      </c>
      <c r="D30186" t="str">
        <f>"23045"</f>
        <v>23045</v>
      </c>
      <c r="E30186" t="s">
        <v>6</v>
      </c>
    </row>
    <row r="30187" spans="1:5" x14ac:dyDescent="0.2">
      <c r="A30187">
        <v>23047</v>
      </c>
      <c r="B30187" t="s">
        <v>52</v>
      </c>
      <c r="C30187">
        <v>23047</v>
      </c>
      <c r="D30187" t="str">
        <f>"23047"</f>
        <v>23047</v>
      </c>
      <c r="E30187">
        <v>75.44</v>
      </c>
    </row>
    <row r="30188" spans="1:5" x14ac:dyDescent="0.2">
      <c r="A30188">
        <v>23050</v>
      </c>
      <c r="B30188" t="s">
        <v>52</v>
      </c>
      <c r="C30188">
        <v>23050</v>
      </c>
      <c r="D30188" t="str">
        <f>"23050"</f>
        <v>23050</v>
      </c>
      <c r="E30188">
        <v>75.680000000000007</v>
      </c>
    </row>
    <row r="30189" spans="1:5" x14ac:dyDescent="0.2">
      <c r="A30189">
        <v>23055</v>
      </c>
      <c r="B30189" t="s">
        <v>52</v>
      </c>
      <c r="C30189">
        <v>23055</v>
      </c>
      <c r="D30189" t="str">
        <f>"23055"</f>
        <v>23055</v>
      </c>
      <c r="E30189">
        <v>71.11</v>
      </c>
    </row>
    <row r="30190" spans="1:5" x14ac:dyDescent="0.2">
      <c r="A30190">
        <v>23056</v>
      </c>
      <c r="B30190" t="s">
        <v>52</v>
      </c>
      <c r="C30190">
        <v>23056</v>
      </c>
      <c r="D30190" t="str">
        <f>"23056"</f>
        <v>23056</v>
      </c>
      <c r="E30190">
        <v>75</v>
      </c>
    </row>
    <row r="30191" spans="1:5" x14ac:dyDescent="0.2">
      <c r="A30191">
        <v>23059</v>
      </c>
      <c r="B30191" t="s">
        <v>52</v>
      </c>
      <c r="C30191">
        <v>23059</v>
      </c>
      <c r="D30191" t="str">
        <f>"23059"</f>
        <v>23059</v>
      </c>
      <c r="E30191">
        <v>82.11</v>
      </c>
    </row>
    <row r="30192" spans="1:5" x14ac:dyDescent="0.2">
      <c r="A30192">
        <v>23060</v>
      </c>
      <c r="B30192" t="s">
        <v>52</v>
      </c>
      <c r="C30192">
        <v>23060</v>
      </c>
      <c r="D30192" t="str">
        <f>"23060"</f>
        <v>23060</v>
      </c>
      <c r="E30192">
        <v>79.28</v>
      </c>
    </row>
    <row r="30193" spans="1:5" x14ac:dyDescent="0.2">
      <c r="A30193">
        <v>23061</v>
      </c>
      <c r="B30193" t="s">
        <v>52</v>
      </c>
      <c r="C30193">
        <v>23061</v>
      </c>
      <c r="D30193" t="str">
        <f>"23061"</f>
        <v>23061</v>
      </c>
      <c r="E30193">
        <v>76.19</v>
      </c>
    </row>
    <row r="30194" spans="1:5" x14ac:dyDescent="0.2">
      <c r="A30194">
        <v>23062</v>
      </c>
      <c r="B30194" t="s">
        <v>52</v>
      </c>
      <c r="C30194">
        <v>23062</v>
      </c>
      <c r="D30194" t="str">
        <f>"23062"</f>
        <v>23062</v>
      </c>
      <c r="E30194">
        <v>79.290000000000006</v>
      </c>
    </row>
    <row r="30195" spans="1:5" x14ac:dyDescent="0.2">
      <c r="A30195">
        <v>23063</v>
      </c>
      <c r="B30195" t="s">
        <v>52</v>
      </c>
      <c r="C30195">
        <v>23063</v>
      </c>
      <c r="D30195" t="str">
        <f>"23063"</f>
        <v>23063</v>
      </c>
      <c r="E30195">
        <v>73.84</v>
      </c>
    </row>
    <row r="30196" spans="1:5" x14ac:dyDescent="0.2">
      <c r="A30196">
        <v>23065</v>
      </c>
      <c r="B30196" t="s">
        <v>52</v>
      </c>
      <c r="C30196">
        <v>23065</v>
      </c>
      <c r="D30196" t="str">
        <f>"23065"</f>
        <v>23065</v>
      </c>
      <c r="E30196">
        <v>77.22</v>
      </c>
    </row>
    <row r="30197" spans="1:5" x14ac:dyDescent="0.2">
      <c r="A30197">
        <v>23068</v>
      </c>
      <c r="B30197" t="s">
        <v>52</v>
      </c>
      <c r="C30197">
        <v>23068</v>
      </c>
      <c r="D30197" t="str">
        <f>"23068"</f>
        <v>23068</v>
      </c>
      <c r="E30197">
        <v>84.62</v>
      </c>
    </row>
    <row r="30198" spans="1:5" x14ac:dyDescent="0.2">
      <c r="A30198">
        <v>23069</v>
      </c>
      <c r="B30198" t="s">
        <v>52</v>
      </c>
      <c r="C30198">
        <v>23069</v>
      </c>
      <c r="D30198" t="str">
        <f>"23069"</f>
        <v>23069</v>
      </c>
      <c r="E30198">
        <v>78.34</v>
      </c>
    </row>
    <row r="30199" spans="1:5" x14ac:dyDescent="0.2">
      <c r="A30199">
        <v>23070</v>
      </c>
      <c r="B30199" t="s">
        <v>52</v>
      </c>
      <c r="C30199">
        <v>23070</v>
      </c>
      <c r="D30199" t="str">
        <f>"23070"</f>
        <v>23070</v>
      </c>
      <c r="E30199">
        <v>76.19</v>
      </c>
    </row>
    <row r="30200" spans="1:5" x14ac:dyDescent="0.2">
      <c r="A30200">
        <v>23071</v>
      </c>
      <c r="B30200" t="s">
        <v>52</v>
      </c>
      <c r="C30200">
        <v>23071</v>
      </c>
      <c r="D30200" t="str">
        <f>"23071"</f>
        <v>23071</v>
      </c>
      <c r="E30200">
        <v>72.150000000000006</v>
      </c>
    </row>
    <row r="30201" spans="1:5" x14ac:dyDescent="0.2">
      <c r="A30201">
        <v>23072</v>
      </c>
      <c r="B30201" t="s">
        <v>52</v>
      </c>
      <c r="C30201">
        <v>23072</v>
      </c>
      <c r="D30201" t="str">
        <f>"23072"</f>
        <v>23072</v>
      </c>
      <c r="E30201">
        <v>75.7</v>
      </c>
    </row>
    <row r="30202" spans="1:5" x14ac:dyDescent="0.2">
      <c r="A30202">
        <v>23075</v>
      </c>
      <c r="B30202" t="s">
        <v>52</v>
      </c>
      <c r="C30202">
        <v>23075</v>
      </c>
      <c r="D30202" t="str">
        <f>"23075"</f>
        <v>23075</v>
      </c>
      <c r="E30202">
        <v>64.87</v>
      </c>
    </row>
    <row r="30203" spans="1:5" x14ac:dyDescent="0.2">
      <c r="A30203">
        <v>23076</v>
      </c>
      <c r="B30203" t="s">
        <v>52</v>
      </c>
      <c r="C30203">
        <v>23076</v>
      </c>
      <c r="D30203" t="str">
        <f>"23076"</f>
        <v>23076</v>
      </c>
      <c r="E30203">
        <v>66.67</v>
      </c>
    </row>
    <row r="30204" spans="1:5" x14ac:dyDescent="0.2">
      <c r="A30204">
        <v>23079</v>
      </c>
      <c r="B30204" t="s">
        <v>52</v>
      </c>
      <c r="C30204">
        <v>23079</v>
      </c>
      <c r="D30204" t="str">
        <f>"23079"</f>
        <v>23079</v>
      </c>
      <c r="E30204">
        <v>73.33</v>
      </c>
    </row>
    <row r="30205" spans="1:5" x14ac:dyDescent="0.2">
      <c r="A30205">
        <v>23081</v>
      </c>
      <c r="B30205" t="s">
        <v>52</v>
      </c>
      <c r="C30205">
        <v>23081</v>
      </c>
      <c r="D30205" t="str">
        <f>"23081"</f>
        <v>23081</v>
      </c>
      <c r="E30205" t="s">
        <v>6</v>
      </c>
    </row>
    <row r="30206" spans="1:5" x14ac:dyDescent="0.2">
      <c r="A30206">
        <v>23083</v>
      </c>
      <c r="B30206" t="s">
        <v>52</v>
      </c>
      <c r="C30206">
        <v>23083</v>
      </c>
      <c r="D30206" t="str">
        <f>"23083"</f>
        <v>23083</v>
      </c>
      <c r="E30206">
        <v>71.11</v>
      </c>
    </row>
    <row r="30207" spans="1:5" x14ac:dyDescent="0.2">
      <c r="A30207">
        <v>23084</v>
      </c>
      <c r="B30207" t="s">
        <v>52</v>
      </c>
      <c r="C30207">
        <v>23084</v>
      </c>
      <c r="D30207" t="str">
        <f>"23084"</f>
        <v>23084</v>
      </c>
      <c r="E30207">
        <v>78.819999999999993</v>
      </c>
    </row>
    <row r="30208" spans="1:5" x14ac:dyDescent="0.2">
      <c r="A30208">
        <v>23085</v>
      </c>
      <c r="B30208" t="s">
        <v>52</v>
      </c>
      <c r="C30208">
        <v>23085</v>
      </c>
      <c r="D30208" t="str">
        <f>"23085"</f>
        <v>23085</v>
      </c>
      <c r="E30208">
        <v>78.95</v>
      </c>
    </row>
    <row r="30209" spans="1:5" x14ac:dyDescent="0.2">
      <c r="A30209">
        <v>23086</v>
      </c>
      <c r="B30209" t="s">
        <v>52</v>
      </c>
      <c r="C30209">
        <v>23086</v>
      </c>
      <c r="D30209" t="str">
        <f>"23086"</f>
        <v>23086</v>
      </c>
      <c r="E30209">
        <v>77.709999999999994</v>
      </c>
    </row>
    <row r="30210" spans="1:5" x14ac:dyDescent="0.2">
      <c r="A30210">
        <v>23089</v>
      </c>
      <c r="B30210" t="s">
        <v>52</v>
      </c>
      <c r="C30210">
        <v>23089</v>
      </c>
      <c r="D30210" t="str">
        <f>"23089"</f>
        <v>23089</v>
      </c>
      <c r="E30210">
        <v>78.88</v>
      </c>
    </row>
    <row r="30211" spans="1:5" x14ac:dyDescent="0.2">
      <c r="A30211">
        <v>23090</v>
      </c>
      <c r="B30211" t="s">
        <v>52</v>
      </c>
      <c r="C30211">
        <v>23090</v>
      </c>
      <c r="D30211" t="str">
        <f>"23090"</f>
        <v>23090</v>
      </c>
      <c r="E30211" t="s">
        <v>6</v>
      </c>
    </row>
    <row r="30212" spans="1:5" x14ac:dyDescent="0.2">
      <c r="A30212">
        <v>23091</v>
      </c>
      <c r="B30212" t="s">
        <v>52</v>
      </c>
      <c r="C30212">
        <v>23091</v>
      </c>
      <c r="D30212" t="str">
        <f>"23091"</f>
        <v>23091</v>
      </c>
      <c r="E30212">
        <v>73.33</v>
      </c>
    </row>
    <row r="30213" spans="1:5" x14ac:dyDescent="0.2">
      <c r="A30213">
        <v>23092</v>
      </c>
      <c r="B30213" t="s">
        <v>52</v>
      </c>
      <c r="C30213">
        <v>23092</v>
      </c>
      <c r="D30213" t="str">
        <f>"23092"</f>
        <v>23092</v>
      </c>
      <c r="E30213">
        <v>71.430000000000007</v>
      </c>
    </row>
    <row r="30214" spans="1:5" x14ac:dyDescent="0.2">
      <c r="A30214">
        <v>23093</v>
      </c>
      <c r="B30214" t="s">
        <v>52</v>
      </c>
      <c r="C30214">
        <v>23093</v>
      </c>
      <c r="D30214" t="str">
        <f>"23093"</f>
        <v>23093</v>
      </c>
      <c r="E30214">
        <v>73.349999999999994</v>
      </c>
    </row>
    <row r="30215" spans="1:5" x14ac:dyDescent="0.2">
      <c r="A30215">
        <v>23102</v>
      </c>
      <c r="B30215" t="s">
        <v>52</v>
      </c>
      <c r="C30215">
        <v>23102</v>
      </c>
      <c r="D30215" t="str">
        <f>"23102"</f>
        <v>23102</v>
      </c>
      <c r="E30215">
        <v>81.430000000000007</v>
      </c>
    </row>
    <row r="30216" spans="1:5" x14ac:dyDescent="0.2">
      <c r="A30216">
        <v>23103</v>
      </c>
      <c r="B30216" t="s">
        <v>52</v>
      </c>
      <c r="C30216">
        <v>23103</v>
      </c>
      <c r="D30216" t="str">
        <f>"23103"</f>
        <v>23103</v>
      </c>
      <c r="E30216">
        <v>81.13</v>
      </c>
    </row>
    <row r="30217" spans="1:5" x14ac:dyDescent="0.2">
      <c r="A30217">
        <v>23106</v>
      </c>
      <c r="B30217" t="s">
        <v>52</v>
      </c>
      <c r="C30217">
        <v>23106</v>
      </c>
      <c r="D30217" t="str">
        <f>"23106"</f>
        <v>23106</v>
      </c>
      <c r="E30217">
        <v>75.86</v>
      </c>
    </row>
    <row r="30218" spans="1:5" x14ac:dyDescent="0.2">
      <c r="A30218">
        <v>23108</v>
      </c>
      <c r="B30218" t="s">
        <v>52</v>
      </c>
      <c r="C30218">
        <v>23108</v>
      </c>
      <c r="D30218" t="str">
        <f>"23108"</f>
        <v>23108</v>
      </c>
      <c r="E30218" t="s">
        <v>6</v>
      </c>
    </row>
    <row r="30219" spans="1:5" x14ac:dyDescent="0.2">
      <c r="A30219">
        <v>23109</v>
      </c>
      <c r="B30219" t="s">
        <v>52</v>
      </c>
      <c r="C30219">
        <v>23109</v>
      </c>
      <c r="D30219" t="str">
        <f>"23109"</f>
        <v>23109</v>
      </c>
      <c r="E30219">
        <v>75</v>
      </c>
    </row>
    <row r="30220" spans="1:5" x14ac:dyDescent="0.2">
      <c r="A30220">
        <v>23110</v>
      </c>
      <c r="B30220" t="s">
        <v>52</v>
      </c>
      <c r="C30220">
        <v>23110</v>
      </c>
      <c r="D30220" t="str">
        <f>"23110"</f>
        <v>23110</v>
      </c>
      <c r="E30220">
        <v>75.760000000000005</v>
      </c>
    </row>
    <row r="30221" spans="1:5" x14ac:dyDescent="0.2">
      <c r="A30221">
        <v>23111</v>
      </c>
      <c r="B30221" t="s">
        <v>52</v>
      </c>
      <c r="C30221">
        <v>23111</v>
      </c>
      <c r="D30221" t="str">
        <f>"23111"</f>
        <v>23111</v>
      </c>
      <c r="E30221">
        <v>79.39</v>
      </c>
    </row>
    <row r="30222" spans="1:5" x14ac:dyDescent="0.2">
      <c r="A30222">
        <v>23112</v>
      </c>
      <c r="B30222" t="s">
        <v>52</v>
      </c>
      <c r="C30222">
        <v>23112</v>
      </c>
      <c r="D30222" t="str">
        <f>"23112"</f>
        <v>23112</v>
      </c>
      <c r="E30222">
        <v>80.48</v>
      </c>
    </row>
    <row r="30223" spans="1:5" x14ac:dyDescent="0.2">
      <c r="A30223">
        <v>23113</v>
      </c>
      <c r="B30223" t="s">
        <v>52</v>
      </c>
      <c r="C30223">
        <v>23113</v>
      </c>
      <c r="D30223" t="str">
        <f>"23113"</f>
        <v>23113</v>
      </c>
      <c r="E30223">
        <v>81.98</v>
      </c>
    </row>
    <row r="30224" spans="1:5" x14ac:dyDescent="0.2">
      <c r="A30224">
        <v>23114</v>
      </c>
      <c r="B30224" t="s">
        <v>52</v>
      </c>
      <c r="C30224">
        <v>23114</v>
      </c>
      <c r="D30224" t="str">
        <f>"23114"</f>
        <v>23114</v>
      </c>
      <c r="E30224">
        <v>81.540000000000006</v>
      </c>
    </row>
    <row r="30225" spans="1:5" x14ac:dyDescent="0.2">
      <c r="A30225">
        <v>23116</v>
      </c>
      <c r="B30225" t="s">
        <v>52</v>
      </c>
      <c r="C30225">
        <v>23116</v>
      </c>
      <c r="D30225" t="str">
        <f>"23116"</f>
        <v>23116</v>
      </c>
      <c r="E30225">
        <v>81.05</v>
      </c>
    </row>
    <row r="30226" spans="1:5" x14ac:dyDescent="0.2">
      <c r="A30226">
        <v>23117</v>
      </c>
      <c r="B30226" t="s">
        <v>52</v>
      </c>
      <c r="C30226">
        <v>23117</v>
      </c>
      <c r="D30226" t="str">
        <f>"23117"</f>
        <v>23117</v>
      </c>
      <c r="E30226">
        <v>75.319999999999993</v>
      </c>
    </row>
    <row r="30227" spans="1:5" x14ac:dyDescent="0.2">
      <c r="A30227">
        <v>23119</v>
      </c>
      <c r="B30227" t="s">
        <v>52</v>
      </c>
      <c r="C30227">
        <v>23119</v>
      </c>
      <c r="D30227" t="str">
        <f>"23119"</f>
        <v>23119</v>
      </c>
      <c r="E30227">
        <v>85.71</v>
      </c>
    </row>
    <row r="30228" spans="1:5" x14ac:dyDescent="0.2">
      <c r="A30228">
        <v>23120</v>
      </c>
      <c r="B30228" t="s">
        <v>52</v>
      </c>
      <c r="C30228">
        <v>23120</v>
      </c>
      <c r="D30228" t="str">
        <f>"23120"</f>
        <v>23120</v>
      </c>
      <c r="E30228">
        <v>82.79</v>
      </c>
    </row>
    <row r="30229" spans="1:5" x14ac:dyDescent="0.2">
      <c r="A30229">
        <v>23123</v>
      </c>
      <c r="B30229" t="s">
        <v>52</v>
      </c>
      <c r="C30229">
        <v>23123</v>
      </c>
      <c r="D30229" t="str">
        <f>"23123"</f>
        <v>23123</v>
      </c>
      <c r="E30229">
        <v>65.33</v>
      </c>
    </row>
    <row r="30230" spans="1:5" x14ac:dyDescent="0.2">
      <c r="A30230">
        <v>23124</v>
      </c>
      <c r="B30230" t="s">
        <v>52</v>
      </c>
      <c r="C30230">
        <v>23124</v>
      </c>
      <c r="D30230" t="str">
        <f>"23124"</f>
        <v>23124</v>
      </c>
      <c r="E30230">
        <v>83.26</v>
      </c>
    </row>
    <row r="30231" spans="1:5" x14ac:dyDescent="0.2">
      <c r="A30231">
        <v>23125</v>
      </c>
      <c r="B30231" t="s">
        <v>52</v>
      </c>
      <c r="C30231">
        <v>23125</v>
      </c>
      <c r="D30231" t="str">
        <f>"23125"</f>
        <v>23125</v>
      </c>
      <c r="E30231" t="s">
        <v>6</v>
      </c>
    </row>
    <row r="30232" spans="1:5" x14ac:dyDescent="0.2">
      <c r="A30232">
        <v>23126</v>
      </c>
      <c r="B30232" t="s">
        <v>52</v>
      </c>
      <c r="C30232">
        <v>23126</v>
      </c>
      <c r="D30232" t="str">
        <f>"23126"</f>
        <v>23126</v>
      </c>
      <c r="E30232">
        <v>72</v>
      </c>
    </row>
    <row r="30233" spans="1:5" x14ac:dyDescent="0.2">
      <c r="A30233">
        <v>23128</v>
      </c>
      <c r="B30233" t="s">
        <v>52</v>
      </c>
      <c r="C30233">
        <v>23128</v>
      </c>
      <c r="D30233" t="str">
        <f>"23128"</f>
        <v>23128</v>
      </c>
      <c r="E30233">
        <v>74.069999999999993</v>
      </c>
    </row>
    <row r="30234" spans="1:5" x14ac:dyDescent="0.2">
      <c r="A30234">
        <v>23129</v>
      </c>
      <c r="B30234" t="s">
        <v>52</v>
      </c>
      <c r="C30234">
        <v>23129</v>
      </c>
      <c r="D30234" t="str">
        <f>"23129"</f>
        <v>23129</v>
      </c>
      <c r="E30234">
        <v>80.95</v>
      </c>
    </row>
    <row r="30235" spans="1:5" x14ac:dyDescent="0.2">
      <c r="A30235">
        <v>23130</v>
      </c>
      <c r="B30235" t="s">
        <v>52</v>
      </c>
      <c r="C30235">
        <v>23130</v>
      </c>
      <c r="D30235" t="str">
        <f>"23130"</f>
        <v>23130</v>
      </c>
      <c r="E30235" t="s">
        <v>6</v>
      </c>
    </row>
    <row r="30236" spans="1:5" x14ac:dyDescent="0.2">
      <c r="A30236">
        <v>23138</v>
      </c>
      <c r="B30236" t="s">
        <v>52</v>
      </c>
      <c r="C30236">
        <v>23138</v>
      </c>
      <c r="D30236" t="str">
        <f>"23138"</f>
        <v>23138</v>
      </c>
      <c r="E30236">
        <v>72.09</v>
      </c>
    </row>
    <row r="30237" spans="1:5" x14ac:dyDescent="0.2">
      <c r="A30237">
        <v>23139</v>
      </c>
      <c r="B30237" t="s">
        <v>52</v>
      </c>
      <c r="C30237">
        <v>23139</v>
      </c>
      <c r="D30237" t="str">
        <f>"23139"</f>
        <v>23139</v>
      </c>
      <c r="E30237">
        <v>80</v>
      </c>
    </row>
    <row r="30238" spans="1:5" x14ac:dyDescent="0.2">
      <c r="A30238">
        <v>23140</v>
      </c>
      <c r="B30238" t="s">
        <v>52</v>
      </c>
      <c r="C30238">
        <v>23140</v>
      </c>
      <c r="D30238" t="str">
        <f>"23140"</f>
        <v>23140</v>
      </c>
      <c r="E30238">
        <v>78.62</v>
      </c>
    </row>
    <row r="30239" spans="1:5" x14ac:dyDescent="0.2">
      <c r="A30239">
        <v>23141</v>
      </c>
      <c r="B30239" t="s">
        <v>52</v>
      </c>
      <c r="C30239">
        <v>23141</v>
      </c>
      <c r="D30239" t="str">
        <f>"23141"</f>
        <v>23141</v>
      </c>
      <c r="E30239">
        <v>80.84</v>
      </c>
    </row>
    <row r="30240" spans="1:5" x14ac:dyDescent="0.2">
      <c r="A30240">
        <v>23146</v>
      </c>
      <c r="B30240" t="s">
        <v>52</v>
      </c>
      <c r="C30240">
        <v>23146</v>
      </c>
      <c r="D30240" t="str">
        <f>"23146"</f>
        <v>23146</v>
      </c>
      <c r="E30240">
        <v>83.54</v>
      </c>
    </row>
    <row r="30241" spans="1:5" x14ac:dyDescent="0.2">
      <c r="A30241">
        <v>23148</v>
      </c>
      <c r="B30241" t="s">
        <v>52</v>
      </c>
      <c r="C30241">
        <v>23148</v>
      </c>
      <c r="D30241" t="str">
        <f>"23148"</f>
        <v>23148</v>
      </c>
      <c r="E30241">
        <v>70.67</v>
      </c>
    </row>
    <row r="30242" spans="1:5" x14ac:dyDescent="0.2">
      <c r="A30242">
        <v>23149</v>
      </c>
      <c r="B30242" t="s">
        <v>52</v>
      </c>
      <c r="C30242">
        <v>23149</v>
      </c>
      <c r="D30242" t="str">
        <f>"23149"</f>
        <v>23149</v>
      </c>
      <c r="E30242">
        <v>69.77</v>
      </c>
    </row>
    <row r="30243" spans="1:5" x14ac:dyDescent="0.2">
      <c r="A30243">
        <v>23150</v>
      </c>
      <c r="B30243" t="s">
        <v>52</v>
      </c>
      <c r="C30243">
        <v>23150</v>
      </c>
      <c r="D30243" t="str">
        <f>"23150"</f>
        <v>23150</v>
      </c>
      <c r="E30243">
        <v>75.2</v>
      </c>
    </row>
    <row r="30244" spans="1:5" x14ac:dyDescent="0.2">
      <c r="A30244">
        <v>23153</v>
      </c>
      <c r="B30244" t="s">
        <v>52</v>
      </c>
      <c r="C30244">
        <v>23153</v>
      </c>
      <c r="D30244" t="str">
        <f>"23153"</f>
        <v>23153</v>
      </c>
      <c r="E30244">
        <v>82.67</v>
      </c>
    </row>
    <row r="30245" spans="1:5" x14ac:dyDescent="0.2">
      <c r="A30245">
        <v>23156</v>
      </c>
      <c r="B30245" t="s">
        <v>52</v>
      </c>
      <c r="C30245">
        <v>23156</v>
      </c>
      <c r="D30245" t="str">
        <f>"23156"</f>
        <v>23156</v>
      </c>
      <c r="E30245">
        <v>71.25</v>
      </c>
    </row>
    <row r="30246" spans="1:5" x14ac:dyDescent="0.2">
      <c r="A30246">
        <v>23161</v>
      </c>
      <c r="B30246" t="s">
        <v>52</v>
      </c>
      <c r="C30246">
        <v>23161</v>
      </c>
      <c r="D30246" t="str">
        <f>"23161"</f>
        <v>23161</v>
      </c>
      <c r="E30246" t="s">
        <v>6</v>
      </c>
    </row>
    <row r="30247" spans="1:5" x14ac:dyDescent="0.2">
      <c r="A30247">
        <v>23163</v>
      </c>
      <c r="B30247" t="s">
        <v>52</v>
      </c>
      <c r="C30247">
        <v>23163</v>
      </c>
      <c r="D30247" t="str">
        <f>"23163"</f>
        <v>23163</v>
      </c>
      <c r="E30247" t="s">
        <v>6</v>
      </c>
    </row>
    <row r="30248" spans="1:5" x14ac:dyDescent="0.2">
      <c r="A30248">
        <v>23168</v>
      </c>
      <c r="B30248" t="s">
        <v>52</v>
      </c>
      <c r="C30248">
        <v>23168</v>
      </c>
      <c r="D30248" t="str">
        <f>"23168"</f>
        <v>23168</v>
      </c>
      <c r="E30248">
        <v>76.900000000000006</v>
      </c>
    </row>
    <row r="30249" spans="1:5" x14ac:dyDescent="0.2">
      <c r="A30249">
        <v>23169</v>
      </c>
      <c r="B30249" t="s">
        <v>52</v>
      </c>
      <c r="C30249">
        <v>23169</v>
      </c>
      <c r="D30249" t="str">
        <f>"23169"</f>
        <v>23169</v>
      </c>
      <c r="E30249">
        <v>64.91</v>
      </c>
    </row>
    <row r="30250" spans="1:5" x14ac:dyDescent="0.2">
      <c r="A30250">
        <v>23173</v>
      </c>
      <c r="B30250" t="s">
        <v>52</v>
      </c>
      <c r="C30250">
        <v>23173</v>
      </c>
      <c r="D30250" t="str">
        <f>"23173"</f>
        <v>23173</v>
      </c>
      <c r="E30250" t="s">
        <v>6</v>
      </c>
    </row>
    <row r="30251" spans="1:5" x14ac:dyDescent="0.2">
      <c r="A30251">
        <v>23175</v>
      </c>
      <c r="B30251" t="s">
        <v>52</v>
      </c>
      <c r="C30251">
        <v>23175</v>
      </c>
      <c r="D30251" t="str">
        <f>"23175"</f>
        <v>23175</v>
      </c>
      <c r="E30251">
        <v>71.72</v>
      </c>
    </row>
    <row r="30252" spans="1:5" x14ac:dyDescent="0.2">
      <c r="A30252">
        <v>23176</v>
      </c>
      <c r="B30252" t="s">
        <v>52</v>
      </c>
      <c r="C30252">
        <v>23176</v>
      </c>
      <c r="D30252" t="str">
        <f>"23176"</f>
        <v>23176</v>
      </c>
      <c r="E30252">
        <v>74.19</v>
      </c>
    </row>
    <row r="30253" spans="1:5" x14ac:dyDescent="0.2">
      <c r="A30253">
        <v>23177</v>
      </c>
      <c r="B30253" t="s">
        <v>52</v>
      </c>
      <c r="C30253">
        <v>23177</v>
      </c>
      <c r="D30253" t="str">
        <f>"23177"</f>
        <v>23177</v>
      </c>
      <c r="E30253">
        <v>74.290000000000006</v>
      </c>
    </row>
    <row r="30254" spans="1:5" x14ac:dyDescent="0.2">
      <c r="A30254">
        <v>23180</v>
      </c>
      <c r="B30254" t="s">
        <v>52</v>
      </c>
      <c r="C30254">
        <v>23180</v>
      </c>
      <c r="D30254" t="str">
        <f>"23180"</f>
        <v>23180</v>
      </c>
      <c r="E30254">
        <v>66.67</v>
      </c>
    </row>
    <row r="30255" spans="1:5" x14ac:dyDescent="0.2">
      <c r="A30255">
        <v>23181</v>
      </c>
      <c r="B30255" t="s">
        <v>52</v>
      </c>
      <c r="C30255">
        <v>23181</v>
      </c>
      <c r="D30255" t="str">
        <f>"23181"</f>
        <v>23181</v>
      </c>
      <c r="E30255">
        <v>73.91</v>
      </c>
    </row>
    <row r="30256" spans="1:5" x14ac:dyDescent="0.2">
      <c r="A30256">
        <v>23185</v>
      </c>
      <c r="B30256" t="s">
        <v>52</v>
      </c>
      <c r="C30256">
        <v>23185</v>
      </c>
      <c r="D30256" t="str">
        <f>"23185"</f>
        <v>23185</v>
      </c>
      <c r="E30256">
        <v>76.709999999999994</v>
      </c>
    </row>
    <row r="30257" spans="1:5" x14ac:dyDescent="0.2">
      <c r="A30257">
        <v>23186</v>
      </c>
      <c r="B30257" t="s">
        <v>52</v>
      </c>
      <c r="C30257">
        <v>23186</v>
      </c>
      <c r="D30257" t="str">
        <f>"23186"</f>
        <v>23186</v>
      </c>
      <c r="E30257" t="s">
        <v>6</v>
      </c>
    </row>
    <row r="30258" spans="1:5" x14ac:dyDescent="0.2">
      <c r="A30258">
        <v>23188</v>
      </c>
      <c r="B30258" t="s">
        <v>52</v>
      </c>
      <c r="C30258">
        <v>23188</v>
      </c>
      <c r="D30258" t="str">
        <f>"23188"</f>
        <v>23188</v>
      </c>
      <c r="E30258">
        <v>78.430000000000007</v>
      </c>
    </row>
    <row r="30259" spans="1:5" x14ac:dyDescent="0.2">
      <c r="A30259">
        <v>23192</v>
      </c>
      <c r="B30259" t="s">
        <v>52</v>
      </c>
      <c r="C30259">
        <v>23192</v>
      </c>
      <c r="D30259" t="str">
        <f>"23192"</f>
        <v>23192</v>
      </c>
      <c r="E30259">
        <v>78.87</v>
      </c>
    </row>
    <row r="30260" spans="1:5" x14ac:dyDescent="0.2">
      <c r="A30260">
        <v>23219</v>
      </c>
      <c r="B30260" t="s">
        <v>52</v>
      </c>
      <c r="C30260">
        <v>23219</v>
      </c>
      <c r="D30260" t="str">
        <f>"23219"</f>
        <v>23219</v>
      </c>
      <c r="E30260">
        <v>77.31</v>
      </c>
    </row>
    <row r="30261" spans="1:5" x14ac:dyDescent="0.2">
      <c r="A30261">
        <v>23220</v>
      </c>
      <c r="B30261" t="s">
        <v>52</v>
      </c>
      <c r="C30261">
        <v>23220</v>
      </c>
      <c r="D30261" t="str">
        <f>"23220"</f>
        <v>23220</v>
      </c>
      <c r="E30261">
        <v>74.02</v>
      </c>
    </row>
    <row r="30262" spans="1:5" x14ac:dyDescent="0.2">
      <c r="A30262">
        <v>23221</v>
      </c>
      <c r="B30262" t="s">
        <v>52</v>
      </c>
      <c r="C30262">
        <v>23221</v>
      </c>
      <c r="D30262" t="str">
        <f>"23221"</f>
        <v>23221</v>
      </c>
      <c r="E30262">
        <v>86.79</v>
      </c>
    </row>
    <row r="30263" spans="1:5" x14ac:dyDescent="0.2">
      <c r="A30263">
        <v>23222</v>
      </c>
      <c r="B30263" t="s">
        <v>52</v>
      </c>
      <c r="C30263">
        <v>23222</v>
      </c>
      <c r="D30263" t="str">
        <f>"23222"</f>
        <v>23222</v>
      </c>
      <c r="E30263">
        <v>59.65</v>
      </c>
    </row>
    <row r="30264" spans="1:5" x14ac:dyDescent="0.2">
      <c r="A30264">
        <v>23223</v>
      </c>
      <c r="B30264" t="s">
        <v>52</v>
      </c>
      <c r="C30264">
        <v>23223</v>
      </c>
      <c r="D30264" t="str">
        <f>"23223"</f>
        <v>23223</v>
      </c>
      <c r="E30264">
        <v>64.31</v>
      </c>
    </row>
    <row r="30265" spans="1:5" x14ac:dyDescent="0.2">
      <c r="A30265">
        <v>23224</v>
      </c>
      <c r="B30265" t="s">
        <v>52</v>
      </c>
      <c r="C30265">
        <v>23224</v>
      </c>
      <c r="D30265" t="str">
        <f>"23224"</f>
        <v>23224</v>
      </c>
      <c r="E30265">
        <v>55.54</v>
      </c>
    </row>
    <row r="30266" spans="1:5" x14ac:dyDescent="0.2">
      <c r="A30266">
        <v>23225</v>
      </c>
      <c r="B30266" t="s">
        <v>52</v>
      </c>
      <c r="C30266">
        <v>23225</v>
      </c>
      <c r="D30266" t="str">
        <f>"23225"</f>
        <v>23225</v>
      </c>
      <c r="E30266">
        <v>71.11</v>
      </c>
    </row>
    <row r="30267" spans="1:5" x14ac:dyDescent="0.2">
      <c r="A30267">
        <v>23226</v>
      </c>
      <c r="B30267" t="s">
        <v>52</v>
      </c>
      <c r="C30267">
        <v>23226</v>
      </c>
      <c r="D30267" t="str">
        <f>"23226"</f>
        <v>23226</v>
      </c>
      <c r="E30267">
        <v>83.73</v>
      </c>
    </row>
    <row r="30268" spans="1:5" x14ac:dyDescent="0.2">
      <c r="A30268">
        <v>23227</v>
      </c>
      <c r="B30268" t="s">
        <v>52</v>
      </c>
      <c r="C30268">
        <v>23227</v>
      </c>
      <c r="D30268" t="str">
        <f>"23227"</f>
        <v>23227</v>
      </c>
      <c r="E30268">
        <v>72.25</v>
      </c>
    </row>
    <row r="30269" spans="1:5" x14ac:dyDescent="0.2">
      <c r="A30269">
        <v>23228</v>
      </c>
      <c r="B30269" t="s">
        <v>52</v>
      </c>
      <c r="C30269">
        <v>23228</v>
      </c>
      <c r="D30269" t="str">
        <f>"23228"</f>
        <v>23228</v>
      </c>
      <c r="E30269">
        <v>71.91</v>
      </c>
    </row>
    <row r="30270" spans="1:5" x14ac:dyDescent="0.2">
      <c r="A30270">
        <v>23229</v>
      </c>
      <c r="B30270" t="s">
        <v>52</v>
      </c>
      <c r="C30270">
        <v>23229</v>
      </c>
      <c r="D30270" t="str">
        <f>"23229"</f>
        <v>23229</v>
      </c>
      <c r="E30270">
        <v>77.19</v>
      </c>
    </row>
    <row r="30271" spans="1:5" x14ac:dyDescent="0.2">
      <c r="A30271">
        <v>23230</v>
      </c>
      <c r="B30271" t="s">
        <v>52</v>
      </c>
      <c r="C30271">
        <v>23230</v>
      </c>
      <c r="D30271" t="str">
        <f>"23230"</f>
        <v>23230</v>
      </c>
      <c r="E30271">
        <v>79.62</v>
      </c>
    </row>
    <row r="30272" spans="1:5" x14ac:dyDescent="0.2">
      <c r="A30272">
        <v>23231</v>
      </c>
      <c r="B30272" t="s">
        <v>52</v>
      </c>
      <c r="C30272">
        <v>23231</v>
      </c>
      <c r="D30272" t="str">
        <f>"23231"</f>
        <v>23231</v>
      </c>
      <c r="E30272">
        <v>70.11</v>
      </c>
    </row>
    <row r="30273" spans="1:5" x14ac:dyDescent="0.2">
      <c r="A30273">
        <v>23232</v>
      </c>
      <c r="B30273" t="s">
        <v>52</v>
      </c>
      <c r="C30273">
        <v>23232</v>
      </c>
      <c r="D30273" t="str">
        <f>"23232"</f>
        <v>23232</v>
      </c>
      <c r="E30273" t="s">
        <v>6</v>
      </c>
    </row>
    <row r="30274" spans="1:5" x14ac:dyDescent="0.2">
      <c r="A30274">
        <v>23233</v>
      </c>
      <c r="B30274" t="s">
        <v>52</v>
      </c>
      <c r="C30274">
        <v>23233</v>
      </c>
      <c r="D30274" t="str">
        <f>"23233"</f>
        <v>23233</v>
      </c>
      <c r="E30274">
        <v>82.64</v>
      </c>
    </row>
    <row r="30275" spans="1:5" x14ac:dyDescent="0.2">
      <c r="A30275">
        <v>23234</v>
      </c>
      <c r="B30275" t="s">
        <v>52</v>
      </c>
      <c r="C30275">
        <v>23234</v>
      </c>
      <c r="D30275" t="str">
        <f>"23234"</f>
        <v>23234</v>
      </c>
      <c r="E30275">
        <v>62</v>
      </c>
    </row>
    <row r="30276" spans="1:5" x14ac:dyDescent="0.2">
      <c r="A30276">
        <v>23235</v>
      </c>
      <c r="B30276" t="s">
        <v>52</v>
      </c>
      <c r="C30276">
        <v>23235</v>
      </c>
      <c r="D30276" t="str">
        <f>"23235"</f>
        <v>23235</v>
      </c>
      <c r="E30276">
        <v>78.23</v>
      </c>
    </row>
    <row r="30277" spans="1:5" x14ac:dyDescent="0.2">
      <c r="A30277">
        <v>23236</v>
      </c>
      <c r="B30277" t="s">
        <v>52</v>
      </c>
      <c r="C30277">
        <v>23236</v>
      </c>
      <c r="D30277" t="str">
        <f>"23236"</f>
        <v>23236</v>
      </c>
      <c r="E30277">
        <v>77.59</v>
      </c>
    </row>
    <row r="30278" spans="1:5" x14ac:dyDescent="0.2">
      <c r="A30278">
        <v>23237</v>
      </c>
      <c r="B30278" t="s">
        <v>52</v>
      </c>
      <c r="C30278">
        <v>23237</v>
      </c>
      <c r="D30278" t="str">
        <f>"23237"</f>
        <v>23237</v>
      </c>
      <c r="E30278">
        <v>69.23</v>
      </c>
    </row>
    <row r="30279" spans="1:5" x14ac:dyDescent="0.2">
      <c r="A30279">
        <v>23238</v>
      </c>
      <c r="B30279" t="s">
        <v>52</v>
      </c>
      <c r="C30279">
        <v>23238</v>
      </c>
      <c r="D30279" t="str">
        <f>"23238"</f>
        <v>23238</v>
      </c>
      <c r="E30279">
        <v>79.95</v>
      </c>
    </row>
    <row r="30280" spans="1:5" x14ac:dyDescent="0.2">
      <c r="A30280">
        <v>23250</v>
      </c>
      <c r="B30280" t="s">
        <v>52</v>
      </c>
      <c r="C30280">
        <v>23250</v>
      </c>
      <c r="D30280" t="str">
        <f>"23250"</f>
        <v>23250</v>
      </c>
      <c r="E30280" t="s">
        <v>6</v>
      </c>
    </row>
    <row r="30281" spans="1:5" x14ac:dyDescent="0.2">
      <c r="A30281">
        <v>23269</v>
      </c>
      <c r="B30281" t="s">
        <v>52</v>
      </c>
      <c r="C30281">
        <v>23269</v>
      </c>
      <c r="D30281" t="str">
        <f>"23269"</f>
        <v>23269</v>
      </c>
      <c r="E30281" t="s">
        <v>6</v>
      </c>
    </row>
    <row r="30282" spans="1:5" x14ac:dyDescent="0.2">
      <c r="A30282">
        <v>23284</v>
      </c>
      <c r="B30282" t="s">
        <v>52</v>
      </c>
      <c r="C30282">
        <v>23284</v>
      </c>
      <c r="D30282" t="str">
        <f>"23284"</f>
        <v>23284</v>
      </c>
      <c r="E30282" t="s">
        <v>6</v>
      </c>
    </row>
    <row r="30283" spans="1:5" x14ac:dyDescent="0.2">
      <c r="A30283">
        <v>23294</v>
      </c>
      <c r="B30283" t="s">
        <v>52</v>
      </c>
      <c r="C30283">
        <v>23294</v>
      </c>
      <c r="D30283" t="str">
        <f>"23294"</f>
        <v>23294</v>
      </c>
      <c r="E30283">
        <v>73.959999999999994</v>
      </c>
    </row>
    <row r="30284" spans="1:5" x14ac:dyDescent="0.2">
      <c r="A30284">
        <v>23298</v>
      </c>
      <c r="B30284" t="s">
        <v>52</v>
      </c>
      <c r="C30284">
        <v>23298</v>
      </c>
      <c r="D30284" t="str">
        <f>"23298"</f>
        <v>23298</v>
      </c>
      <c r="E30284" t="s">
        <v>6</v>
      </c>
    </row>
    <row r="30285" spans="1:5" x14ac:dyDescent="0.2">
      <c r="A30285">
        <v>23301</v>
      </c>
      <c r="B30285" t="s">
        <v>52</v>
      </c>
      <c r="C30285">
        <v>23301</v>
      </c>
      <c r="D30285" t="str">
        <f>"23301"</f>
        <v>23301</v>
      </c>
      <c r="E30285">
        <v>59.3</v>
      </c>
    </row>
    <row r="30286" spans="1:5" x14ac:dyDescent="0.2">
      <c r="A30286">
        <v>23302</v>
      </c>
      <c r="B30286" t="s">
        <v>52</v>
      </c>
      <c r="C30286">
        <v>23302</v>
      </c>
      <c r="D30286" t="str">
        <f>"23302"</f>
        <v>23302</v>
      </c>
      <c r="E30286" t="s">
        <v>6</v>
      </c>
    </row>
    <row r="30287" spans="1:5" x14ac:dyDescent="0.2">
      <c r="A30287">
        <v>23303</v>
      </c>
      <c r="B30287" t="s">
        <v>52</v>
      </c>
      <c r="C30287">
        <v>23303</v>
      </c>
      <c r="D30287" t="str">
        <f>"23303"</f>
        <v>23303</v>
      </c>
      <c r="E30287">
        <v>70.45</v>
      </c>
    </row>
    <row r="30288" spans="1:5" x14ac:dyDescent="0.2">
      <c r="A30288">
        <v>23306</v>
      </c>
      <c r="B30288" t="s">
        <v>52</v>
      </c>
      <c r="C30288">
        <v>23306</v>
      </c>
      <c r="D30288" t="str">
        <f>"23306"</f>
        <v>23306</v>
      </c>
      <c r="E30288">
        <v>68.63</v>
      </c>
    </row>
    <row r="30289" spans="1:5" x14ac:dyDescent="0.2">
      <c r="A30289">
        <v>23307</v>
      </c>
      <c r="B30289" t="s">
        <v>52</v>
      </c>
      <c r="C30289">
        <v>23307</v>
      </c>
      <c r="D30289" t="str">
        <f>"23307"</f>
        <v>23307</v>
      </c>
      <c r="E30289">
        <v>60.87</v>
      </c>
    </row>
    <row r="30290" spans="1:5" x14ac:dyDescent="0.2">
      <c r="A30290">
        <v>23308</v>
      </c>
      <c r="B30290" t="s">
        <v>52</v>
      </c>
      <c r="C30290">
        <v>23308</v>
      </c>
      <c r="D30290" t="str">
        <f>"23308"</f>
        <v>23308</v>
      </c>
      <c r="E30290">
        <v>63.89</v>
      </c>
    </row>
    <row r="30291" spans="1:5" x14ac:dyDescent="0.2">
      <c r="A30291">
        <v>23310</v>
      </c>
      <c r="B30291" t="s">
        <v>52</v>
      </c>
      <c r="C30291">
        <v>23310</v>
      </c>
      <c r="D30291" t="str">
        <f>"23310"</f>
        <v>23310</v>
      </c>
      <c r="E30291">
        <v>65.63</v>
      </c>
    </row>
    <row r="30292" spans="1:5" x14ac:dyDescent="0.2">
      <c r="A30292">
        <v>23314</v>
      </c>
      <c r="B30292" t="s">
        <v>52</v>
      </c>
      <c r="C30292">
        <v>23314</v>
      </c>
      <c r="D30292" t="str">
        <f>"23314"</f>
        <v>23314</v>
      </c>
      <c r="E30292">
        <v>80.75</v>
      </c>
    </row>
    <row r="30293" spans="1:5" x14ac:dyDescent="0.2">
      <c r="A30293">
        <v>23315</v>
      </c>
      <c r="B30293" t="s">
        <v>52</v>
      </c>
      <c r="C30293">
        <v>23315</v>
      </c>
      <c r="D30293" t="str">
        <f>"23315"</f>
        <v>23315</v>
      </c>
      <c r="E30293">
        <v>79.709999999999994</v>
      </c>
    </row>
    <row r="30294" spans="1:5" x14ac:dyDescent="0.2">
      <c r="A30294">
        <v>23320</v>
      </c>
      <c r="B30294" t="s">
        <v>52</v>
      </c>
      <c r="C30294">
        <v>23320</v>
      </c>
      <c r="D30294" t="str">
        <f>"23320"</f>
        <v>23320</v>
      </c>
      <c r="E30294">
        <v>76.62</v>
      </c>
    </row>
    <row r="30295" spans="1:5" x14ac:dyDescent="0.2">
      <c r="A30295">
        <v>23321</v>
      </c>
      <c r="B30295" t="s">
        <v>52</v>
      </c>
      <c r="C30295">
        <v>23321</v>
      </c>
      <c r="D30295" t="str">
        <f>"23321"</f>
        <v>23321</v>
      </c>
      <c r="E30295">
        <v>74.459999999999994</v>
      </c>
    </row>
    <row r="30296" spans="1:5" x14ac:dyDescent="0.2">
      <c r="A30296">
        <v>23322</v>
      </c>
      <c r="B30296" t="s">
        <v>52</v>
      </c>
      <c r="C30296">
        <v>23322</v>
      </c>
      <c r="D30296" t="str">
        <f>"23322"</f>
        <v>23322</v>
      </c>
      <c r="E30296">
        <v>80.709999999999994</v>
      </c>
    </row>
    <row r="30297" spans="1:5" x14ac:dyDescent="0.2">
      <c r="A30297">
        <v>23323</v>
      </c>
      <c r="B30297" t="s">
        <v>52</v>
      </c>
      <c r="C30297">
        <v>23323</v>
      </c>
      <c r="D30297" t="str">
        <f>"23323"</f>
        <v>23323</v>
      </c>
      <c r="E30297">
        <v>72.680000000000007</v>
      </c>
    </row>
    <row r="30298" spans="1:5" x14ac:dyDescent="0.2">
      <c r="A30298">
        <v>23324</v>
      </c>
      <c r="B30298" t="s">
        <v>52</v>
      </c>
      <c r="C30298">
        <v>23324</v>
      </c>
      <c r="D30298" t="str">
        <f>"23324"</f>
        <v>23324</v>
      </c>
      <c r="E30298">
        <v>56.41</v>
      </c>
    </row>
    <row r="30299" spans="1:5" x14ac:dyDescent="0.2">
      <c r="A30299">
        <v>23325</v>
      </c>
      <c r="B30299" t="s">
        <v>52</v>
      </c>
      <c r="C30299">
        <v>23325</v>
      </c>
      <c r="D30299" t="str">
        <f>"23325"</f>
        <v>23325</v>
      </c>
      <c r="E30299">
        <v>70.75</v>
      </c>
    </row>
    <row r="30300" spans="1:5" x14ac:dyDescent="0.2">
      <c r="A30300">
        <v>23336</v>
      </c>
      <c r="B30300" t="s">
        <v>52</v>
      </c>
      <c r="C30300">
        <v>23336</v>
      </c>
      <c r="D30300" t="str">
        <f>"23336"</f>
        <v>23336</v>
      </c>
      <c r="E30300">
        <v>73.209999999999994</v>
      </c>
    </row>
    <row r="30301" spans="1:5" x14ac:dyDescent="0.2">
      <c r="A30301">
        <v>23337</v>
      </c>
      <c r="B30301" t="s">
        <v>52</v>
      </c>
      <c r="C30301">
        <v>23337</v>
      </c>
      <c r="D30301" t="str">
        <f>"23337"</f>
        <v>23337</v>
      </c>
      <c r="E30301">
        <v>71.430000000000007</v>
      </c>
    </row>
    <row r="30302" spans="1:5" x14ac:dyDescent="0.2">
      <c r="A30302">
        <v>23350</v>
      </c>
      <c r="B30302" t="s">
        <v>52</v>
      </c>
      <c r="C30302">
        <v>23350</v>
      </c>
      <c r="D30302" t="str">
        <f>"23350"</f>
        <v>23350</v>
      </c>
      <c r="E30302">
        <v>61.48</v>
      </c>
    </row>
    <row r="30303" spans="1:5" x14ac:dyDescent="0.2">
      <c r="A30303">
        <v>23354</v>
      </c>
      <c r="B30303" t="s">
        <v>52</v>
      </c>
      <c r="C30303">
        <v>23354</v>
      </c>
      <c r="D30303" t="str">
        <f>"23354"</f>
        <v>23354</v>
      </c>
      <c r="E30303">
        <v>70</v>
      </c>
    </row>
    <row r="30304" spans="1:5" x14ac:dyDescent="0.2">
      <c r="A30304">
        <v>23356</v>
      </c>
      <c r="B30304" t="s">
        <v>52</v>
      </c>
      <c r="C30304">
        <v>23356</v>
      </c>
      <c r="D30304" t="str">
        <f>"23356"</f>
        <v>23356</v>
      </c>
      <c r="E30304">
        <v>76.81</v>
      </c>
    </row>
    <row r="30305" spans="1:5" x14ac:dyDescent="0.2">
      <c r="A30305">
        <v>23357</v>
      </c>
      <c r="B30305" t="s">
        <v>52</v>
      </c>
      <c r="C30305">
        <v>23357</v>
      </c>
      <c r="D30305" t="str">
        <f>"23357"</f>
        <v>23357</v>
      </c>
      <c r="E30305">
        <v>46.88</v>
      </c>
    </row>
    <row r="30306" spans="1:5" x14ac:dyDescent="0.2">
      <c r="A30306">
        <v>23358</v>
      </c>
      <c r="B30306" t="s">
        <v>52</v>
      </c>
      <c r="C30306">
        <v>23358</v>
      </c>
      <c r="D30306" t="str">
        <f>"23358"</f>
        <v>23358</v>
      </c>
      <c r="E30306" t="s">
        <v>6</v>
      </c>
    </row>
    <row r="30307" spans="1:5" x14ac:dyDescent="0.2">
      <c r="A30307">
        <v>23359</v>
      </c>
      <c r="B30307" t="s">
        <v>52</v>
      </c>
      <c r="C30307">
        <v>23359</v>
      </c>
      <c r="D30307" t="str">
        <f>"23359"</f>
        <v>23359</v>
      </c>
      <c r="E30307">
        <v>63.64</v>
      </c>
    </row>
    <row r="30308" spans="1:5" x14ac:dyDescent="0.2">
      <c r="A30308">
        <v>23389</v>
      </c>
      <c r="B30308" t="s">
        <v>52</v>
      </c>
      <c r="C30308">
        <v>23389</v>
      </c>
      <c r="D30308" t="str">
        <f>"23389"</f>
        <v>23389</v>
      </c>
      <c r="E30308" t="s">
        <v>6</v>
      </c>
    </row>
    <row r="30309" spans="1:5" x14ac:dyDescent="0.2">
      <c r="A30309">
        <v>23395</v>
      </c>
      <c r="B30309" t="s">
        <v>52</v>
      </c>
      <c r="C30309">
        <v>23395</v>
      </c>
      <c r="D30309" t="str">
        <f>"23395"</f>
        <v>23395</v>
      </c>
      <c r="E30309">
        <v>57.14</v>
      </c>
    </row>
    <row r="30310" spans="1:5" x14ac:dyDescent="0.2">
      <c r="A30310">
        <v>23401</v>
      </c>
      <c r="B30310" t="s">
        <v>52</v>
      </c>
      <c r="C30310">
        <v>23401</v>
      </c>
      <c r="D30310" t="str">
        <f>"23401"</f>
        <v>23401</v>
      </c>
      <c r="E30310" t="s">
        <v>6</v>
      </c>
    </row>
    <row r="30311" spans="1:5" x14ac:dyDescent="0.2">
      <c r="A30311">
        <v>23404</v>
      </c>
      <c r="B30311" t="s">
        <v>52</v>
      </c>
      <c r="C30311">
        <v>23404</v>
      </c>
      <c r="D30311" t="str">
        <f>"23404"</f>
        <v>23404</v>
      </c>
      <c r="E30311" t="s">
        <v>6</v>
      </c>
    </row>
    <row r="30312" spans="1:5" x14ac:dyDescent="0.2">
      <c r="A30312">
        <v>23405</v>
      </c>
      <c r="B30312" t="s">
        <v>52</v>
      </c>
      <c r="C30312">
        <v>23405</v>
      </c>
      <c r="D30312" t="str">
        <f>"23405"</f>
        <v>23405</v>
      </c>
      <c r="E30312">
        <v>72.73</v>
      </c>
    </row>
    <row r="30313" spans="1:5" x14ac:dyDescent="0.2">
      <c r="A30313">
        <v>23407</v>
      </c>
      <c r="B30313" t="s">
        <v>52</v>
      </c>
      <c r="C30313">
        <v>23407</v>
      </c>
      <c r="D30313" t="str">
        <f>"23407"</f>
        <v>23407</v>
      </c>
      <c r="E30313" t="s">
        <v>6</v>
      </c>
    </row>
    <row r="30314" spans="1:5" x14ac:dyDescent="0.2">
      <c r="A30314">
        <v>23408</v>
      </c>
      <c r="B30314" t="s">
        <v>52</v>
      </c>
      <c r="C30314">
        <v>23408</v>
      </c>
      <c r="D30314" t="str">
        <f>"23408"</f>
        <v>23408</v>
      </c>
      <c r="E30314" t="s">
        <v>6</v>
      </c>
    </row>
    <row r="30315" spans="1:5" x14ac:dyDescent="0.2">
      <c r="A30315">
        <v>23409</v>
      </c>
      <c r="B30315" t="s">
        <v>52</v>
      </c>
      <c r="C30315">
        <v>23409</v>
      </c>
      <c r="D30315" t="str">
        <f>"23409"</f>
        <v>23409</v>
      </c>
      <c r="E30315" t="s">
        <v>6</v>
      </c>
    </row>
    <row r="30316" spans="1:5" x14ac:dyDescent="0.2">
      <c r="A30316">
        <v>23410</v>
      </c>
      <c r="B30316" t="s">
        <v>52</v>
      </c>
      <c r="C30316">
        <v>23410</v>
      </c>
      <c r="D30316" t="str">
        <f>"23410"</f>
        <v>23410</v>
      </c>
      <c r="E30316">
        <v>64.89</v>
      </c>
    </row>
    <row r="30317" spans="1:5" x14ac:dyDescent="0.2">
      <c r="A30317">
        <v>23413</v>
      </c>
      <c r="B30317" t="s">
        <v>52</v>
      </c>
      <c r="C30317">
        <v>23413</v>
      </c>
      <c r="D30317" t="str">
        <f>"23413"</f>
        <v>23413</v>
      </c>
      <c r="E30317" t="s">
        <v>6</v>
      </c>
    </row>
    <row r="30318" spans="1:5" x14ac:dyDescent="0.2">
      <c r="A30318">
        <v>23415</v>
      </c>
      <c r="B30318" t="s">
        <v>52</v>
      </c>
      <c r="C30318">
        <v>23415</v>
      </c>
      <c r="D30318" t="str">
        <f>"23415"</f>
        <v>23415</v>
      </c>
      <c r="E30318">
        <v>66.22</v>
      </c>
    </row>
    <row r="30319" spans="1:5" x14ac:dyDescent="0.2">
      <c r="A30319">
        <v>23416</v>
      </c>
      <c r="B30319" t="s">
        <v>52</v>
      </c>
      <c r="C30319">
        <v>23416</v>
      </c>
      <c r="D30319" t="str">
        <f>"23416"</f>
        <v>23416</v>
      </c>
      <c r="E30319">
        <v>60.87</v>
      </c>
    </row>
    <row r="30320" spans="1:5" x14ac:dyDescent="0.2">
      <c r="A30320">
        <v>23417</v>
      </c>
      <c r="B30320" t="s">
        <v>52</v>
      </c>
      <c r="C30320">
        <v>23417</v>
      </c>
      <c r="D30320" t="str">
        <f>"23417"</f>
        <v>23417</v>
      </c>
      <c r="E30320">
        <v>69.099999999999994</v>
      </c>
    </row>
    <row r="30321" spans="1:5" x14ac:dyDescent="0.2">
      <c r="A30321">
        <v>23418</v>
      </c>
      <c r="B30321" t="s">
        <v>52</v>
      </c>
      <c r="C30321">
        <v>23418</v>
      </c>
      <c r="D30321" t="str">
        <f>"23418"</f>
        <v>23418</v>
      </c>
      <c r="E30321">
        <v>61.76</v>
      </c>
    </row>
    <row r="30322" spans="1:5" x14ac:dyDescent="0.2">
      <c r="A30322">
        <v>23420</v>
      </c>
      <c r="B30322" t="s">
        <v>52</v>
      </c>
      <c r="C30322">
        <v>23420</v>
      </c>
      <c r="D30322" t="str">
        <f>"23420"</f>
        <v>23420</v>
      </c>
      <c r="E30322">
        <v>57.14</v>
      </c>
    </row>
    <row r="30323" spans="1:5" x14ac:dyDescent="0.2">
      <c r="A30323">
        <v>23421</v>
      </c>
      <c r="B30323" t="s">
        <v>52</v>
      </c>
      <c r="C30323">
        <v>23421</v>
      </c>
      <c r="D30323" t="str">
        <f>"23421"</f>
        <v>23421</v>
      </c>
      <c r="E30323">
        <v>59.22</v>
      </c>
    </row>
    <row r="30324" spans="1:5" x14ac:dyDescent="0.2">
      <c r="A30324">
        <v>23423</v>
      </c>
      <c r="B30324" t="s">
        <v>52</v>
      </c>
      <c r="C30324">
        <v>23423</v>
      </c>
      <c r="D30324" t="str">
        <f>"23423"</f>
        <v>23423</v>
      </c>
      <c r="E30324" t="s">
        <v>6</v>
      </c>
    </row>
    <row r="30325" spans="1:5" x14ac:dyDescent="0.2">
      <c r="A30325">
        <v>23426</v>
      </c>
      <c r="B30325" t="s">
        <v>52</v>
      </c>
      <c r="C30325">
        <v>23426</v>
      </c>
      <c r="D30325" t="str">
        <f>"23426"</f>
        <v>23426</v>
      </c>
      <c r="E30325" t="s">
        <v>6</v>
      </c>
    </row>
    <row r="30326" spans="1:5" x14ac:dyDescent="0.2">
      <c r="A30326">
        <v>23430</v>
      </c>
      <c r="B30326" t="s">
        <v>52</v>
      </c>
      <c r="C30326">
        <v>23430</v>
      </c>
      <c r="D30326" t="str">
        <f>"23430"</f>
        <v>23430</v>
      </c>
      <c r="E30326">
        <v>75.510000000000005</v>
      </c>
    </row>
    <row r="30327" spans="1:5" x14ac:dyDescent="0.2">
      <c r="A30327">
        <v>23432</v>
      </c>
      <c r="B30327" t="s">
        <v>52</v>
      </c>
      <c r="C30327">
        <v>23432</v>
      </c>
      <c r="D30327" t="str">
        <f>"23432"</f>
        <v>23432</v>
      </c>
      <c r="E30327">
        <v>75.64</v>
      </c>
    </row>
    <row r="30328" spans="1:5" x14ac:dyDescent="0.2">
      <c r="A30328">
        <v>23433</v>
      </c>
      <c r="B30328" t="s">
        <v>52</v>
      </c>
      <c r="C30328">
        <v>23433</v>
      </c>
      <c r="D30328" t="str">
        <f>"23433"</f>
        <v>23433</v>
      </c>
      <c r="E30328">
        <v>87.5</v>
      </c>
    </row>
    <row r="30329" spans="1:5" x14ac:dyDescent="0.2">
      <c r="A30329">
        <v>23434</v>
      </c>
      <c r="B30329" t="s">
        <v>52</v>
      </c>
      <c r="C30329">
        <v>23434</v>
      </c>
      <c r="D30329" t="str">
        <f>"23434"</f>
        <v>23434</v>
      </c>
      <c r="E30329">
        <v>68.010000000000005</v>
      </c>
    </row>
    <row r="30330" spans="1:5" x14ac:dyDescent="0.2">
      <c r="A30330">
        <v>23435</v>
      </c>
      <c r="B30330" t="s">
        <v>52</v>
      </c>
      <c r="C30330">
        <v>23435</v>
      </c>
      <c r="D30330" t="str">
        <f>"23435"</f>
        <v>23435</v>
      </c>
      <c r="E30330">
        <v>77.540000000000006</v>
      </c>
    </row>
    <row r="30331" spans="1:5" x14ac:dyDescent="0.2">
      <c r="A30331">
        <v>23436</v>
      </c>
      <c r="B30331" t="s">
        <v>52</v>
      </c>
      <c r="C30331">
        <v>23436</v>
      </c>
      <c r="D30331" t="str">
        <f>"23436"</f>
        <v>23436</v>
      </c>
      <c r="E30331">
        <v>83.72</v>
      </c>
    </row>
    <row r="30332" spans="1:5" x14ac:dyDescent="0.2">
      <c r="A30332">
        <v>23437</v>
      </c>
      <c r="B30332" t="s">
        <v>52</v>
      </c>
      <c r="C30332">
        <v>23437</v>
      </c>
      <c r="D30332" t="str">
        <f>"23437"</f>
        <v>23437</v>
      </c>
      <c r="E30332">
        <v>76.14</v>
      </c>
    </row>
    <row r="30333" spans="1:5" x14ac:dyDescent="0.2">
      <c r="A30333">
        <v>23438</v>
      </c>
      <c r="B30333" t="s">
        <v>52</v>
      </c>
      <c r="C30333">
        <v>23438</v>
      </c>
      <c r="D30333" t="str">
        <f>"23438"</f>
        <v>23438</v>
      </c>
      <c r="E30333">
        <v>75</v>
      </c>
    </row>
    <row r="30334" spans="1:5" x14ac:dyDescent="0.2">
      <c r="A30334">
        <v>23440</v>
      </c>
      <c r="B30334" t="s">
        <v>52</v>
      </c>
      <c r="C30334">
        <v>23440</v>
      </c>
      <c r="D30334" t="str">
        <f>"23440"</f>
        <v>23440</v>
      </c>
      <c r="E30334" t="s">
        <v>6</v>
      </c>
    </row>
    <row r="30335" spans="1:5" x14ac:dyDescent="0.2">
      <c r="A30335">
        <v>23442</v>
      </c>
      <c r="B30335" t="s">
        <v>52</v>
      </c>
      <c r="C30335">
        <v>23442</v>
      </c>
      <c r="D30335" t="str">
        <f>"23442"</f>
        <v>23442</v>
      </c>
      <c r="E30335">
        <v>67.349999999999994</v>
      </c>
    </row>
    <row r="30336" spans="1:5" x14ac:dyDescent="0.2">
      <c r="A30336">
        <v>23451</v>
      </c>
      <c r="B30336" t="s">
        <v>52</v>
      </c>
      <c r="C30336">
        <v>23451</v>
      </c>
      <c r="D30336" t="str">
        <f>"23451"</f>
        <v>23451</v>
      </c>
      <c r="E30336">
        <v>78.290000000000006</v>
      </c>
    </row>
    <row r="30337" spans="1:5" x14ac:dyDescent="0.2">
      <c r="A30337">
        <v>23452</v>
      </c>
      <c r="B30337" t="s">
        <v>52</v>
      </c>
      <c r="C30337">
        <v>23452</v>
      </c>
      <c r="D30337" t="str">
        <f>"23452"</f>
        <v>23452</v>
      </c>
      <c r="E30337">
        <v>74.349999999999994</v>
      </c>
    </row>
    <row r="30338" spans="1:5" x14ac:dyDescent="0.2">
      <c r="A30338">
        <v>23453</v>
      </c>
      <c r="B30338" t="s">
        <v>52</v>
      </c>
      <c r="C30338">
        <v>23453</v>
      </c>
      <c r="D30338" t="str">
        <f>"23453"</f>
        <v>23453</v>
      </c>
      <c r="E30338">
        <v>70.709999999999994</v>
      </c>
    </row>
    <row r="30339" spans="1:5" x14ac:dyDescent="0.2">
      <c r="A30339">
        <v>23454</v>
      </c>
      <c r="B30339" t="s">
        <v>52</v>
      </c>
      <c r="C30339">
        <v>23454</v>
      </c>
      <c r="D30339" t="str">
        <f>"23454"</f>
        <v>23454</v>
      </c>
      <c r="E30339">
        <v>76.22</v>
      </c>
    </row>
    <row r="30340" spans="1:5" x14ac:dyDescent="0.2">
      <c r="A30340">
        <v>23455</v>
      </c>
      <c r="B30340" t="s">
        <v>52</v>
      </c>
      <c r="C30340">
        <v>23455</v>
      </c>
      <c r="D30340" t="str">
        <f>"23455"</f>
        <v>23455</v>
      </c>
      <c r="E30340">
        <v>77.739999999999995</v>
      </c>
    </row>
    <row r="30341" spans="1:5" x14ac:dyDescent="0.2">
      <c r="A30341">
        <v>23456</v>
      </c>
      <c r="B30341" t="s">
        <v>52</v>
      </c>
      <c r="C30341">
        <v>23456</v>
      </c>
      <c r="D30341" t="str">
        <f>"23456"</f>
        <v>23456</v>
      </c>
      <c r="E30341">
        <v>79.36</v>
      </c>
    </row>
    <row r="30342" spans="1:5" x14ac:dyDescent="0.2">
      <c r="A30342">
        <v>23457</v>
      </c>
      <c r="B30342" t="s">
        <v>52</v>
      </c>
      <c r="C30342">
        <v>23457</v>
      </c>
      <c r="D30342" t="str">
        <f>"23457"</f>
        <v>23457</v>
      </c>
      <c r="E30342">
        <v>77.03</v>
      </c>
    </row>
    <row r="30343" spans="1:5" x14ac:dyDescent="0.2">
      <c r="A30343">
        <v>23459</v>
      </c>
      <c r="B30343" t="s">
        <v>52</v>
      </c>
      <c r="C30343">
        <v>23459</v>
      </c>
      <c r="D30343" t="str">
        <f>"23459"</f>
        <v>23459</v>
      </c>
      <c r="E30343" t="s">
        <v>6</v>
      </c>
    </row>
    <row r="30344" spans="1:5" x14ac:dyDescent="0.2">
      <c r="A30344">
        <v>23460</v>
      </c>
      <c r="B30344" t="s">
        <v>52</v>
      </c>
      <c r="C30344">
        <v>23460</v>
      </c>
      <c r="D30344" t="str">
        <f>"23460"</f>
        <v>23460</v>
      </c>
      <c r="E30344" t="s">
        <v>6</v>
      </c>
    </row>
    <row r="30345" spans="1:5" x14ac:dyDescent="0.2">
      <c r="A30345">
        <v>23461</v>
      </c>
      <c r="B30345" t="s">
        <v>52</v>
      </c>
      <c r="C30345">
        <v>23461</v>
      </c>
      <c r="D30345" t="str">
        <f>"23461"</f>
        <v>23461</v>
      </c>
      <c r="E30345" t="s">
        <v>6</v>
      </c>
    </row>
    <row r="30346" spans="1:5" x14ac:dyDescent="0.2">
      <c r="A30346">
        <v>23462</v>
      </c>
      <c r="B30346" t="s">
        <v>52</v>
      </c>
      <c r="C30346">
        <v>23462</v>
      </c>
      <c r="D30346" t="str">
        <f>"23462"</f>
        <v>23462</v>
      </c>
      <c r="E30346">
        <v>70.66</v>
      </c>
    </row>
    <row r="30347" spans="1:5" x14ac:dyDescent="0.2">
      <c r="A30347">
        <v>23464</v>
      </c>
      <c r="B30347" t="s">
        <v>52</v>
      </c>
      <c r="C30347">
        <v>23464</v>
      </c>
      <c r="D30347" t="str">
        <f>"23464"</f>
        <v>23464</v>
      </c>
      <c r="E30347">
        <v>75.56</v>
      </c>
    </row>
    <row r="30348" spans="1:5" x14ac:dyDescent="0.2">
      <c r="A30348">
        <v>23480</v>
      </c>
      <c r="B30348" t="s">
        <v>52</v>
      </c>
      <c r="C30348">
        <v>23480</v>
      </c>
      <c r="D30348" t="str">
        <f>"23480"</f>
        <v>23480</v>
      </c>
      <c r="E30348" t="s">
        <v>6</v>
      </c>
    </row>
    <row r="30349" spans="1:5" x14ac:dyDescent="0.2">
      <c r="A30349">
        <v>23487</v>
      </c>
      <c r="B30349" t="s">
        <v>52</v>
      </c>
      <c r="C30349">
        <v>23487</v>
      </c>
      <c r="D30349" t="str">
        <f>"23487"</f>
        <v>23487</v>
      </c>
      <c r="E30349">
        <v>73.38</v>
      </c>
    </row>
    <row r="30350" spans="1:5" x14ac:dyDescent="0.2">
      <c r="A30350">
        <v>23488</v>
      </c>
      <c r="B30350" t="s">
        <v>52</v>
      </c>
      <c r="C30350">
        <v>23488</v>
      </c>
      <c r="D30350" t="str">
        <f>"23488"</f>
        <v>23488</v>
      </c>
      <c r="E30350">
        <v>63.64</v>
      </c>
    </row>
    <row r="30351" spans="1:5" x14ac:dyDescent="0.2">
      <c r="A30351">
        <v>23501</v>
      </c>
      <c r="B30351" t="s">
        <v>52</v>
      </c>
      <c r="C30351">
        <v>23501</v>
      </c>
      <c r="D30351" t="str">
        <f>"23501"</f>
        <v>23501</v>
      </c>
      <c r="E30351" t="s">
        <v>6</v>
      </c>
    </row>
    <row r="30352" spans="1:5" x14ac:dyDescent="0.2">
      <c r="A30352">
        <v>23502</v>
      </c>
      <c r="B30352" t="s">
        <v>52</v>
      </c>
      <c r="C30352">
        <v>23502</v>
      </c>
      <c r="D30352" t="str">
        <f>"23502"</f>
        <v>23502</v>
      </c>
      <c r="E30352">
        <v>66.7</v>
      </c>
    </row>
    <row r="30353" spans="1:5" x14ac:dyDescent="0.2">
      <c r="A30353">
        <v>23503</v>
      </c>
      <c r="B30353" t="s">
        <v>52</v>
      </c>
      <c r="C30353">
        <v>23503</v>
      </c>
      <c r="D30353" t="str">
        <f>"23503"</f>
        <v>23503</v>
      </c>
      <c r="E30353">
        <v>69.099999999999994</v>
      </c>
    </row>
    <row r="30354" spans="1:5" x14ac:dyDescent="0.2">
      <c r="A30354">
        <v>23504</v>
      </c>
      <c r="B30354" t="s">
        <v>52</v>
      </c>
      <c r="C30354">
        <v>23504</v>
      </c>
      <c r="D30354" t="str">
        <f>"23504"</f>
        <v>23504</v>
      </c>
      <c r="E30354">
        <v>48.74</v>
      </c>
    </row>
    <row r="30355" spans="1:5" x14ac:dyDescent="0.2">
      <c r="A30355">
        <v>23505</v>
      </c>
      <c r="B30355" t="s">
        <v>52</v>
      </c>
      <c r="C30355">
        <v>23505</v>
      </c>
      <c r="D30355" t="str">
        <f>"23505"</f>
        <v>23505</v>
      </c>
      <c r="E30355">
        <v>66.37</v>
      </c>
    </row>
    <row r="30356" spans="1:5" x14ac:dyDescent="0.2">
      <c r="A30356">
        <v>23507</v>
      </c>
      <c r="B30356" t="s">
        <v>52</v>
      </c>
      <c r="C30356">
        <v>23507</v>
      </c>
      <c r="D30356" t="str">
        <f>"23507"</f>
        <v>23507</v>
      </c>
      <c r="E30356">
        <v>84.44</v>
      </c>
    </row>
    <row r="30357" spans="1:5" x14ac:dyDescent="0.2">
      <c r="A30357">
        <v>23508</v>
      </c>
      <c r="B30357" t="s">
        <v>52</v>
      </c>
      <c r="C30357">
        <v>23508</v>
      </c>
      <c r="D30357" t="str">
        <f>"23508"</f>
        <v>23508</v>
      </c>
      <c r="E30357">
        <v>70.45</v>
      </c>
    </row>
    <row r="30358" spans="1:5" x14ac:dyDescent="0.2">
      <c r="A30358">
        <v>23509</v>
      </c>
      <c r="B30358" t="s">
        <v>52</v>
      </c>
      <c r="C30358">
        <v>23509</v>
      </c>
      <c r="D30358" t="str">
        <f>"23509"</f>
        <v>23509</v>
      </c>
      <c r="E30358">
        <v>67.150000000000006</v>
      </c>
    </row>
    <row r="30359" spans="1:5" x14ac:dyDescent="0.2">
      <c r="A30359">
        <v>23510</v>
      </c>
      <c r="B30359" t="s">
        <v>52</v>
      </c>
      <c r="C30359">
        <v>23510</v>
      </c>
      <c r="D30359" t="str">
        <f>"23510"</f>
        <v>23510</v>
      </c>
      <c r="E30359">
        <v>73.209999999999994</v>
      </c>
    </row>
    <row r="30360" spans="1:5" x14ac:dyDescent="0.2">
      <c r="A30360">
        <v>23511</v>
      </c>
      <c r="B30360" t="s">
        <v>52</v>
      </c>
      <c r="C30360">
        <v>23511</v>
      </c>
      <c r="D30360" t="str">
        <f>"23511"</f>
        <v>23511</v>
      </c>
      <c r="E30360">
        <v>81.95</v>
      </c>
    </row>
    <row r="30361" spans="1:5" x14ac:dyDescent="0.2">
      <c r="A30361">
        <v>23513</v>
      </c>
      <c r="B30361" t="s">
        <v>52</v>
      </c>
      <c r="C30361">
        <v>23513</v>
      </c>
      <c r="D30361" t="str">
        <f>"23513"</f>
        <v>23513</v>
      </c>
      <c r="E30361">
        <v>62.68</v>
      </c>
    </row>
    <row r="30362" spans="1:5" x14ac:dyDescent="0.2">
      <c r="A30362">
        <v>23515</v>
      </c>
      <c r="B30362" t="s">
        <v>52</v>
      </c>
      <c r="C30362">
        <v>23515</v>
      </c>
      <c r="D30362" t="str">
        <f>"23515"</f>
        <v>23515</v>
      </c>
      <c r="E30362" t="s">
        <v>6</v>
      </c>
    </row>
    <row r="30363" spans="1:5" x14ac:dyDescent="0.2">
      <c r="A30363">
        <v>23517</v>
      </c>
      <c r="B30363" t="s">
        <v>52</v>
      </c>
      <c r="C30363">
        <v>23517</v>
      </c>
      <c r="D30363" t="str">
        <f>"23517"</f>
        <v>23517</v>
      </c>
      <c r="E30363">
        <v>78.290000000000006</v>
      </c>
    </row>
    <row r="30364" spans="1:5" x14ac:dyDescent="0.2">
      <c r="A30364">
        <v>23518</v>
      </c>
      <c r="B30364" t="s">
        <v>52</v>
      </c>
      <c r="C30364">
        <v>23518</v>
      </c>
      <c r="D30364" t="str">
        <f>"23518"</f>
        <v>23518</v>
      </c>
      <c r="E30364">
        <v>71.180000000000007</v>
      </c>
    </row>
    <row r="30365" spans="1:5" x14ac:dyDescent="0.2">
      <c r="A30365">
        <v>23523</v>
      </c>
      <c r="B30365" t="s">
        <v>52</v>
      </c>
      <c r="C30365">
        <v>23523</v>
      </c>
      <c r="D30365" t="str">
        <f>"23523"</f>
        <v>23523</v>
      </c>
      <c r="E30365">
        <v>42.86</v>
      </c>
    </row>
    <row r="30366" spans="1:5" x14ac:dyDescent="0.2">
      <c r="A30366">
        <v>23551</v>
      </c>
      <c r="B30366" t="s">
        <v>52</v>
      </c>
      <c r="C30366">
        <v>23551</v>
      </c>
      <c r="D30366" t="str">
        <f>"23551"</f>
        <v>23551</v>
      </c>
      <c r="E30366" t="s">
        <v>6</v>
      </c>
    </row>
    <row r="30367" spans="1:5" x14ac:dyDescent="0.2">
      <c r="A30367">
        <v>23601</v>
      </c>
      <c r="B30367" t="s">
        <v>52</v>
      </c>
      <c r="C30367">
        <v>23601</v>
      </c>
      <c r="D30367" t="str">
        <f>"23601"</f>
        <v>23601</v>
      </c>
      <c r="E30367">
        <v>71.06</v>
      </c>
    </row>
    <row r="30368" spans="1:5" x14ac:dyDescent="0.2">
      <c r="A30368">
        <v>23602</v>
      </c>
      <c r="B30368" t="s">
        <v>52</v>
      </c>
      <c r="C30368">
        <v>23602</v>
      </c>
      <c r="D30368" t="str">
        <f>"23602"</f>
        <v>23602</v>
      </c>
      <c r="E30368">
        <v>71.760000000000005</v>
      </c>
    </row>
    <row r="30369" spans="1:5" x14ac:dyDescent="0.2">
      <c r="A30369">
        <v>23603</v>
      </c>
      <c r="B30369" t="s">
        <v>52</v>
      </c>
      <c r="C30369">
        <v>23603</v>
      </c>
      <c r="D30369" t="str">
        <f>"23603"</f>
        <v>23603</v>
      </c>
      <c r="E30369">
        <v>69.7</v>
      </c>
    </row>
    <row r="30370" spans="1:5" x14ac:dyDescent="0.2">
      <c r="A30370">
        <v>23604</v>
      </c>
      <c r="B30370" t="s">
        <v>52</v>
      </c>
      <c r="C30370">
        <v>23604</v>
      </c>
      <c r="D30370" t="str">
        <f>"23604"</f>
        <v>23604</v>
      </c>
      <c r="E30370">
        <v>61.38</v>
      </c>
    </row>
    <row r="30371" spans="1:5" x14ac:dyDescent="0.2">
      <c r="A30371">
        <v>23605</v>
      </c>
      <c r="B30371" t="s">
        <v>52</v>
      </c>
      <c r="C30371">
        <v>23605</v>
      </c>
      <c r="D30371" t="str">
        <f>"23605"</f>
        <v>23605</v>
      </c>
      <c r="E30371">
        <v>62.22</v>
      </c>
    </row>
    <row r="30372" spans="1:5" x14ac:dyDescent="0.2">
      <c r="A30372">
        <v>23606</v>
      </c>
      <c r="B30372" t="s">
        <v>52</v>
      </c>
      <c r="C30372">
        <v>23606</v>
      </c>
      <c r="D30372" t="str">
        <f>"23606"</f>
        <v>23606</v>
      </c>
      <c r="E30372">
        <v>72.16</v>
      </c>
    </row>
    <row r="30373" spans="1:5" x14ac:dyDescent="0.2">
      <c r="A30373">
        <v>23607</v>
      </c>
      <c r="B30373" t="s">
        <v>52</v>
      </c>
      <c r="C30373">
        <v>23607</v>
      </c>
      <c r="D30373" t="str">
        <f>"23607"</f>
        <v>23607</v>
      </c>
      <c r="E30373">
        <v>47.93</v>
      </c>
    </row>
    <row r="30374" spans="1:5" x14ac:dyDescent="0.2">
      <c r="A30374">
        <v>23608</v>
      </c>
      <c r="B30374" t="s">
        <v>52</v>
      </c>
      <c r="C30374">
        <v>23608</v>
      </c>
      <c r="D30374" t="str">
        <f>"23608"</f>
        <v>23608</v>
      </c>
      <c r="E30374">
        <v>65.59</v>
      </c>
    </row>
    <row r="30375" spans="1:5" x14ac:dyDescent="0.2">
      <c r="A30375">
        <v>23630</v>
      </c>
      <c r="B30375" t="s">
        <v>52</v>
      </c>
      <c r="C30375">
        <v>23630</v>
      </c>
      <c r="D30375" t="str">
        <f>"23630"</f>
        <v>23630</v>
      </c>
      <c r="E30375" t="s">
        <v>6</v>
      </c>
    </row>
    <row r="30376" spans="1:5" x14ac:dyDescent="0.2">
      <c r="A30376">
        <v>23651</v>
      </c>
      <c r="B30376" t="s">
        <v>52</v>
      </c>
      <c r="C30376">
        <v>23651</v>
      </c>
      <c r="D30376" t="str">
        <f>"23651"</f>
        <v>23651</v>
      </c>
      <c r="E30376">
        <v>88.89</v>
      </c>
    </row>
    <row r="30377" spans="1:5" x14ac:dyDescent="0.2">
      <c r="A30377">
        <v>23661</v>
      </c>
      <c r="B30377" t="s">
        <v>52</v>
      </c>
      <c r="C30377">
        <v>23661</v>
      </c>
      <c r="D30377" t="str">
        <f>"23661"</f>
        <v>23661</v>
      </c>
      <c r="E30377">
        <v>66.3</v>
      </c>
    </row>
    <row r="30378" spans="1:5" x14ac:dyDescent="0.2">
      <c r="A30378">
        <v>23662</v>
      </c>
      <c r="B30378" t="s">
        <v>52</v>
      </c>
      <c r="C30378">
        <v>23662</v>
      </c>
      <c r="D30378" t="str">
        <f>"23662"</f>
        <v>23662</v>
      </c>
      <c r="E30378">
        <v>80.2</v>
      </c>
    </row>
    <row r="30379" spans="1:5" x14ac:dyDescent="0.2">
      <c r="A30379">
        <v>23663</v>
      </c>
      <c r="B30379" t="s">
        <v>52</v>
      </c>
      <c r="C30379">
        <v>23663</v>
      </c>
      <c r="D30379" t="str">
        <f>"23663"</f>
        <v>23663</v>
      </c>
      <c r="E30379">
        <v>62.25</v>
      </c>
    </row>
    <row r="30380" spans="1:5" x14ac:dyDescent="0.2">
      <c r="A30380">
        <v>23664</v>
      </c>
      <c r="B30380" t="s">
        <v>52</v>
      </c>
      <c r="C30380">
        <v>23664</v>
      </c>
      <c r="D30380" t="str">
        <f>"23664"</f>
        <v>23664</v>
      </c>
      <c r="E30380">
        <v>75.260000000000005</v>
      </c>
    </row>
    <row r="30381" spans="1:5" x14ac:dyDescent="0.2">
      <c r="A30381">
        <v>23665</v>
      </c>
      <c r="B30381" t="s">
        <v>52</v>
      </c>
      <c r="C30381">
        <v>23665</v>
      </c>
      <c r="D30381" t="str">
        <f>"23665"</f>
        <v>23665</v>
      </c>
      <c r="E30381">
        <v>62.63</v>
      </c>
    </row>
    <row r="30382" spans="1:5" x14ac:dyDescent="0.2">
      <c r="A30382">
        <v>23666</v>
      </c>
      <c r="B30382" t="s">
        <v>52</v>
      </c>
      <c r="C30382">
        <v>23666</v>
      </c>
      <c r="D30382" t="str">
        <f>"23666"</f>
        <v>23666</v>
      </c>
      <c r="E30382">
        <v>71.489999999999995</v>
      </c>
    </row>
    <row r="30383" spans="1:5" x14ac:dyDescent="0.2">
      <c r="A30383">
        <v>23667</v>
      </c>
      <c r="B30383" t="s">
        <v>52</v>
      </c>
      <c r="C30383">
        <v>23667</v>
      </c>
      <c r="D30383" t="str">
        <f>"23667"</f>
        <v>23667</v>
      </c>
      <c r="E30383" t="s">
        <v>6</v>
      </c>
    </row>
    <row r="30384" spans="1:5" x14ac:dyDescent="0.2">
      <c r="A30384">
        <v>23669</v>
      </c>
      <c r="B30384" t="s">
        <v>52</v>
      </c>
      <c r="C30384">
        <v>23669</v>
      </c>
      <c r="D30384" t="str">
        <f>"23669"</f>
        <v>23669</v>
      </c>
      <c r="E30384">
        <v>69.06</v>
      </c>
    </row>
    <row r="30385" spans="1:5" x14ac:dyDescent="0.2">
      <c r="A30385">
        <v>23681</v>
      </c>
      <c r="B30385" t="s">
        <v>52</v>
      </c>
      <c r="C30385">
        <v>23681</v>
      </c>
      <c r="D30385" t="str">
        <f>"23681"</f>
        <v>23681</v>
      </c>
      <c r="E30385" t="s">
        <v>6</v>
      </c>
    </row>
    <row r="30386" spans="1:5" x14ac:dyDescent="0.2">
      <c r="A30386">
        <v>23690</v>
      </c>
      <c r="B30386" t="s">
        <v>52</v>
      </c>
      <c r="C30386">
        <v>23690</v>
      </c>
      <c r="D30386" t="str">
        <f>"23690"</f>
        <v>23690</v>
      </c>
      <c r="E30386">
        <v>66.03</v>
      </c>
    </row>
    <row r="30387" spans="1:5" x14ac:dyDescent="0.2">
      <c r="A30387">
        <v>23691</v>
      </c>
      <c r="B30387" t="s">
        <v>52</v>
      </c>
      <c r="C30387">
        <v>23691</v>
      </c>
      <c r="D30387" t="str">
        <f>"23691"</f>
        <v>23691</v>
      </c>
      <c r="E30387">
        <v>76.92</v>
      </c>
    </row>
    <row r="30388" spans="1:5" x14ac:dyDescent="0.2">
      <c r="A30388">
        <v>23692</v>
      </c>
      <c r="B30388" t="s">
        <v>52</v>
      </c>
      <c r="C30388">
        <v>23692</v>
      </c>
      <c r="D30388" t="str">
        <f>"23692"</f>
        <v>23692</v>
      </c>
      <c r="E30388">
        <v>80.23</v>
      </c>
    </row>
    <row r="30389" spans="1:5" x14ac:dyDescent="0.2">
      <c r="A30389">
        <v>23693</v>
      </c>
      <c r="B30389" t="s">
        <v>52</v>
      </c>
      <c r="C30389">
        <v>23693</v>
      </c>
      <c r="D30389" t="str">
        <f>"23693"</f>
        <v>23693</v>
      </c>
      <c r="E30389">
        <v>80.13</v>
      </c>
    </row>
    <row r="30390" spans="1:5" x14ac:dyDescent="0.2">
      <c r="A30390">
        <v>23696</v>
      </c>
      <c r="B30390" t="s">
        <v>52</v>
      </c>
      <c r="C30390">
        <v>23696</v>
      </c>
      <c r="D30390" t="str">
        <f>"23696"</f>
        <v>23696</v>
      </c>
      <c r="E30390">
        <v>78.45</v>
      </c>
    </row>
    <row r="30391" spans="1:5" x14ac:dyDescent="0.2">
      <c r="A30391">
        <v>23701</v>
      </c>
      <c r="B30391" t="s">
        <v>52</v>
      </c>
      <c r="C30391">
        <v>23701</v>
      </c>
      <c r="D30391" t="str">
        <f>"23701"</f>
        <v>23701</v>
      </c>
      <c r="E30391">
        <v>68.84</v>
      </c>
    </row>
    <row r="30392" spans="1:5" x14ac:dyDescent="0.2">
      <c r="A30392">
        <v>23702</v>
      </c>
      <c r="B30392" t="s">
        <v>52</v>
      </c>
      <c r="C30392">
        <v>23702</v>
      </c>
      <c r="D30392" t="str">
        <f>"23702"</f>
        <v>23702</v>
      </c>
      <c r="E30392">
        <v>58.25</v>
      </c>
    </row>
    <row r="30393" spans="1:5" x14ac:dyDescent="0.2">
      <c r="A30393">
        <v>23703</v>
      </c>
      <c r="B30393" t="s">
        <v>52</v>
      </c>
      <c r="C30393">
        <v>23703</v>
      </c>
      <c r="D30393" t="str">
        <f>"23703"</f>
        <v>23703</v>
      </c>
      <c r="E30393">
        <v>72.069999999999993</v>
      </c>
    </row>
    <row r="30394" spans="1:5" x14ac:dyDescent="0.2">
      <c r="A30394">
        <v>23704</v>
      </c>
      <c r="B30394" t="s">
        <v>52</v>
      </c>
      <c r="C30394">
        <v>23704</v>
      </c>
      <c r="D30394" t="str">
        <f>"23704"</f>
        <v>23704</v>
      </c>
      <c r="E30394">
        <v>58.62</v>
      </c>
    </row>
    <row r="30395" spans="1:5" x14ac:dyDescent="0.2">
      <c r="A30395">
        <v>23707</v>
      </c>
      <c r="B30395" t="s">
        <v>52</v>
      </c>
      <c r="C30395">
        <v>23707</v>
      </c>
      <c r="D30395" t="str">
        <f>"23707"</f>
        <v>23707</v>
      </c>
      <c r="E30395">
        <v>63.59</v>
      </c>
    </row>
    <row r="30396" spans="1:5" x14ac:dyDescent="0.2">
      <c r="A30396">
        <v>23708</v>
      </c>
      <c r="B30396" t="s">
        <v>52</v>
      </c>
      <c r="C30396">
        <v>23708</v>
      </c>
      <c r="D30396" t="str">
        <f>"23708"</f>
        <v>23708</v>
      </c>
      <c r="E30396" t="s">
        <v>6</v>
      </c>
    </row>
    <row r="30397" spans="1:5" x14ac:dyDescent="0.2">
      <c r="A30397">
        <v>23801</v>
      </c>
      <c r="B30397" t="s">
        <v>52</v>
      </c>
      <c r="C30397">
        <v>23801</v>
      </c>
      <c r="D30397" t="str">
        <f>"23801"</f>
        <v>23801</v>
      </c>
      <c r="E30397">
        <v>62.12</v>
      </c>
    </row>
    <row r="30398" spans="1:5" x14ac:dyDescent="0.2">
      <c r="A30398">
        <v>23803</v>
      </c>
      <c r="B30398" t="s">
        <v>52</v>
      </c>
      <c r="C30398">
        <v>23803</v>
      </c>
      <c r="D30398" t="str">
        <f>"23803"</f>
        <v>23803</v>
      </c>
      <c r="E30398">
        <v>61.96</v>
      </c>
    </row>
    <row r="30399" spans="1:5" x14ac:dyDescent="0.2">
      <c r="A30399">
        <v>23805</v>
      </c>
      <c r="B30399" t="s">
        <v>52</v>
      </c>
      <c r="C30399">
        <v>23805</v>
      </c>
      <c r="D30399" t="str">
        <f>"23805"</f>
        <v>23805</v>
      </c>
      <c r="E30399">
        <v>68.55</v>
      </c>
    </row>
    <row r="30400" spans="1:5" x14ac:dyDescent="0.2">
      <c r="A30400">
        <v>23821</v>
      </c>
      <c r="B30400" t="s">
        <v>52</v>
      </c>
      <c r="C30400">
        <v>23821</v>
      </c>
      <c r="D30400" t="str">
        <f>"23821"</f>
        <v>23821</v>
      </c>
      <c r="E30400">
        <v>69.12</v>
      </c>
    </row>
    <row r="30401" spans="1:5" x14ac:dyDescent="0.2">
      <c r="A30401">
        <v>23824</v>
      </c>
      <c r="B30401" t="s">
        <v>52</v>
      </c>
      <c r="C30401">
        <v>23824</v>
      </c>
      <c r="D30401" t="str">
        <f>"23824"</f>
        <v>23824</v>
      </c>
      <c r="E30401">
        <v>66</v>
      </c>
    </row>
    <row r="30402" spans="1:5" x14ac:dyDescent="0.2">
      <c r="A30402">
        <v>23827</v>
      </c>
      <c r="B30402" t="s">
        <v>52</v>
      </c>
      <c r="C30402">
        <v>23827</v>
      </c>
      <c r="D30402" t="str">
        <f>"23827"</f>
        <v>23827</v>
      </c>
      <c r="E30402">
        <v>62.71</v>
      </c>
    </row>
    <row r="30403" spans="1:5" x14ac:dyDescent="0.2">
      <c r="A30403">
        <v>23828</v>
      </c>
      <c r="B30403" t="s">
        <v>52</v>
      </c>
      <c r="C30403">
        <v>23828</v>
      </c>
      <c r="D30403" t="str">
        <f>"23828"</f>
        <v>23828</v>
      </c>
      <c r="E30403">
        <v>66.67</v>
      </c>
    </row>
    <row r="30404" spans="1:5" x14ac:dyDescent="0.2">
      <c r="A30404">
        <v>23829</v>
      </c>
      <c r="B30404" t="s">
        <v>52</v>
      </c>
      <c r="C30404">
        <v>23829</v>
      </c>
      <c r="D30404" t="str">
        <f>"23829"</f>
        <v>23829</v>
      </c>
      <c r="E30404">
        <v>70.180000000000007</v>
      </c>
    </row>
    <row r="30405" spans="1:5" x14ac:dyDescent="0.2">
      <c r="A30405">
        <v>23830</v>
      </c>
      <c r="B30405" t="s">
        <v>52</v>
      </c>
      <c r="C30405">
        <v>23830</v>
      </c>
      <c r="D30405" t="str">
        <f>"23830"</f>
        <v>23830</v>
      </c>
      <c r="E30405">
        <v>81.709999999999994</v>
      </c>
    </row>
    <row r="30406" spans="1:5" x14ac:dyDescent="0.2">
      <c r="A30406">
        <v>23831</v>
      </c>
      <c r="B30406" t="s">
        <v>52</v>
      </c>
      <c r="C30406">
        <v>23831</v>
      </c>
      <c r="D30406" t="str">
        <f>"23831"</f>
        <v>23831</v>
      </c>
      <c r="E30406">
        <v>74.89</v>
      </c>
    </row>
    <row r="30407" spans="1:5" x14ac:dyDescent="0.2">
      <c r="A30407">
        <v>23832</v>
      </c>
      <c r="B30407" t="s">
        <v>52</v>
      </c>
      <c r="C30407">
        <v>23832</v>
      </c>
      <c r="D30407" t="str">
        <f>"23832"</f>
        <v>23832</v>
      </c>
      <c r="E30407">
        <v>77.47</v>
      </c>
    </row>
    <row r="30408" spans="1:5" x14ac:dyDescent="0.2">
      <c r="A30408">
        <v>23833</v>
      </c>
      <c r="B30408" t="s">
        <v>52</v>
      </c>
      <c r="C30408">
        <v>23833</v>
      </c>
      <c r="D30408" t="str">
        <f>"23833"</f>
        <v>23833</v>
      </c>
      <c r="E30408">
        <v>79</v>
      </c>
    </row>
    <row r="30409" spans="1:5" x14ac:dyDescent="0.2">
      <c r="A30409">
        <v>23834</v>
      </c>
      <c r="B30409" t="s">
        <v>52</v>
      </c>
      <c r="C30409">
        <v>23834</v>
      </c>
      <c r="D30409" t="str">
        <f>"23834"</f>
        <v>23834</v>
      </c>
      <c r="E30409">
        <v>71.55</v>
      </c>
    </row>
    <row r="30410" spans="1:5" x14ac:dyDescent="0.2">
      <c r="A30410">
        <v>23836</v>
      </c>
      <c r="B30410" t="s">
        <v>52</v>
      </c>
      <c r="C30410">
        <v>23836</v>
      </c>
      <c r="D30410" t="str">
        <f>"23836"</f>
        <v>23836</v>
      </c>
      <c r="E30410">
        <v>78.959999999999994</v>
      </c>
    </row>
    <row r="30411" spans="1:5" x14ac:dyDescent="0.2">
      <c r="A30411">
        <v>23837</v>
      </c>
      <c r="B30411" t="s">
        <v>52</v>
      </c>
      <c r="C30411">
        <v>23837</v>
      </c>
      <c r="D30411" t="str">
        <f>"23837"</f>
        <v>23837</v>
      </c>
      <c r="E30411">
        <v>72.34</v>
      </c>
    </row>
    <row r="30412" spans="1:5" x14ac:dyDescent="0.2">
      <c r="A30412">
        <v>23838</v>
      </c>
      <c r="B30412" t="s">
        <v>52</v>
      </c>
      <c r="C30412">
        <v>23838</v>
      </c>
      <c r="D30412" t="str">
        <f>"23838"</f>
        <v>23838</v>
      </c>
      <c r="E30412">
        <v>81.99</v>
      </c>
    </row>
    <row r="30413" spans="1:5" x14ac:dyDescent="0.2">
      <c r="A30413">
        <v>23839</v>
      </c>
      <c r="B30413" t="s">
        <v>52</v>
      </c>
      <c r="C30413">
        <v>23839</v>
      </c>
      <c r="D30413" t="str">
        <f>"23839"</f>
        <v>23839</v>
      </c>
      <c r="E30413">
        <v>70.73</v>
      </c>
    </row>
    <row r="30414" spans="1:5" x14ac:dyDescent="0.2">
      <c r="A30414">
        <v>23840</v>
      </c>
      <c r="B30414" t="s">
        <v>52</v>
      </c>
      <c r="C30414">
        <v>23840</v>
      </c>
      <c r="D30414" t="str">
        <f>"23840"</f>
        <v>23840</v>
      </c>
      <c r="E30414">
        <v>73.42</v>
      </c>
    </row>
    <row r="30415" spans="1:5" x14ac:dyDescent="0.2">
      <c r="A30415">
        <v>23841</v>
      </c>
      <c r="B30415" t="s">
        <v>52</v>
      </c>
      <c r="C30415">
        <v>23841</v>
      </c>
      <c r="D30415" t="str">
        <f>"23841"</f>
        <v>23841</v>
      </c>
      <c r="E30415">
        <v>72.09</v>
      </c>
    </row>
    <row r="30416" spans="1:5" x14ac:dyDescent="0.2">
      <c r="A30416">
        <v>23842</v>
      </c>
      <c r="B30416" t="s">
        <v>52</v>
      </c>
      <c r="C30416">
        <v>23842</v>
      </c>
      <c r="D30416" t="str">
        <f>"23842"</f>
        <v>23842</v>
      </c>
      <c r="E30416">
        <v>78.98</v>
      </c>
    </row>
    <row r="30417" spans="1:5" x14ac:dyDescent="0.2">
      <c r="A30417">
        <v>23843</v>
      </c>
      <c r="B30417" t="s">
        <v>52</v>
      </c>
      <c r="C30417">
        <v>23843</v>
      </c>
      <c r="D30417" t="str">
        <f>"23843"</f>
        <v>23843</v>
      </c>
      <c r="E30417">
        <v>73.91</v>
      </c>
    </row>
    <row r="30418" spans="1:5" x14ac:dyDescent="0.2">
      <c r="A30418">
        <v>23844</v>
      </c>
      <c r="B30418" t="s">
        <v>52</v>
      </c>
      <c r="C30418">
        <v>23844</v>
      </c>
      <c r="D30418" t="str">
        <f>"23844"</f>
        <v>23844</v>
      </c>
      <c r="E30418">
        <v>69.23</v>
      </c>
    </row>
    <row r="30419" spans="1:5" x14ac:dyDescent="0.2">
      <c r="A30419">
        <v>23845</v>
      </c>
      <c r="B30419" t="s">
        <v>52</v>
      </c>
      <c r="C30419">
        <v>23845</v>
      </c>
      <c r="D30419" t="str">
        <f>"23845"</f>
        <v>23845</v>
      </c>
      <c r="E30419">
        <v>71.430000000000007</v>
      </c>
    </row>
    <row r="30420" spans="1:5" x14ac:dyDescent="0.2">
      <c r="A30420">
        <v>23846</v>
      </c>
      <c r="B30420" t="s">
        <v>52</v>
      </c>
      <c r="C30420">
        <v>23846</v>
      </c>
      <c r="D30420" t="str">
        <f>"23846"</f>
        <v>23846</v>
      </c>
      <c r="E30420">
        <v>69.23</v>
      </c>
    </row>
    <row r="30421" spans="1:5" x14ac:dyDescent="0.2">
      <c r="A30421">
        <v>23847</v>
      </c>
      <c r="B30421" t="s">
        <v>52</v>
      </c>
      <c r="C30421">
        <v>23847</v>
      </c>
      <c r="D30421" t="str">
        <f>"23847"</f>
        <v>23847</v>
      </c>
      <c r="E30421">
        <v>58.48</v>
      </c>
    </row>
    <row r="30422" spans="1:5" x14ac:dyDescent="0.2">
      <c r="A30422">
        <v>23850</v>
      </c>
      <c r="B30422" t="s">
        <v>52</v>
      </c>
      <c r="C30422">
        <v>23850</v>
      </c>
      <c r="D30422" t="str">
        <f>"23850"</f>
        <v>23850</v>
      </c>
      <c r="E30422">
        <v>72.92</v>
      </c>
    </row>
    <row r="30423" spans="1:5" x14ac:dyDescent="0.2">
      <c r="A30423">
        <v>23851</v>
      </c>
      <c r="B30423" t="s">
        <v>52</v>
      </c>
      <c r="C30423">
        <v>23851</v>
      </c>
      <c r="D30423" t="str">
        <f>"23851"</f>
        <v>23851</v>
      </c>
      <c r="E30423">
        <v>64.459999999999994</v>
      </c>
    </row>
    <row r="30424" spans="1:5" x14ac:dyDescent="0.2">
      <c r="A30424">
        <v>23856</v>
      </c>
      <c r="B30424" t="s">
        <v>52</v>
      </c>
      <c r="C30424">
        <v>23856</v>
      </c>
      <c r="D30424" t="str">
        <f>"23856"</f>
        <v>23856</v>
      </c>
      <c r="E30424">
        <v>65.959999999999994</v>
      </c>
    </row>
    <row r="30425" spans="1:5" x14ac:dyDescent="0.2">
      <c r="A30425">
        <v>23857</v>
      </c>
      <c r="B30425" t="s">
        <v>52</v>
      </c>
      <c r="C30425">
        <v>23857</v>
      </c>
      <c r="D30425" t="str">
        <f>"23857"</f>
        <v>23857</v>
      </c>
      <c r="E30425">
        <v>73.33</v>
      </c>
    </row>
    <row r="30426" spans="1:5" x14ac:dyDescent="0.2">
      <c r="A30426">
        <v>23860</v>
      </c>
      <c r="B30426" t="s">
        <v>52</v>
      </c>
      <c r="C30426">
        <v>23860</v>
      </c>
      <c r="D30426" t="str">
        <f>"23860"</f>
        <v>23860</v>
      </c>
      <c r="E30426">
        <v>64.55</v>
      </c>
    </row>
    <row r="30427" spans="1:5" x14ac:dyDescent="0.2">
      <c r="A30427">
        <v>23866</v>
      </c>
      <c r="B30427" t="s">
        <v>52</v>
      </c>
      <c r="C30427">
        <v>23866</v>
      </c>
      <c r="D30427" t="str">
        <f>"23866"</f>
        <v>23866</v>
      </c>
      <c r="E30427">
        <v>70.3</v>
      </c>
    </row>
    <row r="30428" spans="1:5" x14ac:dyDescent="0.2">
      <c r="A30428">
        <v>23867</v>
      </c>
      <c r="B30428" t="s">
        <v>52</v>
      </c>
      <c r="C30428">
        <v>23867</v>
      </c>
      <c r="D30428" t="str">
        <f>"23867"</f>
        <v>23867</v>
      </c>
      <c r="E30428">
        <v>64.36</v>
      </c>
    </row>
    <row r="30429" spans="1:5" x14ac:dyDescent="0.2">
      <c r="A30429">
        <v>23868</v>
      </c>
      <c r="B30429" t="s">
        <v>52</v>
      </c>
      <c r="C30429">
        <v>23868</v>
      </c>
      <c r="D30429" t="str">
        <f>"23868"</f>
        <v>23868</v>
      </c>
      <c r="E30429">
        <v>60.78</v>
      </c>
    </row>
    <row r="30430" spans="1:5" x14ac:dyDescent="0.2">
      <c r="A30430">
        <v>23870</v>
      </c>
      <c r="B30430" t="s">
        <v>52</v>
      </c>
      <c r="C30430">
        <v>23870</v>
      </c>
      <c r="D30430" t="str">
        <f>"23870"</f>
        <v>23870</v>
      </c>
      <c r="E30430" t="s">
        <v>6</v>
      </c>
    </row>
    <row r="30431" spans="1:5" x14ac:dyDescent="0.2">
      <c r="A30431">
        <v>23872</v>
      </c>
      <c r="B30431" t="s">
        <v>52</v>
      </c>
      <c r="C30431">
        <v>23872</v>
      </c>
      <c r="D30431" t="str">
        <f>"23872"</f>
        <v>23872</v>
      </c>
      <c r="E30431">
        <v>68.27</v>
      </c>
    </row>
    <row r="30432" spans="1:5" x14ac:dyDescent="0.2">
      <c r="A30432">
        <v>23874</v>
      </c>
      <c r="B30432" t="s">
        <v>52</v>
      </c>
      <c r="C30432">
        <v>23874</v>
      </c>
      <c r="D30432" t="str">
        <f>"23874"</f>
        <v>23874</v>
      </c>
      <c r="E30432">
        <v>72.09</v>
      </c>
    </row>
    <row r="30433" spans="1:5" x14ac:dyDescent="0.2">
      <c r="A30433">
        <v>23875</v>
      </c>
      <c r="B30433" t="s">
        <v>52</v>
      </c>
      <c r="C30433">
        <v>23875</v>
      </c>
      <c r="D30433" t="str">
        <f>"23875"</f>
        <v>23875</v>
      </c>
      <c r="E30433">
        <v>71.91</v>
      </c>
    </row>
    <row r="30434" spans="1:5" x14ac:dyDescent="0.2">
      <c r="A30434">
        <v>23876</v>
      </c>
      <c r="B30434" t="s">
        <v>52</v>
      </c>
      <c r="C30434">
        <v>23876</v>
      </c>
      <c r="D30434" t="str">
        <f>"23876"</f>
        <v>23876</v>
      </c>
      <c r="E30434">
        <v>60</v>
      </c>
    </row>
    <row r="30435" spans="1:5" x14ac:dyDescent="0.2">
      <c r="A30435">
        <v>23878</v>
      </c>
      <c r="B30435" t="s">
        <v>52</v>
      </c>
      <c r="C30435">
        <v>23878</v>
      </c>
      <c r="D30435" t="str">
        <f>"23878"</f>
        <v>23878</v>
      </c>
      <c r="E30435">
        <v>73.33</v>
      </c>
    </row>
    <row r="30436" spans="1:5" x14ac:dyDescent="0.2">
      <c r="A30436">
        <v>23879</v>
      </c>
      <c r="B30436" t="s">
        <v>52</v>
      </c>
      <c r="C30436">
        <v>23879</v>
      </c>
      <c r="D30436" t="str">
        <f>"23879"</f>
        <v>23879</v>
      </c>
      <c r="E30436">
        <v>70.97</v>
      </c>
    </row>
    <row r="30437" spans="1:5" x14ac:dyDescent="0.2">
      <c r="A30437">
        <v>23881</v>
      </c>
      <c r="B30437" t="s">
        <v>52</v>
      </c>
      <c r="C30437">
        <v>23881</v>
      </c>
      <c r="D30437" t="str">
        <f>"23881"</f>
        <v>23881</v>
      </c>
      <c r="E30437">
        <v>73.75</v>
      </c>
    </row>
    <row r="30438" spans="1:5" x14ac:dyDescent="0.2">
      <c r="A30438">
        <v>23882</v>
      </c>
      <c r="B30438" t="s">
        <v>52</v>
      </c>
      <c r="C30438">
        <v>23882</v>
      </c>
      <c r="D30438" t="str">
        <f>"23882"</f>
        <v>23882</v>
      </c>
      <c r="E30438">
        <v>66.989999999999995</v>
      </c>
    </row>
    <row r="30439" spans="1:5" x14ac:dyDescent="0.2">
      <c r="A30439">
        <v>23883</v>
      </c>
      <c r="B30439" t="s">
        <v>52</v>
      </c>
      <c r="C30439">
        <v>23883</v>
      </c>
      <c r="D30439" t="str">
        <f>"23883"</f>
        <v>23883</v>
      </c>
      <c r="E30439">
        <v>74.14</v>
      </c>
    </row>
    <row r="30440" spans="1:5" x14ac:dyDescent="0.2">
      <c r="A30440">
        <v>23885</v>
      </c>
      <c r="B30440" t="s">
        <v>52</v>
      </c>
      <c r="C30440">
        <v>23885</v>
      </c>
      <c r="D30440" t="str">
        <f>"23885"</f>
        <v>23885</v>
      </c>
      <c r="E30440">
        <v>78.03</v>
      </c>
    </row>
    <row r="30441" spans="1:5" x14ac:dyDescent="0.2">
      <c r="A30441">
        <v>23887</v>
      </c>
      <c r="B30441" t="s">
        <v>52</v>
      </c>
      <c r="C30441">
        <v>23887</v>
      </c>
      <c r="D30441" t="str">
        <f>"23887"</f>
        <v>23887</v>
      </c>
      <c r="E30441">
        <v>75</v>
      </c>
    </row>
    <row r="30442" spans="1:5" x14ac:dyDescent="0.2">
      <c r="A30442">
        <v>23888</v>
      </c>
      <c r="B30442" t="s">
        <v>52</v>
      </c>
      <c r="C30442">
        <v>23888</v>
      </c>
      <c r="D30442" t="str">
        <f>"23888"</f>
        <v>23888</v>
      </c>
      <c r="E30442">
        <v>66.36</v>
      </c>
    </row>
    <row r="30443" spans="1:5" x14ac:dyDescent="0.2">
      <c r="A30443">
        <v>23889</v>
      </c>
      <c r="B30443" t="s">
        <v>52</v>
      </c>
      <c r="C30443">
        <v>23889</v>
      </c>
      <c r="D30443" t="str">
        <f>"23889"</f>
        <v>23889</v>
      </c>
      <c r="E30443">
        <v>69.23</v>
      </c>
    </row>
    <row r="30444" spans="1:5" x14ac:dyDescent="0.2">
      <c r="A30444">
        <v>23890</v>
      </c>
      <c r="B30444" t="s">
        <v>52</v>
      </c>
      <c r="C30444">
        <v>23890</v>
      </c>
      <c r="D30444" t="str">
        <f>"23890"</f>
        <v>23890</v>
      </c>
      <c r="E30444">
        <v>63.37</v>
      </c>
    </row>
    <row r="30445" spans="1:5" x14ac:dyDescent="0.2">
      <c r="A30445">
        <v>23893</v>
      </c>
      <c r="B30445" t="s">
        <v>52</v>
      </c>
      <c r="C30445">
        <v>23893</v>
      </c>
      <c r="D30445" t="str">
        <f>"23893"</f>
        <v>23893</v>
      </c>
      <c r="E30445">
        <v>55.56</v>
      </c>
    </row>
    <row r="30446" spans="1:5" x14ac:dyDescent="0.2">
      <c r="A30446">
        <v>23894</v>
      </c>
      <c r="B30446" t="s">
        <v>52</v>
      </c>
      <c r="C30446">
        <v>23894</v>
      </c>
      <c r="D30446" t="str">
        <f>"23894"</f>
        <v>23894</v>
      </c>
      <c r="E30446">
        <v>75</v>
      </c>
    </row>
    <row r="30447" spans="1:5" x14ac:dyDescent="0.2">
      <c r="A30447">
        <v>23897</v>
      </c>
      <c r="B30447" t="s">
        <v>52</v>
      </c>
      <c r="C30447">
        <v>23897</v>
      </c>
      <c r="D30447" t="str">
        <f>"23897"</f>
        <v>23897</v>
      </c>
      <c r="E30447">
        <v>68</v>
      </c>
    </row>
    <row r="30448" spans="1:5" x14ac:dyDescent="0.2">
      <c r="A30448">
        <v>23898</v>
      </c>
      <c r="B30448" t="s">
        <v>52</v>
      </c>
      <c r="C30448">
        <v>23898</v>
      </c>
      <c r="D30448" t="str">
        <f>"23898"</f>
        <v>23898</v>
      </c>
      <c r="E30448">
        <v>75.959999999999994</v>
      </c>
    </row>
    <row r="30449" spans="1:5" x14ac:dyDescent="0.2">
      <c r="A30449">
        <v>23899</v>
      </c>
      <c r="B30449" t="s">
        <v>52</v>
      </c>
      <c r="C30449">
        <v>23899</v>
      </c>
      <c r="D30449" t="str">
        <f>"23899"</f>
        <v>23899</v>
      </c>
      <c r="E30449" t="s">
        <v>6</v>
      </c>
    </row>
    <row r="30450" spans="1:5" x14ac:dyDescent="0.2">
      <c r="A30450">
        <v>23901</v>
      </c>
      <c r="B30450" t="s">
        <v>52</v>
      </c>
      <c r="C30450">
        <v>23901</v>
      </c>
      <c r="D30450" t="str">
        <f>"23901"</f>
        <v>23901</v>
      </c>
      <c r="E30450">
        <v>67.2</v>
      </c>
    </row>
    <row r="30451" spans="1:5" x14ac:dyDescent="0.2">
      <c r="A30451">
        <v>23909</v>
      </c>
      <c r="B30451" t="s">
        <v>52</v>
      </c>
      <c r="C30451">
        <v>23909</v>
      </c>
      <c r="D30451" t="str">
        <f>"23909"</f>
        <v>23909</v>
      </c>
      <c r="E30451" t="s">
        <v>6</v>
      </c>
    </row>
    <row r="30452" spans="1:5" x14ac:dyDescent="0.2">
      <c r="A30452">
        <v>23915</v>
      </c>
      <c r="B30452" t="s">
        <v>52</v>
      </c>
      <c r="C30452">
        <v>23915</v>
      </c>
      <c r="D30452" t="str">
        <f>"23915"</f>
        <v>23915</v>
      </c>
      <c r="E30452">
        <v>65.709999999999994</v>
      </c>
    </row>
    <row r="30453" spans="1:5" x14ac:dyDescent="0.2">
      <c r="A30453">
        <v>23917</v>
      </c>
      <c r="B30453" t="s">
        <v>52</v>
      </c>
      <c r="C30453">
        <v>23917</v>
      </c>
      <c r="D30453" t="str">
        <f>"23917"</f>
        <v>23917</v>
      </c>
      <c r="E30453">
        <v>66.67</v>
      </c>
    </row>
    <row r="30454" spans="1:5" x14ac:dyDescent="0.2">
      <c r="A30454">
        <v>23919</v>
      </c>
      <c r="B30454" t="s">
        <v>52</v>
      </c>
      <c r="C30454">
        <v>23919</v>
      </c>
      <c r="D30454" t="str">
        <f>"23919"</f>
        <v>23919</v>
      </c>
      <c r="E30454">
        <v>72.069999999999993</v>
      </c>
    </row>
    <row r="30455" spans="1:5" x14ac:dyDescent="0.2">
      <c r="A30455">
        <v>23920</v>
      </c>
      <c r="B30455" t="s">
        <v>52</v>
      </c>
      <c r="C30455">
        <v>23920</v>
      </c>
      <c r="D30455" t="str">
        <f>"23920"</f>
        <v>23920</v>
      </c>
      <c r="E30455">
        <v>66.19</v>
      </c>
    </row>
    <row r="30456" spans="1:5" x14ac:dyDescent="0.2">
      <c r="A30456">
        <v>23921</v>
      </c>
      <c r="B30456" t="s">
        <v>52</v>
      </c>
      <c r="C30456">
        <v>23921</v>
      </c>
      <c r="D30456" t="str">
        <f>"23921"</f>
        <v>23921</v>
      </c>
      <c r="E30456">
        <v>68.48</v>
      </c>
    </row>
    <row r="30457" spans="1:5" x14ac:dyDescent="0.2">
      <c r="A30457">
        <v>23922</v>
      </c>
      <c r="B30457" t="s">
        <v>52</v>
      </c>
      <c r="C30457">
        <v>23922</v>
      </c>
      <c r="D30457" t="str">
        <f>"23922"</f>
        <v>23922</v>
      </c>
      <c r="E30457">
        <v>65.930000000000007</v>
      </c>
    </row>
    <row r="30458" spans="1:5" x14ac:dyDescent="0.2">
      <c r="A30458">
        <v>23923</v>
      </c>
      <c r="B30458" t="s">
        <v>52</v>
      </c>
      <c r="C30458">
        <v>23923</v>
      </c>
      <c r="D30458" t="str">
        <f>"23923"</f>
        <v>23923</v>
      </c>
      <c r="E30458">
        <v>62.77</v>
      </c>
    </row>
    <row r="30459" spans="1:5" x14ac:dyDescent="0.2">
      <c r="A30459">
        <v>23924</v>
      </c>
      <c r="B30459" t="s">
        <v>52</v>
      </c>
      <c r="C30459">
        <v>23924</v>
      </c>
      <c r="D30459" t="str">
        <f>"23924"</f>
        <v>23924</v>
      </c>
      <c r="E30459">
        <v>62.87</v>
      </c>
    </row>
    <row r="30460" spans="1:5" x14ac:dyDescent="0.2">
      <c r="A30460">
        <v>23927</v>
      </c>
      <c r="B30460" t="s">
        <v>52</v>
      </c>
      <c r="C30460">
        <v>23927</v>
      </c>
      <c r="D30460" t="str">
        <f>"23927"</f>
        <v>23927</v>
      </c>
      <c r="E30460">
        <v>72.400000000000006</v>
      </c>
    </row>
    <row r="30461" spans="1:5" x14ac:dyDescent="0.2">
      <c r="A30461">
        <v>23930</v>
      </c>
      <c r="B30461" t="s">
        <v>52</v>
      </c>
      <c r="C30461">
        <v>23930</v>
      </c>
      <c r="D30461" t="str">
        <f>"23930"</f>
        <v>23930</v>
      </c>
      <c r="E30461">
        <v>65.13</v>
      </c>
    </row>
    <row r="30462" spans="1:5" x14ac:dyDescent="0.2">
      <c r="A30462">
        <v>23934</v>
      </c>
      <c r="B30462" t="s">
        <v>52</v>
      </c>
      <c r="C30462">
        <v>23934</v>
      </c>
      <c r="D30462" t="str">
        <f>"23934"</f>
        <v>23934</v>
      </c>
      <c r="E30462">
        <v>64</v>
      </c>
    </row>
    <row r="30463" spans="1:5" x14ac:dyDescent="0.2">
      <c r="A30463">
        <v>23936</v>
      </c>
      <c r="B30463" t="s">
        <v>52</v>
      </c>
      <c r="C30463">
        <v>23936</v>
      </c>
      <c r="D30463" t="str">
        <f>"23936"</f>
        <v>23936</v>
      </c>
      <c r="E30463">
        <v>67.06</v>
      </c>
    </row>
    <row r="30464" spans="1:5" x14ac:dyDescent="0.2">
      <c r="A30464">
        <v>23937</v>
      </c>
      <c r="B30464" t="s">
        <v>52</v>
      </c>
      <c r="C30464">
        <v>23937</v>
      </c>
      <c r="D30464" t="str">
        <f>"23937"</f>
        <v>23937</v>
      </c>
      <c r="E30464">
        <v>62.86</v>
      </c>
    </row>
    <row r="30465" spans="1:5" x14ac:dyDescent="0.2">
      <c r="A30465">
        <v>23938</v>
      </c>
      <c r="B30465" t="s">
        <v>52</v>
      </c>
      <c r="C30465">
        <v>23938</v>
      </c>
      <c r="D30465" t="str">
        <f>"23938"</f>
        <v>23938</v>
      </c>
      <c r="E30465">
        <v>66.67</v>
      </c>
    </row>
    <row r="30466" spans="1:5" x14ac:dyDescent="0.2">
      <c r="A30466">
        <v>23942</v>
      </c>
      <c r="B30466" t="s">
        <v>52</v>
      </c>
      <c r="C30466">
        <v>23942</v>
      </c>
      <c r="D30466" t="str">
        <f>"23942"</f>
        <v>23942</v>
      </c>
      <c r="E30466">
        <v>67.39</v>
      </c>
    </row>
    <row r="30467" spans="1:5" x14ac:dyDescent="0.2">
      <c r="A30467">
        <v>23944</v>
      </c>
      <c r="B30467" t="s">
        <v>52</v>
      </c>
      <c r="C30467">
        <v>23944</v>
      </c>
      <c r="D30467" t="str">
        <f>"23944"</f>
        <v>23944</v>
      </c>
      <c r="E30467">
        <v>64.5</v>
      </c>
    </row>
    <row r="30468" spans="1:5" x14ac:dyDescent="0.2">
      <c r="A30468">
        <v>23947</v>
      </c>
      <c r="B30468" t="s">
        <v>52</v>
      </c>
      <c r="C30468">
        <v>23947</v>
      </c>
      <c r="D30468" t="str">
        <f>"23947"</f>
        <v>23947</v>
      </c>
      <c r="E30468">
        <v>67.61</v>
      </c>
    </row>
    <row r="30469" spans="1:5" x14ac:dyDescent="0.2">
      <c r="A30469">
        <v>23950</v>
      </c>
      <c r="B30469" t="s">
        <v>52</v>
      </c>
      <c r="C30469">
        <v>23950</v>
      </c>
      <c r="D30469" t="str">
        <f>"23950"</f>
        <v>23950</v>
      </c>
      <c r="E30469">
        <v>61.18</v>
      </c>
    </row>
    <row r="30470" spans="1:5" x14ac:dyDescent="0.2">
      <c r="A30470">
        <v>23952</v>
      </c>
      <c r="B30470" t="s">
        <v>52</v>
      </c>
      <c r="C30470">
        <v>23952</v>
      </c>
      <c r="D30470" t="str">
        <f>"23952"</f>
        <v>23952</v>
      </c>
      <c r="E30470" t="s">
        <v>6</v>
      </c>
    </row>
    <row r="30471" spans="1:5" x14ac:dyDescent="0.2">
      <c r="A30471">
        <v>23954</v>
      </c>
      <c r="B30471" t="s">
        <v>52</v>
      </c>
      <c r="C30471">
        <v>23954</v>
      </c>
      <c r="D30471" t="str">
        <f>"23954"</f>
        <v>23954</v>
      </c>
      <c r="E30471">
        <v>64.290000000000006</v>
      </c>
    </row>
    <row r="30472" spans="1:5" x14ac:dyDescent="0.2">
      <c r="A30472">
        <v>23955</v>
      </c>
      <c r="B30472" t="s">
        <v>52</v>
      </c>
      <c r="C30472">
        <v>23955</v>
      </c>
      <c r="D30472" t="str">
        <f>"23955"</f>
        <v>23955</v>
      </c>
      <c r="E30472" t="s">
        <v>6</v>
      </c>
    </row>
    <row r="30473" spans="1:5" x14ac:dyDescent="0.2">
      <c r="A30473">
        <v>23958</v>
      </c>
      <c r="B30473" t="s">
        <v>52</v>
      </c>
      <c r="C30473">
        <v>23958</v>
      </c>
      <c r="D30473" t="str">
        <f>"23958"</f>
        <v>23958</v>
      </c>
      <c r="E30473">
        <v>64.180000000000007</v>
      </c>
    </row>
    <row r="30474" spans="1:5" x14ac:dyDescent="0.2">
      <c r="A30474">
        <v>23959</v>
      </c>
      <c r="B30474" t="s">
        <v>52</v>
      </c>
      <c r="C30474">
        <v>23959</v>
      </c>
      <c r="D30474" t="str">
        <f>"23959"</f>
        <v>23959</v>
      </c>
      <c r="E30474">
        <v>67.39</v>
      </c>
    </row>
    <row r="30475" spans="1:5" x14ac:dyDescent="0.2">
      <c r="A30475">
        <v>23960</v>
      </c>
      <c r="B30475" t="s">
        <v>52</v>
      </c>
      <c r="C30475">
        <v>23960</v>
      </c>
      <c r="D30475" t="str">
        <f>"23960"</f>
        <v>23960</v>
      </c>
      <c r="E30475">
        <v>64.2</v>
      </c>
    </row>
    <row r="30476" spans="1:5" x14ac:dyDescent="0.2">
      <c r="A30476">
        <v>23962</v>
      </c>
      <c r="B30476" t="s">
        <v>52</v>
      </c>
      <c r="C30476">
        <v>23962</v>
      </c>
      <c r="D30476" t="str">
        <f>"23962"</f>
        <v>23962</v>
      </c>
      <c r="E30476">
        <v>61.54</v>
      </c>
    </row>
    <row r="30477" spans="1:5" x14ac:dyDescent="0.2">
      <c r="A30477">
        <v>23963</v>
      </c>
      <c r="B30477" t="s">
        <v>52</v>
      </c>
      <c r="C30477">
        <v>23963</v>
      </c>
      <c r="D30477" t="str">
        <f>"23963"</f>
        <v>23963</v>
      </c>
      <c r="E30477">
        <v>68.42</v>
      </c>
    </row>
    <row r="30478" spans="1:5" x14ac:dyDescent="0.2">
      <c r="A30478">
        <v>23964</v>
      </c>
      <c r="B30478" t="s">
        <v>52</v>
      </c>
      <c r="C30478">
        <v>23964</v>
      </c>
      <c r="D30478" t="str">
        <f>"23964"</f>
        <v>23964</v>
      </c>
      <c r="E30478">
        <v>67.349999999999994</v>
      </c>
    </row>
    <row r="30479" spans="1:5" x14ac:dyDescent="0.2">
      <c r="A30479">
        <v>23966</v>
      </c>
      <c r="B30479" t="s">
        <v>52</v>
      </c>
      <c r="C30479">
        <v>23966</v>
      </c>
      <c r="D30479" t="str">
        <f>"23966"</f>
        <v>23966</v>
      </c>
      <c r="E30479">
        <v>66.34</v>
      </c>
    </row>
    <row r="30480" spans="1:5" x14ac:dyDescent="0.2">
      <c r="A30480">
        <v>23967</v>
      </c>
      <c r="B30480" t="s">
        <v>52</v>
      </c>
      <c r="C30480">
        <v>23967</v>
      </c>
      <c r="D30480" t="str">
        <f>"23967"</f>
        <v>23967</v>
      </c>
      <c r="E30480">
        <v>67.5</v>
      </c>
    </row>
    <row r="30481" spans="1:5" x14ac:dyDescent="0.2">
      <c r="A30481">
        <v>23968</v>
      </c>
      <c r="B30481" t="s">
        <v>52</v>
      </c>
      <c r="C30481">
        <v>23968</v>
      </c>
      <c r="D30481" t="str">
        <f>"23968"</f>
        <v>23968</v>
      </c>
      <c r="E30481">
        <v>63.89</v>
      </c>
    </row>
    <row r="30482" spans="1:5" x14ac:dyDescent="0.2">
      <c r="A30482">
        <v>23970</v>
      </c>
      <c r="B30482" t="s">
        <v>52</v>
      </c>
      <c r="C30482">
        <v>23970</v>
      </c>
      <c r="D30482" t="str">
        <f>"23970"</f>
        <v>23970</v>
      </c>
      <c r="E30482">
        <v>65.31</v>
      </c>
    </row>
    <row r="30483" spans="1:5" x14ac:dyDescent="0.2">
      <c r="A30483">
        <v>23974</v>
      </c>
      <c r="B30483" t="s">
        <v>52</v>
      </c>
      <c r="C30483">
        <v>23974</v>
      </c>
      <c r="D30483" t="str">
        <f>"23974"</f>
        <v>23974</v>
      </c>
      <c r="E30483">
        <v>63.29</v>
      </c>
    </row>
    <row r="30484" spans="1:5" x14ac:dyDescent="0.2">
      <c r="A30484">
        <v>23976</v>
      </c>
      <c r="B30484" t="s">
        <v>52</v>
      </c>
      <c r="C30484">
        <v>23976</v>
      </c>
      <c r="D30484" t="str">
        <f>"23976"</f>
        <v>23976</v>
      </c>
      <c r="E30484" t="s">
        <v>6</v>
      </c>
    </row>
    <row r="30485" spans="1:5" x14ac:dyDescent="0.2">
      <c r="A30485">
        <v>24011</v>
      </c>
      <c r="B30485" t="s">
        <v>52</v>
      </c>
      <c r="C30485">
        <v>24011</v>
      </c>
      <c r="D30485" t="str">
        <f>"24011"</f>
        <v>24011</v>
      </c>
      <c r="E30485">
        <v>87.23</v>
      </c>
    </row>
    <row r="30486" spans="1:5" x14ac:dyDescent="0.2">
      <c r="A30486">
        <v>24012</v>
      </c>
      <c r="B30486" t="s">
        <v>52</v>
      </c>
      <c r="C30486">
        <v>24012</v>
      </c>
      <c r="D30486" t="str">
        <f>"24012"</f>
        <v>24012</v>
      </c>
      <c r="E30486">
        <v>65.39</v>
      </c>
    </row>
    <row r="30487" spans="1:5" x14ac:dyDescent="0.2">
      <c r="A30487">
        <v>24013</v>
      </c>
      <c r="B30487" t="s">
        <v>52</v>
      </c>
      <c r="C30487">
        <v>24013</v>
      </c>
      <c r="D30487" t="str">
        <f>"24013"</f>
        <v>24013</v>
      </c>
      <c r="E30487">
        <v>53.9</v>
      </c>
    </row>
    <row r="30488" spans="1:5" x14ac:dyDescent="0.2">
      <c r="A30488">
        <v>24014</v>
      </c>
      <c r="B30488" t="s">
        <v>52</v>
      </c>
      <c r="C30488">
        <v>24014</v>
      </c>
      <c r="D30488" t="str">
        <f>"24014"</f>
        <v>24014</v>
      </c>
      <c r="E30488">
        <v>74.63</v>
      </c>
    </row>
    <row r="30489" spans="1:5" x14ac:dyDescent="0.2">
      <c r="A30489">
        <v>24015</v>
      </c>
      <c r="B30489" t="s">
        <v>52</v>
      </c>
      <c r="C30489">
        <v>24015</v>
      </c>
      <c r="D30489" t="str">
        <f>"24015"</f>
        <v>24015</v>
      </c>
      <c r="E30489">
        <v>76.599999999999994</v>
      </c>
    </row>
    <row r="30490" spans="1:5" x14ac:dyDescent="0.2">
      <c r="A30490">
        <v>24016</v>
      </c>
      <c r="B30490" t="s">
        <v>52</v>
      </c>
      <c r="C30490">
        <v>24016</v>
      </c>
      <c r="D30490" t="str">
        <f>"24016"</f>
        <v>24016</v>
      </c>
      <c r="E30490">
        <v>61.99</v>
      </c>
    </row>
    <row r="30491" spans="1:5" x14ac:dyDescent="0.2">
      <c r="A30491">
        <v>24017</v>
      </c>
      <c r="B30491" t="s">
        <v>52</v>
      </c>
      <c r="C30491">
        <v>24017</v>
      </c>
      <c r="D30491" t="str">
        <f>"24017"</f>
        <v>24017</v>
      </c>
      <c r="E30491">
        <v>56.57</v>
      </c>
    </row>
    <row r="30492" spans="1:5" x14ac:dyDescent="0.2">
      <c r="A30492">
        <v>24018</v>
      </c>
      <c r="B30492" t="s">
        <v>52</v>
      </c>
      <c r="C30492">
        <v>24018</v>
      </c>
      <c r="D30492" t="str">
        <f>"24018"</f>
        <v>24018</v>
      </c>
      <c r="E30492">
        <v>78.3</v>
      </c>
    </row>
    <row r="30493" spans="1:5" x14ac:dyDescent="0.2">
      <c r="A30493">
        <v>24019</v>
      </c>
      <c r="B30493" t="s">
        <v>52</v>
      </c>
      <c r="C30493">
        <v>24019</v>
      </c>
      <c r="D30493" t="str">
        <f>"24019"</f>
        <v>24019</v>
      </c>
      <c r="E30493">
        <v>74.87</v>
      </c>
    </row>
    <row r="30494" spans="1:5" x14ac:dyDescent="0.2">
      <c r="A30494">
        <v>24053</v>
      </c>
      <c r="B30494" t="s">
        <v>52</v>
      </c>
      <c r="C30494">
        <v>24053</v>
      </c>
      <c r="D30494" t="str">
        <f>"24053"</f>
        <v>24053</v>
      </c>
      <c r="E30494">
        <v>64.84</v>
      </c>
    </row>
    <row r="30495" spans="1:5" x14ac:dyDescent="0.2">
      <c r="A30495">
        <v>24054</v>
      </c>
      <c r="B30495" t="s">
        <v>52</v>
      </c>
      <c r="C30495">
        <v>24054</v>
      </c>
      <c r="D30495" t="str">
        <f>"24054"</f>
        <v>24054</v>
      </c>
      <c r="E30495">
        <v>60.54</v>
      </c>
    </row>
    <row r="30496" spans="1:5" x14ac:dyDescent="0.2">
      <c r="A30496">
        <v>24055</v>
      </c>
      <c r="B30496" t="s">
        <v>52</v>
      </c>
      <c r="C30496">
        <v>24055</v>
      </c>
      <c r="D30496" t="str">
        <f>"24055"</f>
        <v>24055</v>
      </c>
      <c r="E30496">
        <v>62.81</v>
      </c>
    </row>
    <row r="30497" spans="1:5" x14ac:dyDescent="0.2">
      <c r="A30497">
        <v>24058</v>
      </c>
      <c r="B30497" t="s">
        <v>52</v>
      </c>
      <c r="C30497">
        <v>24058</v>
      </c>
      <c r="D30497" t="str">
        <f>"24058"</f>
        <v>24058</v>
      </c>
      <c r="E30497" t="s">
        <v>6</v>
      </c>
    </row>
    <row r="30498" spans="1:5" x14ac:dyDescent="0.2">
      <c r="A30498">
        <v>24059</v>
      </c>
      <c r="B30498" t="s">
        <v>52</v>
      </c>
      <c r="C30498">
        <v>24059</v>
      </c>
      <c r="D30498" t="str">
        <f>"24059"</f>
        <v>24059</v>
      </c>
      <c r="E30498">
        <v>78.260000000000005</v>
      </c>
    </row>
    <row r="30499" spans="1:5" x14ac:dyDescent="0.2">
      <c r="A30499">
        <v>24060</v>
      </c>
      <c r="B30499" t="s">
        <v>52</v>
      </c>
      <c r="C30499">
        <v>24060</v>
      </c>
      <c r="D30499" t="str">
        <f>"24060"</f>
        <v>24060</v>
      </c>
      <c r="E30499">
        <v>74.319999999999993</v>
      </c>
    </row>
    <row r="30500" spans="1:5" x14ac:dyDescent="0.2">
      <c r="A30500">
        <v>24061</v>
      </c>
      <c r="B30500" t="s">
        <v>52</v>
      </c>
      <c r="C30500">
        <v>24061</v>
      </c>
      <c r="D30500" t="str">
        <f>"24061"</f>
        <v>24061</v>
      </c>
      <c r="E30500" t="s">
        <v>6</v>
      </c>
    </row>
    <row r="30501" spans="1:5" x14ac:dyDescent="0.2">
      <c r="A30501">
        <v>24064</v>
      </c>
      <c r="B30501" t="s">
        <v>52</v>
      </c>
      <c r="C30501">
        <v>24064</v>
      </c>
      <c r="D30501" t="str">
        <f>"24064"</f>
        <v>24064</v>
      </c>
      <c r="E30501">
        <v>78.02</v>
      </c>
    </row>
    <row r="30502" spans="1:5" x14ac:dyDescent="0.2">
      <c r="A30502">
        <v>24065</v>
      </c>
      <c r="B30502" t="s">
        <v>52</v>
      </c>
      <c r="C30502">
        <v>24065</v>
      </c>
      <c r="D30502" t="str">
        <f>"24065"</f>
        <v>24065</v>
      </c>
      <c r="E30502">
        <v>75</v>
      </c>
    </row>
    <row r="30503" spans="1:5" x14ac:dyDescent="0.2">
      <c r="A30503">
        <v>24066</v>
      </c>
      <c r="B30503" t="s">
        <v>52</v>
      </c>
      <c r="C30503">
        <v>24066</v>
      </c>
      <c r="D30503" t="str">
        <f>"24066"</f>
        <v>24066</v>
      </c>
      <c r="E30503">
        <v>74.55</v>
      </c>
    </row>
    <row r="30504" spans="1:5" x14ac:dyDescent="0.2">
      <c r="A30504">
        <v>24067</v>
      </c>
      <c r="B30504" t="s">
        <v>52</v>
      </c>
      <c r="C30504">
        <v>24067</v>
      </c>
      <c r="D30504" t="str">
        <f>"24067"</f>
        <v>24067</v>
      </c>
      <c r="E30504">
        <v>71.88</v>
      </c>
    </row>
    <row r="30505" spans="1:5" x14ac:dyDescent="0.2">
      <c r="A30505">
        <v>24069</v>
      </c>
      <c r="B30505" t="s">
        <v>52</v>
      </c>
      <c r="C30505">
        <v>24069</v>
      </c>
      <c r="D30505" t="str">
        <f>"24069"</f>
        <v>24069</v>
      </c>
      <c r="E30505">
        <v>66.23</v>
      </c>
    </row>
    <row r="30506" spans="1:5" x14ac:dyDescent="0.2">
      <c r="A30506">
        <v>24070</v>
      </c>
      <c r="B30506" t="s">
        <v>52</v>
      </c>
      <c r="C30506">
        <v>24070</v>
      </c>
      <c r="D30506" t="str">
        <f>"24070"</f>
        <v>24070</v>
      </c>
      <c r="E30506">
        <v>76.81</v>
      </c>
    </row>
    <row r="30507" spans="1:5" x14ac:dyDescent="0.2">
      <c r="A30507">
        <v>24072</v>
      </c>
      <c r="B30507" t="s">
        <v>52</v>
      </c>
      <c r="C30507">
        <v>24072</v>
      </c>
      <c r="D30507" t="str">
        <f>"24072"</f>
        <v>24072</v>
      </c>
      <c r="E30507">
        <v>73.680000000000007</v>
      </c>
    </row>
    <row r="30508" spans="1:5" x14ac:dyDescent="0.2">
      <c r="A30508">
        <v>24073</v>
      </c>
      <c r="B30508" t="s">
        <v>52</v>
      </c>
      <c r="C30508">
        <v>24073</v>
      </c>
      <c r="D30508" t="str">
        <f>"24073"</f>
        <v>24073</v>
      </c>
      <c r="E30508">
        <v>75.650000000000006</v>
      </c>
    </row>
    <row r="30509" spans="1:5" x14ac:dyDescent="0.2">
      <c r="A30509">
        <v>24076</v>
      </c>
      <c r="B30509" t="s">
        <v>52</v>
      </c>
      <c r="C30509">
        <v>24076</v>
      </c>
      <c r="D30509" t="str">
        <f>"24076"</f>
        <v>24076</v>
      </c>
      <c r="E30509">
        <v>62.16</v>
      </c>
    </row>
    <row r="30510" spans="1:5" x14ac:dyDescent="0.2">
      <c r="A30510">
        <v>24077</v>
      </c>
      <c r="B30510" t="s">
        <v>52</v>
      </c>
      <c r="C30510">
        <v>24077</v>
      </c>
      <c r="D30510" t="str">
        <f>"24077"</f>
        <v>24077</v>
      </c>
      <c r="E30510">
        <v>79.63</v>
      </c>
    </row>
    <row r="30511" spans="1:5" x14ac:dyDescent="0.2">
      <c r="A30511">
        <v>24078</v>
      </c>
      <c r="B30511" t="s">
        <v>52</v>
      </c>
      <c r="C30511">
        <v>24078</v>
      </c>
      <c r="D30511" t="str">
        <f>"24078"</f>
        <v>24078</v>
      </c>
      <c r="E30511">
        <v>63.73</v>
      </c>
    </row>
    <row r="30512" spans="1:5" x14ac:dyDescent="0.2">
      <c r="A30512">
        <v>24079</v>
      </c>
      <c r="B30512" t="s">
        <v>52</v>
      </c>
      <c r="C30512">
        <v>24079</v>
      </c>
      <c r="D30512" t="str">
        <f>"24079"</f>
        <v>24079</v>
      </c>
      <c r="E30512">
        <v>70.67</v>
      </c>
    </row>
    <row r="30513" spans="1:5" x14ac:dyDescent="0.2">
      <c r="A30513">
        <v>24082</v>
      </c>
      <c r="B30513" t="s">
        <v>52</v>
      </c>
      <c r="C30513">
        <v>24082</v>
      </c>
      <c r="D30513" t="str">
        <f>"24082"</f>
        <v>24082</v>
      </c>
      <c r="E30513">
        <v>80</v>
      </c>
    </row>
    <row r="30514" spans="1:5" x14ac:dyDescent="0.2">
      <c r="A30514">
        <v>24083</v>
      </c>
      <c r="B30514" t="s">
        <v>52</v>
      </c>
      <c r="C30514">
        <v>24083</v>
      </c>
      <c r="D30514" t="str">
        <f>"24083"</f>
        <v>24083</v>
      </c>
      <c r="E30514">
        <v>80.53</v>
      </c>
    </row>
    <row r="30515" spans="1:5" x14ac:dyDescent="0.2">
      <c r="A30515">
        <v>24084</v>
      </c>
      <c r="B30515" t="s">
        <v>52</v>
      </c>
      <c r="C30515">
        <v>24084</v>
      </c>
      <c r="D30515" t="str">
        <f>"24084"</f>
        <v>24084</v>
      </c>
      <c r="E30515">
        <v>74.790000000000006</v>
      </c>
    </row>
    <row r="30516" spans="1:5" x14ac:dyDescent="0.2">
      <c r="A30516">
        <v>24085</v>
      </c>
      <c r="B30516" t="s">
        <v>52</v>
      </c>
      <c r="C30516">
        <v>24085</v>
      </c>
      <c r="D30516" t="str">
        <f>"24085"</f>
        <v>24085</v>
      </c>
      <c r="E30516">
        <v>74.44</v>
      </c>
    </row>
    <row r="30517" spans="1:5" x14ac:dyDescent="0.2">
      <c r="A30517">
        <v>24086</v>
      </c>
      <c r="B30517" t="s">
        <v>52</v>
      </c>
      <c r="C30517">
        <v>24086</v>
      </c>
      <c r="D30517" t="str">
        <f>"24086"</f>
        <v>24086</v>
      </c>
      <c r="E30517">
        <v>80</v>
      </c>
    </row>
    <row r="30518" spans="1:5" x14ac:dyDescent="0.2">
      <c r="A30518">
        <v>24087</v>
      </c>
      <c r="B30518" t="s">
        <v>52</v>
      </c>
      <c r="C30518">
        <v>24087</v>
      </c>
      <c r="D30518" t="str">
        <f>"24087"</f>
        <v>24087</v>
      </c>
      <c r="E30518">
        <v>68.790000000000006</v>
      </c>
    </row>
    <row r="30519" spans="1:5" x14ac:dyDescent="0.2">
      <c r="A30519">
        <v>24088</v>
      </c>
      <c r="B30519" t="s">
        <v>52</v>
      </c>
      <c r="C30519">
        <v>24088</v>
      </c>
      <c r="D30519" t="str">
        <f>"24088"</f>
        <v>24088</v>
      </c>
      <c r="E30519">
        <v>66.040000000000006</v>
      </c>
    </row>
    <row r="30520" spans="1:5" x14ac:dyDescent="0.2">
      <c r="A30520">
        <v>24089</v>
      </c>
      <c r="B30520" t="s">
        <v>52</v>
      </c>
      <c r="C30520">
        <v>24089</v>
      </c>
      <c r="D30520" t="str">
        <f>"24089"</f>
        <v>24089</v>
      </c>
      <c r="E30520">
        <v>63.39</v>
      </c>
    </row>
    <row r="30521" spans="1:5" x14ac:dyDescent="0.2">
      <c r="A30521">
        <v>24090</v>
      </c>
      <c r="B30521" t="s">
        <v>52</v>
      </c>
      <c r="C30521">
        <v>24090</v>
      </c>
      <c r="D30521" t="str">
        <f>"24090"</f>
        <v>24090</v>
      </c>
      <c r="E30521">
        <v>76.64</v>
      </c>
    </row>
    <row r="30522" spans="1:5" x14ac:dyDescent="0.2">
      <c r="A30522">
        <v>24091</v>
      </c>
      <c r="B30522" t="s">
        <v>52</v>
      </c>
      <c r="C30522">
        <v>24091</v>
      </c>
      <c r="D30522" t="str">
        <f>"24091"</f>
        <v>24091</v>
      </c>
      <c r="E30522">
        <v>68.69</v>
      </c>
    </row>
    <row r="30523" spans="1:5" x14ac:dyDescent="0.2">
      <c r="A30523">
        <v>24092</v>
      </c>
      <c r="B30523" t="s">
        <v>52</v>
      </c>
      <c r="C30523">
        <v>24092</v>
      </c>
      <c r="D30523" t="str">
        <f>"24092"</f>
        <v>24092</v>
      </c>
      <c r="E30523">
        <v>68.7</v>
      </c>
    </row>
    <row r="30524" spans="1:5" x14ac:dyDescent="0.2">
      <c r="A30524">
        <v>24093</v>
      </c>
      <c r="B30524" t="s">
        <v>52</v>
      </c>
      <c r="C30524">
        <v>24093</v>
      </c>
      <c r="D30524" t="str">
        <f>"24093"</f>
        <v>24093</v>
      </c>
      <c r="E30524" t="s">
        <v>6</v>
      </c>
    </row>
    <row r="30525" spans="1:5" x14ac:dyDescent="0.2">
      <c r="A30525">
        <v>24095</v>
      </c>
      <c r="B30525" t="s">
        <v>52</v>
      </c>
      <c r="C30525">
        <v>24095</v>
      </c>
      <c r="D30525" t="str">
        <f>"24095"</f>
        <v>24095</v>
      </c>
      <c r="E30525">
        <v>74.87</v>
      </c>
    </row>
    <row r="30526" spans="1:5" x14ac:dyDescent="0.2">
      <c r="A30526">
        <v>24101</v>
      </c>
      <c r="B30526" t="s">
        <v>52</v>
      </c>
      <c r="C30526">
        <v>24101</v>
      </c>
      <c r="D30526" t="str">
        <f>"24101"</f>
        <v>24101</v>
      </c>
      <c r="E30526">
        <v>76.900000000000006</v>
      </c>
    </row>
    <row r="30527" spans="1:5" x14ac:dyDescent="0.2">
      <c r="A30527">
        <v>24102</v>
      </c>
      <c r="B30527" t="s">
        <v>52</v>
      </c>
      <c r="C30527">
        <v>24102</v>
      </c>
      <c r="D30527" t="str">
        <f>"24102"</f>
        <v>24102</v>
      </c>
      <c r="E30527">
        <v>66.150000000000006</v>
      </c>
    </row>
    <row r="30528" spans="1:5" x14ac:dyDescent="0.2">
      <c r="A30528">
        <v>24104</v>
      </c>
      <c r="B30528" t="s">
        <v>52</v>
      </c>
      <c r="C30528">
        <v>24104</v>
      </c>
      <c r="D30528" t="str">
        <f>"24104"</f>
        <v>24104</v>
      </c>
      <c r="E30528">
        <v>74.38</v>
      </c>
    </row>
    <row r="30529" spans="1:5" x14ac:dyDescent="0.2">
      <c r="A30529">
        <v>24105</v>
      </c>
      <c r="B30529" t="s">
        <v>52</v>
      </c>
      <c r="C30529">
        <v>24105</v>
      </c>
      <c r="D30529" t="str">
        <f>"24105"</f>
        <v>24105</v>
      </c>
      <c r="E30529">
        <v>66.67</v>
      </c>
    </row>
    <row r="30530" spans="1:5" x14ac:dyDescent="0.2">
      <c r="A30530">
        <v>24112</v>
      </c>
      <c r="B30530" t="s">
        <v>52</v>
      </c>
      <c r="C30530">
        <v>24112</v>
      </c>
      <c r="D30530" t="str">
        <f>"24112"</f>
        <v>24112</v>
      </c>
      <c r="E30530">
        <v>62.79</v>
      </c>
    </row>
    <row r="30531" spans="1:5" x14ac:dyDescent="0.2">
      <c r="A30531">
        <v>24120</v>
      </c>
      <c r="B30531" t="s">
        <v>52</v>
      </c>
      <c r="C30531">
        <v>24120</v>
      </c>
      <c r="D30531" t="str">
        <f>"24120"</f>
        <v>24120</v>
      </c>
      <c r="E30531">
        <v>67.11</v>
      </c>
    </row>
    <row r="30532" spans="1:5" x14ac:dyDescent="0.2">
      <c r="A30532">
        <v>24121</v>
      </c>
      <c r="B30532" t="s">
        <v>52</v>
      </c>
      <c r="C30532">
        <v>24121</v>
      </c>
      <c r="D30532" t="str">
        <f>"24121"</f>
        <v>24121</v>
      </c>
      <c r="E30532">
        <v>76.239999999999995</v>
      </c>
    </row>
    <row r="30533" spans="1:5" x14ac:dyDescent="0.2">
      <c r="A30533">
        <v>24122</v>
      </c>
      <c r="B30533" t="s">
        <v>52</v>
      </c>
      <c r="C30533">
        <v>24122</v>
      </c>
      <c r="D30533" t="str">
        <f>"24122"</f>
        <v>24122</v>
      </c>
      <c r="E30533">
        <v>70.510000000000005</v>
      </c>
    </row>
    <row r="30534" spans="1:5" x14ac:dyDescent="0.2">
      <c r="A30534">
        <v>24124</v>
      </c>
      <c r="B30534" t="s">
        <v>52</v>
      </c>
      <c r="C30534">
        <v>24124</v>
      </c>
      <c r="D30534" t="str">
        <f>"24124"</f>
        <v>24124</v>
      </c>
      <c r="E30534">
        <v>69.61</v>
      </c>
    </row>
    <row r="30535" spans="1:5" x14ac:dyDescent="0.2">
      <c r="A30535">
        <v>24127</v>
      </c>
      <c r="B30535" t="s">
        <v>52</v>
      </c>
      <c r="C30535">
        <v>24127</v>
      </c>
      <c r="D30535" t="str">
        <f>"24127"</f>
        <v>24127</v>
      </c>
      <c r="E30535">
        <v>69.61</v>
      </c>
    </row>
    <row r="30536" spans="1:5" x14ac:dyDescent="0.2">
      <c r="A30536">
        <v>24128</v>
      </c>
      <c r="B30536" t="s">
        <v>52</v>
      </c>
      <c r="C30536">
        <v>24128</v>
      </c>
      <c r="D30536" t="str">
        <f>"24128"</f>
        <v>24128</v>
      </c>
      <c r="E30536">
        <v>76.47</v>
      </c>
    </row>
    <row r="30537" spans="1:5" x14ac:dyDescent="0.2">
      <c r="A30537">
        <v>24131</v>
      </c>
      <c r="B30537" t="s">
        <v>52</v>
      </c>
      <c r="C30537">
        <v>24131</v>
      </c>
      <c r="D30537" t="str">
        <f>"24131"</f>
        <v>24131</v>
      </c>
      <c r="E30537" t="s">
        <v>6</v>
      </c>
    </row>
    <row r="30538" spans="1:5" x14ac:dyDescent="0.2">
      <c r="A30538">
        <v>24132</v>
      </c>
      <c r="B30538" t="s">
        <v>52</v>
      </c>
      <c r="C30538">
        <v>24132</v>
      </c>
      <c r="D30538" t="str">
        <f>"24132"</f>
        <v>24132</v>
      </c>
      <c r="E30538" t="s">
        <v>6</v>
      </c>
    </row>
    <row r="30539" spans="1:5" x14ac:dyDescent="0.2">
      <c r="A30539">
        <v>24133</v>
      </c>
      <c r="B30539" t="s">
        <v>52</v>
      </c>
      <c r="C30539">
        <v>24133</v>
      </c>
      <c r="D30539" t="str">
        <f>"24133"</f>
        <v>24133</v>
      </c>
      <c r="E30539">
        <v>66.989999999999995</v>
      </c>
    </row>
    <row r="30540" spans="1:5" x14ac:dyDescent="0.2">
      <c r="A30540">
        <v>24134</v>
      </c>
      <c r="B30540" t="s">
        <v>52</v>
      </c>
      <c r="C30540">
        <v>24134</v>
      </c>
      <c r="D30540" t="str">
        <f>"24134"</f>
        <v>24134</v>
      </c>
      <c r="E30540">
        <v>72.06</v>
      </c>
    </row>
    <row r="30541" spans="1:5" x14ac:dyDescent="0.2">
      <c r="A30541">
        <v>24136</v>
      </c>
      <c r="B30541" t="s">
        <v>52</v>
      </c>
      <c r="C30541">
        <v>24136</v>
      </c>
      <c r="D30541" t="str">
        <f>"24136"</f>
        <v>24136</v>
      </c>
      <c r="E30541">
        <v>72.3</v>
      </c>
    </row>
    <row r="30542" spans="1:5" x14ac:dyDescent="0.2">
      <c r="A30542">
        <v>24137</v>
      </c>
      <c r="B30542" t="s">
        <v>52</v>
      </c>
      <c r="C30542">
        <v>24137</v>
      </c>
      <c r="D30542" t="str">
        <f>"24137"</f>
        <v>24137</v>
      </c>
      <c r="E30542">
        <v>68.52</v>
      </c>
    </row>
    <row r="30543" spans="1:5" x14ac:dyDescent="0.2">
      <c r="A30543">
        <v>24138</v>
      </c>
      <c r="B30543" t="s">
        <v>52</v>
      </c>
      <c r="C30543">
        <v>24138</v>
      </c>
      <c r="D30543" t="str">
        <f>"24138"</f>
        <v>24138</v>
      </c>
      <c r="E30543">
        <v>73.91</v>
      </c>
    </row>
    <row r="30544" spans="1:5" x14ac:dyDescent="0.2">
      <c r="A30544">
        <v>24139</v>
      </c>
      <c r="B30544" t="s">
        <v>52</v>
      </c>
      <c r="C30544">
        <v>24139</v>
      </c>
      <c r="D30544" t="str">
        <f>"24139"</f>
        <v>24139</v>
      </c>
      <c r="E30544">
        <v>62.07</v>
      </c>
    </row>
    <row r="30545" spans="1:5" x14ac:dyDescent="0.2">
      <c r="A30545">
        <v>24141</v>
      </c>
      <c r="B30545" t="s">
        <v>52</v>
      </c>
      <c r="C30545">
        <v>24141</v>
      </c>
      <c r="D30545" t="str">
        <f>"24141"</f>
        <v>24141</v>
      </c>
      <c r="E30545">
        <v>71.75</v>
      </c>
    </row>
    <row r="30546" spans="1:5" x14ac:dyDescent="0.2">
      <c r="A30546">
        <v>24142</v>
      </c>
      <c r="B30546" t="s">
        <v>52</v>
      </c>
      <c r="C30546">
        <v>24142</v>
      </c>
      <c r="D30546" t="str">
        <f>"24142"</f>
        <v>24142</v>
      </c>
      <c r="E30546" t="s">
        <v>6</v>
      </c>
    </row>
    <row r="30547" spans="1:5" x14ac:dyDescent="0.2">
      <c r="A30547">
        <v>24147</v>
      </c>
      <c r="B30547" t="s">
        <v>52</v>
      </c>
      <c r="C30547">
        <v>24147</v>
      </c>
      <c r="D30547" t="str">
        <f>"24147"</f>
        <v>24147</v>
      </c>
      <c r="E30547">
        <v>71.790000000000006</v>
      </c>
    </row>
    <row r="30548" spans="1:5" x14ac:dyDescent="0.2">
      <c r="A30548">
        <v>24148</v>
      </c>
      <c r="B30548" t="s">
        <v>52</v>
      </c>
      <c r="C30548">
        <v>24148</v>
      </c>
      <c r="D30548" t="str">
        <f>"24148"</f>
        <v>24148</v>
      </c>
      <c r="E30548">
        <v>68.599999999999994</v>
      </c>
    </row>
    <row r="30549" spans="1:5" x14ac:dyDescent="0.2">
      <c r="A30549">
        <v>24149</v>
      </c>
      <c r="B30549" t="s">
        <v>52</v>
      </c>
      <c r="C30549">
        <v>24149</v>
      </c>
      <c r="D30549" t="str">
        <f>"24149"</f>
        <v>24149</v>
      </c>
      <c r="E30549">
        <v>78.260000000000005</v>
      </c>
    </row>
    <row r="30550" spans="1:5" x14ac:dyDescent="0.2">
      <c r="A30550">
        <v>24150</v>
      </c>
      <c r="B30550" t="s">
        <v>52</v>
      </c>
      <c r="C30550">
        <v>24150</v>
      </c>
      <c r="D30550" t="str">
        <f>"24150"</f>
        <v>24150</v>
      </c>
      <c r="E30550">
        <v>70.37</v>
      </c>
    </row>
    <row r="30551" spans="1:5" x14ac:dyDescent="0.2">
      <c r="A30551">
        <v>24151</v>
      </c>
      <c r="B30551" t="s">
        <v>52</v>
      </c>
      <c r="C30551">
        <v>24151</v>
      </c>
      <c r="D30551" t="str">
        <f>"24151"</f>
        <v>24151</v>
      </c>
      <c r="E30551">
        <v>67.069999999999993</v>
      </c>
    </row>
    <row r="30552" spans="1:5" x14ac:dyDescent="0.2">
      <c r="A30552">
        <v>24153</v>
      </c>
      <c r="B30552" t="s">
        <v>52</v>
      </c>
      <c r="C30552">
        <v>24153</v>
      </c>
      <c r="D30552" t="str">
        <f>"24153"</f>
        <v>24153</v>
      </c>
      <c r="E30552">
        <v>75.069999999999993</v>
      </c>
    </row>
    <row r="30553" spans="1:5" x14ac:dyDescent="0.2">
      <c r="A30553">
        <v>24161</v>
      </c>
      <c r="B30553" t="s">
        <v>52</v>
      </c>
      <c r="C30553">
        <v>24161</v>
      </c>
      <c r="D30553" t="str">
        <f>"24161"</f>
        <v>24161</v>
      </c>
      <c r="E30553">
        <v>62.5</v>
      </c>
    </row>
    <row r="30554" spans="1:5" x14ac:dyDescent="0.2">
      <c r="A30554">
        <v>24162</v>
      </c>
      <c r="B30554" t="s">
        <v>52</v>
      </c>
      <c r="C30554">
        <v>24162</v>
      </c>
      <c r="D30554" t="str">
        <f>"24162"</f>
        <v>24162</v>
      </c>
      <c r="E30554">
        <v>71.28</v>
      </c>
    </row>
    <row r="30555" spans="1:5" x14ac:dyDescent="0.2">
      <c r="A30555">
        <v>24165</v>
      </c>
      <c r="B30555" t="s">
        <v>52</v>
      </c>
      <c r="C30555">
        <v>24165</v>
      </c>
      <c r="D30555" t="str">
        <f>"24165"</f>
        <v>24165</v>
      </c>
      <c r="E30555">
        <v>68.06</v>
      </c>
    </row>
    <row r="30556" spans="1:5" x14ac:dyDescent="0.2">
      <c r="A30556">
        <v>24167</v>
      </c>
      <c r="B30556" t="s">
        <v>52</v>
      </c>
      <c r="C30556">
        <v>24167</v>
      </c>
      <c r="D30556" t="str">
        <f>"24167"</f>
        <v>24167</v>
      </c>
      <c r="E30556">
        <v>64.290000000000006</v>
      </c>
    </row>
    <row r="30557" spans="1:5" x14ac:dyDescent="0.2">
      <c r="A30557">
        <v>24168</v>
      </c>
      <c r="B30557" t="s">
        <v>52</v>
      </c>
      <c r="C30557">
        <v>24168</v>
      </c>
      <c r="D30557" t="str">
        <f>"24168"</f>
        <v>24168</v>
      </c>
      <c r="E30557">
        <v>61.29</v>
      </c>
    </row>
    <row r="30558" spans="1:5" x14ac:dyDescent="0.2">
      <c r="A30558">
        <v>24171</v>
      </c>
      <c r="B30558" t="s">
        <v>52</v>
      </c>
      <c r="C30558">
        <v>24171</v>
      </c>
      <c r="D30558" t="str">
        <f>"24171"</f>
        <v>24171</v>
      </c>
      <c r="E30558">
        <v>69.02</v>
      </c>
    </row>
    <row r="30559" spans="1:5" x14ac:dyDescent="0.2">
      <c r="A30559">
        <v>24174</v>
      </c>
      <c r="B30559" t="s">
        <v>52</v>
      </c>
      <c r="C30559">
        <v>24174</v>
      </c>
      <c r="D30559" t="str">
        <f>"24174"</f>
        <v>24174</v>
      </c>
      <c r="E30559">
        <v>71.84</v>
      </c>
    </row>
    <row r="30560" spans="1:5" x14ac:dyDescent="0.2">
      <c r="A30560">
        <v>24175</v>
      </c>
      <c r="B30560" t="s">
        <v>52</v>
      </c>
      <c r="C30560">
        <v>24175</v>
      </c>
      <c r="D30560" t="str">
        <f>"24175"</f>
        <v>24175</v>
      </c>
      <c r="E30560">
        <v>77.11</v>
      </c>
    </row>
    <row r="30561" spans="1:5" x14ac:dyDescent="0.2">
      <c r="A30561">
        <v>24176</v>
      </c>
      <c r="B30561" t="s">
        <v>52</v>
      </c>
      <c r="C30561">
        <v>24176</v>
      </c>
      <c r="D30561" t="str">
        <f>"24176"</f>
        <v>24176</v>
      </c>
      <c r="E30561">
        <v>75.36</v>
      </c>
    </row>
    <row r="30562" spans="1:5" x14ac:dyDescent="0.2">
      <c r="A30562">
        <v>24179</v>
      </c>
      <c r="B30562" t="s">
        <v>52</v>
      </c>
      <c r="C30562">
        <v>24179</v>
      </c>
      <c r="D30562" t="str">
        <f>"24179"</f>
        <v>24179</v>
      </c>
      <c r="E30562">
        <v>72.14</v>
      </c>
    </row>
    <row r="30563" spans="1:5" x14ac:dyDescent="0.2">
      <c r="A30563">
        <v>24184</v>
      </c>
      <c r="B30563" t="s">
        <v>52</v>
      </c>
      <c r="C30563">
        <v>24184</v>
      </c>
      <c r="D30563" t="str">
        <f>"24184"</f>
        <v>24184</v>
      </c>
      <c r="E30563">
        <v>72.33</v>
      </c>
    </row>
    <row r="30564" spans="1:5" x14ac:dyDescent="0.2">
      <c r="A30564">
        <v>24185</v>
      </c>
      <c r="B30564" t="s">
        <v>52</v>
      </c>
      <c r="C30564">
        <v>24185</v>
      </c>
      <c r="D30564" t="str">
        <f>"24185"</f>
        <v>24185</v>
      </c>
      <c r="E30564">
        <v>68.42</v>
      </c>
    </row>
    <row r="30565" spans="1:5" x14ac:dyDescent="0.2">
      <c r="A30565">
        <v>24201</v>
      </c>
      <c r="B30565" t="s">
        <v>52</v>
      </c>
      <c r="C30565">
        <v>24201</v>
      </c>
      <c r="D30565" t="str">
        <f>"24201"</f>
        <v>24201</v>
      </c>
      <c r="E30565">
        <v>62.62</v>
      </c>
    </row>
    <row r="30566" spans="1:5" x14ac:dyDescent="0.2">
      <c r="A30566">
        <v>24202</v>
      </c>
      <c r="B30566" t="s">
        <v>52</v>
      </c>
      <c r="C30566">
        <v>24202</v>
      </c>
      <c r="D30566" t="str">
        <f>"24202"</f>
        <v>24202</v>
      </c>
      <c r="E30566">
        <v>69.2</v>
      </c>
    </row>
    <row r="30567" spans="1:5" x14ac:dyDescent="0.2">
      <c r="A30567">
        <v>24210</v>
      </c>
      <c r="B30567" t="s">
        <v>52</v>
      </c>
      <c r="C30567">
        <v>24210</v>
      </c>
      <c r="D30567" t="str">
        <f>"24210"</f>
        <v>24210</v>
      </c>
      <c r="E30567">
        <v>70.36</v>
      </c>
    </row>
    <row r="30568" spans="1:5" x14ac:dyDescent="0.2">
      <c r="A30568">
        <v>24211</v>
      </c>
      <c r="B30568" t="s">
        <v>52</v>
      </c>
      <c r="C30568">
        <v>24211</v>
      </c>
      <c r="D30568" t="str">
        <f>"24211"</f>
        <v>24211</v>
      </c>
      <c r="E30568">
        <v>75.06</v>
      </c>
    </row>
    <row r="30569" spans="1:5" x14ac:dyDescent="0.2">
      <c r="A30569">
        <v>24216</v>
      </c>
      <c r="B30569" t="s">
        <v>52</v>
      </c>
      <c r="C30569">
        <v>24216</v>
      </c>
      <c r="D30569" t="str">
        <f>"24216"</f>
        <v>24216</v>
      </c>
      <c r="E30569">
        <v>56.1</v>
      </c>
    </row>
    <row r="30570" spans="1:5" x14ac:dyDescent="0.2">
      <c r="A30570">
        <v>24217</v>
      </c>
      <c r="B30570" t="s">
        <v>52</v>
      </c>
      <c r="C30570">
        <v>24217</v>
      </c>
      <c r="D30570" t="str">
        <f>"24217"</f>
        <v>24217</v>
      </c>
      <c r="E30570">
        <v>70</v>
      </c>
    </row>
    <row r="30571" spans="1:5" x14ac:dyDescent="0.2">
      <c r="A30571">
        <v>24219</v>
      </c>
      <c r="B30571" t="s">
        <v>52</v>
      </c>
      <c r="C30571">
        <v>24219</v>
      </c>
      <c r="D30571" t="str">
        <f>"24219"</f>
        <v>24219</v>
      </c>
      <c r="E30571">
        <v>64.33</v>
      </c>
    </row>
    <row r="30572" spans="1:5" x14ac:dyDescent="0.2">
      <c r="A30572">
        <v>24220</v>
      </c>
      <c r="B30572" t="s">
        <v>52</v>
      </c>
      <c r="C30572">
        <v>24220</v>
      </c>
      <c r="D30572" t="str">
        <f>"24220"</f>
        <v>24220</v>
      </c>
      <c r="E30572">
        <v>62.5</v>
      </c>
    </row>
    <row r="30573" spans="1:5" x14ac:dyDescent="0.2">
      <c r="A30573">
        <v>24221</v>
      </c>
      <c r="B30573" t="s">
        <v>52</v>
      </c>
      <c r="C30573">
        <v>24221</v>
      </c>
      <c r="D30573" t="str">
        <f>"24221"</f>
        <v>24221</v>
      </c>
      <c r="E30573">
        <v>61.54</v>
      </c>
    </row>
    <row r="30574" spans="1:5" x14ac:dyDescent="0.2">
      <c r="A30574">
        <v>24224</v>
      </c>
      <c r="B30574" t="s">
        <v>52</v>
      </c>
      <c r="C30574">
        <v>24224</v>
      </c>
      <c r="D30574" t="str">
        <f>"24224"</f>
        <v>24224</v>
      </c>
      <c r="E30574">
        <v>66.150000000000006</v>
      </c>
    </row>
    <row r="30575" spans="1:5" x14ac:dyDescent="0.2">
      <c r="A30575">
        <v>24225</v>
      </c>
      <c r="B30575" t="s">
        <v>52</v>
      </c>
      <c r="C30575">
        <v>24225</v>
      </c>
      <c r="D30575" t="str">
        <f>"24225"</f>
        <v>24225</v>
      </c>
      <c r="E30575">
        <v>61.4</v>
      </c>
    </row>
    <row r="30576" spans="1:5" x14ac:dyDescent="0.2">
      <c r="A30576">
        <v>24226</v>
      </c>
      <c r="B30576" t="s">
        <v>52</v>
      </c>
      <c r="C30576">
        <v>24226</v>
      </c>
      <c r="D30576" t="str">
        <f>"24226"</f>
        <v>24226</v>
      </c>
      <c r="E30576">
        <v>60</v>
      </c>
    </row>
    <row r="30577" spans="1:5" x14ac:dyDescent="0.2">
      <c r="A30577">
        <v>24228</v>
      </c>
      <c r="B30577" t="s">
        <v>52</v>
      </c>
      <c r="C30577">
        <v>24228</v>
      </c>
      <c r="D30577" t="str">
        <f>"24228"</f>
        <v>24228</v>
      </c>
      <c r="E30577">
        <v>66.52</v>
      </c>
    </row>
    <row r="30578" spans="1:5" x14ac:dyDescent="0.2">
      <c r="A30578">
        <v>24230</v>
      </c>
      <c r="B30578" t="s">
        <v>52</v>
      </c>
      <c r="C30578">
        <v>24230</v>
      </c>
      <c r="D30578" t="str">
        <f>"24230"</f>
        <v>24230</v>
      </c>
      <c r="E30578">
        <v>61.46</v>
      </c>
    </row>
    <row r="30579" spans="1:5" x14ac:dyDescent="0.2">
      <c r="A30579">
        <v>24236</v>
      </c>
      <c r="B30579" t="s">
        <v>52</v>
      </c>
      <c r="C30579">
        <v>24236</v>
      </c>
      <c r="D30579" t="str">
        <f>"24236"</f>
        <v>24236</v>
      </c>
      <c r="E30579">
        <v>62.93</v>
      </c>
    </row>
    <row r="30580" spans="1:5" x14ac:dyDescent="0.2">
      <c r="A30580">
        <v>24237</v>
      </c>
      <c r="B30580" t="s">
        <v>52</v>
      </c>
      <c r="C30580">
        <v>24237</v>
      </c>
      <c r="D30580" t="str">
        <f>"24237"</f>
        <v>24237</v>
      </c>
      <c r="E30580">
        <v>54.84</v>
      </c>
    </row>
    <row r="30581" spans="1:5" x14ac:dyDescent="0.2">
      <c r="A30581">
        <v>24239</v>
      </c>
      <c r="B30581" t="s">
        <v>52</v>
      </c>
      <c r="C30581">
        <v>24239</v>
      </c>
      <c r="D30581" t="str">
        <f>"24239"</f>
        <v>24239</v>
      </c>
      <c r="E30581">
        <v>58.33</v>
      </c>
    </row>
    <row r="30582" spans="1:5" x14ac:dyDescent="0.2">
      <c r="A30582">
        <v>24243</v>
      </c>
      <c r="B30582" t="s">
        <v>52</v>
      </c>
      <c r="C30582">
        <v>24243</v>
      </c>
      <c r="D30582" t="str">
        <f>"24243"</f>
        <v>24243</v>
      </c>
      <c r="E30582">
        <v>60</v>
      </c>
    </row>
    <row r="30583" spans="1:5" x14ac:dyDescent="0.2">
      <c r="A30583">
        <v>24244</v>
      </c>
      <c r="B30583" t="s">
        <v>52</v>
      </c>
      <c r="C30583">
        <v>24244</v>
      </c>
      <c r="D30583" t="str">
        <f>"24244"</f>
        <v>24244</v>
      </c>
      <c r="E30583">
        <v>66.86</v>
      </c>
    </row>
    <row r="30584" spans="1:5" x14ac:dyDescent="0.2">
      <c r="A30584">
        <v>24245</v>
      </c>
      <c r="B30584" t="s">
        <v>52</v>
      </c>
      <c r="C30584">
        <v>24245</v>
      </c>
      <c r="D30584" t="str">
        <f>"24245"</f>
        <v>24245</v>
      </c>
      <c r="E30584">
        <v>62.86</v>
      </c>
    </row>
    <row r="30585" spans="1:5" x14ac:dyDescent="0.2">
      <c r="A30585">
        <v>24248</v>
      </c>
      <c r="B30585" t="s">
        <v>52</v>
      </c>
      <c r="C30585">
        <v>24248</v>
      </c>
      <c r="D30585" t="str">
        <f>"24248"</f>
        <v>24248</v>
      </c>
      <c r="E30585">
        <v>65.430000000000007</v>
      </c>
    </row>
    <row r="30586" spans="1:5" x14ac:dyDescent="0.2">
      <c r="A30586">
        <v>24250</v>
      </c>
      <c r="B30586" t="s">
        <v>52</v>
      </c>
      <c r="C30586">
        <v>24250</v>
      </c>
      <c r="D30586" t="str">
        <f>"24250"</f>
        <v>24250</v>
      </c>
      <c r="E30586">
        <v>61.9</v>
      </c>
    </row>
    <row r="30587" spans="1:5" x14ac:dyDescent="0.2">
      <c r="A30587">
        <v>24251</v>
      </c>
      <c r="B30587" t="s">
        <v>52</v>
      </c>
      <c r="C30587">
        <v>24251</v>
      </c>
      <c r="D30587" t="str">
        <f>"24251"</f>
        <v>24251</v>
      </c>
      <c r="E30587">
        <v>67.25</v>
      </c>
    </row>
    <row r="30588" spans="1:5" x14ac:dyDescent="0.2">
      <c r="A30588">
        <v>24256</v>
      </c>
      <c r="B30588" t="s">
        <v>52</v>
      </c>
      <c r="C30588">
        <v>24256</v>
      </c>
      <c r="D30588" t="str">
        <f>"24256"</f>
        <v>24256</v>
      </c>
      <c r="E30588">
        <v>59.79</v>
      </c>
    </row>
    <row r="30589" spans="1:5" x14ac:dyDescent="0.2">
      <c r="A30589">
        <v>24258</v>
      </c>
      <c r="B30589" t="s">
        <v>52</v>
      </c>
      <c r="C30589">
        <v>24258</v>
      </c>
      <c r="D30589" t="str">
        <f>"24258"</f>
        <v>24258</v>
      </c>
      <c r="E30589">
        <v>71.430000000000007</v>
      </c>
    </row>
    <row r="30590" spans="1:5" x14ac:dyDescent="0.2">
      <c r="A30590">
        <v>24260</v>
      </c>
      <c r="B30590" t="s">
        <v>52</v>
      </c>
      <c r="C30590">
        <v>24260</v>
      </c>
      <c r="D30590" t="str">
        <f>"24260"</f>
        <v>24260</v>
      </c>
      <c r="E30590">
        <v>63.69</v>
      </c>
    </row>
    <row r="30591" spans="1:5" x14ac:dyDescent="0.2">
      <c r="A30591">
        <v>24263</v>
      </c>
      <c r="B30591" t="s">
        <v>52</v>
      </c>
      <c r="C30591">
        <v>24263</v>
      </c>
      <c r="D30591" t="str">
        <f>"24263"</f>
        <v>24263</v>
      </c>
      <c r="E30591">
        <v>65.92</v>
      </c>
    </row>
    <row r="30592" spans="1:5" x14ac:dyDescent="0.2">
      <c r="A30592">
        <v>24265</v>
      </c>
      <c r="B30592" t="s">
        <v>52</v>
      </c>
      <c r="C30592">
        <v>24265</v>
      </c>
      <c r="D30592" t="str">
        <f>"24265"</f>
        <v>24265</v>
      </c>
      <c r="E30592">
        <v>57.14</v>
      </c>
    </row>
    <row r="30593" spans="1:5" x14ac:dyDescent="0.2">
      <c r="A30593">
        <v>24266</v>
      </c>
      <c r="B30593" t="s">
        <v>52</v>
      </c>
      <c r="C30593">
        <v>24266</v>
      </c>
      <c r="D30593" t="str">
        <f>"24266"</f>
        <v>24266</v>
      </c>
      <c r="E30593">
        <v>69.84</v>
      </c>
    </row>
    <row r="30594" spans="1:5" x14ac:dyDescent="0.2">
      <c r="A30594">
        <v>24269</v>
      </c>
      <c r="B30594" t="s">
        <v>52</v>
      </c>
      <c r="C30594">
        <v>24269</v>
      </c>
      <c r="D30594" t="str">
        <f>"24269"</f>
        <v>24269</v>
      </c>
      <c r="E30594" t="s">
        <v>6</v>
      </c>
    </row>
    <row r="30595" spans="1:5" x14ac:dyDescent="0.2">
      <c r="A30595">
        <v>24270</v>
      </c>
      <c r="B30595" t="s">
        <v>52</v>
      </c>
      <c r="C30595">
        <v>24270</v>
      </c>
      <c r="D30595" t="str">
        <f>"24270"</f>
        <v>24270</v>
      </c>
      <c r="E30595">
        <v>63.16</v>
      </c>
    </row>
    <row r="30596" spans="1:5" x14ac:dyDescent="0.2">
      <c r="A30596">
        <v>24271</v>
      </c>
      <c r="B30596" t="s">
        <v>52</v>
      </c>
      <c r="C30596">
        <v>24271</v>
      </c>
      <c r="D30596" t="str">
        <f>"24271"</f>
        <v>24271</v>
      </c>
      <c r="E30596">
        <v>67.37</v>
      </c>
    </row>
    <row r="30597" spans="1:5" x14ac:dyDescent="0.2">
      <c r="A30597">
        <v>24272</v>
      </c>
      <c r="B30597" t="s">
        <v>52</v>
      </c>
      <c r="C30597">
        <v>24272</v>
      </c>
      <c r="D30597" t="str">
        <f>"24272"</f>
        <v>24272</v>
      </c>
      <c r="E30597">
        <v>61.54</v>
      </c>
    </row>
    <row r="30598" spans="1:5" x14ac:dyDescent="0.2">
      <c r="A30598">
        <v>24273</v>
      </c>
      <c r="B30598" t="s">
        <v>52</v>
      </c>
      <c r="C30598">
        <v>24273</v>
      </c>
      <c r="D30598" t="str">
        <f>"24273"</f>
        <v>24273</v>
      </c>
      <c r="E30598">
        <v>61.67</v>
      </c>
    </row>
    <row r="30599" spans="1:5" x14ac:dyDescent="0.2">
      <c r="A30599">
        <v>24277</v>
      </c>
      <c r="B30599" t="s">
        <v>52</v>
      </c>
      <c r="C30599">
        <v>24277</v>
      </c>
      <c r="D30599" t="str">
        <f>"24277"</f>
        <v>24277</v>
      </c>
      <c r="E30599">
        <v>59.39</v>
      </c>
    </row>
    <row r="30600" spans="1:5" x14ac:dyDescent="0.2">
      <c r="A30600">
        <v>24279</v>
      </c>
      <c r="B30600" t="s">
        <v>52</v>
      </c>
      <c r="C30600">
        <v>24279</v>
      </c>
      <c r="D30600" t="str">
        <f>"24279"</f>
        <v>24279</v>
      </c>
      <c r="E30600">
        <v>65.989999999999995</v>
      </c>
    </row>
    <row r="30601" spans="1:5" x14ac:dyDescent="0.2">
      <c r="A30601">
        <v>24280</v>
      </c>
      <c r="B30601" t="s">
        <v>52</v>
      </c>
      <c r="C30601">
        <v>24280</v>
      </c>
      <c r="D30601" t="str">
        <f>"24280"</f>
        <v>24280</v>
      </c>
      <c r="E30601">
        <v>75</v>
      </c>
    </row>
    <row r="30602" spans="1:5" x14ac:dyDescent="0.2">
      <c r="A30602">
        <v>24281</v>
      </c>
      <c r="B30602" t="s">
        <v>52</v>
      </c>
      <c r="C30602">
        <v>24281</v>
      </c>
      <c r="D30602" t="str">
        <f>"24281"</f>
        <v>24281</v>
      </c>
      <c r="E30602">
        <v>62.03</v>
      </c>
    </row>
    <row r="30603" spans="1:5" x14ac:dyDescent="0.2">
      <c r="A30603">
        <v>24282</v>
      </c>
      <c r="B30603" t="s">
        <v>52</v>
      </c>
      <c r="C30603">
        <v>24282</v>
      </c>
      <c r="D30603" t="str">
        <f>"24282"</f>
        <v>24282</v>
      </c>
      <c r="E30603">
        <v>43.75</v>
      </c>
    </row>
    <row r="30604" spans="1:5" x14ac:dyDescent="0.2">
      <c r="A30604">
        <v>24283</v>
      </c>
      <c r="B30604" t="s">
        <v>52</v>
      </c>
      <c r="C30604">
        <v>24283</v>
      </c>
      <c r="D30604" t="str">
        <f>"24283"</f>
        <v>24283</v>
      </c>
      <c r="E30604">
        <v>65.56</v>
      </c>
    </row>
    <row r="30605" spans="1:5" x14ac:dyDescent="0.2">
      <c r="A30605">
        <v>24290</v>
      </c>
      <c r="B30605" t="s">
        <v>52</v>
      </c>
      <c r="C30605">
        <v>24290</v>
      </c>
      <c r="D30605" t="str">
        <f>"24290"</f>
        <v>24290</v>
      </c>
      <c r="E30605">
        <v>63.49</v>
      </c>
    </row>
    <row r="30606" spans="1:5" x14ac:dyDescent="0.2">
      <c r="A30606">
        <v>24292</v>
      </c>
      <c r="B30606" t="s">
        <v>52</v>
      </c>
      <c r="C30606">
        <v>24292</v>
      </c>
      <c r="D30606" t="str">
        <f>"24292"</f>
        <v>24292</v>
      </c>
      <c r="E30606">
        <v>60</v>
      </c>
    </row>
    <row r="30607" spans="1:5" x14ac:dyDescent="0.2">
      <c r="A30607">
        <v>24293</v>
      </c>
      <c r="B30607" t="s">
        <v>52</v>
      </c>
      <c r="C30607">
        <v>24293</v>
      </c>
      <c r="D30607" t="str">
        <f>"24293"</f>
        <v>24293</v>
      </c>
      <c r="E30607">
        <v>68.599999999999994</v>
      </c>
    </row>
    <row r="30608" spans="1:5" x14ac:dyDescent="0.2">
      <c r="A30608">
        <v>24301</v>
      </c>
      <c r="B30608" t="s">
        <v>52</v>
      </c>
      <c r="C30608">
        <v>24301</v>
      </c>
      <c r="D30608" t="str">
        <f>"24301"</f>
        <v>24301</v>
      </c>
      <c r="E30608">
        <v>67.84</v>
      </c>
    </row>
    <row r="30609" spans="1:5" x14ac:dyDescent="0.2">
      <c r="A30609">
        <v>24311</v>
      </c>
      <c r="B30609" t="s">
        <v>52</v>
      </c>
      <c r="C30609">
        <v>24311</v>
      </c>
      <c r="D30609" t="str">
        <f>"24311"</f>
        <v>24311</v>
      </c>
      <c r="E30609">
        <v>63.16</v>
      </c>
    </row>
    <row r="30610" spans="1:5" x14ac:dyDescent="0.2">
      <c r="A30610">
        <v>24312</v>
      </c>
      <c r="B30610" t="s">
        <v>52</v>
      </c>
      <c r="C30610">
        <v>24312</v>
      </c>
      <c r="D30610" t="str">
        <f>"24312"</f>
        <v>24312</v>
      </c>
      <c r="E30610">
        <v>70.45</v>
      </c>
    </row>
    <row r="30611" spans="1:5" x14ac:dyDescent="0.2">
      <c r="A30611">
        <v>24313</v>
      </c>
      <c r="B30611" t="s">
        <v>52</v>
      </c>
      <c r="C30611">
        <v>24313</v>
      </c>
      <c r="D30611" t="str">
        <f>"24313"</f>
        <v>24313</v>
      </c>
      <c r="E30611">
        <v>67.569999999999993</v>
      </c>
    </row>
    <row r="30612" spans="1:5" x14ac:dyDescent="0.2">
      <c r="A30612">
        <v>24314</v>
      </c>
      <c r="B30612" t="s">
        <v>52</v>
      </c>
      <c r="C30612">
        <v>24314</v>
      </c>
      <c r="D30612" t="str">
        <f>"24314"</f>
        <v>24314</v>
      </c>
      <c r="E30612">
        <v>71.430000000000007</v>
      </c>
    </row>
    <row r="30613" spans="1:5" x14ac:dyDescent="0.2">
      <c r="A30613">
        <v>24315</v>
      </c>
      <c r="B30613" t="s">
        <v>52</v>
      </c>
      <c r="C30613">
        <v>24315</v>
      </c>
      <c r="D30613" t="str">
        <f>"24315"</f>
        <v>24315</v>
      </c>
      <c r="E30613">
        <v>73.02</v>
      </c>
    </row>
    <row r="30614" spans="1:5" x14ac:dyDescent="0.2">
      <c r="A30614">
        <v>24316</v>
      </c>
      <c r="B30614" t="s">
        <v>52</v>
      </c>
      <c r="C30614">
        <v>24316</v>
      </c>
      <c r="D30614" t="str">
        <f>"24316"</f>
        <v>24316</v>
      </c>
      <c r="E30614" t="s">
        <v>6</v>
      </c>
    </row>
    <row r="30615" spans="1:5" x14ac:dyDescent="0.2">
      <c r="A30615">
        <v>24317</v>
      </c>
      <c r="B30615" t="s">
        <v>52</v>
      </c>
      <c r="C30615">
        <v>24317</v>
      </c>
      <c r="D30615" t="str">
        <f>"24317"</f>
        <v>24317</v>
      </c>
      <c r="E30615">
        <v>61.07</v>
      </c>
    </row>
    <row r="30616" spans="1:5" x14ac:dyDescent="0.2">
      <c r="A30616">
        <v>24318</v>
      </c>
      <c r="B30616" t="s">
        <v>52</v>
      </c>
      <c r="C30616">
        <v>24318</v>
      </c>
      <c r="D30616" t="str">
        <f>"24318"</f>
        <v>24318</v>
      </c>
      <c r="E30616">
        <v>70.83</v>
      </c>
    </row>
    <row r="30617" spans="1:5" x14ac:dyDescent="0.2">
      <c r="A30617">
        <v>24319</v>
      </c>
      <c r="B30617" t="s">
        <v>52</v>
      </c>
      <c r="C30617">
        <v>24319</v>
      </c>
      <c r="D30617" t="str">
        <f>"24319"</f>
        <v>24319</v>
      </c>
      <c r="E30617">
        <v>68.86</v>
      </c>
    </row>
    <row r="30618" spans="1:5" x14ac:dyDescent="0.2">
      <c r="A30618">
        <v>24322</v>
      </c>
      <c r="B30618" t="s">
        <v>52</v>
      </c>
      <c r="C30618">
        <v>24322</v>
      </c>
      <c r="D30618" t="str">
        <f>"24322"</f>
        <v>24322</v>
      </c>
      <c r="E30618" t="s">
        <v>6</v>
      </c>
    </row>
    <row r="30619" spans="1:5" x14ac:dyDescent="0.2">
      <c r="A30619">
        <v>24323</v>
      </c>
      <c r="B30619" t="s">
        <v>52</v>
      </c>
      <c r="C30619">
        <v>24323</v>
      </c>
      <c r="D30619" t="str">
        <f>"24323"</f>
        <v>24323</v>
      </c>
      <c r="E30619">
        <v>63.33</v>
      </c>
    </row>
    <row r="30620" spans="1:5" x14ac:dyDescent="0.2">
      <c r="A30620">
        <v>24324</v>
      </c>
      <c r="B30620" t="s">
        <v>52</v>
      </c>
      <c r="C30620">
        <v>24324</v>
      </c>
      <c r="D30620" t="str">
        <f>"24324"</f>
        <v>24324</v>
      </c>
      <c r="E30620">
        <v>75.53</v>
      </c>
    </row>
    <row r="30621" spans="1:5" x14ac:dyDescent="0.2">
      <c r="A30621">
        <v>24325</v>
      </c>
      <c r="B30621" t="s">
        <v>52</v>
      </c>
      <c r="C30621">
        <v>24325</v>
      </c>
      <c r="D30621" t="str">
        <f>"24325"</f>
        <v>24325</v>
      </c>
      <c r="E30621">
        <v>70</v>
      </c>
    </row>
    <row r="30622" spans="1:5" x14ac:dyDescent="0.2">
      <c r="A30622">
        <v>24326</v>
      </c>
      <c r="B30622" t="s">
        <v>52</v>
      </c>
      <c r="C30622">
        <v>24326</v>
      </c>
      <c r="D30622" t="str">
        <f>"24326"</f>
        <v>24326</v>
      </c>
      <c r="E30622">
        <v>65.12</v>
      </c>
    </row>
    <row r="30623" spans="1:5" x14ac:dyDescent="0.2">
      <c r="A30623">
        <v>24328</v>
      </c>
      <c r="B30623" t="s">
        <v>52</v>
      </c>
      <c r="C30623">
        <v>24328</v>
      </c>
      <c r="D30623" t="str">
        <f>"24328"</f>
        <v>24328</v>
      </c>
      <c r="E30623">
        <v>70.59</v>
      </c>
    </row>
    <row r="30624" spans="1:5" x14ac:dyDescent="0.2">
      <c r="A30624">
        <v>24330</v>
      </c>
      <c r="B30624" t="s">
        <v>52</v>
      </c>
      <c r="C30624">
        <v>24330</v>
      </c>
      <c r="D30624" t="str">
        <f>"24330"</f>
        <v>24330</v>
      </c>
      <c r="E30624">
        <v>64.34</v>
      </c>
    </row>
    <row r="30625" spans="1:5" x14ac:dyDescent="0.2">
      <c r="A30625">
        <v>24333</v>
      </c>
      <c r="B30625" t="s">
        <v>52</v>
      </c>
      <c r="C30625">
        <v>24333</v>
      </c>
      <c r="D30625" t="str">
        <f>"24333"</f>
        <v>24333</v>
      </c>
      <c r="E30625">
        <v>63.52</v>
      </c>
    </row>
    <row r="30626" spans="1:5" x14ac:dyDescent="0.2">
      <c r="A30626">
        <v>24340</v>
      </c>
      <c r="B30626" t="s">
        <v>52</v>
      </c>
      <c r="C30626">
        <v>24340</v>
      </c>
      <c r="D30626" t="str">
        <f>"24340"</f>
        <v>24340</v>
      </c>
      <c r="E30626">
        <v>69.680000000000007</v>
      </c>
    </row>
    <row r="30627" spans="1:5" x14ac:dyDescent="0.2">
      <c r="A30627">
        <v>24343</v>
      </c>
      <c r="B30627" t="s">
        <v>52</v>
      </c>
      <c r="C30627">
        <v>24343</v>
      </c>
      <c r="D30627" t="str">
        <f>"24343"</f>
        <v>24343</v>
      </c>
      <c r="E30627">
        <v>68.11</v>
      </c>
    </row>
    <row r="30628" spans="1:5" x14ac:dyDescent="0.2">
      <c r="A30628">
        <v>24347</v>
      </c>
      <c r="B30628" t="s">
        <v>52</v>
      </c>
      <c r="C30628">
        <v>24347</v>
      </c>
      <c r="D30628" t="str">
        <f>"24347"</f>
        <v>24347</v>
      </c>
      <c r="E30628">
        <v>73.97</v>
      </c>
    </row>
    <row r="30629" spans="1:5" x14ac:dyDescent="0.2">
      <c r="A30629">
        <v>24348</v>
      </c>
      <c r="B30629" t="s">
        <v>52</v>
      </c>
      <c r="C30629">
        <v>24348</v>
      </c>
      <c r="D30629" t="str">
        <f>"24348"</f>
        <v>24348</v>
      </c>
      <c r="E30629">
        <v>62.96</v>
      </c>
    </row>
    <row r="30630" spans="1:5" x14ac:dyDescent="0.2">
      <c r="A30630">
        <v>24350</v>
      </c>
      <c r="B30630" t="s">
        <v>52</v>
      </c>
      <c r="C30630">
        <v>24350</v>
      </c>
      <c r="D30630" t="str">
        <f>"24350"</f>
        <v>24350</v>
      </c>
      <c r="E30630">
        <v>64</v>
      </c>
    </row>
    <row r="30631" spans="1:5" x14ac:dyDescent="0.2">
      <c r="A30631">
        <v>24351</v>
      </c>
      <c r="B30631" t="s">
        <v>52</v>
      </c>
      <c r="C30631">
        <v>24351</v>
      </c>
      <c r="D30631" t="str">
        <f>"24351"</f>
        <v>24351</v>
      </c>
      <c r="E30631">
        <v>69.569999999999993</v>
      </c>
    </row>
    <row r="30632" spans="1:5" x14ac:dyDescent="0.2">
      <c r="A30632">
        <v>24352</v>
      </c>
      <c r="B30632" t="s">
        <v>52</v>
      </c>
      <c r="C30632">
        <v>24352</v>
      </c>
      <c r="D30632" t="str">
        <f>"24352"</f>
        <v>24352</v>
      </c>
      <c r="E30632">
        <v>69.44</v>
      </c>
    </row>
    <row r="30633" spans="1:5" x14ac:dyDescent="0.2">
      <c r="A30633">
        <v>24354</v>
      </c>
      <c r="B30633" t="s">
        <v>52</v>
      </c>
      <c r="C30633">
        <v>24354</v>
      </c>
      <c r="D30633" t="str">
        <f>"24354"</f>
        <v>24354</v>
      </c>
      <c r="E30633">
        <v>64.900000000000006</v>
      </c>
    </row>
    <row r="30634" spans="1:5" x14ac:dyDescent="0.2">
      <c r="A30634">
        <v>24360</v>
      </c>
      <c r="B30634" t="s">
        <v>52</v>
      </c>
      <c r="C30634">
        <v>24360</v>
      </c>
      <c r="D30634" t="str">
        <f>"24360"</f>
        <v>24360</v>
      </c>
      <c r="E30634">
        <v>70.040000000000006</v>
      </c>
    </row>
    <row r="30635" spans="1:5" x14ac:dyDescent="0.2">
      <c r="A30635">
        <v>24361</v>
      </c>
      <c r="B30635" t="s">
        <v>52</v>
      </c>
      <c r="C30635">
        <v>24361</v>
      </c>
      <c r="D30635" t="str">
        <f>"24361"</f>
        <v>24361</v>
      </c>
      <c r="E30635">
        <v>67.02</v>
      </c>
    </row>
    <row r="30636" spans="1:5" x14ac:dyDescent="0.2">
      <c r="A30636">
        <v>24363</v>
      </c>
      <c r="B30636" t="s">
        <v>52</v>
      </c>
      <c r="C30636">
        <v>24363</v>
      </c>
      <c r="D30636" t="str">
        <f>"24363"</f>
        <v>24363</v>
      </c>
      <c r="E30636">
        <v>65.38</v>
      </c>
    </row>
    <row r="30637" spans="1:5" x14ac:dyDescent="0.2">
      <c r="A30637">
        <v>24366</v>
      </c>
      <c r="B30637" t="s">
        <v>52</v>
      </c>
      <c r="C30637">
        <v>24366</v>
      </c>
      <c r="D30637" t="str">
        <f>"24366"</f>
        <v>24366</v>
      </c>
      <c r="E30637">
        <v>69.23</v>
      </c>
    </row>
    <row r="30638" spans="1:5" x14ac:dyDescent="0.2">
      <c r="A30638">
        <v>24368</v>
      </c>
      <c r="B30638" t="s">
        <v>52</v>
      </c>
      <c r="C30638">
        <v>24368</v>
      </c>
      <c r="D30638" t="str">
        <f>"24368"</f>
        <v>24368</v>
      </c>
      <c r="E30638">
        <v>68.81</v>
      </c>
    </row>
    <row r="30639" spans="1:5" x14ac:dyDescent="0.2">
      <c r="A30639">
        <v>24370</v>
      </c>
      <c r="B30639" t="s">
        <v>52</v>
      </c>
      <c r="C30639">
        <v>24370</v>
      </c>
      <c r="D30639" t="str">
        <f>"24370"</f>
        <v>24370</v>
      </c>
      <c r="E30639">
        <v>63.64</v>
      </c>
    </row>
    <row r="30640" spans="1:5" x14ac:dyDescent="0.2">
      <c r="A30640">
        <v>24374</v>
      </c>
      <c r="B30640" t="s">
        <v>52</v>
      </c>
      <c r="C30640">
        <v>24374</v>
      </c>
      <c r="D30640" t="str">
        <f>"24374"</f>
        <v>24374</v>
      </c>
      <c r="E30640">
        <v>63.33</v>
      </c>
    </row>
    <row r="30641" spans="1:5" x14ac:dyDescent="0.2">
      <c r="A30641">
        <v>24375</v>
      </c>
      <c r="B30641" t="s">
        <v>52</v>
      </c>
      <c r="C30641">
        <v>24375</v>
      </c>
      <c r="D30641" t="str">
        <f>"24375"</f>
        <v>24375</v>
      </c>
      <c r="E30641">
        <v>65.569999999999993</v>
      </c>
    </row>
    <row r="30642" spans="1:5" x14ac:dyDescent="0.2">
      <c r="A30642">
        <v>24377</v>
      </c>
      <c r="B30642" t="s">
        <v>52</v>
      </c>
      <c r="C30642">
        <v>24377</v>
      </c>
      <c r="D30642" t="str">
        <f>"24377"</f>
        <v>24377</v>
      </c>
      <c r="E30642">
        <v>70</v>
      </c>
    </row>
    <row r="30643" spans="1:5" x14ac:dyDescent="0.2">
      <c r="A30643">
        <v>24378</v>
      </c>
      <c r="B30643" t="s">
        <v>52</v>
      </c>
      <c r="C30643">
        <v>24378</v>
      </c>
      <c r="D30643" t="str">
        <f>"24378"</f>
        <v>24378</v>
      </c>
      <c r="E30643">
        <v>71.430000000000007</v>
      </c>
    </row>
    <row r="30644" spans="1:5" x14ac:dyDescent="0.2">
      <c r="A30644">
        <v>24380</v>
      </c>
      <c r="B30644" t="s">
        <v>52</v>
      </c>
      <c r="C30644">
        <v>24380</v>
      </c>
      <c r="D30644" t="str">
        <f>"24380"</f>
        <v>24380</v>
      </c>
      <c r="E30644">
        <v>68.75</v>
      </c>
    </row>
    <row r="30645" spans="1:5" x14ac:dyDescent="0.2">
      <c r="A30645">
        <v>24381</v>
      </c>
      <c r="B30645" t="s">
        <v>52</v>
      </c>
      <c r="C30645">
        <v>24381</v>
      </c>
      <c r="D30645" t="str">
        <f>"24381"</f>
        <v>24381</v>
      </c>
      <c r="E30645">
        <v>71.78</v>
      </c>
    </row>
    <row r="30646" spans="1:5" x14ac:dyDescent="0.2">
      <c r="A30646">
        <v>24382</v>
      </c>
      <c r="B30646" t="s">
        <v>52</v>
      </c>
      <c r="C30646">
        <v>24382</v>
      </c>
      <c r="D30646" t="str">
        <f>"24382"</f>
        <v>24382</v>
      </c>
      <c r="E30646">
        <v>69.5</v>
      </c>
    </row>
    <row r="30647" spans="1:5" x14ac:dyDescent="0.2">
      <c r="A30647">
        <v>24401</v>
      </c>
      <c r="B30647" t="s">
        <v>52</v>
      </c>
      <c r="C30647">
        <v>24401</v>
      </c>
      <c r="D30647" t="str">
        <f>"24401"</f>
        <v>24401</v>
      </c>
      <c r="E30647">
        <v>73.400000000000006</v>
      </c>
    </row>
    <row r="30648" spans="1:5" x14ac:dyDescent="0.2">
      <c r="A30648">
        <v>24413</v>
      </c>
      <c r="B30648" t="s">
        <v>52</v>
      </c>
      <c r="C30648">
        <v>24413</v>
      </c>
      <c r="D30648" t="str">
        <f>"24413"</f>
        <v>24413</v>
      </c>
      <c r="E30648">
        <v>80</v>
      </c>
    </row>
    <row r="30649" spans="1:5" x14ac:dyDescent="0.2">
      <c r="A30649">
        <v>24415</v>
      </c>
      <c r="B30649" t="s">
        <v>52</v>
      </c>
      <c r="C30649">
        <v>24415</v>
      </c>
      <c r="D30649" t="str">
        <f>"24415"</f>
        <v>24415</v>
      </c>
      <c r="E30649" t="s">
        <v>6</v>
      </c>
    </row>
    <row r="30650" spans="1:5" x14ac:dyDescent="0.2">
      <c r="A30650">
        <v>24416</v>
      </c>
      <c r="B30650" t="s">
        <v>52</v>
      </c>
      <c r="C30650">
        <v>24416</v>
      </c>
      <c r="D30650" t="str">
        <f>"24416"</f>
        <v>24416</v>
      </c>
      <c r="E30650">
        <v>64.95</v>
      </c>
    </row>
    <row r="30651" spans="1:5" x14ac:dyDescent="0.2">
      <c r="A30651">
        <v>24421</v>
      </c>
      <c r="B30651" t="s">
        <v>52</v>
      </c>
      <c r="C30651">
        <v>24421</v>
      </c>
      <c r="D30651" t="str">
        <f>"24421"</f>
        <v>24421</v>
      </c>
      <c r="E30651">
        <v>76.92</v>
      </c>
    </row>
    <row r="30652" spans="1:5" x14ac:dyDescent="0.2">
      <c r="A30652">
        <v>24422</v>
      </c>
      <c r="B30652" t="s">
        <v>52</v>
      </c>
      <c r="C30652">
        <v>24422</v>
      </c>
      <c r="D30652" t="str">
        <f>"24422"</f>
        <v>24422</v>
      </c>
      <c r="E30652">
        <v>68.25</v>
      </c>
    </row>
    <row r="30653" spans="1:5" x14ac:dyDescent="0.2">
      <c r="A30653">
        <v>24426</v>
      </c>
      <c r="B30653" t="s">
        <v>52</v>
      </c>
      <c r="C30653">
        <v>24426</v>
      </c>
      <c r="D30653" t="str">
        <f>"24426"</f>
        <v>24426</v>
      </c>
      <c r="E30653">
        <v>71.319999999999993</v>
      </c>
    </row>
    <row r="30654" spans="1:5" x14ac:dyDescent="0.2">
      <c r="A30654">
        <v>24430</v>
      </c>
      <c r="B30654" t="s">
        <v>52</v>
      </c>
      <c r="C30654">
        <v>24430</v>
      </c>
      <c r="D30654" t="str">
        <f>"24430"</f>
        <v>24430</v>
      </c>
      <c r="E30654">
        <v>69.12</v>
      </c>
    </row>
    <row r="30655" spans="1:5" x14ac:dyDescent="0.2">
      <c r="A30655">
        <v>24431</v>
      </c>
      <c r="B30655" t="s">
        <v>52</v>
      </c>
      <c r="C30655">
        <v>24431</v>
      </c>
      <c r="D30655" t="str">
        <f>"24431"</f>
        <v>24431</v>
      </c>
      <c r="E30655">
        <v>72.09</v>
      </c>
    </row>
    <row r="30656" spans="1:5" x14ac:dyDescent="0.2">
      <c r="A30656">
        <v>24432</v>
      </c>
      <c r="B30656" t="s">
        <v>52</v>
      </c>
      <c r="C30656">
        <v>24432</v>
      </c>
      <c r="D30656" t="str">
        <f>"24432"</f>
        <v>24432</v>
      </c>
      <c r="E30656">
        <v>70.59</v>
      </c>
    </row>
    <row r="30657" spans="1:5" x14ac:dyDescent="0.2">
      <c r="A30657">
        <v>24433</v>
      </c>
      <c r="B30657" t="s">
        <v>52</v>
      </c>
      <c r="C30657">
        <v>24433</v>
      </c>
      <c r="D30657" t="str">
        <f>"24433"</f>
        <v>24433</v>
      </c>
      <c r="E30657" t="s">
        <v>6</v>
      </c>
    </row>
    <row r="30658" spans="1:5" x14ac:dyDescent="0.2">
      <c r="A30658">
        <v>24435</v>
      </c>
      <c r="B30658" t="s">
        <v>52</v>
      </c>
      <c r="C30658">
        <v>24435</v>
      </c>
      <c r="D30658" t="str">
        <f>"24435"</f>
        <v>24435</v>
      </c>
      <c r="E30658">
        <v>72.94</v>
      </c>
    </row>
    <row r="30659" spans="1:5" x14ac:dyDescent="0.2">
      <c r="A30659">
        <v>24437</v>
      </c>
      <c r="B30659" t="s">
        <v>52</v>
      </c>
      <c r="C30659">
        <v>24437</v>
      </c>
      <c r="D30659" t="str">
        <f>"24437"</f>
        <v>24437</v>
      </c>
      <c r="E30659">
        <v>76.739999999999995</v>
      </c>
    </row>
    <row r="30660" spans="1:5" x14ac:dyDescent="0.2">
      <c r="A30660">
        <v>24439</v>
      </c>
      <c r="B30660" t="s">
        <v>52</v>
      </c>
      <c r="C30660">
        <v>24439</v>
      </c>
      <c r="D30660" t="str">
        <f>"24439"</f>
        <v>24439</v>
      </c>
      <c r="E30660">
        <v>68.09</v>
      </c>
    </row>
    <row r="30661" spans="1:5" x14ac:dyDescent="0.2">
      <c r="A30661">
        <v>24440</v>
      </c>
      <c r="B30661" t="s">
        <v>52</v>
      </c>
      <c r="C30661">
        <v>24440</v>
      </c>
      <c r="D30661" t="str">
        <f>"24440"</f>
        <v>24440</v>
      </c>
      <c r="E30661">
        <v>70.94</v>
      </c>
    </row>
    <row r="30662" spans="1:5" x14ac:dyDescent="0.2">
      <c r="A30662">
        <v>24441</v>
      </c>
      <c r="B30662" t="s">
        <v>52</v>
      </c>
      <c r="C30662">
        <v>24441</v>
      </c>
      <c r="D30662" t="str">
        <f>"24441"</f>
        <v>24441</v>
      </c>
      <c r="E30662">
        <v>74.739999999999995</v>
      </c>
    </row>
    <row r="30663" spans="1:5" x14ac:dyDescent="0.2">
      <c r="A30663">
        <v>24442</v>
      </c>
      <c r="B30663" t="s">
        <v>52</v>
      </c>
      <c r="C30663">
        <v>24442</v>
      </c>
      <c r="D30663" t="str">
        <f>"24442"</f>
        <v>24442</v>
      </c>
      <c r="E30663" t="s">
        <v>6</v>
      </c>
    </row>
    <row r="30664" spans="1:5" x14ac:dyDescent="0.2">
      <c r="A30664">
        <v>24445</v>
      </c>
      <c r="B30664" t="s">
        <v>52</v>
      </c>
      <c r="C30664">
        <v>24445</v>
      </c>
      <c r="D30664" t="str">
        <f>"24445"</f>
        <v>24445</v>
      </c>
      <c r="E30664">
        <v>72.31</v>
      </c>
    </row>
    <row r="30665" spans="1:5" x14ac:dyDescent="0.2">
      <c r="A30665">
        <v>24448</v>
      </c>
      <c r="B30665" t="s">
        <v>52</v>
      </c>
      <c r="C30665">
        <v>24448</v>
      </c>
      <c r="D30665" t="str">
        <f>"24448"</f>
        <v>24448</v>
      </c>
      <c r="E30665" t="s">
        <v>6</v>
      </c>
    </row>
    <row r="30666" spans="1:5" x14ac:dyDescent="0.2">
      <c r="A30666">
        <v>24450</v>
      </c>
      <c r="B30666" t="s">
        <v>52</v>
      </c>
      <c r="C30666">
        <v>24450</v>
      </c>
      <c r="D30666" t="str">
        <f>"24450"</f>
        <v>24450</v>
      </c>
      <c r="E30666">
        <v>74.25</v>
      </c>
    </row>
    <row r="30667" spans="1:5" x14ac:dyDescent="0.2">
      <c r="A30667">
        <v>24457</v>
      </c>
      <c r="B30667" t="s">
        <v>52</v>
      </c>
      <c r="C30667">
        <v>24457</v>
      </c>
      <c r="D30667" t="str">
        <f>"24457"</f>
        <v>24457</v>
      </c>
      <c r="E30667" t="s">
        <v>6</v>
      </c>
    </row>
    <row r="30668" spans="1:5" x14ac:dyDescent="0.2">
      <c r="A30668">
        <v>24458</v>
      </c>
      <c r="B30668" t="s">
        <v>52</v>
      </c>
      <c r="C30668">
        <v>24458</v>
      </c>
      <c r="D30668" t="str">
        <f>"24458"</f>
        <v>24458</v>
      </c>
      <c r="E30668">
        <v>64.709999999999994</v>
      </c>
    </row>
    <row r="30669" spans="1:5" x14ac:dyDescent="0.2">
      <c r="A30669">
        <v>24459</v>
      </c>
      <c r="B30669" t="s">
        <v>52</v>
      </c>
      <c r="C30669">
        <v>24459</v>
      </c>
      <c r="D30669" t="str">
        <f>"24459"</f>
        <v>24459</v>
      </c>
      <c r="E30669">
        <v>71.05</v>
      </c>
    </row>
    <row r="30670" spans="1:5" x14ac:dyDescent="0.2">
      <c r="A30670">
        <v>24460</v>
      </c>
      <c r="B30670" t="s">
        <v>52</v>
      </c>
      <c r="C30670">
        <v>24460</v>
      </c>
      <c r="D30670" t="str">
        <f>"24460"</f>
        <v>24460</v>
      </c>
      <c r="E30670">
        <v>72.31</v>
      </c>
    </row>
    <row r="30671" spans="1:5" x14ac:dyDescent="0.2">
      <c r="A30671">
        <v>24464</v>
      </c>
      <c r="B30671" t="s">
        <v>52</v>
      </c>
      <c r="C30671">
        <v>24464</v>
      </c>
      <c r="D30671" t="str">
        <f>"24464"</f>
        <v>24464</v>
      </c>
      <c r="E30671" t="s">
        <v>6</v>
      </c>
    </row>
    <row r="30672" spans="1:5" x14ac:dyDescent="0.2">
      <c r="A30672">
        <v>24465</v>
      </c>
      <c r="B30672" t="s">
        <v>52</v>
      </c>
      <c r="C30672">
        <v>24465</v>
      </c>
      <c r="D30672" t="str">
        <f>"24465"</f>
        <v>24465</v>
      </c>
      <c r="E30672">
        <v>69.09</v>
      </c>
    </row>
    <row r="30673" spans="1:5" x14ac:dyDescent="0.2">
      <c r="A30673">
        <v>24467</v>
      </c>
      <c r="B30673" t="s">
        <v>52</v>
      </c>
      <c r="C30673">
        <v>24467</v>
      </c>
      <c r="D30673" t="str">
        <f>"24467"</f>
        <v>24467</v>
      </c>
      <c r="E30673">
        <v>77.36</v>
      </c>
    </row>
    <row r="30674" spans="1:5" x14ac:dyDescent="0.2">
      <c r="A30674">
        <v>24471</v>
      </c>
      <c r="B30674" t="s">
        <v>52</v>
      </c>
      <c r="C30674">
        <v>24471</v>
      </c>
      <c r="D30674" t="str">
        <f>"24471"</f>
        <v>24471</v>
      </c>
      <c r="E30674">
        <v>75.709999999999994</v>
      </c>
    </row>
    <row r="30675" spans="1:5" x14ac:dyDescent="0.2">
      <c r="A30675">
        <v>24472</v>
      </c>
      <c r="B30675" t="s">
        <v>52</v>
      </c>
      <c r="C30675">
        <v>24472</v>
      </c>
      <c r="D30675" t="str">
        <f>"24472"</f>
        <v>24472</v>
      </c>
      <c r="E30675">
        <v>67.959999999999994</v>
      </c>
    </row>
    <row r="30676" spans="1:5" x14ac:dyDescent="0.2">
      <c r="A30676">
        <v>24473</v>
      </c>
      <c r="B30676" t="s">
        <v>52</v>
      </c>
      <c r="C30676">
        <v>24473</v>
      </c>
      <c r="D30676" t="str">
        <f>"24473"</f>
        <v>24473</v>
      </c>
      <c r="E30676">
        <v>68.290000000000006</v>
      </c>
    </row>
    <row r="30677" spans="1:5" x14ac:dyDescent="0.2">
      <c r="A30677">
        <v>24474</v>
      </c>
      <c r="B30677" t="s">
        <v>52</v>
      </c>
      <c r="C30677">
        <v>24474</v>
      </c>
      <c r="D30677" t="str">
        <f>"24474"</f>
        <v>24474</v>
      </c>
      <c r="E30677" t="s">
        <v>6</v>
      </c>
    </row>
    <row r="30678" spans="1:5" x14ac:dyDescent="0.2">
      <c r="A30678">
        <v>24476</v>
      </c>
      <c r="B30678" t="s">
        <v>52</v>
      </c>
      <c r="C30678">
        <v>24476</v>
      </c>
      <c r="D30678" t="str">
        <f>"24476"</f>
        <v>24476</v>
      </c>
      <c r="E30678">
        <v>72.22</v>
      </c>
    </row>
    <row r="30679" spans="1:5" x14ac:dyDescent="0.2">
      <c r="A30679">
        <v>24477</v>
      </c>
      <c r="B30679" t="s">
        <v>52</v>
      </c>
      <c r="C30679">
        <v>24477</v>
      </c>
      <c r="D30679" t="str">
        <f>"24477"</f>
        <v>24477</v>
      </c>
      <c r="E30679">
        <v>76.739999999999995</v>
      </c>
    </row>
    <row r="30680" spans="1:5" x14ac:dyDescent="0.2">
      <c r="A30680">
        <v>24479</v>
      </c>
      <c r="B30680" t="s">
        <v>52</v>
      </c>
      <c r="C30680">
        <v>24479</v>
      </c>
      <c r="D30680" t="str">
        <f>"24479"</f>
        <v>24479</v>
      </c>
      <c r="E30680">
        <v>73.33</v>
      </c>
    </row>
    <row r="30681" spans="1:5" x14ac:dyDescent="0.2">
      <c r="A30681">
        <v>24482</v>
      </c>
      <c r="B30681" t="s">
        <v>52</v>
      </c>
      <c r="C30681">
        <v>24482</v>
      </c>
      <c r="D30681" t="str">
        <f>"24482"</f>
        <v>24482</v>
      </c>
      <c r="E30681">
        <v>74.78</v>
      </c>
    </row>
    <row r="30682" spans="1:5" x14ac:dyDescent="0.2">
      <c r="A30682">
        <v>24483</v>
      </c>
      <c r="B30682" t="s">
        <v>52</v>
      </c>
      <c r="C30682">
        <v>24483</v>
      </c>
      <c r="D30682" t="str">
        <f>"24483"</f>
        <v>24483</v>
      </c>
      <c r="E30682">
        <v>65.52</v>
      </c>
    </row>
    <row r="30683" spans="1:5" x14ac:dyDescent="0.2">
      <c r="A30683">
        <v>24484</v>
      </c>
      <c r="B30683" t="s">
        <v>52</v>
      </c>
      <c r="C30683">
        <v>24484</v>
      </c>
      <c r="D30683" t="str">
        <f>"24484"</f>
        <v>24484</v>
      </c>
      <c r="E30683">
        <v>69.44</v>
      </c>
    </row>
    <row r="30684" spans="1:5" x14ac:dyDescent="0.2">
      <c r="A30684">
        <v>24485</v>
      </c>
      <c r="B30684" t="s">
        <v>52</v>
      </c>
      <c r="C30684">
        <v>24485</v>
      </c>
      <c r="D30684" t="str">
        <f>"24485"</f>
        <v>24485</v>
      </c>
      <c r="E30684">
        <v>70.59</v>
      </c>
    </row>
    <row r="30685" spans="1:5" x14ac:dyDescent="0.2">
      <c r="A30685">
        <v>24486</v>
      </c>
      <c r="B30685" t="s">
        <v>52</v>
      </c>
      <c r="C30685">
        <v>24486</v>
      </c>
      <c r="D30685" t="str">
        <f>"24486"</f>
        <v>24486</v>
      </c>
      <c r="E30685">
        <v>75</v>
      </c>
    </row>
    <row r="30686" spans="1:5" x14ac:dyDescent="0.2">
      <c r="A30686">
        <v>24487</v>
      </c>
      <c r="B30686" t="s">
        <v>52</v>
      </c>
      <c r="C30686">
        <v>24487</v>
      </c>
      <c r="D30686" t="str">
        <f>"24487"</f>
        <v>24487</v>
      </c>
      <c r="E30686">
        <v>61.54</v>
      </c>
    </row>
    <row r="30687" spans="1:5" x14ac:dyDescent="0.2">
      <c r="A30687">
        <v>24501</v>
      </c>
      <c r="B30687" t="s">
        <v>52</v>
      </c>
      <c r="C30687">
        <v>24501</v>
      </c>
      <c r="D30687" t="str">
        <f>"24501"</f>
        <v>24501</v>
      </c>
      <c r="E30687">
        <v>58.94</v>
      </c>
    </row>
    <row r="30688" spans="1:5" x14ac:dyDescent="0.2">
      <c r="A30688">
        <v>24502</v>
      </c>
      <c r="B30688" t="s">
        <v>52</v>
      </c>
      <c r="C30688">
        <v>24502</v>
      </c>
      <c r="D30688" t="str">
        <f>"24502"</f>
        <v>24502</v>
      </c>
      <c r="E30688">
        <v>71.75</v>
      </c>
    </row>
    <row r="30689" spans="1:5" x14ac:dyDescent="0.2">
      <c r="A30689">
        <v>24503</v>
      </c>
      <c r="B30689" t="s">
        <v>52</v>
      </c>
      <c r="C30689">
        <v>24503</v>
      </c>
      <c r="D30689" t="str">
        <f>"24503"</f>
        <v>24503</v>
      </c>
      <c r="E30689">
        <v>76.290000000000006</v>
      </c>
    </row>
    <row r="30690" spans="1:5" x14ac:dyDescent="0.2">
      <c r="A30690">
        <v>24504</v>
      </c>
      <c r="B30690" t="s">
        <v>52</v>
      </c>
      <c r="C30690">
        <v>24504</v>
      </c>
      <c r="D30690" t="str">
        <f>"24504"</f>
        <v>24504</v>
      </c>
      <c r="E30690">
        <v>62.77</v>
      </c>
    </row>
    <row r="30691" spans="1:5" x14ac:dyDescent="0.2">
      <c r="A30691">
        <v>24515</v>
      </c>
      <c r="B30691" t="s">
        <v>52</v>
      </c>
      <c r="C30691">
        <v>24515</v>
      </c>
      <c r="D30691" t="str">
        <f>"24515"</f>
        <v>24515</v>
      </c>
      <c r="E30691" t="s">
        <v>6</v>
      </c>
    </row>
    <row r="30692" spans="1:5" x14ac:dyDescent="0.2">
      <c r="A30692">
        <v>24517</v>
      </c>
      <c r="B30692" t="s">
        <v>52</v>
      </c>
      <c r="C30692">
        <v>24517</v>
      </c>
      <c r="D30692" t="str">
        <f>"24517"</f>
        <v>24517</v>
      </c>
      <c r="E30692">
        <v>66.53</v>
      </c>
    </row>
    <row r="30693" spans="1:5" x14ac:dyDescent="0.2">
      <c r="A30693">
        <v>24520</v>
      </c>
      <c r="B30693" t="s">
        <v>52</v>
      </c>
      <c r="C30693">
        <v>24520</v>
      </c>
      <c r="D30693" t="str">
        <f>"24520"</f>
        <v>24520</v>
      </c>
      <c r="E30693">
        <v>70.41</v>
      </c>
    </row>
    <row r="30694" spans="1:5" x14ac:dyDescent="0.2">
      <c r="A30694">
        <v>24521</v>
      </c>
      <c r="B30694" t="s">
        <v>52</v>
      </c>
      <c r="C30694">
        <v>24521</v>
      </c>
      <c r="D30694" t="str">
        <f>"24521"</f>
        <v>24521</v>
      </c>
      <c r="E30694">
        <v>72.069999999999993</v>
      </c>
    </row>
    <row r="30695" spans="1:5" x14ac:dyDescent="0.2">
      <c r="A30695">
        <v>24522</v>
      </c>
      <c r="B30695" t="s">
        <v>52</v>
      </c>
      <c r="C30695">
        <v>24522</v>
      </c>
      <c r="D30695" t="str">
        <f>"24522"</f>
        <v>24522</v>
      </c>
      <c r="E30695">
        <v>68.47</v>
      </c>
    </row>
    <row r="30696" spans="1:5" x14ac:dyDescent="0.2">
      <c r="A30696">
        <v>24523</v>
      </c>
      <c r="B30696" t="s">
        <v>52</v>
      </c>
      <c r="C30696">
        <v>24523</v>
      </c>
      <c r="D30696" t="str">
        <f>"24523"</f>
        <v>24523</v>
      </c>
      <c r="E30696">
        <v>70.319999999999993</v>
      </c>
    </row>
    <row r="30697" spans="1:5" x14ac:dyDescent="0.2">
      <c r="A30697">
        <v>24526</v>
      </c>
      <c r="B30697" t="s">
        <v>52</v>
      </c>
      <c r="C30697">
        <v>24526</v>
      </c>
      <c r="D30697" t="str">
        <f>"24526"</f>
        <v>24526</v>
      </c>
      <c r="E30697">
        <v>73.02</v>
      </c>
    </row>
    <row r="30698" spans="1:5" x14ac:dyDescent="0.2">
      <c r="A30698">
        <v>24527</v>
      </c>
      <c r="B30698" t="s">
        <v>52</v>
      </c>
      <c r="C30698">
        <v>24527</v>
      </c>
      <c r="D30698" t="str">
        <f>"24527"</f>
        <v>24527</v>
      </c>
      <c r="E30698">
        <v>67.41</v>
      </c>
    </row>
    <row r="30699" spans="1:5" x14ac:dyDescent="0.2">
      <c r="A30699">
        <v>24528</v>
      </c>
      <c r="B30699" t="s">
        <v>52</v>
      </c>
      <c r="C30699">
        <v>24528</v>
      </c>
      <c r="D30699" t="str">
        <f>"24528"</f>
        <v>24528</v>
      </c>
      <c r="E30699">
        <v>65.150000000000006</v>
      </c>
    </row>
    <row r="30700" spans="1:5" x14ac:dyDescent="0.2">
      <c r="A30700">
        <v>24529</v>
      </c>
      <c r="B30700" t="s">
        <v>52</v>
      </c>
      <c r="C30700">
        <v>24529</v>
      </c>
      <c r="D30700" t="str">
        <f>"24529"</f>
        <v>24529</v>
      </c>
      <c r="E30700">
        <v>63.24</v>
      </c>
    </row>
    <row r="30701" spans="1:5" x14ac:dyDescent="0.2">
      <c r="A30701">
        <v>24530</v>
      </c>
      <c r="B30701" t="s">
        <v>52</v>
      </c>
      <c r="C30701">
        <v>24530</v>
      </c>
      <c r="D30701" t="str">
        <f>"24530"</f>
        <v>24530</v>
      </c>
      <c r="E30701">
        <v>71.11</v>
      </c>
    </row>
    <row r="30702" spans="1:5" x14ac:dyDescent="0.2">
      <c r="A30702">
        <v>24531</v>
      </c>
      <c r="B30702" t="s">
        <v>52</v>
      </c>
      <c r="C30702">
        <v>24531</v>
      </c>
      <c r="D30702" t="str">
        <f>"24531"</f>
        <v>24531</v>
      </c>
      <c r="E30702">
        <v>68.95</v>
      </c>
    </row>
    <row r="30703" spans="1:5" x14ac:dyDescent="0.2">
      <c r="A30703">
        <v>24534</v>
      </c>
      <c r="B30703" t="s">
        <v>52</v>
      </c>
      <c r="C30703">
        <v>24534</v>
      </c>
      <c r="D30703" t="str">
        <f>"24534"</f>
        <v>24534</v>
      </c>
      <c r="E30703">
        <v>65.22</v>
      </c>
    </row>
    <row r="30704" spans="1:5" x14ac:dyDescent="0.2">
      <c r="A30704">
        <v>24536</v>
      </c>
      <c r="B30704" t="s">
        <v>52</v>
      </c>
      <c r="C30704">
        <v>24536</v>
      </c>
      <c r="D30704" t="str">
        <f>"24536"</f>
        <v>24536</v>
      </c>
      <c r="E30704">
        <v>81.819999999999993</v>
      </c>
    </row>
    <row r="30705" spans="1:5" x14ac:dyDescent="0.2">
      <c r="A30705">
        <v>24538</v>
      </c>
      <c r="B30705" t="s">
        <v>52</v>
      </c>
      <c r="C30705">
        <v>24538</v>
      </c>
      <c r="D30705" t="str">
        <f>"24538"</f>
        <v>24538</v>
      </c>
      <c r="E30705">
        <v>71.150000000000006</v>
      </c>
    </row>
    <row r="30706" spans="1:5" x14ac:dyDescent="0.2">
      <c r="A30706">
        <v>24539</v>
      </c>
      <c r="B30706" t="s">
        <v>52</v>
      </c>
      <c r="C30706">
        <v>24539</v>
      </c>
      <c r="D30706" t="str">
        <f>"24539"</f>
        <v>24539</v>
      </c>
      <c r="E30706" t="s">
        <v>6</v>
      </c>
    </row>
    <row r="30707" spans="1:5" x14ac:dyDescent="0.2">
      <c r="A30707">
        <v>24540</v>
      </c>
      <c r="B30707" t="s">
        <v>52</v>
      </c>
      <c r="C30707">
        <v>24540</v>
      </c>
      <c r="D30707" t="str">
        <f>"24540"</f>
        <v>24540</v>
      </c>
      <c r="E30707">
        <v>63.04</v>
      </c>
    </row>
    <row r="30708" spans="1:5" x14ac:dyDescent="0.2">
      <c r="A30708">
        <v>24541</v>
      </c>
      <c r="B30708" t="s">
        <v>52</v>
      </c>
      <c r="C30708">
        <v>24541</v>
      </c>
      <c r="D30708" t="str">
        <f>"24541"</f>
        <v>24541</v>
      </c>
      <c r="E30708">
        <v>63.57</v>
      </c>
    </row>
    <row r="30709" spans="1:5" x14ac:dyDescent="0.2">
      <c r="A30709">
        <v>24549</v>
      </c>
      <c r="B30709" t="s">
        <v>52</v>
      </c>
      <c r="C30709">
        <v>24549</v>
      </c>
      <c r="D30709" t="str">
        <f>"24549"</f>
        <v>24549</v>
      </c>
      <c r="E30709">
        <v>69.27</v>
      </c>
    </row>
    <row r="30710" spans="1:5" x14ac:dyDescent="0.2">
      <c r="A30710">
        <v>24550</v>
      </c>
      <c r="B30710" t="s">
        <v>52</v>
      </c>
      <c r="C30710">
        <v>24550</v>
      </c>
      <c r="D30710" t="str">
        <f>"24550"</f>
        <v>24550</v>
      </c>
      <c r="E30710">
        <v>71.430000000000007</v>
      </c>
    </row>
    <row r="30711" spans="1:5" x14ac:dyDescent="0.2">
      <c r="A30711">
        <v>24551</v>
      </c>
      <c r="B30711" t="s">
        <v>52</v>
      </c>
      <c r="C30711">
        <v>24551</v>
      </c>
      <c r="D30711" t="str">
        <f>"24551"</f>
        <v>24551</v>
      </c>
      <c r="E30711">
        <v>78.58</v>
      </c>
    </row>
    <row r="30712" spans="1:5" x14ac:dyDescent="0.2">
      <c r="A30712">
        <v>24553</v>
      </c>
      <c r="B30712" t="s">
        <v>52</v>
      </c>
      <c r="C30712">
        <v>24553</v>
      </c>
      <c r="D30712" t="str">
        <f>"24553"</f>
        <v>24553</v>
      </c>
      <c r="E30712">
        <v>68</v>
      </c>
    </row>
    <row r="30713" spans="1:5" x14ac:dyDescent="0.2">
      <c r="A30713">
        <v>24554</v>
      </c>
      <c r="B30713" t="s">
        <v>52</v>
      </c>
      <c r="C30713">
        <v>24554</v>
      </c>
      <c r="D30713" t="str">
        <f>"24554"</f>
        <v>24554</v>
      </c>
      <c r="E30713">
        <v>69.81</v>
      </c>
    </row>
    <row r="30714" spans="1:5" x14ac:dyDescent="0.2">
      <c r="A30714">
        <v>24555</v>
      </c>
      <c r="B30714" t="s">
        <v>52</v>
      </c>
      <c r="C30714">
        <v>24555</v>
      </c>
      <c r="D30714" t="str">
        <f>"24555"</f>
        <v>24555</v>
      </c>
      <c r="E30714">
        <v>65.930000000000007</v>
      </c>
    </row>
    <row r="30715" spans="1:5" x14ac:dyDescent="0.2">
      <c r="A30715">
        <v>24556</v>
      </c>
      <c r="B30715" t="s">
        <v>52</v>
      </c>
      <c r="C30715">
        <v>24556</v>
      </c>
      <c r="D30715" t="str">
        <f>"24556"</f>
        <v>24556</v>
      </c>
      <c r="E30715">
        <v>76.510000000000005</v>
      </c>
    </row>
    <row r="30716" spans="1:5" x14ac:dyDescent="0.2">
      <c r="A30716">
        <v>24557</v>
      </c>
      <c r="B30716" t="s">
        <v>52</v>
      </c>
      <c r="C30716">
        <v>24557</v>
      </c>
      <c r="D30716" t="str">
        <f>"24557"</f>
        <v>24557</v>
      </c>
      <c r="E30716">
        <v>68.14</v>
      </c>
    </row>
    <row r="30717" spans="1:5" x14ac:dyDescent="0.2">
      <c r="A30717">
        <v>24558</v>
      </c>
      <c r="B30717" t="s">
        <v>52</v>
      </c>
      <c r="C30717">
        <v>24558</v>
      </c>
      <c r="D30717" t="str">
        <f>"24558"</f>
        <v>24558</v>
      </c>
      <c r="E30717">
        <v>67.72</v>
      </c>
    </row>
    <row r="30718" spans="1:5" x14ac:dyDescent="0.2">
      <c r="A30718">
        <v>24562</v>
      </c>
      <c r="B30718" t="s">
        <v>52</v>
      </c>
      <c r="C30718">
        <v>24562</v>
      </c>
      <c r="D30718" t="str">
        <f>"24562"</f>
        <v>24562</v>
      </c>
      <c r="E30718">
        <v>76.19</v>
      </c>
    </row>
    <row r="30719" spans="1:5" x14ac:dyDescent="0.2">
      <c r="A30719">
        <v>24563</v>
      </c>
      <c r="B30719" t="s">
        <v>52</v>
      </c>
      <c r="C30719">
        <v>24563</v>
      </c>
      <c r="D30719" t="str">
        <f>"24563"</f>
        <v>24563</v>
      </c>
      <c r="E30719">
        <v>69.03</v>
      </c>
    </row>
    <row r="30720" spans="1:5" x14ac:dyDescent="0.2">
      <c r="A30720">
        <v>24565</v>
      </c>
      <c r="B30720" t="s">
        <v>52</v>
      </c>
      <c r="C30720">
        <v>24565</v>
      </c>
      <c r="D30720" t="str">
        <f>"24565"</f>
        <v>24565</v>
      </c>
      <c r="E30720">
        <v>56.52</v>
      </c>
    </row>
    <row r="30721" spans="1:5" x14ac:dyDescent="0.2">
      <c r="A30721">
        <v>24566</v>
      </c>
      <c r="B30721" t="s">
        <v>52</v>
      </c>
      <c r="C30721">
        <v>24566</v>
      </c>
      <c r="D30721" t="str">
        <f>"24566"</f>
        <v>24566</v>
      </c>
      <c r="E30721">
        <v>68.75</v>
      </c>
    </row>
    <row r="30722" spans="1:5" x14ac:dyDescent="0.2">
      <c r="A30722">
        <v>24569</v>
      </c>
      <c r="B30722" t="s">
        <v>52</v>
      </c>
      <c r="C30722">
        <v>24569</v>
      </c>
      <c r="D30722" t="str">
        <f>"24569"</f>
        <v>24569</v>
      </c>
      <c r="E30722">
        <v>67.5</v>
      </c>
    </row>
    <row r="30723" spans="1:5" x14ac:dyDescent="0.2">
      <c r="A30723">
        <v>24570</v>
      </c>
      <c r="B30723" t="s">
        <v>52</v>
      </c>
      <c r="C30723">
        <v>24570</v>
      </c>
      <c r="D30723" t="str">
        <f>"24570"</f>
        <v>24570</v>
      </c>
      <c r="E30723" t="s">
        <v>6</v>
      </c>
    </row>
    <row r="30724" spans="1:5" x14ac:dyDescent="0.2">
      <c r="A30724">
        <v>24571</v>
      </c>
      <c r="B30724" t="s">
        <v>52</v>
      </c>
      <c r="C30724">
        <v>24571</v>
      </c>
      <c r="D30724" t="str">
        <f>"24571"</f>
        <v>24571</v>
      </c>
      <c r="E30724">
        <v>73.489999999999995</v>
      </c>
    </row>
    <row r="30725" spans="1:5" x14ac:dyDescent="0.2">
      <c r="A30725">
        <v>24572</v>
      </c>
      <c r="B30725" t="s">
        <v>52</v>
      </c>
      <c r="C30725">
        <v>24572</v>
      </c>
      <c r="D30725" t="str">
        <f>"24572"</f>
        <v>24572</v>
      </c>
      <c r="E30725">
        <v>70.819999999999993</v>
      </c>
    </row>
    <row r="30726" spans="1:5" x14ac:dyDescent="0.2">
      <c r="A30726">
        <v>24574</v>
      </c>
      <c r="B30726" t="s">
        <v>52</v>
      </c>
      <c r="C30726">
        <v>24574</v>
      </c>
      <c r="D30726" t="str">
        <f>"24574"</f>
        <v>24574</v>
      </c>
      <c r="E30726">
        <v>73.05</v>
      </c>
    </row>
    <row r="30727" spans="1:5" x14ac:dyDescent="0.2">
      <c r="A30727">
        <v>24577</v>
      </c>
      <c r="B30727" t="s">
        <v>52</v>
      </c>
      <c r="C30727">
        <v>24577</v>
      </c>
      <c r="D30727" t="str">
        <f>"24577"</f>
        <v>24577</v>
      </c>
      <c r="E30727">
        <v>66.67</v>
      </c>
    </row>
    <row r="30728" spans="1:5" x14ac:dyDescent="0.2">
      <c r="A30728">
        <v>24578</v>
      </c>
      <c r="B30728" t="s">
        <v>52</v>
      </c>
      <c r="C30728">
        <v>24578</v>
      </c>
      <c r="D30728" t="str">
        <f>"24578"</f>
        <v>24578</v>
      </c>
      <c r="E30728">
        <v>72.34</v>
      </c>
    </row>
    <row r="30729" spans="1:5" x14ac:dyDescent="0.2">
      <c r="A30729">
        <v>24579</v>
      </c>
      <c r="B30729" t="s">
        <v>52</v>
      </c>
      <c r="C30729">
        <v>24579</v>
      </c>
      <c r="D30729" t="str">
        <f>"24579"</f>
        <v>24579</v>
      </c>
      <c r="E30729">
        <v>66.67</v>
      </c>
    </row>
    <row r="30730" spans="1:5" x14ac:dyDescent="0.2">
      <c r="A30730">
        <v>24580</v>
      </c>
      <c r="B30730" t="s">
        <v>52</v>
      </c>
      <c r="C30730">
        <v>24580</v>
      </c>
      <c r="D30730" t="str">
        <f>"24580"</f>
        <v>24580</v>
      </c>
      <c r="E30730">
        <v>69.23</v>
      </c>
    </row>
    <row r="30731" spans="1:5" x14ac:dyDescent="0.2">
      <c r="A30731">
        <v>24581</v>
      </c>
      <c r="B30731" t="s">
        <v>52</v>
      </c>
      <c r="C30731">
        <v>24581</v>
      </c>
      <c r="D30731" t="str">
        <f>"24581"</f>
        <v>24581</v>
      </c>
      <c r="E30731" t="s">
        <v>6</v>
      </c>
    </row>
    <row r="30732" spans="1:5" x14ac:dyDescent="0.2">
      <c r="A30732">
        <v>24586</v>
      </c>
      <c r="B30732" t="s">
        <v>52</v>
      </c>
      <c r="C30732">
        <v>24586</v>
      </c>
      <c r="D30732" t="str">
        <f>"24586"</f>
        <v>24586</v>
      </c>
      <c r="E30732">
        <v>68.62</v>
      </c>
    </row>
    <row r="30733" spans="1:5" x14ac:dyDescent="0.2">
      <c r="A30733">
        <v>24588</v>
      </c>
      <c r="B30733" t="s">
        <v>52</v>
      </c>
      <c r="C30733">
        <v>24588</v>
      </c>
      <c r="D30733" t="str">
        <f>"24588"</f>
        <v>24588</v>
      </c>
      <c r="E30733">
        <v>70.47</v>
      </c>
    </row>
    <row r="30734" spans="1:5" x14ac:dyDescent="0.2">
      <c r="A30734">
        <v>24589</v>
      </c>
      <c r="B30734" t="s">
        <v>52</v>
      </c>
      <c r="C30734">
        <v>24589</v>
      </c>
      <c r="D30734" t="str">
        <f>"24589"</f>
        <v>24589</v>
      </c>
      <c r="E30734">
        <v>68.13</v>
      </c>
    </row>
    <row r="30735" spans="1:5" x14ac:dyDescent="0.2">
      <c r="A30735">
        <v>24590</v>
      </c>
      <c r="B30735" t="s">
        <v>52</v>
      </c>
      <c r="C30735">
        <v>24590</v>
      </c>
      <c r="D30735" t="str">
        <f>"24590"</f>
        <v>24590</v>
      </c>
      <c r="E30735">
        <v>73.239999999999995</v>
      </c>
    </row>
    <row r="30736" spans="1:5" x14ac:dyDescent="0.2">
      <c r="A30736">
        <v>24592</v>
      </c>
      <c r="B30736" t="s">
        <v>52</v>
      </c>
      <c r="C30736">
        <v>24592</v>
      </c>
      <c r="D30736" t="str">
        <f>"24592"</f>
        <v>24592</v>
      </c>
      <c r="E30736">
        <v>63.43</v>
      </c>
    </row>
    <row r="30737" spans="1:5" x14ac:dyDescent="0.2">
      <c r="A30737">
        <v>24593</v>
      </c>
      <c r="B30737" t="s">
        <v>52</v>
      </c>
      <c r="C30737">
        <v>24593</v>
      </c>
      <c r="D30737" t="str">
        <f>"24593"</f>
        <v>24593</v>
      </c>
      <c r="E30737">
        <v>72.53</v>
      </c>
    </row>
    <row r="30738" spans="1:5" x14ac:dyDescent="0.2">
      <c r="A30738">
        <v>24594</v>
      </c>
      <c r="B30738" t="s">
        <v>52</v>
      </c>
      <c r="C30738">
        <v>24594</v>
      </c>
      <c r="D30738" t="str">
        <f>"24594"</f>
        <v>24594</v>
      </c>
      <c r="E30738">
        <v>65.22</v>
      </c>
    </row>
    <row r="30739" spans="1:5" x14ac:dyDescent="0.2">
      <c r="A30739">
        <v>24595</v>
      </c>
      <c r="B30739" t="s">
        <v>52</v>
      </c>
      <c r="C30739">
        <v>24595</v>
      </c>
      <c r="D30739" t="str">
        <f>"24595"</f>
        <v>24595</v>
      </c>
      <c r="E30739" t="s">
        <v>6</v>
      </c>
    </row>
    <row r="30740" spans="1:5" x14ac:dyDescent="0.2">
      <c r="A30740">
        <v>24597</v>
      </c>
      <c r="B30740" t="s">
        <v>52</v>
      </c>
      <c r="C30740">
        <v>24597</v>
      </c>
      <c r="D30740" t="str">
        <f>"24597"</f>
        <v>24597</v>
      </c>
      <c r="E30740">
        <v>62.75</v>
      </c>
    </row>
    <row r="30741" spans="1:5" x14ac:dyDescent="0.2">
      <c r="A30741">
        <v>24598</v>
      </c>
      <c r="B30741" t="s">
        <v>52</v>
      </c>
      <c r="C30741">
        <v>24598</v>
      </c>
      <c r="D30741" t="str">
        <f>"24598"</f>
        <v>24598</v>
      </c>
      <c r="E30741">
        <v>72.22</v>
      </c>
    </row>
    <row r="30742" spans="1:5" x14ac:dyDescent="0.2">
      <c r="A30742">
        <v>24599</v>
      </c>
      <c r="B30742" t="s">
        <v>52</v>
      </c>
      <c r="C30742">
        <v>24599</v>
      </c>
      <c r="D30742" t="str">
        <f>"24599"</f>
        <v>24599</v>
      </c>
      <c r="E30742">
        <v>69.23</v>
      </c>
    </row>
    <row r="30743" spans="1:5" x14ac:dyDescent="0.2">
      <c r="A30743">
        <v>24602</v>
      </c>
      <c r="B30743" t="s">
        <v>52</v>
      </c>
      <c r="C30743">
        <v>24602</v>
      </c>
      <c r="D30743" t="str">
        <f>"24602"</f>
        <v>24602</v>
      </c>
      <c r="E30743">
        <v>64</v>
      </c>
    </row>
    <row r="30744" spans="1:5" x14ac:dyDescent="0.2">
      <c r="A30744">
        <v>24603</v>
      </c>
      <c r="B30744" t="s">
        <v>52</v>
      </c>
      <c r="C30744">
        <v>24603</v>
      </c>
      <c r="D30744" t="str">
        <f>"24603"</f>
        <v>24603</v>
      </c>
      <c r="E30744">
        <v>66.67</v>
      </c>
    </row>
    <row r="30745" spans="1:5" x14ac:dyDescent="0.2">
      <c r="A30745">
        <v>24605</v>
      </c>
      <c r="B30745" t="s">
        <v>52</v>
      </c>
      <c r="C30745">
        <v>24605</v>
      </c>
      <c r="D30745" t="str">
        <f>"24605"</f>
        <v>24605</v>
      </c>
      <c r="E30745">
        <v>70.760000000000005</v>
      </c>
    </row>
    <row r="30746" spans="1:5" x14ac:dyDescent="0.2">
      <c r="A30746">
        <v>24606</v>
      </c>
      <c r="B30746" t="s">
        <v>52</v>
      </c>
      <c r="C30746">
        <v>24606</v>
      </c>
      <c r="D30746" t="str">
        <f>"24606"</f>
        <v>24606</v>
      </c>
      <c r="E30746" t="s">
        <v>6</v>
      </c>
    </row>
    <row r="30747" spans="1:5" x14ac:dyDescent="0.2">
      <c r="A30747">
        <v>24607</v>
      </c>
      <c r="B30747" t="s">
        <v>52</v>
      </c>
      <c r="C30747">
        <v>24607</v>
      </c>
      <c r="D30747" t="str">
        <f>"24607"</f>
        <v>24607</v>
      </c>
      <c r="E30747" t="s">
        <v>6</v>
      </c>
    </row>
    <row r="30748" spans="1:5" x14ac:dyDescent="0.2">
      <c r="A30748">
        <v>24609</v>
      </c>
      <c r="B30748" t="s">
        <v>52</v>
      </c>
      <c r="C30748">
        <v>24609</v>
      </c>
      <c r="D30748" t="str">
        <f>"24609"</f>
        <v>24609</v>
      </c>
      <c r="E30748">
        <v>69.2</v>
      </c>
    </row>
    <row r="30749" spans="1:5" x14ac:dyDescent="0.2">
      <c r="A30749">
        <v>24613</v>
      </c>
      <c r="B30749" t="s">
        <v>52</v>
      </c>
      <c r="C30749">
        <v>24613</v>
      </c>
      <c r="D30749" t="str">
        <f>"24613"</f>
        <v>24613</v>
      </c>
      <c r="E30749">
        <v>74.19</v>
      </c>
    </row>
    <row r="30750" spans="1:5" x14ac:dyDescent="0.2">
      <c r="A30750">
        <v>24614</v>
      </c>
      <c r="B30750" t="s">
        <v>52</v>
      </c>
      <c r="C30750">
        <v>24614</v>
      </c>
      <c r="D30750" t="str">
        <f>"24614"</f>
        <v>24614</v>
      </c>
      <c r="E30750">
        <v>64.75</v>
      </c>
    </row>
    <row r="30751" spans="1:5" x14ac:dyDescent="0.2">
      <c r="A30751">
        <v>24620</v>
      </c>
      <c r="B30751" t="s">
        <v>52</v>
      </c>
      <c r="C30751">
        <v>24620</v>
      </c>
      <c r="D30751" t="str">
        <f>"24620"</f>
        <v>24620</v>
      </c>
      <c r="E30751">
        <v>57.97</v>
      </c>
    </row>
    <row r="30752" spans="1:5" x14ac:dyDescent="0.2">
      <c r="A30752">
        <v>24622</v>
      </c>
      <c r="B30752" t="s">
        <v>52</v>
      </c>
      <c r="C30752">
        <v>24622</v>
      </c>
      <c r="D30752" t="str">
        <f>"24622"</f>
        <v>24622</v>
      </c>
      <c r="E30752">
        <v>61.54</v>
      </c>
    </row>
    <row r="30753" spans="1:5" x14ac:dyDescent="0.2">
      <c r="A30753">
        <v>24630</v>
      </c>
      <c r="B30753" t="s">
        <v>52</v>
      </c>
      <c r="C30753">
        <v>24630</v>
      </c>
      <c r="D30753" t="str">
        <f>"24630"</f>
        <v>24630</v>
      </c>
      <c r="E30753">
        <v>66.8</v>
      </c>
    </row>
    <row r="30754" spans="1:5" x14ac:dyDescent="0.2">
      <c r="A30754">
        <v>24631</v>
      </c>
      <c r="B30754" t="s">
        <v>52</v>
      </c>
      <c r="C30754">
        <v>24631</v>
      </c>
      <c r="D30754" t="str">
        <f>"24631"</f>
        <v>24631</v>
      </c>
      <c r="E30754">
        <v>64.290000000000006</v>
      </c>
    </row>
    <row r="30755" spans="1:5" x14ac:dyDescent="0.2">
      <c r="A30755">
        <v>24634</v>
      </c>
      <c r="B30755" t="s">
        <v>52</v>
      </c>
      <c r="C30755">
        <v>24634</v>
      </c>
      <c r="D30755" t="str">
        <f>"24634"</f>
        <v>24634</v>
      </c>
      <c r="E30755">
        <v>65</v>
      </c>
    </row>
    <row r="30756" spans="1:5" x14ac:dyDescent="0.2">
      <c r="A30756">
        <v>24635</v>
      </c>
      <c r="B30756" t="s">
        <v>52</v>
      </c>
      <c r="C30756">
        <v>24635</v>
      </c>
      <c r="D30756" t="str">
        <f>"24635"</f>
        <v>24635</v>
      </c>
      <c r="E30756" t="s">
        <v>6</v>
      </c>
    </row>
    <row r="30757" spans="1:5" x14ac:dyDescent="0.2">
      <c r="A30757">
        <v>24637</v>
      </c>
      <c r="B30757" t="s">
        <v>52</v>
      </c>
      <c r="C30757">
        <v>24637</v>
      </c>
      <c r="D30757" t="str">
        <f>"24637"</f>
        <v>24637</v>
      </c>
      <c r="E30757">
        <v>71.319999999999993</v>
      </c>
    </row>
    <row r="30758" spans="1:5" x14ac:dyDescent="0.2">
      <c r="A30758">
        <v>24639</v>
      </c>
      <c r="B30758" t="s">
        <v>52</v>
      </c>
      <c r="C30758">
        <v>24639</v>
      </c>
      <c r="D30758" t="str">
        <f>"24639"</f>
        <v>24639</v>
      </c>
      <c r="E30758">
        <v>59.43</v>
      </c>
    </row>
    <row r="30759" spans="1:5" x14ac:dyDescent="0.2">
      <c r="A30759">
        <v>24641</v>
      </c>
      <c r="B30759" t="s">
        <v>52</v>
      </c>
      <c r="C30759">
        <v>24641</v>
      </c>
      <c r="D30759" t="str">
        <f>"24641"</f>
        <v>24641</v>
      </c>
      <c r="E30759">
        <v>64.319999999999993</v>
      </c>
    </row>
    <row r="30760" spans="1:5" x14ac:dyDescent="0.2">
      <c r="A30760">
        <v>24646</v>
      </c>
      <c r="B30760" t="s">
        <v>52</v>
      </c>
      <c r="C30760">
        <v>24646</v>
      </c>
      <c r="D30760" t="str">
        <f>"24646"</f>
        <v>24646</v>
      </c>
      <c r="E30760">
        <v>69.569999999999993</v>
      </c>
    </row>
    <row r="30761" spans="1:5" x14ac:dyDescent="0.2">
      <c r="A30761">
        <v>24649</v>
      </c>
      <c r="B30761" t="s">
        <v>52</v>
      </c>
      <c r="C30761">
        <v>24649</v>
      </c>
      <c r="D30761" t="str">
        <f>"24649"</f>
        <v>24649</v>
      </c>
      <c r="E30761">
        <v>68.12</v>
      </c>
    </row>
    <row r="30762" spans="1:5" x14ac:dyDescent="0.2">
      <c r="A30762">
        <v>24651</v>
      </c>
      <c r="B30762" t="s">
        <v>52</v>
      </c>
      <c r="C30762">
        <v>24651</v>
      </c>
      <c r="D30762" t="str">
        <f>"24651"</f>
        <v>24651</v>
      </c>
      <c r="E30762">
        <v>68.44</v>
      </c>
    </row>
    <row r="30763" spans="1:5" x14ac:dyDescent="0.2">
      <c r="A30763">
        <v>24656</v>
      </c>
      <c r="B30763" t="s">
        <v>52</v>
      </c>
      <c r="C30763">
        <v>24656</v>
      </c>
      <c r="D30763" t="str">
        <f>"24656"</f>
        <v>24656</v>
      </c>
      <c r="E30763">
        <v>66.069999999999993</v>
      </c>
    </row>
    <row r="30764" spans="1:5" x14ac:dyDescent="0.2">
      <c r="A30764">
        <v>24657</v>
      </c>
      <c r="B30764" t="s">
        <v>52</v>
      </c>
      <c r="C30764">
        <v>24657</v>
      </c>
      <c r="D30764" t="str">
        <f>"24657"</f>
        <v>24657</v>
      </c>
      <c r="E30764" t="s">
        <v>6</v>
      </c>
    </row>
    <row r="30765" spans="1:5" x14ac:dyDescent="0.2">
      <c r="A30765" t="str">
        <f>"05001"</f>
        <v>05001</v>
      </c>
      <c r="B30765" t="s">
        <v>53</v>
      </c>
      <c r="C30765">
        <v>5001</v>
      </c>
      <c r="D30765" t="str">
        <f>"05001"</f>
        <v>05001</v>
      </c>
      <c r="E30765">
        <v>75</v>
      </c>
    </row>
    <row r="30766" spans="1:5" x14ac:dyDescent="0.2">
      <c r="A30766" t="str">
        <f>"05031"</f>
        <v>05031</v>
      </c>
      <c r="B30766" t="s">
        <v>53</v>
      </c>
      <c r="C30766">
        <v>5031</v>
      </c>
      <c r="D30766" t="str">
        <f>"05031"</f>
        <v>05031</v>
      </c>
      <c r="E30766" t="s">
        <v>6</v>
      </c>
    </row>
    <row r="30767" spans="1:5" x14ac:dyDescent="0.2">
      <c r="A30767" t="str">
        <f>"05032"</f>
        <v>05032</v>
      </c>
      <c r="B30767" t="s">
        <v>53</v>
      </c>
      <c r="C30767">
        <v>5032</v>
      </c>
      <c r="D30767" t="str">
        <f>"05032"</f>
        <v>05032</v>
      </c>
      <c r="E30767">
        <v>73.77</v>
      </c>
    </row>
    <row r="30768" spans="1:5" x14ac:dyDescent="0.2">
      <c r="A30768" t="str">
        <f>"05033"</f>
        <v>05033</v>
      </c>
      <c r="B30768" t="s">
        <v>53</v>
      </c>
      <c r="C30768">
        <v>5033</v>
      </c>
      <c r="D30768" t="str">
        <f>"05033"</f>
        <v>05033</v>
      </c>
      <c r="E30768">
        <v>71.14</v>
      </c>
    </row>
    <row r="30769" spans="1:5" x14ac:dyDescent="0.2">
      <c r="A30769" t="str">
        <f>"05034"</f>
        <v>05034</v>
      </c>
      <c r="B30769" t="s">
        <v>53</v>
      </c>
      <c r="C30769">
        <v>5034</v>
      </c>
      <c r="D30769" t="str">
        <f>"05034"</f>
        <v>05034</v>
      </c>
      <c r="E30769">
        <v>75</v>
      </c>
    </row>
    <row r="30770" spans="1:5" x14ac:dyDescent="0.2">
      <c r="A30770" t="str">
        <f>"05035"</f>
        <v>05035</v>
      </c>
      <c r="B30770" t="s">
        <v>53</v>
      </c>
      <c r="C30770">
        <v>5035</v>
      </c>
      <c r="D30770" t="str">
        <f>"05035"</f>
        <v>05035</v>
      </c>
      <c r="E30770">
        <v>74.19</v>
      </c>
    </row>
    <row r="30771" spans="1:5" x14ac:dyDescent="0.2">
      <c r="A30771" t="str">
        <f>"05036"</f>
        <v>05036</v>
      </c>
      <c r="B30771" t="s">
        <v>53</v>
      </c>
      <c r="C30771">
        <v>5036</v>
      </c>
      <c r="D30771" t="str">
        <f>"05036"</f>
        <v>05036</v>
      </c>
      <c r="E30771">
        <v>78.260000000000005</v>
      </c>
    </row>
    <row r="30772" spans="1:5" x14ac:dyDescent="0.2">
      <c r="A30772" t="str">
        <f>"05037"</f>
        <v>05037</v>
      </c>
      <c r="B30772" t="s">
        <v>53</v>
      </c>
      <c r="C30772">
        <v>5037</v>
      </c>
      <c r="D30772" t="str">
        <f>"05037"</f>
        <v>05037</v>
      </c>
      <c r="E30772">
        <v>79.069999999999993</v>
      </c>
    </row>
    <row r="30773" spans="1:5" x14ac:dyDescent="0.2">
      <c r="A30773" t="str">
        <f>"05038"</f>
        <v>05038</v>
      </c>
      <c r="B30773" t="s">
        <v>53</v>
      </c>
      <c r="C30773">
        <v>5038</v>
      </c>
      <c r="D30773" t="str">
        <f>"05038"</f>
        <v>05038</v>
      </c>
      <c r="E30773">
        <v>68.75</v>
      </c>
    </row>
    <row r="30774" spans="1:5" x14ac:dyDescent="0.2">
      <c r="A30774" t="str">
        <f>"05039"</f>
        <v>05039</v>
      </c>
      <c r="B30774" t="s">
        <v>53</v>
      </c>
      <c r="C30774">
        <v>5039</v>
      </c>
      <c r="D30774" t="str">
        <f>"05039"</f>
        <v>05039</v>
      </c>
      <c r="E30774">
        <v>64.44</v>
      </c>
    </row>
    <row r="30775" spans="1:5" x14ac:dyDescent="0.2">
      <c r="A30775" t="str">
        <f>"05040"</f>
        <v>05040</v>
      </c>
      <c r="B30775" t="s">
        <v>53</v>
      </c>
      <c r="C30775">
        <v>5040</v>
      </c>
      <c r="D30775" t="str">
        <f>"05040"</f>
        <v>05040</v>
      </c>
      <c r="E30775">
        <v>67.86</v>
      </c>
    </row>
    <row r="30776" spans="1:5" x14ac:dyDescent="0.2">
      <c r="A30776" t="str">
        <f>"05041"</f>
        <v>05041</v>
      </c>
      <c r="B30776" t="s">
        <v>53</v>
      </c>
      <c r="C30776">
        <v>5041</v>
      </c>
      <c r="D30776" t="str">
        <f>"05041"</f>
        <v>05041</v>
      </c>
      <c r="E30776">
        <v>64.290000000000006</v>
      </c>
    </row>
    <row r="30777" spans="1:5" x14ac:dyDescent="0.2">
      <c r="A30777" t="str">
        <f>"05042"</f>
        <v>05042</v>
      </c>
      <c r="B30777" t="s">
        <v>53</v>
      </c>
      <c r="C30777">
        <v>5042</v>
      </c>
      <c r="D30777" t="str">
        <f>"05042"</f>
        <v>05042</v>
      </c>
      <c r="E30777">
        <v>65.52</v>
      </c>
    </row>
    <row r="30778" spans="1:5" x14ac:dyDescent="0.2">
      <c r="A30778" t="str">
        <f>"05043"</f>
        <v>05043</v>
      </c>
      <c r="B30778" t="s">
        <v>53</v>
      </c>
      <c r="C30778">
        <v>5043</v>
      </c>
      <c r="D30778" t="str">
        <f>"05043"</f>
        <v>05043</v>
      </c>
      <c r="E30778">
        <v>74.42</v>
      </c>
    </row>
    <row r="30779" spans="1:5" x14ac:dyDescent="0.2">
      <c r="A30779" t="str">
        <f>"05045"</f>
        <v>05045</v>
      </c>
      <c r="B30779" t="s">
        <v>53</v>
      </c>
      <c r="C30779">
        <v>5045</v>
      </c>
      <c r="D30779" t="str">
        <f>"05045"</f>
        <v>05045</v>
      </c>
      <c r="E30779">
        <v>76.62</v>
      </c>
    </row>
    <row r="30780" spans="1:5" x14ac:dyDescent="0.2">
      <c r="A30780" t="str">
        <f>"05046"</f>
        <v>05046</v>
      </c>
      <c r="B30780" t="s">
        <v>53</v>
      </c>
      <c r="C30780">
        <v>5046</v>
      </c>
      <c r="D30780" t="str">
        <f>"05046"</f>
        <v>05046</v>
      </c>
      <c r="E30780">
        <v>71.19</v>
      </c>
    </row>
    <row r="30781" spans="1:5" x14ac:dyDescent="0.2">
      <c r="A30781" t="str">
        <f>"05048"</f>
        <v>05048</v>
      </c>
      <c r="B30781" t="s">
        <v>53</v>
      </c>
      <c r="C30781">
        <v>5048</v>
      </c>
      <c r="D30781" t="str">
        <f>"05048"</f>
        <v>05048</v>
      </c>
      <c r="E30781">
        <v>79.39</v>
      </c>
    </row>
    <row r="30782" spans="1:5" x14ac:dyDescent="0.2">
      <c r="A30782" t="str">
        <f>"05050"</f>
        <v>05050</v>
      </c>
      <c r="B30782" t="s">
        <v>53</v>
      </c>
      <c r="C30782">
        <v>5050</v>
      </c>
      <c r="D30782" t="str">
        <f>"05050"</f>
        <v>05050</v>
      </c>
      <c r="E30782" t="s">
        <v>6</v>
      </c>
    </row>
    <row r="30783" spans="1:5" x14ac:dyDescent="0.2">
      <c r="A30783" t="str">
        <f>"05051"</f>
        <v>05051</v>
      </c>
      <c r="B30783" t="s">
        <v>53</v>
      </c>
      <c r="C30783">
        <v>5051</v>
      </c>
      <c r="D30783" t="str">
        <f>"05051"</f>
        <v>05051</v>
      </c>
      <c r="E30783">
        <v>69.23</v>
      </c>
    </row>
    <row r="30784" spans="1:5" x14ac:dyDescent="0.2">
      <c r="A30784" t="str">
        <f>"05052"</f>
        <v>05052</v>
      </c>
      <c r="B30784" t="s">
        <v>53</v>
      </c>
      <c r="C30784">
        <v>5052</v>
      </c>
      <c r="D30784" t="str">
        <f>"05052"</f>
        <v>05052</v>
      </c>
      <c r="E30784">
        <v>70.59</v>
      </c>
    </row>
    <row r="30785" spans="1:5" x14ac:dyDescent="0.2">
      <c r="A30785" t="str">
        <f>"05053"</f>
        <v>05053</v>
      </c>
      <c r="B30785" t="s">
        <v>53</v>
      </c>
      <c r="C30785">
        <v>5053</v>
      </c>
      <c r="D30785" t="str">
        <f>"05053"</f>
        <v>05053</v>
      </c>
      <c r="E30785">
        <v>66.67</v>
      </c>
    </row>
    <row r="30786" spans="1:5" x14ac:dyDescent="0.2">
      <c r="A30786" t="str">
        <f>"05054"</f>
        <v>05054</v>
      </c>
      <c r="B30786" t="s">
        <v>53</v>
      </c>
      <c r="C30786">
        <v>5054</v>
      </c>
      <c r="D30786" t="str">
        <f>"05054"</f>
        <v>05054</v>
      </c>
      <c r="E30786" t="s">
        <v>6</v>
      </c>
    </row>
    <row r="30787" spans="1:5" x14ac:dyDescent="0.2">
      <c r="A30787" t="str">
        <f>"05055"</f>
        <v>05055</v>
      </c>
      <c r="B30787" t="s">
        <v>53</v>
      </c>
      <c r="C30787">
        <v>5055</v>
      </c>
      <c r="D30787" t="str">
        <f>"05055"</f>
        <v>05055</v>
      </c>
      <c r="E30787">
        <v>79.78</v>
      </c>
    </row>
    <row r="30788" spans="1:5" x14ac:dyDescent="0.2">
      <c r="A30788" t="str">
        <f>"05056"</f>
        <v>05056</v>
      </c>
      <c r="B30788" t="s">
        <v>53</v>
      </c>
      <c r="C30788">
        <v>5056</v>
      </c>
      <c r="D30788" t="str">
        <f>"05056"</f>
        <v>05056</v>
      </c>
      <c r="E30788">
        <v>77.78</v>
      </c>
    </row>
    <row r="30789" spans="1:5" x14ac:dyDescent="0.2">
      <c r="A30789" t="str">
        <f>"05058"</f>
        <v>05058</v>
      </c>
      <c r="B30789" t="s">
        <v>53</v>
      </c>
      <c r="C30789">
        <v>5058</v>
      </c>
      <c r="D30789" t="str">
        <f>"05058"</f>
        <v>05058</v>
      </c>
      <c r="E30789">
        <v>68.42</v>
      </c>
    </row>
    <row r="30790" spans="1:5" x14ac:dyDescent="0.2">
      <c r="A30790" t="str">
        <f>"05059"</f>
        <v>05059</v>
      </c>
      <c r="B30790" t="s">
        <v>53</v>
      </c>
      <c r="C30790">
        <v>5059</v>
      </c>
      <c r="D30790" t="str">
        <f>"05059"</f>
        <v>05059</v>
      </c>
      <c r="E30790" t="s">
        <v>6</v>
      </c>
    </row>
    <row r="30791" spans="1:5" x14ac:dyDescent="0.2">
      <c r="A30791" t="str">
        <f>"05060"</f>
        <v>05060</v>
      </c>
      <c r="B30791" t="s">
        <v>53</v>
      </c>
      <c r="C30791">
        <v>5060</v>
      </c>
      <c r="D30791" t="str">
        <f>"05060"</f>
        <v>05060</v>
      </c>
      <c r="E30791">
        <v>72.650000000000006</v>
      </c>
    </row>
    <row r="30792" spans="1:5" x14ac:dyDescent="0.2">
      <c r="A30792" t="str">
        <f>"05061"</f>
        <v>05061</v>
      </c>
      <c r="B30792" t="s">
        <v>53</v>
      </c>
      <c r="C30792">
        <v>5061</v>
      </c>
      <c r="D30792" t="str">
        <f>"05061"</f>
        <v>05061</v>
      </c>
      <c r="E30792">
        <v>74.290000000000006</v>
      </c>
    </row>
    <row r="30793" spans="1:5" x14ac:dyDescent="0.2">
      <c r="A30793" t="str">
        <f>"05062"</f>
        <v>05062</v>
      </c>
      <c r="B30793" t="s">
        <v>53</v>
      </c>
      <c r="C30793">
        <v>5062</v>
      </c>
      <c r="D30793" t="str">
        <f>"05062"</f>
        <v>05062</v>
      </c>
      <c r="E30793">
        <v>68.569999999999993</v>
      </c>
    </row>
    <row r="30794" spans="1:5" x14ac:dyDescent="0.2">
      <c r="A30794" t="str">
        <f>"05065"</f>
        <v>05065</v>
      </c>
      <c r="B30794" t="s">
        <v>53</v>
      </c>
      <c r="C30794">
        <v>5065</v>
      </c>
      <c r="D30794" t="str">
        <f>"05065"</f>
        <v>05065</v>
      </c>
      <c r="E30794">
        <v>75.86</v>
      </c>
    </row>
    <row r="30795" spans="1:5" x14ac:dyDescent="0.2">
      <c r="A30795" t="str">
        <f>"05067"</f>
        <v>05067</v>
      </c>
      <c r="B30795" t="s">
        <v>53</v>
      </c>
      <c r="C30795">
        <v>5067</v>
      </c>
      <c r="D30795" t="str">
        <f>"05067"</f>
        <v>05067</v>
      </c>
      <c r="E30795">
        <v>86.67</v>
      </c>
    </row>
    <row r="30796" spans="1:5" x14ac:dyDescent="0.2">
      <c r="A30796" t="str">
        <f>"05068"</f>
        <v>05068</v>
      </c>
      <c r="B30796" t="s">
        <v>53</v>
      </c>
      <c r="C30796">
        <v>5068</v>
      </c>
      <c r="D30796" t="str">
        <f>"05068"</f>
        <v>05068</v>
      </c>
      <c r="E30796">
        <v>71.34</v>
      </c>
    </row>
    <row r="30797" spans="1:5" x14ac:dyDescent="0.2">
      <c r="A30797" t="str">
        <f>"05069"</f>
        <v>05069</v>
      </c>
      <c r="B30797" t="s">
        <v>53</v>
      </c>
      <c r="C30797">
        <v>5069</v>
      </c>
      <c r="D30797" t="str">
        <f>"05069"</f>
        <v>05069</v>
      </c>
      <c r="E30797">
        <v>67.739999999999995</v>
      </c>
    </row>
    <row r="30798" spans="1:5" x14ac:dyDescent="0.2">
      <c r="A30798" t="str">
        <f>"05070"</f>
        <v>05070</v>
      </c>
      <c r="B30798" t="s">
        <v>53</v>
      </c>
      <c r="C30798">
        <v>5070</v>
      </c>
      <c r="D30798" t="str">
        <f>"05070"</f>
        <v>05070</v>
      </c>
      <c r="E30798">
        <v>68.97</v>
      </c>
    </row>
    <row r="30799" spans="1:5" x14ac:dyDescent="0.2">
      <c r="A30799" t="str">
        <f>"05071"</f>
        <v>05071</v>
      </c>
      <c r="B30799" t="s">
        <v>53</v>
      </c>
      <c r="C30799">
        <v>5071</v>
      </c>
      <c r="D30799" t="str">
        <f>"05071"</f>
        <v>05071</v>
      </c>
      <c r="E30799">
        <v>83.33</v>
      </c>
    </row>
    <row r="30800" spans="1:5" x14ac:dyDescent="0.2">
      <c r="A30800" t="str">
        <f>"05072"</f>
        <v>05072</v>
      </c>
      <c r="B30800" t="s">
        <v>53</v>
      </c>
      <c r="C30800">
        <v>5072</v>
      </c>
      <c r="D30800" t="str">
        <f>"05072"</f>
        <v>05072</v>
      </c>
      <c r="E30800">
        <v>75</v>
      </c>
    </row>
    <row r="30801" spans="1:5" x14ac:dyDescent="0.2">
      <c r="A30801" t="str">
        <f>"05073"</f>
        <v>05073</v>
      </c>
      <c r="B30801" t="s">
        <v>53</v>
      </c>
      <c r="C30801">
        <v>5073</v>
      </c>
      <c r="D30801" t="str">
        <f>"05073"</f>
        <v>05073</v>
      </c>
      <c r="E30801" t="s">
        <v>6</v>
      </c>
    </row>
    <row r="30802" spans="1:5" x14ac:dyDescent="0.2">
      <c r="A30802" t="str">
        <f>"05075"</f>
        <v>05075</v>
      </c>
      <c r="B30802" t="s">
        <v>53</v>
      </c>
      <c r="C30802">
        <v>5075</v>
      </c>
      <c r="D30802" t="str">
        <f>"05075"</f>
        <v>05075</v>
      </c>
      <c r="E30802">
        <v>76.92</v>
      </c>
    </row>
    <row r="30803" spans="1:5" x14ac:dyDescent="0.2">
      <c r="A30803" t="str">
        <f>"05076"</f>
        <v>05076</v>
      </c>
      <c r="B30803" t="s">
        <v>53</v>
      </c>
      <c r="C30803">
        <v>5076</v>
      </c>
      <c r="D30803" t="str">
        <f>"05076"</f>
        <v>05076</v>
      </c>
      <c r="E30803">
        <v>65.38</v>
      </c>
    </row>
    <row r="30804" spans="1:5" x14ac:dyDescent="0.2">
      <c r="A30804" t="str">
        <f>"05077"</f>
        <v>05077</v>
      </c>
      <c r="B30804" t="s">
        <v>53</v>
      </c>
      <c r="C30804">
        <v>5077</v>
      </c>
      <c r="D30804" t="str">
        <f>"05077"</f>
        <v>05077</v>
      </c>
      <c r="E30804">
        <v>68.42</v>
      </c>
    </row>
    <row r="30805" spans="1:5" x14ac:dyDescent="0.2">
      <c r="A30805" t="str">
        <f>"05079"</f>
        <v>05079</v>
      </c>
      <c r="B30805" t="s">
        <v>53</v>
      </c>
      <c r="C30805">
        <v>5079</v>
      </c>
      <c r="D30805" t="str">
        <f>"05079"</f>
        <v>05079</v>
      </c>
      <c r="E30805">
        <v>65.63</v>
      </c>
    </row>
    <row r="30806" spans="1:5" x14ac:dyDescent="0.2">
      <c r="A30806" t="str">
        <f>"05081"</f>
        <v>05081</v>
      </c>
      <c r="B30806" t="s">
        <v>53</v>
      </c>
      <c r="C30806">
        <v>5081</v>
      </c>
      <c r="D30806" t="str">
        <f>"05081"</f>
        <v>05081</v>
      </c>
      <c r="E30806">
        <v>63.41</v>
      </c>
    </row>
    <row r="30807" spans="1:5" x14ac:dyDescent="0.2">
      <c r="A30807" t="str">
        <f>"05083"</f>
        <v>05083</v>
      </c>
      <c r="B30807" t="s">
        <v>53</v>
      </c>
      <c r="C30807">
        <v>5083</v>
      </c>
      <c r="D30807" t="str">
        <f>"05083"</f>
        <v>05083</v>
      </c>
      <c r="E30807">
        <v>69.23</v>
      </c>
    </row>
    <row r="30808" spans="1:5" x14ac:dyDescent="0.2">
      <c r="A30808" t="str">
        <f>"05084"</f>
        <v>05084</v>
      </c>
      <c r="B30808" t="s">
        <v>53</v>
      </c>
      <c r="C30808">
        <v>5084</v>
      </c>
      <c r="D30808" t="str">
        <f>"05084"</f>
        <v>05084</v>
      </c>
      <c r="E30808">
        <v>75</v>
      </c>
    </row>
    <row r="30809" spans="1:5" x14ac:dyDescent="0.2">
      <c r="A30809" t="str">
        <f>"05086"</f>
        <v>05086</v>
      </c>
      <c r="B30809" t="s">
        <v>53</v>
      </c>
      <c r="C30809">
        <v>5086</v>
      </c>
      <c r="D30809" t="str">
        <f>"05086"</f>
        <v>05086</v>
      </c>
      <c r="E30809">
        <v>76.319999999999993</v>
      </c>
    </row>
    <row r="30810" spans="1:5" x14ac:dyDescent="0.2">
      <c r="A30810" t="str">
        <f>"05088"</f>
        <v>05088</v>
      </c>
      <c r="B30810" t="s">
        <v>53</v>
      </c>
      <c r="C30810">
        <v>5088</v>
      </c>
      <c r="D30810" t="str">
        <f>"05088"</f>
        <v>05088</v>
      </c>
      <c r="E30810" t="s">
        <v>6</v>
      </c>
    </row>
    <row r="30811" spans="1:5" x14ac:dyDescent="0.2">
      <c r="A30811" t="str">
        <f>"05089"</f>
        <v>05089</v>
      </c>
      <c r="B30811" t="s">
        <v>53</v>
      </c>
      <c r="C30811">
        <v>5089</v>
      </c>
      <c r="D30811" t="str">
        <f>"05089"</f>
        <v>05089</v>
      </c>
      <c r="E30811">
        <v>73.64</v>
      </c>
    </row>
    <row r="30812" spans="1:5" x14ac:dyDescent="0.2">
      <c r="A30812" t="str">
        <f>"05091"</f>
        <v>05091</v>
      </c>
      <c r="B30812" t="s">
        <v>53</v>
      </c>
      <c r="C30812">
        <v>5091</v>
      </c>
      <c r="D30812" t="str">
        <f>"05091"</f>
        <v>05091</v>
      </c>
      <c r="E30812">
        <v>74.03</v>
      </c>
    </row>
    <row r="30813" spans="1:5" x14ac:dyDescent="0.2">
      <c r="A30813" t="str">
        <f>"05101"</f>
        <v>05101</v>
      </c>
      <c r="B30813" t="s">
        <v>53</v>
      </c>
      <c r="C30813">
        <v>5101</v>
      </c>
      <c r="D30813" t="str">
        <f>"05101"</f>
        <v>05101</v>
      </c>
      <c r="E30813">
        <v>66.5</v>
      </c>
    </row>
    <row r="30814" spans="1:5" x14ac:dyDescent="0.2">
      <c r="A30814" t="str">
        <f>"05141"</f>
        <v>05141</v>
      </c>
      <c r="B30814" t="s">
        <v>53</v>
      </c>
      <c r="C30814">
        <v>5141</v>
      </c>
      <c r="D30814" t="str">
        <f>"05141"</f>
        <v>05141</v>
      </c>
      <c r="E30814" t="s">
        <v>6</v>
      </c>
    </row>
    <row r="30815" spans="1:5" x14ac:dyDescent="0.2">
      <c r="A30815" t="str">
        <f>"05142"</f>
        <v>05142</v>
      </c>
      <c r="B30815" t="s">
        <v>53</v>
      </c>
      <c r="C30815">
        <v>5142</v>
      </c>
      <c r="D30815" t="str">
        <f>"05142"</f>
        <v>05142</v>
      </c>
      <c r="E30815">
        <v>70.59</v>
      </c>
    </row>
    <row r="30816" spans="1:5" x14ac:dyDescent="0.2">
      <c r="A30816" t="str">
        <f>"05143"</f>
        <v>05143</v>
      </c>
      <c r="B30816" t="s">
        <v>53</v>
      </c>
      <c r="C30816">
        <v>5143</v>
      </c>
      <c r="D30816" t="str">
        <f>"05143"</f>
        <v>05143</v>
      </c>
      <c r="E30816">
        <v>71.05</v>
      </c>
    </row>
    <row r="30817" spans="1:5" x14ac:dyDescent="0.2">
      <c r="A30817" t="str">
        <f>"05146"</f>
        <v>05146</v>
      </c>
      <c r="B30817" t="s">
        <v>53</v>
      </c>
      <c r="C30817">
        <v>5146</v>
      </c>
      <c r="D30817" t="str">
        <f>"05146"</f>
        <v>05146</v>
      </c>
      <c r="E30817">
        <v>73.08</v>
      </c>
    </row>
    <row r="30818" spans="1:5" x14ac:dyDescent="0.2">
      <c r="A30818" t="str">
        <f>"05148"</f>
        <v>05148</v>
      </c>
      <c r="B30818" t="s">
        <v>53</v>
      </c>
      <c r="C30818">
        <v>5148</v>
      </c>
      <c r="D30818" t="str">
        <f>"05148"</f>
        <v>05148</v>
      </c>
      <c r="E30818">
        <v>73.53</v>
      </c>
    </row>
    <row r="30819" spans="1:5" x14ac:dyDescent="0.2">
      <c r="A30819" t="str">
        <f>"05149"</f>
        <v>05149</v>
      </c>
      <c r="B30819" t="s">
        <v>53</v>
      </c>
      <c r="C30819">
        <v>5149</v>
      </c>
      <c r="D30819" t="str">
        <f>"05149"</f>
        <v>05149</v>
      </c>
      <c r="E30819">
        <v>71.77</v>
      </c>
    </row>
    <row r="30820" spans="1:5" x14ac:dyDescent="0.2">
      <c r="A30820" t="str">
        <f>"05150"</f>
        <v>05150</v>
      </c>
      <c r="B30820" t="s">
        <v>53</v>
      </c>
      <c r="C30820">
        <v>5150</v>
      </c>
      <c r="D30820" t="str">
        <f>"05150"</f>
        <v>05150</v>
      </c>
      <c r="E30820">
        <v>74.069999999999993</v>
      </c>
    </row>
    <row r="30821" spans="1:5" x14ac:dyDescent="0.2">
      <c r="A30821" t="str">
        <f>"05151"</f>
        <v>05151</v>
      </c>
      <c r="B30821" t="s">
        <v>53</v>
      </c>
      <c r="C30821">
        <v>5151</v>
      </c>
      <c r="D30821" t="str">
        <f>"05151"</f>
        <v>05151</v>
      </c>
      <c r="E30821">
        <v>70.150000000000006</v>
      </c>
    </row>
    <row r="30822" spans="1:5" x14ac:dyDescent="0.2">
      <c r="A30822" t="str">
        <f>"05152"</f>
        <v>05152</v>
      </c>
      <c r="B30822" t="s">
        <v>53</v>
      </c>
      <c r="C30822">
        <v>5152</v>
      </c>
      <c r="D30822" t="str">
        <f>"05152"</f>
        <v>05152</v>
      </c>
      <c r="E30822">
        <v>80</v>
      </c>
    </row>
    <row r="30823" spans="1:5" x14ac:dyDescent="0.2">
      <c r="A30823" t="str">
        <f>"05153"</f>
        <v>05153</v>
      </c>
      <c r="B30823" t="s">
        <v>53</v>
      </c>
      <c r="C30823">
        <v>5153</v>
      </c>
      <c r="D30823" t="str">
        <f>"05153"</f>
        <v>05153</v>
      </c>
      <c r="E30823">
        <v>66.67</v>
      </c>
    </row>
    <row r="30824" spans="1:5" x14ac:dyDescent="0.2">
      <c r="A30824" t="str">
        <f>"05154"</f>
        <v>05154</v>
      </c>
      <c r="B30824" t="s">
        <v>53</v>
      </c>
      <c r="C30824">
        <v>5154</v>
      </c>
      <c r="D30824" t="str">
        <f>"05154"</f>
        <v>05154</v>
      </c>
      <c r="E30824">
        <v>76.739999999999995</v>
      </c>
    </row>
    <row r="30825" spans="1:5" x14ac:dyDescent="0.2">
      <c r="A30825" t="str">
        <f>"05155"</f>
        <v>05155</v>
      </c>
      <c r="B30825" t="s">
        <v>53</v>
      </c>
      <c r="C30825">
        <v>5155</v>
      </c>
      <c r="D30825" t="str">
        <f>"05155"</f>
        <v>05155</v>
      </c>
      <c r="E30825">
        <v>65</v>
      </c>
    </row>
    <row r="30826" spans="1:5" x14ac:dyDescent="0.2">
      <c r="A30826" t="str">
        <f>"05156"</f>
        <v>05156</v>
      </c>
      <c r="B30826" t="s">
        <v>53</v>
      </c>
      <c r="C30826">
        <v>5156</v>
      </c>
      <c r="D30826" t="str">
        <f>"05156"</f>
        <v>05156</v>
      </c>
      <c r="E30826">
        <v>69.290000000000006</v>
      </c>
    </row>
    <row r="30827" spans="1:5" x14ac:dyDescent="0.2">
      <c r="A30827" t="str">
        <f>"05158"</f>
        <v>05158</v>
      </c>
      <c r="B30827" t="s">
        <v>53</v>
      </c>
      <c r="C30827">
        <v>5158</v>
      </c>
      <c r="D30827" t="str">
        <f>"05158"</f>
        <v>05158</v>
      </c>
      <c r="E30827">
        <v>68.599999999999994</v>
      </c>
    </row>
    <row r="30828" spans="1:5" x14ac:dyDescent="0.2">
      <c r="A30828" t="str">
        <f>"05161"</f>
        <v>05161</v>
      </c>
      <c r="B30828" t="s">
        <v>53</v>
      </c>
      <c r="C30828">
        <v>5161</v>
      </c>
      <c r="D30828" t="str">
        <f>"05161"</f>
        <v>05161</v>
      </c>
      <c r="E30828">
        <v>71.88</v>
      </c>
    </row>
    <row r="30829" spans="1:5" x14ac:dyDescent="0.2">
      <c r="A30829" t="str">
        <f>"05201"</f>
        <v>05201</v>
      </c>
      <c r="B30829" t="s">
        <v>53</v>
      </c>
      <c r="C30829">
        <v>5201</v>
      </c>
      <c r="D30829" t="str">
        <f>"05201"</f>
        <v>05201</v>
      </c>
      <c r="E30829">
        <v>67.13</v>
      </c>
    </row>
    <row r="30830" spans="1:5" x14ac:dyDescent="0.2">
      <c r="A30830" t="str">
        <f>"05250"</f>
        <v>05250</v>
      </c>
      <c r="B30830" t="s">
        <v>53</v>
      </c>
      <c r="C30830">
        <v>5250</v>
      </c>
      <c r="D30830" t="str">
        <f>"05250"</f>
        <v>05250</v>
      </c>
      <c r="E30830">
        <v>71.84</v>
      </c>
    </row>
    <row r="30831" spans="1:5" x14ac:dyDescent="0.2">
      <c r="A30831" t="str">
        <f>"05251"</f>
        <v>05251</v>
      </c>
      <c r="B30831" t="s">
        <v>53</v>
      </c>
      <c r="C30831">
        <v>5251</v>
      </c>
      <c r="D30831" t="str">
        <f>"05251"</f>
        <v>05251</v>
      </c>
      <c r="E30831">
        <v>72.599999999999994</v>
      </c>
    </row>
    <row r="30832" spans="1:5" x14ac:dyDescent="0.2">
      <c r="A30832" t="str">
        <f>"05252"</f>
        <v>05252</v>
      </c>
      <c r="B30832" t="s">
        <v>53</v>
      </c>
      <c r="C30832">
        <v>5252</v>
      </c>
      <c r="D30832" t="str">
        <f>"05252"</f>
        <v>05252</v>
      </c>
      <c r="E30832">
        <v>73.680000000000007</v>
      </c>
    </row>
    <row r="30833" spans="1:5" x14ac:dyDescent="0.2">
      <c r="A30833" t="str">
        <f>"05253"</f>
        <v>05253</v>
      </c>
      <c r="B30833" t="s">
        <v>53</v>
      </c>
      <c r="C30833">
        <v>5253</v>
      </c>
      <c r="D30833" t="str">
        <f>"05253"</f>
        <v>05253</v>
      </c>
      <c r="E30833">
        <v>75.86</v>
      </c>
    </row>
    <row r="30834" spans="1:5" x14ac:dyDescent="0.2">
      <c r="A30834" t="str">
        <f>"05254"</f>
        <v>05254</v>
      </c>
      <c r="B30834" t="s">
        <v>53</v>
      </c>
      <c r="C30834">
        <v>5254</v>
      </c>
      <c r="D30834" t="str">
        <f>"05254"</f>
        <v>05254</v>
      </c>
      <c r="E30834" t="s">
        <v>6</v>
      </c>
    </row>
    <row r="30835" spans="1:5" x14ac:dyDescent="0.2">
      <c r="A30835" t="str">
        <f>"05255"</f>
        <v>05255</v>
      </c>
      <c r="B30835" t="s">
        <v>53</v>
      </c>
      <c r="C30835">
        <v>5255</v>
      </c>
      <c r="D30835" t="str">
        <f>"05255"</f>
        <v>05255</v>
      </c>
      <c r="E30835">
        <v>71.17</v>
      </c>
    </row>
    <row r="30836" spans="1:5" x14ac:dyDescent="0.2">
      <c r="A30836" t="str">
        <f>"05257"</f>
        <v>05257</v>
      </c>
      <c r="B30836" t="s">
        <v>53</v>
      </c>
      <c r="C30836">
        <v>5257</v>
      </c>
      <c r="D30836" t="str">
        <f>"05257"</f>
        <v>05257</v>
      </c>
      <c r="E30836">
        <v>68.25</v>
      </c>
    </row>
    <row r="30837" spans="1:5" x14ac:dyDescent="0.2">
      <c r="A30837" t="str">
        <f>"05260"</f>
        <v>05260</v>
      </c>
      <c r="B30837" t="s">
        <v>53</v>
      </c>
      <c r="C30837">
        <v>5260</v>
      </c>
      <c r="D30837" t="str">
        <f>"05260"</f>
        <v>05260</v>
      </c>
      <c r="E30837">
        <v>66.67</v>
      </c>
    </row>
    <row r="30838" spans="1:5" x14ac:dyDescent="0.2">
      <c r="A30838" t="str">
        <f>"05261"</f>
        <v>05261</v>
      </c>
      <c r="B30838" t="s">
        <v>53</v>
      </c>
      <c r="C30838">
        <v>5261</v>
      </c>
      <c r="D30838" t="str">
        <f>"05261"</f>
        <v>05261</v>
      </c>
      <c r="E30838">
        <v>67.239999999999995</v>
      </c>
    </row>
    <row r="30839" spans="1:5" x14ac:dyDescent="0.2">
      <c r="A30839" t="str">
        <f>"05262"</f>
        <v>05262</v>
      </c>
      <c r="B30839" t="s">
        <v>53</v>
      </c>
      <c r="C30839">
        <v>5262</v>
      </c>
      <c r="D30839" t="str">
        <f>"05262"</f>
        <v>05262</v>
      </c>
      <c r="E30839">
        <v>72.73</v>
      </c>
    </row>
    <row r="30840" spans="1:5" x14ac:dyDescent="0.2">
      <c r="A30840" t="str">
        <f>"05301"</f>
        <v>05301</v>
      </c>
      <c r="B30840" t="s">
        <v>53</v>
      </c>
      <c r="C30840">
        <v>5301</v>
      </c>
      <c r="D30840" t="str">
        <f>"05301"</f>
        <v>05301</v>
      </c>
      <c r="E30840">
        <v>71.22</v>
      </c>
    </row>
    <row r="30841" spans="1:5" x14ac:dyDescent="0.2">
      <c r="A30841" t="str">
        <f>"05340"</f>
        <v>05340</v>
      </c>
      <c r="B30841" t="s">
        <v>53</v>
      </c>
      <c r="C30841">
        <v>5340</v>
      </c>
      <c r="D30841" t="str">
        <f>"05340"</f>
        <v>05340</v>
      </c>
      <c r="E30841">
        <v>68.180000000000007</v>
      </c>
    </row>
    <row r="30842" spans="1:5" x14ac:dyDescent="0.2">
      <c r="A30842" t="str">
        <f>"05341"</f>
        <v>05341</v>
      </c>
      <c r="B30842" t="s">
        <v>53</v>
      </c>
      <c r="C30842">
        <v>5341</v>
      </c>
      <c r="D30842" t="str">
        <f>"05341"</f>
        <v>05341</v>
      </c>
      <c r="E30842">
        <v>75</v>
      </c>
    </row>
    <row r="30843" spans="1:5" x14ac:dyDescent="0.2">
      <c r="A30843" t="str">
        <f>"05342"</f>
        <v>05342</v>
      </c>
      <c r="B30843" t="s">
        <v>53</v>
      </c>
      <c r="C30843">
        <v>5342</v>
      </c>
      <c r="D30843" t="str">
        <f>"05342"</f>
        <v>05342</v>
      </c>
      <c r="E30843">
        <v>71.88</v>
      </c>
    </row>
    <row r="30844" spans="1:5" x14ac:dyDescent="0.2">
      <c r="A30844" t="str">
        <f>"05343"</f>
        <v>05343</v>
      </c>
      <c r="B30844" t="s">
        <v>53</v>
      </c>
      <c r="C30844">
        <v>5343</v>
      </c>
      <c r="D30844" t="str">
        <f>"05343"</f>
        <v>05343</v>
      </c>
      <c r="E30844">
        <v>67.5</v>
      </c>
    </row>
    <row r="30845" spans="1:5" x14ac:dyDescent="0.2">
      <c r="A30845" t="str">
        <f>"05344"</f>
        <v>05344</v>
      </c>
      <c r="B30845" t="s">
        <v>53</v>
      </c>
      <c r="C30845">
        <v>5344</v>
      </c>
      <c r="D30845" t="str">
        <f>"05344"</f>
        <v>05344</v>
      </c>
      <c r="E30845" t="s">
        <v>6</v>
      </c>
    </row>
    <row r="30846" spans="1:5" x14ac:dyDescent="0.2">
      <c r="A30846" t="str">
        <f>"05345"</f>
        <v>05345</v>
      </c>
      <c r="B30846" t="s">
        <v>53</v>
      </c>
      <c r="C30846">
        <v>5345</v>
      </c>
      <c r="D30846" t="str">
        <f>"05345"</f>
        <v>05345</v>
      </c>
      <c r="E30846">
        <v>76.47</v>
      </c>
    </row>
    <row r="30847" spans="1:5" x14ac:dyDescent="0.2">
      <c r="A30847" t="str">
        <f>"05346"</f>
        <v>05346</v>
      </c>
      <c r="B30847" t="s">
        <v>53</v>
      </c>
      <c r="C30847">
        <v>5346</v>
      </c>
      <c r="D30847" t="str">
        <f>"05346"</f>
        <v>05346</v>
      </c>
      <c r="E30847">
        <v>69.83</v>
      </c>
    </row>
    <row r="30848" spans="1:5" x14ac:dyDescent="0.2">
      <c r="A30848" t="str">
        <f>"05350"</f>
        <v>05350</v>
      </c>
      <c r="B30848" t="s">
        <v>53</v>
      </c>
      <c r="C30848">
        <v>5350</v>
      </c>
      <c r="D30848" t="str">
        <f>"05350"</f>
        <v>05350</v>
      </c>
      <c r="E30848">
        <v>72.97</v>
      </c>
    </row>
    <row r="30849" spans="1:5" x14ac:dyDescent="0.2">
      <c r="A30849" t="str">
        <f>"05351"</f>
        <v>05351</v>
      </c>
      <c r="B30849" t="s">
        <v>53</v>
      </c>
      <c r="C30849">
        <v>5351</v>
      </c>
      <c r="D30849" t="str">
        <f>"05351"</f>
        <v>05351</v>
      </c>
      <c r="E30849" t="s">
        <v>6</v>
      </c>
    </row>
    <row r="30850" spans="1:5" x14ac:dyDescent="0.2">
      <c r="A30850" t="str">
        <f>"05352"</f>
        <v>05352</v>
      </c>
      <c r="B30850" t="s">
        <v>53</v>
      </c>
      <c r="C30850">
        <v>5352</v>
      </c>
      <c r="D30850" t="str">
        <f>"05352"</f>
        <v>05352</v>
      </c>
      <c r="E30850">
        <v>73.81</v>
      </c>
    </row>
    <row r="30851" spans="1:5" x14ac:dyDescent="0.2">
      <c r="A30851" t="str">
        <f>"05353"</f>
        <v>05353</v>
      </c>
      <c r="B30851" t="s">
        <v>53</v>
      </c>
      <c r="C30851">
        <v>5353</v>
      </c>
      <c r="D30851" t="str">
        <f>"05353"</f>
        <v>05353</v>
      </c>
      <c r="E30851">
        <v>72.88</v>
      </c>
    </row>
    <row r="30852" spans="1:5" x14ac:dyDescent="0.2">
      <c r="A30852" t="str">
        <f>"05354"</f>
        <v>05354</v>
      </c>
      <c r="B30852" t="s">
        <v>53</v>
      </c>
      <c r="C30852">
        <v>5354</v>
      </c>
      <c r="D30852" t="str">
        <f>"05354"</f>
        <v>05354</v>
      </c>
      <c r="E30852">
        <v>75.45</v>
      </c>
    </row>
    <row r="30853" spans="1:5" x14ac:dyDescent="0.2">
      <c r="A30853" t="str">
        <f>"05355"</f>
        <v>05355</v>
      </c>
      <c r="B30853" t="s">
        <v>53</v>
      </c>
      <c r="C30853">
        <v>5355</v>
      </c>
      <c r="D30853" t="str">
        <f>"05355"</f>
        <v>05355</v>
      </c>
      <c r="E30853">
        <v>76.19</v>
      </c>
    </row>
    <row r="30854" spans="1:5" x14ac:dyDescent="0.2">
      <c r="A30854" t="str">
        <f>"05356"</f>
        <v>05356</v>
      </c>
      <c r="B30854" t="s">
        <v>53</v>
      </c>
      <c r="C30854">
        <v>5356</v>
      </c>
      <c r="D30854" t="str">
        <f>"05356"</f>
        <v>05356</v>
      </c>
      <c r="E30854">
        <v>67.11</v>
      </c>
    </row>
    <row r="30855" spans="1:5" x14ac:dyDescent="0.2">
      <c r="A30855" t="str">
        <f>"05358"</f>
        <v>05358</v>
      </c>
      <c r="B30855" t="s">
        <v>53</v>
      </c>
      <c r="C30855">
        <v>5358</v>
      </c>
      <c r="D30855" t="str">
        <f>"05358"</f>
        <v>05358</v>
      </c>
      <c r="E30855">
        <v>60</v>
      </c>
    </row>
    <row r="30856" spans="1:5" x14ac:dyDescent="0.2">
      <c r="A30856" t="str">
        <f>"05359"</f>
        <v>05359</v>
      </c>
      <c r="B30856" t="s">
        <v>53</v>
      </c>
      <c r="C30856">
        <v>5359</v>
      </c>
      <c r="D30856" t="str">
        <f>"05359"</f>
        <v>05359</v>
      </c>
      <c r="E30856">
        <v>67.86</v>
      </c>
    </row>
    <row r="30857" spans="1:5" x14ac:dyDescent="0.2">
      <c r="A30857" t="str">
        <f>"05360"</f>
        <v>05360</v>
      </c>
      <c r="B30857" t="s">
        <v>53</v>
      </c>
      <c r="C30857">
        <v>5360</v>
      </c>
      <c r="D30857" t="str">
        <f>"05360"</f>
        <v>05360</v>
      </c>
      <c r="E30857">
        <v>76.19</v>
      </c>
    </row>
    <row r="30858" spans="1:5" x14ac:dyDescent="0.2">
      <c r="A30858" t="str">
        <f>"05361"</f>
        <v>05361</v>
      </c>
      <c r="B30858" t="s">
        <v>53</v>
      </c>
      <c r="C30858">
        <v>5361</v>
      </c>
      <c r="D30858" t="str">
        <f>"05361"</f>
        <v>05361</v>
      </c>
      <c r="E30858">
        <v>70.27</v>
      </c>
    </row>
    <row r="30859" spans="1:5" x14ac:dyDescent="0.2">
      <c r="A30859" t="str">
        <f>"05362"</f>
        <v>05362</v>
      </c>
      <c r="B30859" t="s">
        <v>53</v>
      </c>
      <c r="C30859">
        <v>5362</v>
      </c>
      <c r="D30859" t="str">
        <f>"05362"</f>
        <v>05362</v>
      </c>
      <c r="E30859">
        <v>80</v>
      </c>
    </row>
    <row r="30860" spans="1:5" x14ac:dyDescent="0.2">
      <c r="A30860" t="str">
        <f>"05363"</f>
        <v>05363</v>
      </c>
      <c r="B30860" t="s">
        <v>53</v>
      </c>
      <c r="C30860">
        <v>5363</v>
      </c>
      <c r="D30860" t="str">
        <f>"05363"</f>
        <v>05363</v>
      </c>
      <c r="E30860">
        <v>70.34</v>
      </c>
    </row>
    <row r="30861" spans="1:5" x14ac:dyDescent="0.2">
      <c r="A30861" t="str">
        <f>"05401"</f>
        <v>05401</v>
      </c>
      <c r="B30861" t="s">
        <v>53</v>
      </c>
      <c r="C30861">
        <v>5401</v>
      </c>
      <c r="D30861" t="str">
        <f>"05401"</f>
        <v>05401</v>
      </c>
      <c r="E30861">
        <v>76.62</v>
      </c>
    </row>
    <row r="30862" spans="1:5" x14ac:dyDescent="0.2">
      <c r="A30862" t="str">
        <f>"05403"</f>
        <v>05403</v>
      </c>
      <c r="B30862" t="s">
        <v>53</v>
      </c>
      <c r="C30862">
        <v>5403</v>
      </c>
      <c r="D30862" t="str">
        <f>"05403"</f>
        <v>05403</v>
      </c>
      <c r="E30862">
        <v>81.89</v>
      </c>
    </row>
    <row r="30863" spans="1:5" x14ac:dyDescent="0.2">
      <c r="A30863" t="str">
        <f>"05404"</f>
        <v>05404</v>
      </c>
      <c r="B30863" t="s">
        <v>53</v>
      </c>
      <c r="C30863">
        <v>5404</v>
      </c>
      <c r="D30863" t="str">
        <f>"05404"</f>
        <v>05404</v>
      </c>
      <c r="E30863">
        <v>74.27</v>
      </c>
    </row>
    <row r="30864" spans="1:5" x14ac:dyDescent="0.2">
      <c r="A30864" t="str">
        <f>"05405"</f>
        <v>05405</v>
      </c>
      <c r="B30864" t="s">
        <v>53</v>
      </c>
      <c r="C30864">
        <v>5405</v>
      </c>
      <c r="D30864" t="str">
        <f>"05405"</f>
        <v>05405</v>
      </c>
      <c r="E30864" t="s">
        <v>6</v>
      </c>
    </row>
    <row r="30865" spans="1:5" x14ac:dyDescent="0.2">
      <c r="A30865" t="str">
        <f>"05408"</f>
        <v>05408</v>
      </c>
      <c r="B30865" t="s">
        <v>53</v>
      </c>
      <c r="C30865">
        <v>5408</v>
      </c>
      <c r="D30865" t="str">
        <f>"05408"</f>
        <v>05408</v>
      </c>
      <c r="E30865">
        <v>77.37</v>
      </c>
    </row>
    <row r="30866" spans="1:5" x14ac:dyDescent="0.2">
      <c r="A30866" t="str">
        <f>"05440"</f>
        <v>05440</v>
      </c>
      <c r="B30866" t="s">
        <v>53</v>
      </c>
      <c r="C30866">
        <v>5440</v>
      </c>
      <c r="D30866" t="str">
        <f>"05440"</f>
        <v>05440</v>
      </c>
      <c r="E30866">
        <v>71.290000000000006</v>
      </c>
    </row>
    <row r="30867" spans="1:5" x14ac:dyDescent="0.2">
      <c r="A30867" t="str">
        <f>"05441"</f>
        <v>05441</v>
      </c>
      <c r="B30867" t="s">
        <v>53</v>
      </c>
      <c r="C30867">
        <v>5441</v>
      </c>
      <c r="D30867" t="str">
        <f>"05441"</f>
        <v>05441</v>
      </c>
      <c r="E30867">
        <v>79.41</v>
      </c>
    </row>
    <row r="30868" spans="1:5" x14ac:dyDescent="0.2">
      <c r="A30868" t="str">
        <f>"05442"</f>
        <v>05442</v>
      </c>
      <c r="B30868" t="s">
        <v>53</v>
      </c>
      <c r="C30868">
        <v>5442</v>
      </c>
      <c r="D30868" t="str">
        <f>"05442"</f>
        <v>05442</v>
      </c>
      <c r="E30868">
        <v>76.47</v>
      </c>
    </row>
    <row r="30869" spans="1:5" x14ac:dyDescent="0.2">
      <c r="A30869" t="str">
        <f>"05443"</f>
        <v>05443</v>
      </c>
      <c r="B30869" t="s">
        <v>53</v>
      </c>
      <c r="C30869">
        <v>5443</v>
      </c>
      <c r="D30869" t="str">
        <f>"05443"</f>
        <v>05443</v>
      </c>
      <c r="E30869">
        <v>76.989999999999995</v>
      </c>
    </row>
    <row r="30870" spans="1:5" x14ac:dyDescent="0.2">
      <c r="A30870" t="str">
        <f>"05444"</f>
        <v>05444</v>
      </c>
      <c r="B30870" t="s">
        <v>53</v>
      </c>
      <c r="C30870">
        <v>5444</v>
      </c>
      <c r="D30870" t="str">
        <f>"05444"</f>
        <v>05444</v>
      </c>
      <c r="E30870">
        <v>77.319999999999993</v>
      </c>
    </row>
    <row r="30871" spans="1:5" x14ac:dyDescent="0.2">
      <c r="A30871" t="str">
        <f>"05445"</f>
        <v>05445</v>
      </c>
      <c r="B30871" t="s">
        <v>53</v>
      </c>
      <c r="C30871">
        <v>5445</v>
      </c>
      <c r="D30871" t="str">
        <f>"05445"</f>
        <v>05445</v>
      </c>
      <c r="E30871">
        <v>77.72</v>
      </c>
    </row>
    <row r="30872" spans="1:5" x14ac:dyDescent="0.2">
      <c r="A30872" t="str">
        <f>"05446"</f>
        <v>05446</v>
      </c>
      <c r="B30872" t="s">
        <v>53</v>
      </c>
      <c r="C30872">
        <v>5446</v>
      </c>
      <c r="D30872" t="str">
        <f>"05446"</f>
        <v>05446</v>
      </c>
      <c r="E30872">
        <v>80.209999999999994</v>
      </c>
    </row>
    <row r="30873" spans="1:5" x14ac:dyDescent="0.2">
      <c r="A30873" t="str">
        <f>"05447"</f>
        <v>05447</v>
      </c>
      <c r="B30873" t="s">
        <v>53</v>
      </c>
      <c r="C30873">
        <v>5447</v>
      </c>
      <c r="D30873" t="str">
        <f>"05447"</f>
        <v>05447</v>
      </c>
      <c r="E30873" t="s">
        <v>6</v>
      </c>
    </row>
    <row r="30874" spans="1:5" x14ac:dyDescent="0.2">
      <c r="A30874" t="str">
        <f>"05448"</f>
        <v>05448</v>
      </c>
      <c r="B30874" t="s">
        <v>53</v>
      </c>
      <c r="C30874">
        <v>5448</v>
      </c>
      <c r="D30874" t="str">
        <f>"05448"</f>
        <v>05448</v>
      </c>
      <c r="E30874">
        <v>71.19</v>
      </c>
    </row>
    <row r="30875" spans="1:5" x14ac:dyDescent="0.2">
      <c r="A30875" t="str">
        <f>"05450"</f>
        <v>05450</v>
      </c>
      <c r="B30875" t="s">
        <v>53</v>
      </c>
      <c r="C30875">
        <v>5450</v>
      </c>
      <c r="D30875" t="str">
        <f>"05450"</f>
        <v>05450</v>
      </c>
      <c r="E30875">
        <v>71.67</v>
      </c>
    </row>
    <row r="30876" spans="1:5" x14ac:dyDescent="0.2">
      <c r="A30876" t="str">
        <f>"05452"</f>
        <v>05452</v>
      </c>
      <c r="B30876" t="s">
        <v>53</v>
      </c>
      <c r="C30876">
        <v>5452</v>
      </c>
      <c r="D30876" t="str">
        <f>"05452"</f>
        <v>05452</v>
      </c>
      <c r="E30876">
        <v>81.09</v>
      </c>
    </row>
    <row r="30877" spans="1:5" x14ac:dyDescent="0.2">
      <c r="A30877" t="str">
        <f>"05454"</f>
        <v>05454</v>
      </c>
      <c r="B30877" t="s">
        <v>53</v>
      </c>
      <c r="C30877">
        <v>5454</v>
      </c>
      <c r="D30877" t="str">
        <f>"05454"</f>
        <v>05454</v>
      </c>
      <c r="E30877">
        <v>80.47</v>
      </c>
    </row>
    <row r="30878" spans="1:5" x14ac:dyDescent="0.2">
      <c r="A30878" t="str">
        <f>"05455"</f>
        <v>05455</v>
      </c>
      <c r="B30878" t="s">
        <v>53</v>
      </c>
      <c r="C30878">
        <v>5455</v>
      </c>
      <c r="D30878" t="str">
        <f>"05455"</f>
        <v>05455</v>
      </c>
      <c r="E30878">
        <v>79.69</v>
      </c>
    </row>
    <row r="30879" spans="1:5" x14ac:dyDescent="0.2">
      <c r="A30879" t="str">
        <f>"05456"</f>
        <v>05456</v>
      </c>
      <c r="B30879" t="s">
        <v>53</v>
      </c>
      <c r="C30879">
        <v>5456</v>
      </c>
      <c r="D30879" t="str">
        <f>"05456"</f>
        <v>05456</v>
      </c>
      <c r="E30879">
        <v>76.92</v>
      </c>
    </row>
    <row r="30880" spans="1:5" x14ac:dyDescent="0.2">
      <c r="A30880" t="str">
        <f>"05457"</f>
        <v>05457</v>
      </c>
      <c r="B30880" t="s">
        <v>53</v>
      </c>
      <c r="C30880">
        <v>5457</v>
      </c>
      <c r="D30880" t="str">
        <f>"05457"</f>
        <v>05457</v>
      </c>
      <c r="E30880">
        <v>76</v>
      </c>
    </row>
    <row r="30881" spans="1:5" x14ac:dyDescent="0.2">
      <c r="A30881" t="str">
        <f>"05458"</f>
        <v>05458</v>
      </c>
      <c r="B30881" t="s">
        <v>53</v>
      </c>
      <c r="C30881">
        <v>5458</v>
      </c>
      <c r="D30881" t="str">
        <f>"05458"</f>
        <v>05458</v>
      </c>
      <c r="E30881">
        <v>79.650000000000006</v>
      </c>
    </row>
    <row r="30882" spans="1:5" x14ac:dyDescent="0.2">
      <c r="A30882" t="str">
        <f>"05459"</f>
        <v>05459</v>
      </c>
      <c r="B30882" t="s">
        <v>53</v>
      </c>
      <c r="C30882">
        <v>5459</v>
      </c>
      <c r="D30882" t="str">
        <f>"05459"</f>
        <v>05459</v>
      </c>
      <c r="E30882">
        <v>73.33</v>
      </c>
    </row>
    <row r="30883" spans="1:5" x14ac:dyDescent="0.2">
      <c r="A30883" t="str">
        <f>"05461"</f>
        <v>05461</v>
      </c>
      <c r="B30883" t="s">
        <v>53</v>
      </c>
      <c r="C30883">
        <v>5461</v>
      </c>
      <c r="D30883" t="str">
        <f>"05461"</f>
        <v>05461</v>
      </c>
      <c r="E30883">
        <v>78.459999999999994</v>
      </c>
    </row>
    <row r="30884" spans="1:5" x14ac:dyDescent="0.2">
      <c r="A30884" t="str">
        <f>"05462"</f>
        <v>05462</v>
      </c>
      <c r="B30884" t="s">
        <v>53</v>
      </c>
      <c r="C30884">
        <v>5462</v>
      </c>
      <c r="D30884" t="str">
        <f>"05462"</f>
        <v>05462</v>
      </c>
      <c r="E30884">
        <v>80.58</v>
      </c>
    </row>
    <row r="30885" spans="1:5" x14ac:dyDescent="0.2">
      <c r="A30885" t="str">
        <f>"05463"</f>
        <v>05463</v>
      </c>
      <c r="B30885" t="s">
        <v>53</v>
      </c>
      <c r="C30885">
        <v>5463</v>
      </c>
      <c r="D30885" t="str">
        <f>"05463"</f>
        <v>05463</v>
      </c>
      <c r="E30885">
        <v>73.08</v>
      </c>
    </row>
    <row r="30886" spans="1:5" x14ac:dyDescent="0.2">
      <c r="A30886" t="str">
        <f>"05464"</f>
        <v>05464</v>
      </c>
      <c r="B30886" t="s">
        <v>53</v>
      </c>
      <c r="C30886">
        <v>5464</v>
      </c>
      <c r="D30886" t="str">
        <f>"05464"</f>
        <v>05464</v>
      </c>
      <c r="E30886">
        <v>78.430000000000007</v>
      </c>
    </row>
    <row r="30887" spans="1:5" x14ac:dyDescent="0.2">
      <c r="A30887" t="str">
        <f>"05465"</f>
        <v>05465</v>
      </c>
      <c r="B30887" t="s">
        <v>53</v>
      </c>
      <c r="C30887">
        <v>5465</v>
      </c>
      <c r="D30887" t="str">
        <f>"05465"</f>
        <v>05465</v>
      </c>
      <c r="E30887">
        <v>82.01</v>
      </c>
    </row>
    <row r="30888" spans="1:5" x14ac:dyDescent="0.2">
      <c r="A30888" t="str">
        <f>"05468"</f>
        <v>05468</v>
      </c>
      <c r="B30888" t="s">
        <v>53</v>
      </c>
      <c r="C30888">
        <v>5468</v>
      </c>
      <c r="D30888" t="str">
        <f>"05468"</f>
        <v>05468</v>
      </c>
      <c r="E30888">
        <v>79.42</v>
      </c>
    </row>
    <row r="30889" spans="1:5" x14ac:dyDescent="0.2">
      <c r="A30889" t="str">
        <f>"05471"</f>
        <v>05471</v>
      </c>
      <c r="B30889" t="s">
        <v>53</v>
      </c>
      <c r="C30889">
        <v>5471</v>
      </c>
      <c r="D30889" t="str">
        <f>"05471"</f>
        <v>05471</v>
      </c>
      <c r="E30889">
        <v>65.849999999999994</v>
      </c>
    </row>
    <row r="30890" spans="1:5" x14ac:dyDescent="0.2">
      <c r="A30890" t="str">
        <f>"05472"</f>
        <v>05472</v>
      </c>
      <c r="B30890" t="s">
        <v>53</v>
      </c>
      <c r="C30890">
        <v>5472</v>
      </c>
      <c r="D30890" t="str">
        <f>"05472"</f>
        <v>05472</v>
      </c>
      <c r="E30890">
        <v>74.760000000000005</v>
      </c>
    </row>
    <row r="30891" spans="1:5" x14ac:dyDescent="0.2">
      <c r="A30891" t="str">
        <f>"05473"</f>
        <v>05473</v>
      </c>
      <c r="B30891" t="s">
        <v>53</v>
      </c>
      <c r="C30891">
        <v>5473</v>
      </c>
      <c r="D30891" t="str">
        <f>"05473"</f>
        <v>05473</v>
      </c>
      <c r="E30891">
        <v>80.56</v>
      </c>
    </row>
    <row r="30892" spans="1:5" x14ac:dyDescent="0.2">
      <c r="A30892" t="str">
        <f>"05474"</f>
        <v>05474</v>
      </c>
      <c r="B30892" t="s">
        <v>53</v>
      </c>
      <c r="C30892">
        <v>5474</v>
      </c>
      <c r="D30892" t="str">
        <f>"05474"</f>
        <v>05474</v>
      </c>
      <c r="E30892">
        <v>82.69</v>
      </c>
    </row>
    <row r="30893" spans="1:5" x14ac:dyDescent="0.2">
      <c r="A30893" t="str">
        <f>"05476"</f>
        <v>05476</v>
      </c>
      <c r="B30893" t="s">
        <v>53</v>
      </c>
      <c r="C30893">
        <v>5476</v>
      </c>
      <c r="D30893" t="str">
        <f>"05476"</f>
        <v>05476</v>
      </c>
      <c r="E30893">
        <v>63.85</v>
      </c>
    </row>
    <row r="30894" spans="1:5" x14ac:dyDescent="0.2">
      <c r="A30894" t="str">
        <f>"05477"</f>
        <v>05477</v>
      </c>
      <c r="B30894" t="s">
        <v>53</v>
      </c>
      <c r="C30894">
        <v>5477</v>
      </c>
      <c r="D30894" t="str">
        <f>"05477"</f>
        <v>05477</v>
      </c>
      <c r="E30894">
        <v>81.739999999999995</v>
      </c>
    </row>
    <row r="30895" spans="1:5" x14ac:dyDescent="0.2">
      <c r="A30895" t="str">
        <f>"05478"</f>
        <v>05478</v>
      </c>
      <c r="B30895" t="s">
        <v>53</v>
      </c>
      <c r="C30895">
        <v>5478</v>
      </c>
      <c r="D30895" t="str">
        <f>"05478"</f>
        <v>05478</v>
      </c>
      <c r="E30895">
        <v>76.599999999999994</v>
      </c>
    </row>
    <row r="30896" spans="1:5" x14ac:dyDescent="0.2">
      <c r="A30896" t="str">
        <f>"05479"</f>
        <v>05479</v>
      </c>
      <c r="B30896" t="s">
        <v>53</v>
      </c>
      <c r="C30896">
        <v>5479</v>
      </c>
      <c r="D30896" t="str">
        <f>"05479"</f>
        <v>05479</v>
      </c>
      <c r="E30896" t="s">
        <v>6</v>
      </c>
    </row>
    <row r="30897" spans="1:5" x14ac:dyDescent="0.2">
      <c r="A30897" t="str">
        <f>"05482"</f>
        <v>05482</v>
      </c>
      <c r="B30897" t="s">
        <v>53</v>
      </c>
      <c r="C30897">
        <v>5482</v>
      </c>
      <c r="D30897" t="str">
        <f>"05482"</f>
        <v>05482</v>
      </c>
      <c r="E30897">
        <v>80.44</v>
      </c>
    </row>
    <row r="30898" spans="1:5" x14ac:dyDescent="0.2">
      <c r="A30898" t="str">
        <f>"05483"</f>
        <v>05483</v>
      </c>
      <c r="B30898" t="s">
        <v>53</v>
      </c>
      <c r="C30898">
        <v>5483</v>
      </c>
      <c r="D30898" t="str">
        <f>"05483"</f>
        <v>05483</v>
      </c>
      <c r="E30898">
        <v>76</v>
      </c>
    </row>
    <row r="30899" spans="1:5" x14ac:dyDescent="0.2">
      <c r="A30899" t="str">
        <f>"05485"</f>
        <v>05485</v>
      </c>
      <c r="B30899" t="s">
        <v>53</v>
      </c>
      <c r="C30899">
        <v>5485</v>
      </c>
      <c r="D30899" t="str">
        <f>"05485"</f>
        <v>05485</v>
      </c>
      <c r="E30899" t="s">
        <v>6</v>
      </c>
    </row>
    <row r="30900" spans="1:5" x14ac:dyDescent="0.2">
      <c r="A30900" t="str">
        <f>"05486"</f>
        <v>05486</v>
      </c>
      <c r="B30900" t="s">
        <v>53</v>
      </c>
      <c r="C30900">
        <v>5486</v>
      </c>
      <c r="D30900" t="str">
        <f>"05486"</f>
        <v>05486</v>
      </c>
      <c r="E30900">
        <v>78.349999999999994</v>
      </c>
    </row>
    <row r="30901" spans="1:5" x14ac:dyDescent="0.2">
      <c r="A30901" t="str">
        <f>"05487"</f>
        <v>05487</v>
      </c>
      <c r="B30901" t="s">
        <v>53</v>
      </c>
      <c r="C30901">
        <v>5487</v>
      </c>
      <c r="D30901" t="str">
        <f>"05487"</f>
        <v>05487</v>
      </c>
      <c r="E30901">
        <v>74.67</v>
      </c>
    </row>
    <row r="30902" spans="1:5" x14ac:dyDescent="0.2">
      <c r="A30902" t="str">
        <f>"05488"</f>
        <v>05488</v>
      </c>
      <c r="B30902" t="s">
        <v>53</v>
      </c>
      <c r="C30902">
        <v>5488</v>
      </c>
      <c r="D30902" t="str">
        <f>"05488"</f>
        <v>05488</v>
      </c>
      <c r="E30902">
        <v>75.930000000000007</v>
      </c>
    </row>
    <row r="30903" spans="1:5" x14ac:dyDescent="0.2">
      <c r="A30903" t="str">
        <f>"05489"</f>
        <v>05489</v>
      </c>
      <c r="B30903" t="s">
        <v>53</v>
      </c>
      <c r="C30903">
        <v>5489</v>
      </c>
      <c r="D30903" t="str">
        <f>"05489"</f>
        <v>05489</v>
      </c>
      <c r="E30903">
        <v>82.53</v>
      </c>
    </row>
    <row r="30904" spans="1:5" x14ac:dyDescent="0.2">
      <c r="A30904" t="str">
        <f>"05491"</f>
        <v>05491</v>
      </c>
      <c r="B30904" t="s">
        <v>53</v>
      </c>
      <c r="C30904">
        <v>5491</v>
      </c>
      <c r="D30904" t="str">
        <f>"05491"</f>
        <v>05491</v>
      </c>
      <c r="E30904">
        <v>76.69</v>
      </c>
    </row>
    <row r="30905" spans="1:5" x14ac:dyDescent="0.2">
      <c r="A30905" t="str">
        <f>"05492"</f>
        <v>05492</v>
      </c>
      <c r="B30905" t="s">
        <v>53</v>
      </c>
      <c r="C30905">
        <v>5492</v>
      </c>
      <c r="D30905" t="str">
        <f>"05492"</f>
        <v>05492</v>
      </c>
      <c r="E30905">
        <v>76.739999999999995</v>
      </c>
    </row>
    <row r="30906" spans="1:5" x14ac:dyDescent="0.2">
      <c r="A30906" t="str">
        <f>"05494"</f>
        <v>05494</v>
      </c>
      <c r="B30906" t="s">
        <v>53</v>
      </c>
      <c r="C30906">
        <v>5494</v>
      </c>
      <c r="D30906" t="str">
        <f>"05494"</f>
        <v>05494</v>
      </c>
      <c r="E30906">
        <v>80.430000000000007</v>
      </c>
    </row>
    <row r="30907" spans="1:5" x14ac:dyDescent="0.2">
      <c r="A30907" t="str">
        <f>"05495"</f>
        <v>05495</v>
      </c>
      <c r="B30907" t="s">
        <v>53</v>
      </c>
      <c r="C30907">
        <v>5495</v>
      </c>
      <c r="D30907" t="str">
        <f>"05495"</f>
        <v>05495</v>
      </c>
      <c r="E30907">
        <v>81.319999999999993</v>
      </c>
    </row>
    <row r="30908" spans="1:5" x14ac:dyDescent="0.2">
      <c r="A30908" t="str">
        <f>"05602"</f>
        <v>05602</v>
      </c>
      <c r="B30908" t="s">
        <v>53</v>
      </c>
      <c r="C30908">
        <v>5602</v>
      </c>
      <c r="D30908" t="str">
        <f>"05602"</f>
        <v>05602</v>
      </c>
      <c r="E30908">
        <v>78.790000000000006</v>
      </c>
    </row>
    <row r="30909" spans="1:5" x14ac:dyDescent="0.2">
      <c r="A30909" t="str">
        <f>"05620"</f>
        <v>05620</v>
      </c>
      <c r="B30909" t="s">
        <v>53</v>
      </c>
      <c r="C30909">
        <v>5620</v>
      </c>
      <c r="D30909" t="str">
        <f>"05620"</f>
        <v>05620</v>
      </c>
      <c r="E30909" t="s">
        <v>6</v>
      </c>
    </row>
    <row r="30910" spans="1:5" x14ac:dyDescent="0.2">
      <c r="A30910" t="str">
        <f>"05633"</f>
        <v>05633</v>
      </c>
      <c r="B30910" t="s">
        <v>53</v>
      </c>
      <c r="C30910">
        <v>5633</v>
      </c>
      <c r="D30910" t="str">
        <f>"05633"</f>
        <v>05633</v>
      </c>
      <c r="E30910" t="s">
        <v>6</v>
      </c>
    </row>
    <row r="30911" spans="1:5" x14ac:dyDescent="0.2">
      <c r="A30911" t="str">
        <f>"05640"</f>
        <v>05640</v>
      </c>
      <c r="B30911" t="s">
        <v>53</v>
      </c>
      <c r="C30911">
        <v>5640</v>
      </c>
      <c r="D30911" t="str">
        <f>"05640"</f>
        <v>05640</v>
      </c>
      <c r="E30911" t="s">
        <v>6</v>
      </c>
    </row>
    <row r="30912" spans="1:5" x14ac:dyDescent="0.2">
      <c r="A30912" t="str">
        <f>"05641"</f>
        <v>05641</v>
      </c>
      <c r="B30912" t="s">
        <v>53</v>
      </c>
      <c r="C30912">
        <v>5641</v>
      </c>
      <c r="D30912" t="str">
        <f>"05641"</f>
        <v>05641</v>
      </c>
      <c r="E30912">
        <v>75.650000000000006</v>
      </c>
    </row>
    <row r="30913" spans="1:5" x14ac:dyDescent="0.2">
      <c r="A30913" t="str">
        <f>"05647"</f>
        <v>05647</v>
      </c>
      <c r="B30913" t="s">
        <v>53</v>
      </c>
      <c r="C30913">
        <v>5647</v>
      </c>
      <c r="D30913" t="str">
        <f>"05647"</f>
        <v>05647</v>
      </c>
      <c r="E30913">
        <v>64</v>
      </c>
    </row>
    <row r="30914" spans="1:5" x14ac:dyDescent="0.2">
      <c r="A30914" t="str">
        <f>"05648"</f>
        <v>05648</v>
      </c>
      <c r="B30914" t="s">
        <v>53</v>
      </c>
      <c r="C30914">
        <v>5648</v>
      </c>
      <c r="D30914" t="str">
        <f>"05648"</f>
        <v>05648</v>
      </c>
      <c r="E30914">
        <v>65.38</v>
      </c>
    </row>
    <row r="30915" spans="1:5" x14ac:dyDescent="0.2">
      <c r="A30915" t="str">
        <f>"05649"</f>
        <v>05649</v>
      </c>
      <c r="B30915" t="s">
        <v>53</v>
      </c>
      <c r="C30915">
        <v>5649</v>
      </c>
      <c r="D30915" t="str">
        <f>"05649"</f>
        <v>05649</v>
      </c>
      <c r="E30915">
        <v>75</v>
      </c>
    </row>
    <row r="30916" spans="1:5" x14ac:dyDescent="0.2">
      <c r="A30916" t="str">
        <f>"05650"</f>
        <v>05650</v>
      </c>
      <c r="B30916" t="s">
        <v>53</v>
      </c>
      <c r="C30916">
        <v>5650</v>
      </c>
      <c r="D30916" t="str">
        <f>"05650"</f>
        <v>05650</v>
      </c>
      <c r="E30916">
        <v>74.510000000000005</v>
      </c>
    </row>
    <row r="30917" spans="1:5" x14ac:dyDescent="0.2">
      <c r="A30917" t="str">
        <f>"05651"</f>
        <v>05651</v>
      </c>
      <c r="B30917" t="s">
        <v>53</v>
      </c>
      <c r="C30917">
        <v>5651</v>
      </c>
      <c r="D30917" t="str">
        <f>"05651"</f>
        <v>05651</v>
      </c>
      <c r="E30917">
        <v>74.42</v>
      </c>
    </row>
    <row r="30918" spans="1:5" x14ac:dyDescent="0.2">
      <c r="A30918" t="str">
        <f>"05652"</f>
        <v>05652</v>
      </c>
      <c r="B30918" t="s">
        <v>53</v>
      </c>
      <c r="C30918">
        <v>5652</v>
      </c>
      <c r="D30918" t="str">
        <f>"05652"</f>
        <v>05652</v>
      </c>
      <c r="E30918">
        <v>71.11</v>
      </c>
    </row>
    <row r="30919" spans="1:5" x14ac:dyDescent="0.2">
      <c r="A30919" t="str">
        <f>"05653"</f>
        <v>05653</v>
      </c>
      <c r="B30919" t="s">
        <v>53</v>
      </c>
      <c r="C30919">
        <v>5653</v>
      </c>
      <c r="D30919" t="str">
        <f>"05653"</f>
        <v>05653</v>
      </c>
      <c r="E30919">
        <v>71.430000000000007</v>
      </c>
    </row>
    <row r="30920" spans="1:5" x14ac:dyDescent="0.2">
      <c r="A30920" t="str">
        <f>"05654"</f>
        <v>05654</v>
      </c>
      <c r="B30920" t="s">
        <v>53</v>
      </c>
      <c r="C30920">
        <v>5654</v>
      </c>
      <c r="D30920" t="str">
        <f>"05654"</f>
        <v>05654</v>
      </c>
      <c r="E30920">
        <v>76.56</v>
      </c>
    </row>
    <row r="30921" spans="1:5" x14ac:dyDescent="0.2">
      <c r="A30921" t="str">
        <f>"05655"</f>
        <v>05655</v>
      </c>
      <c r="B30921" t="s">
        <v>53</v>
      </c>
      <c r="C30921">
        <v>5655</v>
      </c>
      <c r="D30921" t="str">
        <f>"05655"</f>
        <v>05655</v>
      </c>
      <c r="E30921">
        <v>74.5</v>
      </c>
    </row>
    <row r="30922" spans="1:5" x14ac:dyDescent="0.2">
      <c r="A30922" t="str">
        <f>"05656"</f>
        <v>05656</v>
      </c>
      <c r="B30922" t="s">
        <v>53</v>
      </c>
      <c r="C30922">
        <v>5656</v>
      </c>
      <c r="D30922" t="str">
        <f>"05656"</f>
        <v>05656</v>
      </c>
      <c r="E30922">
        <v>69.430000000000007</v>
      </c>
    </row>
    <row r="30923" spans="1:5" x14ac:dyDescent="0.2">
      <c r="A30923" t="str">
        <f>"05658"</f>
        <v>05658</v>
      </c>
      <c r="B30923" t="s">
        <v>53</v>
      </c>
      <c r="C30923">
        <v>5658</v>
      </c>
      <c r="D30923" t="str">
        <f>"05658"</f>
        <v>05658</v>
      </c>
      <c r="E30923">
        <v>67.569999999999993</v>
      </c>
    </row>
    <row r="30924" spans="1:5" x14ac:dyDescent="0.2">
      <c r="A30924" t="str">
        <f>"05660"</f>
        <v>05660</v>
      </c>
      <c r="B30924" t="s">
        <v>53</v>
      </c>
      <c r="C30924">
        <v>5660</v>
      </c>
      <c r="D30924" t="str">
        <f>"05660"</f>
        <v>05660</v>
      </c>
      <c r="E30924">
        <v>77.45</v>
      </c>
    </row>
    <row r="30925" spans="1:5" x14ac:dyDescent="0.2">
      <c r="A30925" t="str">
        <f>"05661"</f>
        <v>05661</v>
      </c>
      <c r="B30925" t="s">
        <v>53</v>
      </c>
      <c r="C30925">
        <v>5661</v>
      </c>
      <c r="D30925" t="str">
        <f>"05661"</f>
        <v>05661</v>
      </c>
      <c r="E30925">
        <v>74.510000000000005</v>
      </c>
    </row>
    <row r="30926" spans="1:5" x14ac:dyDescent="0.2">
      <c r="A30926" t="str">
        <f>"05663"</f>
        <v>05663</v>
      </c>
      <c r="B30926" t="s">
        <v>53</v>
      </c>
      <c r="C30926">
        <v>5663</v>
      </c>
      <c r="D30926" t="str">
        <f>"05663"</f>
        <v>05663</v>
      </c>
      <c r="E30926">
        <v>75.760000000000005</v>
      </c>
    </row>
    <row r="30927" spans="1:5" x14ac:dyDescent="0.2">
      <c r="A30927" t="str">
        <f>"05666"</f>
        <v>05666</v>
      </c>
      <c r="B30927" t="s">
        <v>53</v>
      </c>
      <c r="C30927">
        <v>5666</v>
      </c>
      <c r="D30927" t="str">
        <f>"05666"</f>
        <v>05666</v>
      </c>
      <c r="E30927" t="s">
        <v>6</v>
      </c>
    </row>
    <row r="30928" spans="1:5" x14ac:dyDescent="0.2">
      <c r="A30928" t="str">
        <f>"05667"</f>
        <v>05667</v>
      </c>
      <c r="B30928" t="s">
        <v>53</v>
      </c>
      <c r="C30928">
        <v>5667</v>
      </c>
      <c r="D30928" t="str">
        <f>"05667"</f>
        <v>05667</v>
      </c>
      <c r="E30928">
        <v>73.95</v>
      </c>
    </row>
    <row r="30929" spans="1:5" x14ac:dyDescent="0.2">
      <c r="A30929" t="str">
        <f>"05669"</f>
        <v>05669</v>
      </c>
      <c r="B30929" t="s">
        <v>53</v>
      </c>
      <c r="C30929">
        <v>5669</v>
      </c>
      <c r="D30929" t="str">
        <f>"05669"</f>
        <v>05669</v>
      </c>
      <c r="E30929">
        <v>75</v>
      </c>
    </row>
    <row r="30930" spans="1:5" x14ac:dyDescent="0.2">
      <c r="A30930" t="str">
        <f>"05672"</f>
        <v>05672</v>
      </c>
      <c r="B30930" t="s">
        <v>53</v>
      </c>
      <c r="C30930">
        <v>5672</v>
      </c>
      <c r="D30930" t="str">
        <f>"05672"</f>
        <v>05672</v>
      </c>
      <c r="E30930">
        <v>73.400000000000006</v>
      </c>
    </row>
    <row r="30931" spans="1:5" x14ac:dyDescent="0.2">
      <c r="A30931" t="str">
        <f>"05673"</f>
        <v>05673</v>
      </c>
      <c r="B30931" t="s">
        <v>53</v>
      </c>
      <c r="C30931">
        <v>5673</v>
      </c>
      <c r="D30931" t="str">
        <f>"05673"</f>
        <v>05673</v>
      </c>
      <c r="E30931">
        <v>79.75</v>
      </c>
    </row>
    <row r="30932" spans="1:5" x14ac:dyDescent="0.2">
      <c r="A30932" t="str">
        <f>"05674"</f>
        <v>05674</v>
      </c>
      <c r="B30932" t="s">
        <v>53</v>
      </c>
      <c r="C30932">
        <v>5674</v>
      </c>
      <c r="D30932" t="str">
        <f>"05674"</f>
        <v>05674</v>
      </c>
      <c r="E30932">
        <v>69.14</v>
      </c>
    </row>
    <row r="30933" spans="1:5" x14ac:dyDescent="0.2">
      <c r="A30933" t="str">
        <f>"05675"</f>
        <v>05675</v>
      </c>
      <c r="B30933" t="s">
        <v>53</v>
      </c>
      <c r="C30933">
        <v>5675</v>
      </c>
      <c r="D30933" t="str">
        <f>"05675"</f>
        <v>05675</v>
      </c>
      <c r="E30933">
        <v>77.55</v>
      </c>
    </row>
    <row r="30934" spans="1:5" x14ac:dyDescent="0.2">
      <c r="A30934" t="str">
        <f>"05676"</f>
        <v>05676</v>
      </c>
      <c r="B30934" t="s">
        <v>53</v>
      </c>
      <c r="C30934">
        <v>5676</v>
      </c>
      <c r="D30934" t="str">
        <f>"05676"</f>
        <v>05676</v>
      </c>
      <c r="E30934">
        <v>79.64</v>
      </c>
    </row>
    <row r="30935" spans="1:5" x14ac:dyDescent="0.2">
      <c r="A30935" t="str">
        <f>"05677"</f>
        <v>05677</v>
      </c>
      <c r="B30935" t="s">
        <v>53</v>
      </c>
      <c r="C30935">
        <v>5677</v>
      </c>
      <c r="D30935" t="str">
        <f>"05677"</f>
        <v>05677</v>
      </c>
      <c r="E30935">
        <v>84</v>
      </c>
    </row>
    <row r="30936" spans="1:5" x14ac:dyDescent="0.2">
      <c r="A30936" t="str">
        <f>"05679"</f>
        <v>05679</v>
      </c>
      <c r="B30936" t="s">
        <v>53</v>
      </c>
      <c r="C30936">
        <v>5679</v>
      </c>
      <c r="D30936" t="str">
        <f>"05679"</f>
        <v>05679</v>
      </c>
      <c r="E30936">
        <v>76.19</v>
      </c>
    </row>
    <row r="30937" spans="1:5" x14ac:dyDescent="0.2">
      <c r="A30937" t="str">
        <f>"05680"</f>
        <v>05680</v>
      </c>
      <c r="B30937" t="s">
        <v>53</v>
      </c>
      <c r="C30937">
        <v>5680</v>
      </c>
      <c r="D30937" t="str">
        <f>"05680"</f>
        <v>05680</v>
      </c>
      <c r="E30937">
        <v>70</v>
      </c>
    </row>
    <row r="30938" spans="1:5" x14ac:dyDescent="0.2">
      <c r="A30938" t="str">
        <f>"05681"</f>
        <v>05681</v>
      </c>
      <c r="B30938" t="s">
        <v>53</v>
      </c>
      <c r="C30938">
        <v>5681</v>
      </c>
      <c r="D30938" t="str">
        <f>"05681"</f>
        <v>05681</v>
      </c>
      <c r="E30938">
        <v>73.680000000000007</v>
      </c>
    </row>
    <row r="30939" spans="1:5" x14ac:dyDescent="0.2">
      <c r="A30939" t="str">
        <f>"05682"</f>
        <v>05682</v>
      </c>
      <c r="B30939" t="s">
        <v>53</v>
      </c>
      <c r="C30939">
        <v>5682</v>
      </c>
      <c r="D30939" t="str">
        <f>"05682"</f>
        <v>05682</v>
      </c>
      <c r="E30939">
        <v>69.23</v>
      </c>
    </row>
    <row r="30940" spans="1:5" x14ac:dyDescent="0.2">
      <c r="A30940" t="str">
        <f>"05701"</f>
        <v>05701</v>
      </c>
      <c r="B30940" t="s">
        <v>53</v>
      </c>
      <c r="C30940">
        <v>5701</v>
      </c>
      <c r="D30940" t="str">
        <f>"05701"</f>
        <v>05701</v>
      </c>
      <c r="E30940">
        <v>71.23</v>
      </c>
    </row>
    <row r="30941" spans="1:5" x14ac:dyDescent="0.2">
      <c r="A30941" t="str">
        <f>"05730"</f>
        <v>05730</v>
      </c>
      <c r="B30941" t="s">
        <v>53</v>
      </c>
      <c r="C30941">
        <v>5730</v>
      </c>
      <c r="D30941" t="str">
        <f>"05730"</f>
        <v>05730</v>
      </c>
      <c r="E30941">
        <v>72.73</v>
      </c>
    </row>
    <row r="30942" spans="1:5" x14ac:dyDescent="0.2">
      <c r="A30942" t="str">
        <f>"05732"</f>
        <v>05732</v>
      </c>
      <c r="B30942" t="s">
        <v>53</v>
      </c>
      <c r="C30942">
        <v>5732</v>
      </c>
      <c r="D30942" t="str">
        <f>"05732"</f>
        <v>05732</v>
      </c>
      <c r="E30942">
        <v>75</v>
      </c>
    </row>
    <row r="30943" spans="1:5" x14ac:dyDescent="0.2">
      <c r="A30943" t="str">
        <f>"05733"</f>
        <v>05733</v>
      </c>
      <c r="B30943" t="s">
        <v>53</v>
      </c>
      <c r="C30943">
        <v>5733</v>
      </c>
      <c r="D30943" t="str">
        <f>"05733"</f>
        <v>05733</v>
      </c>
      <c r="E30943">
        <v>72.11</v>
      </c>
    </row>
    <row r="30944" spans="1:5" x14ac:dyDescent="0.2">
      <c r="A30944" t="str">
        <f>"05734"</f>
        <v>05734</v>
      </c>
      <c r="B30944" t="s">
        <v>53</v>
      </c>
      <c r="C30944">
        <v>5734</v>
      </c>
      <c r="D30944" t="str">
        <f>"05734"</f>
        <v>05734</v>
      </c>
      <c r="E30944">
        <v>75</v>
      </c>
    </row>
    <row r="30945" spans="1:5" x14ac:dyDescent="0.2">
      <c r="A30945" t="str">
        <f>"05735"</f>
        <v>05735</v>
      </c>
      <c r="B30945" t="s">
        <v>53</v>
      </c>
      <c r="C30945">
        <v>5735</v>
      </c>
      <c r="D30945" t="str">
        <f>"05735"</f>
        <v>05735</v>
      </c>
      <c r="E30945">
        <v>71.72</v>
      </c>
    </row>
    <row r="30946" spans="1:5" x14ac:dyDescent="0.2">
      <c r="A30946" t="str">
        <f>"05736"</f>
        <v>05736</v>
      </c>
      <c r="B30946" t="s">
        <v>53</v>
      </c>
      <c r="C30946">
        <v>5736</v>
      </c>
      <c r="D30946" t="str">
        <f>"05736"</f>
        <v>05736</v>
      </c>
      <c r="E30946">
        <v>75.86</v>
      </c>
    </row>
    <row r="30947" spans="1:5" x14ac:dyDescent="0.2">
      <c r="A30947" t="str">
        <f>"05737"</f>
        <v>05737</v>
      </c>
      <c r="B30947" t="s">
        <v>53</v>
      </c>
      <c r="C30947">
        <v>5737</v>
      </c>
      <c r="D30947" t="str">
        <f>"05737"</f>
        <v>05737</v>
      </c>
      <c r="E30947">
        <v>74.290000000000006</v>
      </c>
    </row>
    <row r="30948" spans="1:5" x14ac:dyDescent="0.2">
      <c r="A30948" t="str">
        <f>"05738"</f>
        <v>05738</v>
      </c>
      <c r="B30948" t="s">
        <v>53</v>
      </c>
      <c r="C30948">
        <v>5738</v>
      </c>
      <c r="D30948" t="str">
        <f>"05738"</f>
        <v>05738</v>
      </c>
      <c r="E30948">
        <v>80</v>
      </c>
    </row>
    <row r="30949" spans="1:5" x14ac:dyDescent="0.2">
      <c r="A30949" t="str">
        <f>"05739"</f>
        <v>05739</v>
      </c>
      <c r="B30949" t="s">
        <v>53</v>
      </c>
      <c r="C30949">
        <v>5739</v>
      </c>
      <c r="D30949" t="str">
        <f>"05739"</f>
        <v>05739</v>
      </c>
      <c r="E30949">
        <v>69.84</v>
      </c>
    </row>
    <row r="30950" spans="1:5" x14ac:dyDescent="0.2">
      <c r="A30950" t="str">
        <f>"05742"</f>
        <v>05742</v>
      </c>
      <c r="B30950" t="s">
        <v>53</v>
      </c>
      <c r="C30950">
        <v>5742</v>
      </c>
      <c r="D30950" t="str">
        <f>"05742"</f>
        <v>05742</v>
      </c>
      <c r="E30950">
        <v>69.569999999999993</v>
      </c>
    </row>
    <row r="30951" spans="1:5" x14ac:dyDescent="0.2">
      <c r="A30951" t="str">
        <f>"05743"</f>
        <v>05743</v>
      </c>
      <c r="B30951" t="s">
        <v>53</v>
      </c>
      <c r="C30951">
        <v>5743</v>
      </c>
      <c r="D30951" t="str">
        <f>"05743"</f>
        <v>05743</v>
      </c>
      <c r="E30951">
        <v>69.61</v>
      </c>
    </row>
    <row r="30952" spans="1:5" x14ac:dyDescent="0.2">
      <c r="A30952" t="str">
        <f>"05744"</f>
        <v>05744</v>
      </c>
      <c r="B30952" t="s">
        <v>53</v>
      </c>
      <c r="C30952">
        <v>5744</v>
      </c>
      <c r="D30952" t="str">
        <f>"05744"</f>
        <v>05744</v>
      </c>
      <c r="E30952">
        <v>75.86</v>
      </c>
    </row>
    <row r="30953" spans="1:5" x14ac:dyDescent="0.2">
      <c r="A30953" t="str">
        <f>"05747"</f>
        <v>05747</v>
      </c>
      <c r="B30953" t="s">
        <v>53</v>
      </c>
      <c r="C30953">
        <v>5747</v>
      </c>
      <c r="D30953" t="str">
        <f>"05747"</f>
        <v>05747</v>
      </c>
      <c r="E30953">
        <v>61.54</v>
      </c>
    </row>
    <row r="30954" spans="1:5" x14ac:dyDescent="0.2">
      <c r="A30954" t="str">
        <f>"05748"</f>
        <v>05748</v>
      </c>
      <c r="B30954" t="s">
        <v>53</v>
      </c>
      <c r="C30954">
        <v>5748</v>
      </c>
      <c r="D30954" t="str">
        <f>"05748"</f>
        <v>05748</v>
      </c>
      <c r="E30954">
        <v>64.709999999999994</v>
      </c>
    </row>
    <row r="30955" spans="1:5" x14ac:dyDescent="0.2">
      <c r="A30955" t="str">
        <f>"05751"</f>
        <v>05751</v>
      </c>
      <c r="B30955" t="s">
        <v>53</v>
      </c>
      <c r="C30955">
        <v>5751</v>
      </c>
      <c r="D30955" t="str">
        <f>"05751"</f>
        <v>05751</v>
      </c>
      <c r="E30955">
        <v>76.92</v>
      </c>
    </row>
    <row r="30956" spans="1:5" x14ac:dyDescent="0.2">
      <c r="A30956" t="str">
        <f>"05753"</f>
        <v>05753</v>
      </c>
      <c r="B30956" t="s">
        <v>53</v>
      </c>
      <c r="C30956">
        <v>5753</v>
      </c>
      <c r="D30956" t="str">
        <f>"05753"</f>
        <v>05753</v>
      </c>
      <c r="E30956">
        <v>75.11</v>
      </c>
    </row>
    <row r="30957" spans="1:5" x14ac:dyDescent="0.2">
      <c r="A30957" t="str">
        <f>"05757"</f>
        <v>05757</v>
      </c>
      <c r="B30957" t="s">
        <v>53</v>
      </c>
      <c r="C30957">
        <v>5757</v>
      </c>
      <c r="D30957" t="str">
        <f>"05757"</f>
        <v>05757</v>
      </c>
      <c r="E30957">
        <v>69.569999999999993</v>
      </c>
    </row>
    <row r="30958" spans="1:5" x14ac:dyDescent="0.2">
      <c r="A30958" t="str">
        <f>"05758"</f>
        <v>05758</v>
      </c>
      <c r="B30958" t="s">
        <v>53</v>
      </c>
      <c r="C30958">
        <v>5758</v>
      </c>
      <c r="D30958" t="str">
        <f>"05758"</f>
        <v>05758</v>
      </c>
      <c r="E30958">
        <v>73.680000000000007</v>
      </c>
    </row>
    <row r="30959" spans="1:5" x14ac:dyDescent="0.2">
      <c r="A30959" t="str">
        <f>"05759"</f>
        <v>05759</v>
      </c>
      <c r="B30959" t="s">
        <v>53</v>
      </c>
      <c r="C30959">
        <v>5759</v>
      </c>
      <c r="D30959" t="str">
        <f>"05759"</f>
        <v>05759</v>
      </c>
      <c r="E30959">
        <v>72.64</v>
      </c>
    </row>
    <row r="30960" spans="1:5" x14ac:dyDescent="0.2">
      <c r="A30960" t="str">
        <f>"05760"</f>
        <v>05760</v>
      </c>
      <c r="B30960" t="s">
        <v>53</v>
      </c>
      <c r="C30960">
        <v>5760</v>
      </c>
      <c r="D30960" t="str">
        <f>"05760"</f>
        <v>05760</v>
      </c>
      <c r="E30960">
        <v>70.180000000000007</v>
      </c>
    </row>
    <row r="30961" spans="1:5" x14ac:dyDescent="0.2">
      <c r="A30961" t="str">
        <f>"05761"</f>
        <v>05761</v>
      </c>
      <c r="B30961" t="s">
        <v>53</v>
      </c>
      <c r="C30961">
        <v>5761</v>
      </c>
      <c r="D30961" t="str">
        <f>"05761"</f>
        <v>05761</v>
      </c>
      <c r="E30961">
        <v>70.91</v>
      </c>
    </row>
    <row r="30962" spans="1:5" x14ac:dyDescent="0.2">
      <c r="A30962" t="str">
        <f>"05762"</f>
        <v>05762</v>
      </c>
      <c r="B30962" t="s">
        <v>53</v>
      </c>
      <c r="C30962">
        <v>5762</v>
      </c>
      <c r="D30962" t="str">
        <f>"05762"</f>
        <v>05762</v>
      </c>
      <c r="E30962">
        <v>77.78</v>
      </c>
    </row>
    <row r="30963" spans="1:5" x14ac:dyDescent="0.2">
      <c r="A30963" t="str">
        <f>"05763"</f>
        <v>05763</v>
      </c>
      <c r="B30963" t="s">
        <v>53</v>
      </c>
      <c r="C30963">
        <v>5763</v>
      </c>
      <c r="D30963" t="str">
        <f>"05763"</f>
        <v>05763</v>
      </c>
      <c r="E30963">
        <v>76.760000000000005</v>
      </c>
    </row>
    <row r="30964" spans="1:5" x14ac:dyDescent="0.2">
      <c r="A30964" t="str">
        <f>"05764"</f>
        <v>05764</v>
      </c>
      <c r="B30964" t="s">
        <v>53</v>
      </c>
      <c r="C30964">
        <v>5764</v>
      </c>
      <c r="D30964" t="str">
        <f>"05764"</f>
        <v>05764</v>
      </c>
      <c r="E30964">
        <v>72.92</v>
      </c>
    </row>
    <row r="30965" spans="1:5" x14ac:dyDescent="0.2">
      <c r="A30965" t="str">
        <f>"05765"</f>
        <v>05765</v>
      </c>
      <c r="B30965" t="s">
        <v>53</v>
      </c>
      <c r="C30965">
        <v>5765</v>
      </c>
      <c r="D30965" t="str">
        <f>"05765"</f>
        <v>05765</v>
      </c>
      <c r="E30965">
        <v>77.010000000000005</v>
      </c>
    </row>
    <row r="30966" spans="1:5" x14ac:dyDescent="0.2">
      <c r="A30966" t="str">
        <f>"05766"</f>
        <v>05766</v>
      </c>
      <c r="B30966" t="s">
        <v>53</v>
      </c>
      <c r="C30966">
        <v>5766</v>
      </c>
      <c r="D30966" t="str">
        <f>"05766"</f>
        <v>05766</v>
      </c>
      <c r="E30966">
        <v>66.67</v>
      </c>
    </row>
    <row r="30967" spans="1:5" x14ac:dyDescent="0.2">
      <c r="A30967" t="str">
        <f>"05767"</f>
        <v>05767</v>
      </c>
      <c r="B30967" t="s">
        <v>53</v>
      </c>
      <c r="C30967">
        <v>5767</v>
      </c>
      <c r="D30967" t="str">
        <f>"05767"</f>
        <v>05767</v>
      </c>
      <c r="E30967">
        <v>78.569999999999993</v>
      </c>
    </row>
    <row r="30968" spans="1:5" x14ac:dyDescent="0.2">
      <c r="A30968" t="str">
        <f>"05769"</f>
        <v>05769</v>
      </c>
      <c r="B30968" t="s">
        <v>53</v>
      </c>
      <c r="C30968">
        <v>5769</v>
      </c>
      <c r="D30968" t="str">
        <f>"05769"</f>
        <v>05769</v>
      </c>
      <c r="E30968">
        <v>72.13</v>
      </c>
    </row>
    <row r="30969" spans="1:5" x14ac:dyDescent="0.2">
      <c r="A30969" t="str">
        <f>"05770"</f>
        <v>05770</v>
      </c>
      <c r="B30969" t="s">
        <v>53</v>
      </c>
      <c r="C30969">
        <v>5770</v>
      </c>
      <c r="D30969" t="str">
        <f>"05770"</f>
        <v>05770</v>
      </c>
      <c r="E30969">
        <v>68.42</v>
      </c>
    </row>
    <row r="30970" spans="1:5" x14ac:dyDescent="0.2">
      <c r="A30970" t="str">
        <f>"05772"</f>
        <v>05772</v>
      </c>
      <c r="B30970" t="s">
        <v>53</v>
      </c>
      <c r="C30970">
        <v>5772</v>
      </c>
      <c r="D30970" t="str">
        <f>"05772"</f>
        <v>05772</v>
      </c>
      <c r="E30970">
        <v>73.08</v>
      </c>
    </row>
    <row r="30971" spans="1:5" x14ac:dyDescent="0.2">
      <c r="A30971" t="str">
        <f>"05773"</f>
        <v>05773</v>
      </c>
      <c r="B30971" t="s">
        <v>53</v>
      </c>
      <c r="C30971">
        <v>5773</v>
      </c>
      <c r="D30971" t="str">
        <f>"05773"</f>
        <v>05773</v>
      </c>
      <c r="E30971">
        <v>73.33</v>
      </c>
    </row>
    <row r="30972" spans="1:5" x14ac:dyDescent="0.2">
      <c r="A30972" t="str">
        <f>"05774"</f>
        <v>05774</v>
      </c>
      <c r="B30972" t="s">
        <v>53</v>
      </c>
      <c r="C30972">
        <v>5774</v>
      </c>
      <c r="D30972" t="str">
        <f>"05774"</f>
        <v>05774</v>
      </c>
      <c r="E30972">
        <v>68.75</v>
      </c>
    </row>
    <row r="30973" spans="1:5" x14ac:dyDescent="0.2">
      <c r="A30973" t="str">
        <f>"05775"</f>
        <v>05775</v>
      </c>
      <c r="B30973" t="s">
        <v>53</v>
      </c>
      <c r="C30973">
        <v>5775</v>
      </c>
      <c r="D30973" t="str">
        <f>"05775"</f>
        <v>05775</v>
      </c>
      <c r="E30973">
        <v>64.290000000000006</v>
      </c>
    </row>
    <row r="30974" spans="1:5" x14ac:dyDescent="0.2">
      <c r="A30974" t="str">
        <f>"05776"</f>
        <v>05776</v>
      </c>
      <c r="B30974" t="s">
        <v>53</v>
      </c>
      <c r="C30974">
        <v>5776</v>
      </c>
      <c r="D30974" t="str">
        <f>"05776"</f>
        <v>05776</v>
      </c>
      <c r="E30974">
        <v>69.23</v>
      </c>
    </row>
    <row r="30975" spans="1:5" x14ac:dyDescent="0.2">
      <c r="A30975" t="str">
        <f>"05777"</f>
        <v>05777</v>
      </c>
      <c r="B30975" t="s">
        <v>53</v>
      </c>
      <c r="C30975">
        <v>5777</v>
      </c>
      <c r="D30975" t="str">
        <f>"05777"</f>
        <v>05777</v>
      </c>
      <c r="E30975">
        <v>75.28</v>
      </c>
    </row>
    <row r="30976" spans="1:5" x14ac:dyDescent="0.2">
      <c r="A30976" t="str">
        <f>"05778"</f>
        <v>05778</v>
      </c>
      <c r="B30976" t="s">
        <v>53</v>
      </c>
      <c r="C30976">
        <v>5778</v>
      </c>
      <c r="D30976" t="str">
        <f>"05778"</f>
        <v>05778</v>
      </c>
      <c r="E30976">
        <v>70.59</v>
      </c>
    </row>
    <row r="30977" spans="1:5" x14ac:dyDescent="0.2">
      <c r="A30977" t="str">
        <f>"05819"</f>
        <v>05819</v>
      </c>
      <c r="B30977" t="s">
        <v>53</v>
      </c>
      <c r="C30977">
        <v>5819</v>
      </c>
      <c r="D30977" t="str">
        <f>"05819"</f>
        <v>05819</v>
      </c>
      <c r="E30977">
        <v>69.62</v>
      </c>
    </row>
    <row r="30978" spans="1:5" x14ac:dyDescent="0.2">
      <c r="A30978" t="str">
        <f>"05820"</f>
        <v>05820</v>
      </c>
      <c r="B30978" t="s">
        <v>53</v>
      </c>
      <c r="C30978">
        <v>5820</v>
      </c>
      <c r="D30978" t="str">
        <f>"05820"</f>
        <v>05820</v>
      </c>
      <c r="E30978">
        <v>58.82</v>
      </c>
    </row>
    <row r="30979" spans="1:5" x14ac:dyDescent="0.2">
      <c r="A30979" t="str">
        <f>"05821"</f>
        <v>05821</v>
      </c>
      <c r="B30979" t="s">
        <v>53</v>
      </c>
      <c r="C30979">
        <v>5821</v>
      </c>
      <c r="D30979" t="str">
        <f>"05821"</f>
        <v>05821</v>
      </c>
      <c r="E30979">
        <v>65.52</v>
      </c>
    </row>
    <row r="30980" spans="1:5" x14ac:dyDescent="0.2">
      <c r="A30980" t="str">
        <f>"05822"</f>
        <v>05822</v>
      </c>
      <c r="B30980" t="s">
        <v>53</v>
      </c>
      <c r="C30980">
        <v>5822</v>
      </c>
      <c r="D30980" t="str">
        <f>"05822"</f>
        <v>05822</v>
      </c>
      <c r="E30980">
        <v>62.63</v>
      </c>
    </row>
    <row r="30981" spans="1:5" x14ac:dyDescent="0.2">
      <c r="A30981" t="str">
        <f>"05823"</f>
        <v>05823</v>
      </c>
      <c r="B30981" t="s">
        <v>53</v>
      </c>
      <c r="C30981">
        <v>5823</v>
      </c>
      <c r="D30981" t="str">
        <f>"05823"</f>
        <v>05823</v>
      </c>
      <c r="E30981" t="s">
        <v>6</v>
      </c>
    </row>
    <row r="30982" spans="1:5" x14ac:dyDescent="0.2">
      <c r="A30982" t="str">
        <f>"05824"</f>
        <v>05824</v>
      </c>
      <c r="B30982" t="s">
        <v>53</v>
      </c>
      <c r="C30982">
        <v>5824</v>
      </c>
      <c r="D30982" t="str">
        <f>"05824"</f>
        <v>05824</v>
      </c>
      <c r="E30982">
        <v>68.42</v>
      </c>
    </row>
    <row r="30983" spans="1:5" x14ac:dyDescent="0.2">
      <c r="A30983" t="str">
        <f>"05825"</f>
        <v>05825</v>
      </c>
      <c r="B30983" t="s">
        <v>53</v>
      </c>
      <c r="C30983">
        <v>5825</v>
      </c>
      <c r="D30983" t="str">
        <f>"05825"</f>
        <v>05825</v>
      </c>
      <c r="E30983" t="s">
        <v>6</v>
      </c>
    </row>
    <row r="30984" spans="1:5" x14ac:dyDescent="0.2">
      <c r="A30984" t="str">
        <f>"05826"</f>
        <v>05826</v>
      </c>
      <c r="B30984" t="s">
        <v>53</v>
      </c>
      <c r="C30984">
        <v>5826</v>
      </c>
      <c r="D30984" t="str">
        <f>"05826"</f>
        <v>05826</v>
      </c>
      <c r="E30984">
        <v>66.67</v>
      </c>
    </row>
    <row r="30985" spans="1:5" x14ac:dyDescent="0.2">
      <c r="A30985" t="str">
        <f>"05827"</f>
        <v>05827</v>
      </c>
      <c r="B30985" t="s">
        <v>53</v>
      </c>
      <c r="C30985">
        <v>5827</v>
      </c>
      <c r="D30985" t="str">
        <f>"05827"</f>
        <v>05827</v>
      </c>
      <c r="E30985">
        <v>69.23</v>
      </c>
    </row>
    <row r="30986" spans="1:5" x14ac:dyDescent="0.2">
      <c r="A30986" t="str">
        <f>"05828"</f>
        <v>05828</v>
      </c>
      <c r="B30986" t="s">
        <v>53</v>
      </c>
      <c r="C30986">
        <v>5828</v>
      </c>
      <c r="D30986" t="str">
        <f>"05828"</f>
        <v>05828</v>
      </c>
      <c r="E30986">
        <v>74.760000000000005</v>
      </c>
    </row>
    <row r="30987" spans="1:5" x14ac:dyDescent="0.2">
      <c r="A30987" t="str">
        <f>"05829"</f>
        <v>05829</v>
      </c>
      <c r="B30987" t="s">
        <v>53</v>
      </c>
      <c r="C30987">
        <v>5829</v>
      </c>
      <c r="D30987" t="str">
        <f>"05829"</f>
        <v>05829</v>
      </c>
      <c r="E30987">
        <v>67.19</v>
      </c>
    </row>
    <row r="30988" spans="1:5" x14ac:dyDescent="0.2">
      <c r="A30988" t="str">
        <f>"05830"</f>
        <v>05830</v>
      </c>
      <c r="B30988" t="s">
        <v>53</v>
      </c>
      <c r="C30988">
        <v>5830</v>
      </c>
      <c r="D30988" t="str">
        <f>"05830"</f>
        <v>05830</v>
      </c>
      <c r="E30988">
        <v>71.05</v>
      </c>
    </row>
    <row r="30989" spans="1:5" x14ac:dyDescent="0.2">
      <c r="A30989" t="str">
        <f>"05832"</f>
        <v>05832</v>
      </c>
      <c r="B30989" t="s">
        <v>53</v>
      </c>
      <c r="C30989">
        <v>5832</v>
      </c>
      <c r="D30989" t="str">
        <f>"05832"</f>
        <v>05832</v>
      </c>
      <c r="E30989">
        <v>71.150000000000006</v>
      </c>
    </row>
    <row r="30990" spans="1:5" x14ac:dyDescent="0.2">
      <c r="A30990" t="str">
        <f>"05833"</f>
        <v>05833</v>
      </c>
      <c r="B30990" t="s">
        <v>53</v>
      </c>
      <c r="C30990">
        <v>5833</v>
      </c>
      <c r="D30990" t="str">
        <f>"05833"</f>
        <v>05833</v>
      </c>
      <c r="E30990" t="s">
        <v>6</v>
      </c>
    </row>
    <row r="30991" spans="1:5" x14ac:dyDescent="0.2">
      <c r="A30991" t="str">
        <f>"05836"</f>
        <v>05836</v>
      </c>
      <c r="B30991" t="s">
        <v>53</v>
      </c>
      <c r="C30991">
        <v>5836</v>
      </c>
      <c r="D30991" t="str">
        <f>"05836"</f>
        <v>05836</v>
      </c>
      <c r="E30991">
        <v>65.38</v>
      </c>
    </row>
    <row r="30992" spans="1:5" x14ac:dyDescent="0.2">
      <c r="A30992" t="str">
        <f>"05837"</f>
        <v>05837</v>
      </c>
      <c r="B30992" t="s">
        <v>53</v>
      </c>
      <c r="C30992">
        <v>5837</v>
      </c>
      <c r="D30992" t="str">
        <f>"05837"</f>
        <v>05837</v>
      </c>
      <c r="E30992">
        <v>68.75</v>
      </c>
    </row>
    <row r="30993" spans="1:5" x14ac:dyDescent="0.2">
      <c r="A30993" t="str">
        <f>"05838"</f>
        <v>05838</v>
      </c>
      <c r="B30993" t="s">
        <v>53</v>
      </c>
      <c r="C30993">
        <v>5838</v>
      </c>
      <c r="D30993" t="str">
        <f>"05838"</f>
        <v>05838</v>
      </c>
      <c r="E30993" t="s">
        <v>6</v>
      </c>
    </row>
    <row r="30994" spans="1:5" x14ac:dyDescent="0.2">
      <c r="A30994" t="str">
        <f>"05839"</f>
        <v>05839</v>
      </c>
      <c r="B30994" t="s">
        <v>53</v>
      </c>
      <c r="C30994">
        <v>5839</v>
      </c>
      <c r="D30994" t="str">
        <f>"05839"</f>
        <v>05839</v>
      </c>
      <c r="E30994">
        <v>67.569999999999993</v>
      </c>
    </row>
    <row r="30995" spans="1:5" x14ac:dyDescent="0.2">
      <c r="A30995" t="str">
        <f>"05840"</f>
        <v>05840</v>
      </c>
      <c r="B30995" t="s">
        <v>53</v>
      </c>
      <c r="C30995">
        <v>5840</v>
      </c>
      <c r="D30995" t="str">
        <f>"05840"</f>
        <v>05840</v>
      </c>
      <c r="E30995" t="s">
        <v>6</v>
      </c>
    </row>
    <row r="30996" spans="1:5" x14ac:dyDescent="0.2">
      <c r="A30996" t="str">
        <f>"05841"</f>
        <v>05841</v>
      </c>
      <c r="B30996" t="s">
        <v>53</v>
      </c>
      <c r="C30996">
        <v>5841</v>
      </c>
      <c r="D30996" t="str">
        <f>"05841"</f>
        <v>05841</v>
      </c>
      <c r="E30996">
        <v>66.67</v>
      </c>
    </row>
    <row r="30997" spans="1:5" x14ac:dyDescent="0.2">
      <c r="A30997" t="str">
        <f>"05842"</f>
        <v>05842</v>
      </c>
      <c r="B30997" t="s">
        <v>53</v>
      </c>
      <c r="C30997">
        <v>5842</v>
      </c>
      <c r="D30997" t="str">
        <f>"05842"</f>
        <v>05842</v>
      </c>
      <c r="E30997">
        <v>65.52</v>
      </c>
    </row>
    <row r="30998" spans="1:5" x14ac:dyDescent="0.2">
      <c r="A30998" t="str">
        <f>"05843"</f>
        <v>05843</v>
      </c>
      <c r="B30998" t="s">
        <v>53</v>
      </c>
      <c r="C30998">
        <v>5843</v>
      </c>
      <c r="D30998" t="str">
        <f>"05843"</f>
        <v>05843</v>
      </c>
      <c r="E30998">
        <v>64.959999999999994</v>
      </c>
    </row>
    <row r="30999" spans="1:5" x14ac:dyDescent="0.2">
      <c r="A30999" t="str">
        <f>"05845"</f>
        <v>05845</v>
      </c>
      <c r="B30999" t="s">
        <v>53</v>
      </c>
      <c r="C30999">
        <v>5845</v>
      </c>
      <c r="D30999" t="str">
        <f>"05845"</f>
        <v>05845</v>
      </c>
      <c r="E30999">
        <v>67.209999999999994</v>
      </c>
    </row>
    <row r="31000" spans="1:5" x14ac:dyDescent="0.2">
      <c r="A31000" t="str">
        <f>"05846"</f>
        <v>05846</v>
      </c>
      <c r="B31000" t="s">
        <v>53</v>
      </c>
      <c r="C31000">
        <v>5846</v>
      </c>
      <c r="D31000" t="str">
        <f>"05846"</f>
        <v>05846</v>
      </c>
      <c r="E31000">
        <v>66.099999999999994</v>
      </c>
    </row>
    <row r="31001" spans="1:5" x14ac:dyDescent="0.2">
      <c r="A31001" t="str">
        <f>"05847"</f>
        <v>05847</v>
      </c>
      <c r="B31001" t="s">
        <v>53</v>
      </c>
      <c r="C31001">
        <v>5847</v>
      </c>
      <c r="D31001" t="str">
        <f>"05847"</f>
        <v>05847</v>
      </c>
      <c r="E31001">
        <v>60.98</v>
      </c>
    </row>
    <row r="31002" spans="1:5" x14ac:dyDescent="0.2">
      <c r="A31002" t="str">
        <f>"05850"</f>
        <v>05850</v>
      </c>
      <c r="B31002" t="s">
        <v>53</v>
      </c>
      <c r="C31002">
        <v>5850</v>
      </c>
      <c r="D31002" t="str">
        <f>"05850"</f>
        <v>05850</v>
      </c>
      <c r="E31002">
        <v>68</v>
      </c>
    </row>
    <row r="31003" spans="1:5" x14ac:dyDescent="0.2">
      <c r="A31003" t="str">
        <f>"05851"</f>
        <v>05851</v>
      </c>
      <c r="B31003" t="s">
        <v>53</v>
      </c>
      <c r="C31003">
        <v>5851</v>
      </c>
      <c r="D31003" t="str">
        <f>"05851"</f>
        <v>05851</v>
      </c>
      <c r="E31003">
        <v>68.52</v>
      </c>
    </row>
    <row r="31004" spans="1:5" x14ac:dyDescent="0.2">
      <c r="A31004" t="str">
        <f>"05853"</f>
        <v>05853</v>
      </c>
      <c r="B31004" t="s">
        <v>53</v>
      </c>
      <c r="C31004">
        <v>5853</v>
      </c>
      <c r="D31004" t="str">
        <f>"05853"</f>
        <v>05853</v>
      </c>
      <c r="E31004">
        <v>68</v>
      </c>
    </row>
    <row r="31005" spans="1:5" x14ac:dyDescent="0.2">
      <c r="A31005" t="str">
        <f>"05855"</f>
        <v>05855</v>
      </c>
      <c r="B31005" t="s">
        <v>53</v>
      </c>
      <c r="C31005">
        <v>5855</v>
      </c>
      <c r="D31005" t="str">
        <f>"05855"</f>
        <v>05855</v>
      </c>
      <c r="E31005">
        <v>67.78</v>
      </c>
    </row>
    <row r="31006" spans="1:5" x14ac:dyDescent="0.2">
      <c r="A31006" t="str">
        <f>"05857"</f>
        <v>05857</v>
      </c>
      <c r="B31006" t="s">
        <v>53</v>
      </c>
      <c r="C31006">
        <v>5857</v>
      </c>
      <c r="D31006" t="str">
        <f>"05857"</f>
        <v>05857</v>
      </c>
      <c r="E31006">
        <v>67.12</v>
      </c>
    </row>
    <row r="31007" spans="1:5" x14ac:dyDescent="0.2">
      <c r="A31007" t="str">
        <f>"05858"</f>
        <v>05858</v>
      </c>
      <c r="B31007" t="s">
        <v>53</v>
      </c>
      <c r="C31007">
        <v>5858</v>
      </c>
      <c r="D31007" t="str">
        <f>"05858"</f>
        <v>05858</v>
      </c>
      <c r="E31007">
        <v>71.430000000000007</v>
      </c>
    </row>
    <row r="31008" spans="1:5" x14ac:dyDescent="0.2">
      <c r="A31008" t="str">
        <f>"05859"</f>
        <v>05859</v>
      </c>
      <c r="B31008" t="s">
        <v>53</v>
      </c>
      <c r="C31008">
        <v>5859</v>
      </c>
      <c r="D31008" t="str">
        <f>"05859"</f>
        <v>05859</v>
      </c>
      <c r="E31008">
        <v>70</v>
      </c>
    </row>
    <row r="31009" spans="1:5" x14ac:dyDescent="0.2">
      <c r="A31009" t="str">
        <f>"05860"</f>
        <v>05860</v>
      </c>
      <c r="B31009" t="s">
        <v>53</v>
      </c>
      <c r="C31009">
        <v>5860</v>
      </c>
      <c r="D31009" t="str">
        <f>"05860"</f>
        <v>05860</v>
      </c>
      <c r="E31009">
        <v>66.12</v>
      </c>
    </row>
    <row r="31010" spans="1:5" x14ac:dyDescent="0.2">
      <c r="A31010" t="str">
        <f>"05862"</f>
        <v>05862</v>
      </c>
      <c r="B31010" t="s">
        <v>53</v>
      </c>
      <c r="C31010">
        <v>5862</v>
      </c>
      <c r="D31010" t="str">
        <f>"05862"</f>
        <v>05862</v>
      </c>
      <c r="E31010">
        <v>73.680000000000007</v>
      </c>
    </row>
    <row r="31011" spans="1:5" x14ac:dyDescent="0.2">
      <c r="A31011" t="str">
        <f>"05866"</f>
        <v>05866</v>
      </c>
      <c r="B31011" t="s">
        <v>53</v>
      </c>
      <c r="C31011">
        <v>5866</v>
      </c>
      <c r="D31011" t="str">
        <f>"05866"</f>
        <v>05866</v>
      </c>
      <c r="E31011">
        <v>72.73</v>
      </c>
    </row>
    <row r="31012" spans="1:5" x14ac:dyDescent="0.2">
      <c r="A31012" t="str">
        <f>"05867"</f>
        <v>05867</v>
      </c>
      <c r="B31012" t="s">
        <v>53</v>
      </c>
      <c r="C31012">
        <v>5867</v>
      </c>
      <c r="D31012" t="str">
        <f>"05867"</f>
        <v>05867</v>
      </c>
      <c r="E31012">
        <v>70.97</v>
      </c>
    </row>
    <row r="31013" spans="1:5" x14ac:dyDescent="0.2">
      <c r="A31013" t="str">
        <f>"05868"</f>
        <v>05868</v>
      </c>
      <c r="B31013" t="s">
        <v>53</v>
      </c>
      <c r="C31013">
        <v>5868</v>
      </c>
      <c r="D31013" t="str">
        <f>"05868"</f>
        <v>05868</v>
      </c>
      <c r="E31013">
        <v>75</v>
      </c>
    </row>
    <row r="31014" spans="1:5" x14ac:dyDescent="0.2">
      <c r="A31014" t="str">
        <f>"05871"</f>
        <v>05871</v>
      </c>
      <c r="B31014" t="s">
        <v>53</v>
      </c>
      <c r="C31014">
        <v>5871</v>
      </c>
      <c r="D31014" t="str">
        <f>"05871"</f>
        <v>05871</v>
      </c>
      <c r="E31014">
        <v>68.489999999999995</v>
      </c>
    </row>
    <row r="31015" spans="1:5" x14ac:dyDescent="0.2">
      <c r="A31015" t="str">
        <f>"05872"</f>
        <v>05872</v>
      </c>
      <c r="B31015" t="s">
        <v>53</v>
      </c>
      <c r="C31015">
        <v>5872</v>
      </c>
      <c r="D31015" t="str">
        <f>"05872"</f>
        <v>05872</v>
      </c>
      <c r="E31015">
        <v>59.46</v>
      </c>
    </row>
    <row r="31016" spans="1:5" x14ac:dyDescent="0.2">
      <c r="A31016" t="str">
        <f>"05873"</f>
        <v>05873</v>
      </c>
      <c r="B31016" t="s">
        <v>53</v>
      </c>
      <c r="C31016">
        <v>5873</v>
      </c>
      <c r="D31016" t="str">
        <f>"05873"</f>
        <v>05873</v>
      </c>
      <c r="E31016">
        <v>63.89</v>
      </c>
    </row>
    <row r="31017" spans="1:5" x14ac:dyDescent="0.2">
      <c r="A31017" t="str">
        <f>"05874"</f>
        <v>05874</v>
      </c>
      <c r="B31017" t="s">
        <v>53</v>
      </c>
      <c r="C31017">
        <v>5874</v>
      </c>
      <c r="D31017" t="str">
        <f>"05874"</f>
        <v>05874</v>
      </c>
      <c r="E31017">
        <v>70.97</v>
      </c>
    </row>
    <row r="31018" spans="1:5" x14ac:dyDescent="0.2">
      <c r="A31018" t="str">
        <f>"05875"</f>
        <v>05875</v>
      </c>
      <c r="B31018" t="s">
        <v>53</v>
      </c>
      <c r="C31018">
        <v>5875</v>
      </c>
      <c r="D31018" t="str">
        <f>"05875"</f>
        <v>05875</v>
      </c>
      <c r="E31018">
        <v>70.37</v>
      </c>
    </row>
    <row r="31019" spans="1:5" x14ac:dyDescent="0.2">
      <c r="A31019" t="str">
        <f>"05901"</f>
        <v>05901</v>
      </c>
      <c r="B31019" t="s">
        <v>53</v>
      </c>
      <c r="C31019">
        <v>5901</v>
      </c>
      <c r="D31019" t="str">
        <f>"05901"</f>
        <v>05901</v>
      </c>
      <c r="E31019" t="s">
        <v>6</v>
      </c>
    </row>
    <row r="31020" spans="1:5" x14ac:dyDescent="0.2">
      <c r="A31020" t="str">
        <f>"05902"</f>
        <v>05902</v>
      </c>
      <c r="B31020" t="s">
        <v>53</v>
      </c>
      <c r="C31020">
        <v>5902</v>
      </c>
      <c r="D31020" t="str">
        <f>"05902"</f>
        <v>05902</v>
      </c>
      <c r="E31020" t="s">
        <v>6</v>
      </c>
    </row>
    <row r="31021" spans="1:5" x14ac:dyDescent="0.2">
      <c r="A31021" t="str">
        <f>"05903"</f>
        <v>05903</v>
      </c>
      <c r="B31021" t="s">
        <v>53</v>
      </c>
      <c r="C31021">
        <v>5903</v>
      </c>
      <c r="D31021" t="str">
        <f>"05903"</f>
        <v>05903</v>
      </c>
      <c r="E31021">
        <v>71.790000000000006</v>
      </c>
    </row>
    <row r="31022" spans="1:5" x14ac:dyDescent="0.2">
      <c r="A31022" t="str">
        <f>"05904"</f>
        <v>05904</v>
      </c>
      <c r="B31022" t="s">
        <v>53</v>
      </c>
      <c r="C31022">
        <v>5904</v>
      </c>
      <c r="D31022" t="str">
        <f>"05904"</f>
        <v>05904</v>
      </c>
      <c r="E31022">
        <v>66.67</v>
      </c>
    </row>
    <row r="31023" spans="1:5" x14ac:dyDescent="0.2">
      <c r="A31023" t="str">
        <f>"05905"</f>
        <v>05905</v>
      </c>
      <c r="B31023" t="s">
        <v>53</v>
      </c>
      <c r="C31023">
        <v>5905</v>
      </c>
      <c r="D31023" t="str">
        <f>"05905"</f>
        <v>05905</v>
      </c>
      <c r="E31023">
        <v>69.7</v>
      </c>
    </row>
    <row r="31024" spans="1:5" x14ac:dyDescent="0.2">
      <c r="A31024" t="str">
        <f>"05906"</f>
        <v>05906</v>
      </c>
      <c r="B31024" t="s">
        <v>53</v>
      </c>
      <c r="C31024">
        <v>5906</v>
      </c>
      <c r="D31024" t="str">
        <f>"05906"</f>
        <v>05906</v>
      </c>
      <c r="E31024">
        <v>65.38</v>
      </c>
    </row>
    <row r="31025" spans="1:5" x14ac:dyDescent="0.2">
      <c r="A31025" t="str">
        <f>"05907"</f>
        <v>05907</v>
      </c>
      <c r="B31025" t="s">
        <v>53</v>
      </c>
      <c r="C31025">
        <v>5907</v>
      </c>
      <c r="D31025" t="str">
        <f>"05907"</f>
        <v>05907</v>
      </c>
      <c r="E31025" t="s">
        <v>6</v>
      </c>
    </row>
    <row r="31026" spans="1:5" x14ac:dyDescent="0.2">
      <c r="A31026">
        <v>98001</v>
      </c>
      <c r="B31026" t="s">
        <v>54</v>
      </c>
      <c r="C31026">
        <v>98001</v>
      </c>
      <c r="D31026" t="str">
        <f>"98001"</f>
        <v>98001</v>
      </c>
      <c r="E31026">
        <v>79.34</v>
      </c>
    </row>
    <row r="31027" spans="1:5" x14ac:dyDescent="0.2">
      <c r="A31027">
        <v>98002</v>
      </c>
      <c r="B31027" t="s">
        <v>54</v>
      </c>
      <c r="C31027">
        <v>98002</v>
      </c>
      <c r="D31027" t="str">
        <f>"98002"</f>
        <v>98002</v>
      </c>
      <c r="E31027">
        <v>71.760000000000005</v>
      </c>
    </row>
    <row r="31028" spans="1:5" x14ac:dyDescent="0.2">
      <c r="A31028">
        <v>98003</v>
      </c>
      <c r="B31028" t="s">
        <v>54</v>
      </c>
      <c r="C31028">
        <v>98003</v>
      </c>
      <c r="D31028" t="str">
        <f>"98003"</f>
        <v>98003</v>
      </c>
      <c r="E31028">
        <v>72.209999999999994</v>
      </c>
    </row>
    <row r="31029" spans="1:5" x14ac:dyDescent="0.2">
      <c r="A31029">
        <v>98004</v>
      </c>
      <c r="B31029" t="s">
        <v>54</v>
      </c>
      <c r="C31029">
        <v>98004</v>
      </c>
      <c r="D31029" t="str">
        <f>"98004"</f>
        <v>98004</v>
      </c>
      <c r="E31029">
        <v>86.86</v>
      </c>
    </row>
    <row r="31030" spans="1:5" x14ac:dyDescent="0.2">
      <c r="A31030">
        <v>98005</v>
      </c>
      <c r="B31030" t="s">
        <v>54</v>
      </c>
      <c r="C31030">
        <v>98005</v>
      </c>
      <c r="D31030" t="str">
        <f>"98005"</f>
        <v>98005</v>
      </c>
      <c r="E31030">
        <v>84.51</v>
      </c>
    </row>
    <row r="31031" spans="1:5" x14ac:dyDescent="0.2">
      <c r="A31031">
        <v>98006</v>
      </c>
      <c r="B31031" t="s">
        <v>54</v>
      </c>
      <c r="C31031">
        <v>98006</v>
      </c>
      <c r="D31031" t="str">
        <f>"98006"</f>
        <v>98006</v>
      </c>
      <c r="E31031">
        <v>82.74</v>
      </c>
    </row>
    <row r="31032" spans="1:5" x14ac:dyDescent="0.2">
      <c r="A31032">
        <v>98007</v>
      </c>
      <c r="B31032" t="s">
        <v>54</v>
      </c>
      <c r="C31032">
        <v>98007</v>
      </c>
      <c r="D31032" t="str">
        <f>"98007"</f>
        <v>98007</v>
      </c>
      <c r="E31032">
        <v>82.86</v>
      </c>
    </row>
    <row r="31033" spans="1:5" x14ac:dyDescent="0.2">
      <c r="A31033">
        <v>98008</v>
      </c>
      <c r="B31033" t="s">
        <v>54</v>
      </c>
      <c r="C31033">
        <v>98008</v>
      </c>
      <c r="D31033" t="str">
        <f>"98008"</f>
        <v>98008</v>
      </c>
      <c r="E31033">
        <v>83.17</v>
      </c>
    </row>
    <row r="31034" spans="1:5" x14ac:dyDescent="0.2">
      <c r="A31034">
        <v>98010</v>
      </c>
      <c r="B31034" t="s">
        <v>54</v>
      </c>
      <c r="C31034">
        <v>98010</v>
      </c>
      <c r="D31034" t="str">
        <f>"98010"</f>
        <v>98010</v>
      </c>
      <c r="E31034">
        <v>85.98</v>
      </c>
    </row>
    <row r="31035" spans="1:5" x14ac:dyDescent="0.2">
      <c r="A31035">
        <v>98011</v>
      </c>
      <c r="B31035" t="s">
        <v>54</v>
      </c>
      <c r="C31035">
        <v>98011</v>
      </c>
      <c r="D31035" t="str">
        <f>"98011"</f>
        <v>98011</v>
      </c>
      <c r="E31035">
        <v>84</v>
      </c>
    </row>
    <row r="31036" spans="1:5" x14ac:dyDescent="0.2">
      <c r="A31036">
        <v>98012</v>
      </c>
      <c r="B31036" t="s">
        <v>54</v>
      </c>
      <c r="C31036">
        <v>98012</v>
      </c>
      <c r="D31036" t="str">
        <f>"98012"</f>
        <v>98012</v>
      </c>
      <c r="E31036">
        <v>85.07</v>
      </c>
    </row>
    <row r="31037" spans="1:5" x14ac:dyDescent="0.2">
      <c r="A31037">
        <v>98014</v>
      </c>
      <c r="B31037" t="s">
        <v>54</v>
      </c>
      <c r="C31037">
        <v>98014</v>
      </c>
      <c r="D31037" t="str">
        <f>"98014"</f>
        <v>98014</v>
      </c>
      <c r="E31037">
        <v>83.84</v>
      </c>
    </row>
    <row r="31038" spans="1:5" x14ac:dyDescent="0.2">
      <c r="A31038">
        <v>98019</v>
      </c>
      <c r="B31038" t="s">
        <v>54</v>
      </c>
      <c r="C31038">
        <v>98019</v>
      </c>
      <c r="D31038" t="str">
        <f>"98019"</f>
        <v>98019</v>
      </c>
      <c r="E31038">
        <v>83.89</v>
      </c>
    </row>
    <row r="31039" spans="1:5" x14ac:dyDescent="0.2">
      <c r="A31039">
        <v>98020</v>
      </c>
      <c r="B31039" t="s">
        <v>54</v>
      </c>
      <c r="C31039">
        <v>98020</v>
      </c>
      <c r="D31039" t="str">
        <f>"98020"</f>
        <v>98020</v>
      </c>
      <c r="E31039">
        <v>84.02</v>
      </c>
    </row>
    <row r="31040" spans="1:5" x14ac:dyDescent="0.2">
      <c r="A31040">
        <v>98021</v>
      </c>
      <c r="B31040" t="s">
        <v>54</v>
      </c>
      <c r="C31040">
        <v>98021</v>
      </c>
      <c r="D31040" t="str">
        <f>"98021"</f>
        <v>98021</v>
      </c>
      <c r="E31040">
        <v>85.56</v>
      </c>
    </row>
    <row r="31041" spans="1:5" x14ac:dyDescent="0.2">
      <c r="A31041">
        <v>98022</v>
      </c>
      <c r="B31041" t="s">
        <v>54</v>
      </c>
      <c r="C31041">
        <v>98022</v>
      </c>
      <c r="D31041" t="str">
        <f>"98022"</f>
        <v>98022</v>
      </c>
      <c r="E31041">
        <v>81.47</v>
      </c>
    </row>
    <row r="31042" spans="1:5" x14ac:dyDescent="0.2">
      <c r="A31042">
        <v>98023</v>
      </c>
      <c r="B31042" t="s">
        <v>54</v>
      </c>
      <c r="C31042">
        <v>98023</v>
      </c>
      <c r="D31042" t="str">
        <f>"98023"</f>
        <v>98023</v>
      </c>
      <c r="E31042">
        <v>77.459999999999994</v>
      </c>
    </row>
    <row r="31043" spans="1:5" x14ac:dyDescent="0.2">
      <c r="A31043">
        <v>98024</v>
      </c>
      <c r="B31043" t="s">
        <v>54</v>
      </c>
      <c r="C31043">
        <v>98024</v>
      </c>
      <c r="D31043" t="str">
        <f>"98024"</f>
        <v>98024</v>
      </c>
      <c r="E31043">
        <v>84.25</v>
      </c>
    </row>
    <row r="31044" spans="1:5" x14ac:dyDescent="0.2">
      <c r="A31044">
        <v>98026</v>
      </c>
      <c r="B31044" t="s">
        <v>54</v>
      </c>
      <c r="C31044">
        <v>98026</v>
      </c>
      <c r="D31044" t="str">
        <f>"98026"</f>
        <v>98026</v>
      </c>
      <c r="E31044">
        <v>82.98</v>
      </c>
    </row>
    <row r="31045" spans="1:5" x14ac:dyDescent="0.2">
      <c r="A31045">
        <v>98027</v>
      </c>
      <c r="B31045" t="s">
        <v>54</v>
      </c>
      <c r="C31045">
        <v>98027</v>
      </c>
      <c r="D31045" t="str">
        <f>"98027"</f>
        <v>98027</v>
      </c>
      <c r="E31045">
        <v>85.48</v>
      </c>
    </row>
    <row r="31046" spans="1:5" x14ac:dyDescent="0.2">
      <c r="A31046">
        <v>98028</v>
      </c>
      <c r="B31046" t="s">
        <v>54</v>
      </c>
      <c r="C31046">
        <v>98028</v>
      </c>
      <c r="D31046" t="str">
        <f>"98028"</f>
        <v>98028</v>
      </c>
      <c r="E31046">
        <v>83.75</v>
      </c>
    </row>
    <row r="31047" spans="1:5" x14ac:dyDescent="0.2">
      <c r="A31047">
        <v>98029</v>
      </c>
      <c r="B31047" t="s">
        <v>54</v>
      </c>
      <c r="C31047">
        <v>98029</v>
      </c>
      <c r="D31047" t="str">
        <f>"98029"</f>
        <v>98029</v>
      </c>
      <c r="E31047">
        <v>86.17</v>
      </c>
    </row>
    <row r="31048" spans="1:5" x14ac:dyDescent="0.2">
      <c r="A31048">
        <v>98030</v>
      </c>
      <c r="B31048" t="s">
        <v>54</v>
      </c>
      <c r="C31048">
        <v>98030</v>
      </c>
      <c r="D31048" t="str">
        <f>"98030"</f>
        <v>98030</v>
      </c>
      <c r="E31048">
        <v>73.23</v>
      </c>
    </row>
    <row r="31049" spans="1:5" x14ac:dyDescent="0.2">
      <c r="A31049">
        <v>98031</v>
      </c>
      <c r="B31049" t="s">
        <v>54</v>
      </c>
      <c r="C31049">
        <v>98031</v>
      </c>
      <c r="D31049" t="str">
        <f>"98031"</f>
        <v>98031</v>
      </c>
      <c r="E31049">
        <v>76.319999999999993</v>
      </c>
    </row>
    <row r="31050" spans="1:5" x14ac:dyDescent="0.2">
      <c r="A31050">
        <v>98032</v>
      </c>
      <c r="B31050" t="s">
        <v>54</v>
      </c>
      <c r="C31050">
        <v>98032</v>
      </c>
      <c r="D31050" t="str">
        <f>"98032"</f>
        <v>98032</v>
      </c>
      <c r="E31050">
        <v>74.41</v>
      </c>
    </row>
    <row r="31051" spans="1:5" x14ac:dyDescent="0.2">
      <c r="A31051">
        <v>98033</v>
      </c>
      <c r="B31051" t="s">
        <v>54</v>
      </c>
      <c r="C31051">
        <v>98033</v>
      </c>
      <c r="D31051" t="str">
        <f>"98033"</f>
        <v>98033</v>
      </c>
      <c r="E31051">
        <v>86.89</v>
      </c>
    </row>
    <row r="31052" spans="1:5" x14ac:dyDescent="0.2">
      <c r="A31052">
        <v>98034</v>
      </c>
      <c r="B31052" t="s">
        <v>54</v>
      </c>
      <c r="C31052">
        <v>98034</v>
      </c>
      <c r="D31052" t="str">
        <f>"98034"</f>
        <v>98034</v>
      </c>
      <c r="E31052">
        <v>84.69</v>
      </c>
    </row>
    <row r="31053" spans="1:5" x14ac:dyDescent="0.2">
      <c r="A31053">
        <v>98036</v>
      </c>
      <c r="B31053" t="s">
        <v>54</v>
      </c>
      <c r="C31053">
        <v>98036</v>
      </c>
      <c r="D31053" t="str">
        <f>"98036"</f>
        <v>98036</v>
      </c>
      <c r="E31053">
        <v>79.650000000000006</v>
      </c>
    </row>
    <row r="31054" spans="1:5" x14ac:dyDescent="0.2">
      <c r="A31054">
        <v>98037</v>
      </c>
      <c r="B31054" t="s">
        <v>54</v>
      </c>
      <c r="C31054">
        <v>98037</v>
      </c>
      <c r="D31054" t="str">
        <f>"98037"</f>
        <v>98037</v>
      </c>
      <c r="E31054">
        <v>79.92</v>
      </c>
    </row>
    <row r="31055" spans="1:5" x14ac:dyDescent="0.2">
      <c r="A31055">
        <v>98038</v>
      </c>
      <c r="B31055" t="s">
        <v>54</v>
      </c>
      <c r="C31055">
        <v>98038</v>
      </c>
      <c r="D31055" t="str">
        <f>"98038"</f>
        <v>98038</v>
      </c>
      <c r="E31055">
        <v>84.95</v>
      </c>
    </row>
    <row r="31056" spans="1:5" x14ac:dyDescent="0.2">
      <c r="A31056">
        <v>98039</v>
      </c>
      <c r="B31056" t="s">
        <v>54</v>
      </c>
      <c r="C31056">
        <v>98039</v>
      </c>
      <c r="D31056" t="str">
        <f>"98039"</f>
        <v>98039</v>
      </c>
      <c r="E31056">
        <v>82.47</v>
      </c>
    </row>
    <row r="31057" spans="1:5" x14ac:dyDescent="0.2">
      <c r="A31057">
        <v>98040</v>
      </c>
      <c r="B31057" t="s">
        <v>54</v>
      </c>
      <c r="C31057">
        <v>98040</v>
      </c>
      <c r="D31057" t="str">
        <f>"98040"</f>
        <v>98040</v>
      </c>
      <c r="E31057">
        <v>85.04</v>
      </c>
    </row>
    <row r="31058" spans="1:5" x14ac:dyDescent="0.2">
      <c r="A31058">
        <v>98042</v>
      </c>
      <c r="B31058" t="s">
        <v>54</v>
      </c>
      <c r="C31058">
        <v>98042</v>
      </c>
      <c r="D31058" t="str">
        <f>"98042"</f>
        <v>98042</v>
      </c>
      <c r="E31058">
        <v>82.13</v>
      </c>
    </row>
    <row r="31059" spans="1:5" x14ac:dyDescent="0.2">
      <c r="A31059">
        <v>98043</v>
      </c>
      <c r="B31059" t="s">
        <v>54</v>
      </c>
      <c r="C31059">
        <v>98043</v>
      </c>
      <c r="D31059" t="str">
        <f>"98043"</f>
        <v>98043</v>
      </c>
      <c r="E31059">
        <v>82.29</v>
      </c>
    </row>
    <row r="31060" spans="1:5" x14ac:dyDescent="0.2">
      <c r="A31060">
        <v>98045</v>
      </c>
      <c r="B31060" t="s">
        <v>54</v>
      </c>
      <c r="C31060">
        <v>98045</v>
      </c>
      <c r="D31060" t="str">
        <f>"98045"</f>
        <v>98045</v>
      </c>
      <c r="E31060">
        <v>84.77</v>
      </c>
    </row>
    <row r="31061" spans="1:5" x14ac:dyDescent="0.2">
      <c r="A31061">
        <v>98047</v>
      </c>
      <c r="B31061" t="s">
        <v>54</v>
      </c>
      <c r="C31061">
        <v>98047</v>
      </c>
      <c r="D31061" t="str">
        <f>"98047"</f>
        <v>98047</v>
      </c>
      <c r="E31061">
        <v>75.31</v>
      </c>
    </row>
    <row r="31062" spans="1:5" x14ac:dyDescent="0.2">
      <c r="A31062">
        <v>98050</v>
      </c>
      <c r="B31062" t="s">
        <v>54</v>
      </c>
      <c r="C31062">
        <v>98050</v>
      </c>
      <c r="D31062" t="str">
        <f>"98050"</f>
        <v>98050</v>
      </c>
      <c r="E31062" t="s">
        <v>6</v>
      </c>
    </row>
    <row r="31063" spans="1:5" x14ac:dyDescent="0.2">
      <c r="A31063">
        <v>98051</v>
      </c>
      <c r="B31063" t="s">
        <v>54</v>
      </c>
      <c r="C31063">
        <v>98051</v>
      </c>
      <c r="D31063" t="str">
        <f>"98051"</f>
        <v>98051</v>
      </c>
      <c r="E31063">
        <v>86.1</v>
      </c>
    </row>
    <row r="31064" spans="1:5" x14ac:dyDescent="0.2">
      <c r="A31064">
        <v>98052</v>
      </c>
      <c r="B31064" t="s">
        <v>54</v>
      </c>
      <c r="C31064">
        <v>98052</v>
      </c>
      <c r="D31064" t="str">
        <f>"98052"</f>
        <v>98052</v>
      </c>
      <c r="E31064">
        <v>87.05</v>
      </c>
    </row>
    <row r="31065" spans="1:5" x14ac:dyDescent="0.2">
      <c r="A31065">
        <v>98053</v>
      </c>
      <c r="B31065" t="s">
        <v>54</v>
      </c>
      <c r="C31065">
        <v>98053</v>
      </c>
      <c r="D31065" t="str">
        <f>"98053"</f>
        <v>98053</v>
      </c>
      <c r="E31065">
        <v>85.21</v>
      </c>
    </row>
    <row r="31066" spans="1:5" x14ac:dyDescent="0.2">
      <c r="A31066">
        <v>98055</v>
      </c>
      <c r="B31066" t="s">
        <v>54</v>
      </c>
      <c r="C31066">
        <v>98055</v>
      </c>
      <c r="D31066" t="str">
        <f>"98055"</f>
        <v>98055</v>
      </c>
      <c r="E31066">
        <v>82.02</v>
      </c>
    </row>
    <row r="31067" spans="1:5" x14ac:dyDescent="0.2">
      <c r="A31067">
        <v>98056</v>
      </c>
      <c r="B31067" t="s">
        <v>54</v>
      </c>
      <c r="C31067">
        <v>98056</v>
      </c>
      <c r="D31067" t="str">
        <f>"98056"</f>
        <v>98056</v>
      </c>
      <c r="E31067">
        <v>81.31</v>
      </c>
    </row>
    <row r="31068" spans="1:5" x14ac:dyDescent="0.2">
      <c r="A31068">
        <v>98057</v>
      </c>
      <c r="B31068" t="s">
        <v>54</v>
      </c>
      <c r="C31068">
        <v>98057</v>
      </c>
      <c r="D31068" t="str">
        <f>"98057"</f>
        <v>98057</v>
      </c>
      <c r="E31068">
        <v>81.09</v>
      </c>
    </row>
    <row r="31069" spans="1:5" x14ac:dyDescent="0.2">
      <c r="A31069">
        <v>98058</v>
      </c>
      <c r="B31069" t="s">
        <v>54</v>
      </c>
      <c r="C31069">
        <v>98058</v>
      </c>
      <c r="D31069" t="str">
        <f>"98058"</f>
        <v>98058</v>
      </c>
      <c r="E31069">
        <v>81.96</v>
      </c>
    </row>
    <row r="31070" spans="1:5" x14ac:dyDescent="0.2">
      <c r="A31070">
        <v>98059</v>
      </c>
      <c r="B31070" t="s">
        <v>54</v>
      </c>
      <c r="C31070">
        <v>98059</v>
      </c>
      <c r="D31070" t="str">
        <f>"98059"</f>
        <v>98059</v>
      </c>
      <c r="E31070">
        <v>83.22</v>
      </c>
    </row>
    <row r="31071" spans="1:5" x14ac:dyDescent="0.2">
      <c r="A31071">
        <v>98065</v>
      </c>
      <c r="B31071" t="s">
        <v>54</v>
      </c>
      <c r="C31071">
        <v>98065</v>
      </c>
      <c r="D31071" t="str">
        <f>"98065"</f>
        <v>98065</v>
      </c>
      <c r="E31071">
        <v>86.44</v>
      </c>
    </row>
    <row r="31072" spans="1:5" x14ac:dyDescent="0.2">
      <c r="A31072">
        <v>98068</v>
      </c>
      <c r="B31072" t="s">
        <v>54</v>
      </c>
      <c r="C31072">
        <v>98068</v>
      </c>
      <c r="D31072" t="str">
        <f>"98068"</f>
        <v>98068</v>
      </c>
      <c r="E31072" t="s">
        <v>6</v>
      </c>
    </row>
    <row r="31073" spans="1:5" x14ac:dyDescent="0.2">
      <c r="A31073">
        <v>98070</v>
      </c>
      <c r="B31073" t="s">
        <v>54</v>
      </c>
      <c r="C31073">
        <v>98070</v>
      </c>
      <c r="D31073" t="str">
        <f>"98070"</f>
        <v>98070</v>
      </c>
      <c r="E31073">
        <v>78.569999999999993</v>
      </c>
    </row>
    <row r="31074" spans="1:5" x14ac:dyDescent="0.2">
      <c r="A31074">
        <v>98072</v>
      </c>
      <c r="B31074" t="s">
        <v>54</v>
      </c>
      <c r="C31074">
        <v>98072</v>
      </c>
      <c r="D31074" t="str">
        <f>"98072"</f>
        <v>98072</v>
      </c>
      <c r="E31074">
        <v>84.83</v>
      </c>
    </row>
    <row r="31075" spans="1:5" x14ac:dyDescent="0.2">
      <c r="A31075">
        <v>98074</v>
      </c>
      <c r="B31075" t="s">
        <v>54</v>
      </c>
      <c r="C31075">
        <v>98074</v>
      </c>
      <c r="D31075" t="str">
        <f>"98074"</f>
        <v>98074</v>
      </c>
      <c r="E31075">
        <v>85.74</v>
      </c>
    </row>
    <row r="31076" spans="1:5" x14ac:dyDescent="0.2">
      <c r="A31076">
        <v>98075</v>
      </c>
      <c r="B31076" t="s">
        <v>54</v>
      </c>
      <c r="C31076">
        <v>98075</v>
      </c>
      <c r="D31076" t="str">
        <f>"98075"</f>
        <v>98075</v>
      </c>
      <c r="E31076">
        <v>85.02</v>
      </c>
    </row>
    <row r="31077" spans="1:5" x14ac:dyDescent="0.2">
      <c r="A31077">
        <v>98077</v>
      </c>
      <c r="B31077" t="s">
        <v>54</v>
      </c>
      <c r="C31077">
        <v>98077</v>
      </c>
      <c r="D31077" t="str">
        <f>"98077"</f>
        <v>98077</v>
      </c>
      <c r="E31077">
        <v>83.33</v>
      </c>
    </row>
    <row r="31078" spans="1:5" x14ac:dyDescent="0.2">
      <c r="A31078">
        <v>98087</v>
      </c>
      <c r="B31078" t="s">
        <v>54</v>
      </c>
      <c r="C31078">
        <v>98087</v>
      </c>
      <c r="D31078" t="str">
        <f>"98087"</f>
        <v>98087</v>
      </c>
      <c r="E31078">
        <v>80.05</v>
      </c>
    </row>
    <row r="31079" spans="1:5" x14ac:dyDescent="0.2">
      <c r="A31079">
        <v>98092</v>
      </c>
      <c r="B31079" t="s">
        <v>54</v>
      </c>
      <c r="C31079">
        <v>98092</v>
      </c>
      <c r="D31079" t="str">
        <f>"98092"</f>
        <v>98092</v>
      </c>
      <c r="E31079">
        <v>78.95</v>
      </c>
    </row>
    <row r="31080" spans="1:5" x14ac:dyDescent="0.2">
      <c r="A31080">
        <v>98101</v>
      </c>
      <c r="B31080" t="s">
        <v>54</v>
      </c>
      <c r="C31080">
        <v>98101</v>
      </c>
      <c r="D31080" t="str">
        <f>"98101"</f>
        <v>98101</v>
      </c>
      <c r="E31080">
        <v>90.9</v>
      </c>
    </row>
    <row r="31081" spans="1:5" x14ac:dyDescent="0.2">
      <c r="A31081">
        <v>98102</v>
      </c>
      <c r="B31081" t="s">
        <v>54</v>
      </c>
      <c r="C31081">
        <v>98102</v>
      </c>
      <c r="D31081" t="str">
        <f>"98102"</f>
        <v>98102</v>
      </c>
      <c r="E31081">
        <v>90.99</v>
      </c>
    </row>
    <row r="31082" spans="1:5" x14ac:dyDescent="0.2">
      <c r="A31082">
        <v>98103</v>
      </c>
      <c r="B31082" t="s">
        <v>54</v>
      </c>
      <c r="C31082">
        <v>98103</v>
      </c>
      <c r="D31082" t="str">
        <f>"98103"</f>
        <v>98103</v>
      </c>
      <c r="E31082">
        <v>88.99</v>
      </c>
    </row>
    <row r="31083" spans="1:5" x14ac:dyDescent="0.2">
      <c r="A31083">
        <v>98104</v>
      </c>
      <c r="B31083" t="s">
        <v>54</v>
      </c>
      <c r="C31083">
        <v>98104</v>
      </c>
      <c r="D31083" t="str">
        <f>"98104"</f>
        <v>98104</v>
      </c>
      <c r="E31083">
        <v>81.8</v>
      </c>
    </row>
    <row r="31084" spans="1:5" x14ac:dyDescent="0.2">
      <c r="A31084">
        <v>98105</v>
      </c>
      <c r="B31084" t="s">
        <v>54</v>
      </c>
      <c r="C31084">
        <v>98105</v>
      </c>
      <c r="D31084" t="str">
        <f>"98105"</f>
        <v>98105</v>
      </c>
      <c r="E31084">
        <v>79.459999999999994</v>
      </c>
    </row>
    <row r="31085" spans="1:5" x14ac:dyDescent="0.2">
      <c r="A31085">
        <v>98106</v>
      </c>
      <c r="B31085" t="s">
        <v>54</v>
      </c>
      <c r="C31085">
        <v>98106</v>
      </c>
      <c r="D31085" t="str">
        <f>"98106"</f>
        <v>98106</v>
      </c>
      <c r="E31085">
        <v>80.510000000000005</v>
      </c>
    </row>
    <row r="31086" spans="1:5" x14ac:dyDescent="0.2">
      <c r="A31086">
        <v>98107</v>
      </c>
      <c r="B31086" t="s">
        <v>54</v>
      </c>
      <c r="C31086">
        <v>98107</v>
      </c>
      <c r="D31086" t="str">
        <f>"98107"</f>
        <v>98107</v>
      </c>
      <c r="E31086">
        <v>90.72</v>
      </c>
    </row>
    <row r="31087" spans="1:5" x14ac:dyDescent="0.2">
      <c r="A31087">
        <v>98108</v>
      </c>
      <c r="B31087" t="s">
        <v>54</v>
      </c>
      <c r="C31087">
        <v>98108</v>
      </c>
      <c r="D31087" t="str">
        <f>"98108"</f>
        <v>98108</v>
      </c>
      <c r="E31087">
        <v>75.63</v>
      </c>
    </row>
    <row r="31088" spans="1:5" x14ac:dyDescent="0.2">
      <c r="A31088">
        <v>98109</v>
      </c>
      <c r="B31088" t="s">
        <v>54</v>
      </c>
      <c r="C31088">
        <v>98109</v>
      </c>
      <c r="D31088" t="str">
        <f>"98109"</f>
        <v>98109</v>
      </c>
      <c r="E31088">
        <v>92.18</v>
      </c>
    </row>
    <row r="31089" spans="1:5" x14ac:dyDescent="0.2">
      <c r="A31089">
        <v>98110</v>
      </c>
      <c r="B31089" t="s">
        <v>54</v>
      </c>
      <c r="C31089">
        <v>98110</v>
      </c>
      <c r="D31089" t="str">
        <f>"98110"</f>
        <v>98110</v>
      </c>
      <c r="E31089">
        <v>83</v>
      </c>
    </row>
    <row r="31090" spans="1:5" x14ac:dyDescent="0.2">
      <c r="A31090">
        <v>98112</v>
      </c>
      <c r="B31090" t="s">
        <v>54</v>
      </c>
      <c r="C31090">
        <v>98112</v>
      </c>
      <c r="D31090" t="str">
        <f>"98112"</f>
        <v>98112</v>
      </c>
      <c r="E31090">
        <v>87.98</v>
      </c>
    </row>
    <row r="31091" spans="1:5" x14ac:dyDescent="0.2">
      <c r="A31091">
        <v>98115</v>
      </c>
      <c r="B31091" t="s">
        <v>54</v>
      </c>
      <c r="C31091">
        <v>98115</v>
      </c>
      <c r="D31091" t="str">
        <f>"98115"</f>
        <v>98115</v>
      </c>
      <c r="E31091">
        <v>86.72</v>
      </c>
    </row>
    <row r="31092" spans="1:5" x14ac:dyDescent="0.2">
      <c r="A31092">
        <v>98116</v>
      </c>
      <c r="B31092" t="s">
        <v>54</v>
      </c>
      <c r="C31092">
        <v>98116</v>
      </c>
      <c r="D31092" t="str">
        <f>"98116"</f>
        <v>98116</v>
      </c>
      <c r="E31092">
        <v>89.18</v>
      </c>
    </row>
    <row r="31093" spans="1:5" x14ac:dyDescent="0.2">
      <c r="A31093">
        <v>98117</v>
      </c>
      <c r="B31093" t="s">
        <v>54</v>
      </c>
      <c r="C31093">
        <v>98117</v>
      </c>
      <c r="D31093" t="str">
        <f>"98117"</f>
        <v>98117</v>
      </c>
      <c r="E31093">
        <v>88.28</v>
      </c>
    </row>
    <row r="31094" spans="1:5" x14ac:dyDescent="0.2">
      <c r="A31094">
        <v>98118</v>
      </c>
      <c r="B31094" t="s">
        <v>54</v>
      </c>
      <c r="C31094">
        <v>98118</v>
      </c>
      <c r="D31094" t="str">
        <f>"98118"</f>
        <v>98118</v>
      </c>
      <c r="E31094">
        <v>77.099999999999994</v>
      </c>
    </row>
    <row r="31095" spans="1:5" x14ac:dyDescent="0.2">
      <c r="A31095">
        <v>98119</v>
      </c>
      <c r="B31095" t="s">
        <v>54</v>
      </c>
      <c r="C31095">
        <v>98119</v>
      </c>
      <c r="D31095" t="str">
        <f>"98119"</f>
        <v>98119</v>
      </c>
      <c r="E31095">
        <v>90.31</v>
      </c>
    </row>
    <row r="31096" spans="1:5" x14ac:dyDescent="0.2">
      <c r="A31096">
        <v>98121</v>
      </c>
      <c r="B31096" t="s">
        <v>54</v>
      </c>
      <c r="C31096">
        <v>98121</v>
      </c>
      <c r="D31096" t="str">
        <f>"98121"</f>
        <v>98121</v>
      </c>
      <c r="E31096">
        <v>92.69</v>
      </c>
    </row>
    <row r="31097" spans="1:5" x14ac:dyDescent="0.2">
      <c r="A31097">
        <v>98122</v>
      </c>
      <c r="B31097" t="s">
        <v>54</v>
      </c>
      <c r="C31097">
        <v>98122</v>
      </c>
      <c r="D31097" t="str">
        <f>"98122"</f>
        <v>98122</v>
      </c>
      <c r="E31097">
        <v>87.32</v>
      </c>
    </row>
    <row r="31098" spans="1:5" x14ac:dyDescent="0.2">
      <c r="A31098">
        <v>98125</v>
      </c>
      <c r="B31098" t="s">
        <v>54</v>
      </c>
      <c r="C31098">
        <v>98125</v>
      </c>
      <c r="D31098" t="str">
        <f>"98125"</f>
        <v>98125</v>
      </c>
      <c r="E31098">
        <v>82.31</v>
      </c>
    </row>
    <row r="31099" spans="1:5" x14ac:dyDescent="0.2">
      <c r="A31099">
        <v>98126</v>
      </c>
      <c r="B31099" t="s">
        <v>54</v>
      </c>
      <c r="C31099">
        <v>98126</v>
      </c>
      <c r="D31099" t="str">
        <f>"98126"</f>
        <v>98126</v>
      </c>
      <c r="E31099">
        <v>83.91</v>
      </c>
    </row>
    <row r="31100" spans="1:5" x14ac:dyDescent="0.2">
      <c r="A31100">
        <v>98133</v>
      </c>
      <c r="B31100" t="s">
        <v>54</v>
      </c>
      <c r="C31100">
        <v>98133</v>
      </c>
      <c r="D31100" t="str">
        <f>"98133"</f>
        <v>98133</v>
      </c>
      <c r="E31100">
        <v>82.63</v>
      </c>
    </row>
    <row r="31101" spans="1:5" x14ac:dyDescent="0.2">
      <c r="A31101">
        <v>98134</v>
      </c>
      <c r="B31101" t="s">
        <v>54</v>
      </c>
      <c r="C31101">
        <v>98134</v>
      </c>
      <c r="D31101" t="str">
        <f>"98134"</f>
        <v>98134</v>
      </c>
      <c r="E31101">
        <v>83.67</v>
      </c>
    </row>
    <row r="31102" spans="1:5" x14ac:dyDescent="0.2">
      <c r="A31102">
        <v>98136</v>
      </c>
      <c r="B31102" t="s">
        <v>54</v>
      </c>
      <c r="C31102">
        <v>98136</v>
      </c>
      <c r="D31102" t="str">
        <f>"98136"</f>
        <v>98136</v>
      </c>
      <c r="E31102">
        <v>88.17</v>
      </c>
    </row>
    <row r="31103" spans="1:5" x14ac:dyDescent="0.2">
      <c r="A31103">
        <v>98144</v>
      </c>
      <c r="B31103" t="s">
        <v>54</v>
      </c>
      <c r="C31103">
        <v>98144</v>
      </c>
      <c r="D31103" t="str">
        <f>"98144"</f>
        <v>98144</v>
      </c>
      <c r="E31103">
        <v>82.83</v>
      </c>
    </row>
    <row r="31104" spans="1:5" x14ac:dyDescent="0.2">
      <c r="A31104">
        <v>98146</v>
      </c>
      <c r="B31104" t="s">
        <v>54</v>
      </c>
      <c r="C31104">
        <v>98146</v>
      </c>
      <c r="D31104" t="str">
        <f>"98146"</f>
        <v>98146</v>
      </c>
      <c r="E31104">
        <v>78.150000000000006</v>
      </c>
    </row>
    <row r="31105" spans="1:5" x14ac:dyDescent="0.2">
      <c r="A31105">
        <v>98148</v>
      </c>
      <c r="B31105" t="s">
        <v>54</v>
      </c>
      <c r="C31105">
        <v>98148</v>
      </c>
      <c r="D31105" t="str">
        <f>"98148"</f>
        <v>98148</v>
      </c>
      <c r="E31105">
        <v>77.92</v>
      </c>
    </row>
    <row r="31106" spans="1:5" x14ac:dyDescent="0.2">
      <c r="A31106">
        <v>98154</v>
      </c>
      <c r="B31106" t="s">
        <v>54</v>
      </c>
      <c r="C31106">
        <v>98154</v>
      </c>
      <c r="D31106" t="str">
        <f>"98154"</f>
        <v>98154</v>
      </c>
      <c r="E31106" t="s">
        <v>6</v>
      </c>
    </row>
    <row r="31107" spans="1:5" x14ac:dyDescent="0.2">
      <c r="A31107">
        <v>98155</v>
      </c>
      <c r="B31107" t="s">
        <v>54</v>
      </c>
      <c r="C31107">
        <v>98155</v>
      </c>
      <c r="D31107" t="str">
        <f>"98155"</f>
        <v>98155</v>
      </c>
      <c r="E31107">
        <v>83.23</v>
      </c>
    </row>
    <row r="31108" spans="1:5" x14ac:dyDescent="0.2">
      <c r="A31108">
        <v>98158</v>
      </c>
      <c r="B31108" t="s">
        <v>54</v>
      </c>
      <c r="C31108">
        <v>98158</v>
      </c>
      <c r="D31108" t="str">
        <f>"98158"</f>
        <v>98158</v>
      </c>
      <c r="E31108" t="s">
        <v>6</v>
      </c>
    </row>
    <row r="31109" spans="1:5" x14ac:dyDescent="0.2">
      <c r="A31109">
        <v>98164</v>
      </c>
      <c r="B31109" t="s">
        <v>54</v>
      </c>
      <c r="C31109">
        <v>98164</v>
      </c>
      <c r="D31109" t="str">
        <f>"98164"</f>
        <v>98164</v>
      </c>
      <c r="E31109">
        <v>100</v>
      </c>
    </row>
    <row r="31110" spans="1:5" x14ac:dyDescent="0.2">
      <c r="A31110">
        <v>98166</v>
      </c>
      <c r="B31110" t="s">
        <v>54</v>
      </c>
      <c r="C31110">
        <v>98166</v>
      </c>
      <c r="D31110" t="str">
        <f>"98166"</f>
        <v>98166</v>
      </c>
      <c r="E31110">
        <v>81.739999999999995</v>
      </c>
    </row>
    <row r="31111" spans="1:5" x14ac:dyDescent="0.2">
      <c r="A31111">
        <v>98168</v>
      </c>
      <c r="B31111" t="s">
        <v>54</v>
      </c>
      <c r="C31111">
        <v>98168</v>
      </c>
      <c r="D31111" t="str">
        <f>"98168"</f>
        <v>98168</v>
      </c>
      <c r="E31111">
        <v>74.16</v>
      </c>
    </row>
    <row r="31112" spans="1:5" x14ac:dyDescent="0.2">
      <c r="A31112">
        <v>98174</v>
      </c>
      <c r="B31112" t="s">
        <v>54</v>
      </c>
      <c r="C31112">
        <v>98174</v>
      </c>
      <c r="D31112" t="str">
        <f>"98174"</f>
        <v>98174</v>
      </c>
      <c r="E31112" t="s">
        <v>6</v>
      </c>
    </row>
    <row r="31113" spans="1:5" x14ac:dyDescent="0.2">
      <c r="A31113">
        <v>98177</v>
      </c>
      <c r="B31113" t="s">
        <v>54</v>
      </c>
      <c r="C31113">
        <v>98177</v>
      </c>
      <c r="D31113" t="str">
        <f>"98177"</f>
        <v>98177</v>
      </c>
      <c r="E31113">
        <v>84.23</v>
      </c>
    </row>
    <row r="31114" spans="1:5" x14ac:dyDescent="0.2">
      <c r="A31114">
        <v>98178</v>
      </c>
      <c r="B31114" t="s">
        <v>54</v>
      </c>
      <c r="C31114">
        <v>98178</v>
      </c>
      <c r="D31114" t="str">
        <f>"98178"</f>
        <v>98178</v>
      </c>
      <c r="E31114">
        <v>76.52</v>
      </c>
    </row>
    <row r="31115" spans="1:5" x14ac:dyDescent="0.2">
      <c r="A31115">
        <v>98181</v>
      </c>
      <c r="B31115" t="s">
        <v>54</v>
      </c>
      <c r="C31115">
        <v>98181</v>
      </c>
      <c r="D31115" t="str">
        <f>"98181"</f>
        <v>98181</v>
      </c>
      <c r="E31115" t="s">
        <v>6</v>
      </c>
    </row>
    <row r="31116" spans="1:5" x14ac:dyDescent="0.2">
      <c r="A31116">
        <v>98188</v>
      </c>
      <c r="B31116" t="s">
        <v>54</v>
      </c>
      <c r="C31116">
        <v>98188</v>
      </c>
      <c r="D31116" t="str">
        <f>"98188"</f>
        <v>98188</v>
      </c>
      <c r="E31116">
        <v>73.510000000000005</v>
      </c>
    </row>
    <row r="31117" spans="1:5" x14ac:dyDescent="0.2">
      <c r="A31117">
        <v>98195</v>
      </c>
      <c r="B31117" t="s">
        <v>54</v>
      </c>
      <c r="C31117">
        <v>98195</v>
      </c>
      <c r="D31117" t="str">
        <f>"98195"</f>
        <v>98195</v>
      </c>
      <c r="E31117" t="s">
        <v>6</v>
      </c>
    </row>
    <row r="31118" spans="1:5" x14ac:dyDescent="0.2">
      <c r="A31118">
        <v>98198</v>
      </c>
      <c r="B31118" t="s">
        <v>54</v>
      </c>
      <c r="C31118">
        <v>98198</v>
      </c>
      <c r="D31118" t="str">
        <f>"98198"</f>
        <v>98198</v>
      </c>
      <c r="E31118">
        <v>77.72</v>
      </c>
    </row>
    <row r="31119" spans="1:5" x14ac:dyDescent="0.2">
      <c r="A31119">
        <v>98199</v>
      </c>
      <c r="B31119" t="s">
        <v>54</v>
      </c>
      <c r="C31119">
        <v>98199</v>
      </c>
      <c r="D31119" t="str">
        <f>"98199"</f>
        <v>98199</v>
      </c>
      <c r="E31119">
        <v>88</v>
      </c>
    </row>
    <row r="31120" spans="1:5" x14ac:dyDescent="0.2">
      <c r="A31120">
        <v>98201</v>
      </c>
      <c r="B31120" t="s">
        <v>54</v>
      </c>
      <c r="C31120">
        <v>98201</v>
      </c>
      <c r="D31120" t="str">
        <f>"98201"</f>
        <v>98201</v>
      </c>
      <c r="E31120">
        <v>78.48</v>
      </c>
    </row>
    <row r="31121" spans="1:5" x14ac:dyDescent="0.2">
      <c r="A31121">
        <v>98203</v>
      </c>
      <c r="B31121" t="s">
        <v>54</v>
      </c>
      <c r="C31121">
        <v>98203</v>
      </c>
      <c r="D31121" t="str">
        <f>"98203"</f>
        <v>98203</v>
      </c>
      <c r="E31121">
        <v>80.03</v>
      </c>
    </row>
    <row r="31122" spans="1:5" x14ac:dyDescent="0.2">
      <c r="A31122">
        <v>98204</v>
      </c>
      <c r="B31122" t="s">
        <v>54</v>
      </c>
      <c r="C31122">
        <v>98204</v>
      </c>
      <c r="D31122" t="str">
        <f>"98204"</f>
        <v>98204</v>
      </c>
      <c r="E31122">
        <v>74.19</v>
      </c>
    </row>
    <row r="31123" spans="1:5" x14ac:dyDescent="0.2">
      <c r="A31123">
        <v>98207</v>
      </c>
      <c r="B31123" t="s">
        <v>54</v>
      </c>
      <c r="C31123">
        <v>98207</v>
      </c>
      <c r="D31123" t="str">
        <f>"98207"</f>
        <v>98207</v>
      </c>
      <c r="E31123" t="s">
        <v>6</v>
      </c>
    </row>
    <row r="31124" spans="1:5" x14ac:dyDescent="0.2">
      <c r="A31124">
        <v>98208</v>
      </c>
      <c r="B31124" t="s">
        <v>54</v>
      </c>
      <c r="C31124">
        <v>98208</v>
      </c>
      <c r="D31124" t="str">
        <f>"98208"</f>
        <v>98208</v>
      </c>
      <c r="E31124">
        <v>80.81</v>
      </c>
    </row>
    <row r="31125" spans="1:5" x14ac:dyDescent="0.2">
      <c r="A31125">
        <v>98220</v>
      </c>
      <c r="B31125" t="s">
        <v>54</v>
      </c>
      <c r="C31125">
        <v>98220</v>
      </c>
      <c r="D31125" t="str">
        <f>"98220"</f>
        <v>98220</v>
      </c>
      <c r="E31125">
        <v>78.790000000000006</v>
      </c>
    </row>
    <row r="31126" spans="1:5" x14ac:dyDescent="0.2">
      <c r="A31126">
        <v>98221</v>
      </c>
      <c r="B31126" t="s">
        <v>54</v>
      </c>
      <c r="C31126">
        <v>98221</v>
      </c>
      <c r="D31126" t="str">
        <f>"98221"</f>
        <v>98221</v>
      </c>
      <c r="E31126">
        <v>79.36</v>
      </c>
    </row>
    <row r="31127" spans="1:5" x14ac:dyDescent="0.2">
      <c r="A31127">
        <v>98222</v>
      </c>
      <c r="B31127" t="s">
        <v>54</v>
      </c>
      <c r="C31127">
        <v>98222</v>
      </c>
      <c r="D31127" t="str">
        <f>"98222"</f>
        <v>98222</v>
      </c>
      <c r="E31127" t="s">
        <v>6</v>
      </c>
    </row>
    <row r="31128" spans="1:5" x14ac:dyDescent="0.2">
      <c r="A31128">
        <v>98223</v>
      </c>
      <c r="B31128" t="s">
        <v>54</v>
      </c>
      <c r="C31128">
        <v>98223</v>
      </c>
      <c r="D31128" t="str">
        <f>"98223"</f>
        <v>98223</v>
      </c>
      <c r="E31128">
        <v>81.73</v>
      </c>
    </row>
    <row r="31129" spans="1:5" x14ac:dyDescent="0.2">
      <c r="A31129">
        <v>98224</v>
      </c>
      <c r="B31129" t="s">
        <v>54</v>
      </c>
      <c r="C31129">
        <v>98224</v>
      </c>
      <c r="D31129" t="str">
        <f>"98224"</f>
        <v>98224</v>
      </c>
      <c r="E31129" t="s">
        <v>6</v>
      </c>
    </row>
    <row r="31130" spans="1:5" x14ac:dyDescent="0.2">
      <c r="A31130">
        <v>98225</v>
      </c>
      <c r="B31130" t="s">
        <v>54</v>
      </c>
      <c r="C31130">
        <v>98225</v>
      </c>
      <c r="D31130" t="str">
        <f>"98225"</f>
        <v>98225</v>
      </c>
      <c r="E31130">
        <v>74.349999999999994</v>
      </c>
    </row>
    <row r="31131" spans="1:5" x14ac:dyDescent="0.2">
      <c r="A31131">
        <v>98226</v>
      </c>
      <c r="B31131" t="s">
        <v>54</v>
      </c>
      <c r="C31131">
        <v>98226</v>
      </c>
      <c r="D31131" t="str">
        <f>"98226"</f>
        <v>98226</v>
      </c>
      <c r="E31131">
        <v>76.16</v>
      </c>
    </row>
    <row r="31132" spans="1:5" x14ac:dyDescent="0.2">
      <c r="A31132">
        <v>98229</v>
      </c>
      <c r="B31132" t="s">
        <v>54</v>
      </c>
      <c r="C31132">
        <v>98229</v>
      </c>
      <c r="D31132" t="str">
        <f>"98229"</f>
        <v>98229</v>
      </c>
      <c r="E31132">
        <v>78.349999999999994</v>
      </c>
    </row>
    <row r="31133" spans="1:5" x14ac:dyDescent="0.2">
      <c r="A31133">
        <v>98230</v>
      </c>
      <c r="B31133" t="s">
        <v>54</v>
      </c>
      <c r="C31133">
        <v>98230</v>
      </c>
      <c r="D31133" t="str">
        <f>"98230"</f>
        <v>98230</v>
      </c>
      <c r="E31133">
        <v>76.14</v>
      </c>
    </row>
    <row r="31134" spans="1:5" x14ac:dyDescent="0.2">
      <c r="A31134">
        <v>98232</v>
      </c>
      <c r="B31134" t="s">
        <v>54</v>
      </c>
      <c r="C31134">
        <v>98232</v>
      </c>
      <c r="D31134" t="str">
        <f>"98232"</f>
        <v>98232</v>
      </c>
      <c r="E31134">
        <v>78.540000000000006</v>
      </c>
    </row>
    <row r="31135" spans="1:5" x14ac:dyDescent="0.2">
      <c r="A31135">
        <v>98233</v>
      </c>
      <c r="B31135" t="s">
        <v>54</v>
      </c>
      <c r="C31135">
        <v>98233</v>
      </c>
      <c r="D31135" t="str">
        <f>"98233"</f>
        <v>98233</v>
      </c>
      <c r="E31135">
        <v>73.53</v>
      </c>
    </row>
    <row r="31136" spans="1:5" x14ac:dyDescent="0.2">
      <c r="A31136">
        <v>98235</v>
      </c>
      <c r="B31136" t="s">
        <v>54</v>
      </c>
      <c r="C31136">
        <v>98235</v>
      </c>
      <c r="D31136" t="str">
        <f>"98235"</f>
        <v>98235</v>
      </c>
      <c r="E31136" t="s">
        <v>6</v>
      </c>
    </row>
    <row r="31137" spans="1:5" x14ac:dyDescent="0.2">
      <c r="A31137">
        <v>98236</v>
      </c>
      <c r="B31137" t="s">
        <v>54</v>
      </c>
      <c r="C31137">
        <v>98236</v>
      </c>
      <c r="D31137" t="str">
        <f>"98236"</f>
        <v>98236</v>
      </c>
      <c r="E31137">
        <v>79.599999999999994</v>
      </c>
    </row>
    <row r="31138" spans="1:5" x14ac:dyDescent="0.2">
      <c r="A31138">
        <v>98237</v>
      </c>
      <c r="B31138" t="s">
        <v>54</v>
      </c>
      <c r="C31138">
        <v>98237</v>
      </c>
      <c r="D31138" t="str">
        <f>"98237"</f>
        <v>98237</v>
      </c>
      <c r="E31138">
        <v>72.02</v>
      </c>
    </row>
    <row r="31139" spans="1:5" x14ac:dyDescent="0.2">
      <c r="A31139">
        <v>98238</v>
      </c>
      <c r="B31139" t="s">
        <v>54</v>
      </c>
      <c r="C31139">
        <v>98238</v>
      </c>
      <c r="D31139" t="str">
        <f>"98238"</f>
        <v>98238</v>
      </c>
      <c r="E31139" t="s">
        <v>6</v>
      </c>
    </row>
    <row r="31140" spans="1:5" x14ac:dyDescent="0.2">
      <c r="A31140">
        <v>98239</v>
      </c>
      <c r="B31140" t="s">
        <v>54</v>
      </c>
      <c r="C31140">
        <v>98239</v>
      </c>
      <c r="D31140" t="str">
        <f>"98239"</f>
        <v>98239</v>
      </c>
      <c r="E31140">
        <v>78.73</v>
      </c>
    </row>
    <row r="31141" spans="1:5" x14ac:dyDescent="0.2">
      <c r="A31141">
        <v>98240</v>
      </c>
      <c r="B31141" t="s">
        <v>54</v>
      </c>
      <c r="C31141">
        <v>98240</v>
      </c>
      <c r="D31141" t="str">
        <f>"98240"</f>
        <v>98240</v>
      </c>
      <c r="E31141">
        <v>78.67</v>
      </c>
    </row>
    <row r="31142" spans="1:5" x14ac:dyDescent="0.2">
      <c r="A31142">
        <v>98241</v>
      </c>
      <c r="B31142" t="s">
        <v>54</v>
      </c>
      <c r="C31142">
        <v>98241</v>
      </c>
      <c r="D31142" t="str">
        <f>"98241"</f>
        <v>98241</v>
      </c>
      <c r="E31142">
        <v>77</v>
      </c>
    </row>
    <row r="31143" spans="1:5" x14ac:dyDescent="0.2">
      <c r="A31143">
        <v>98243</v>
      </c>
      <c r="B31143" t="s">
        <v>54</v>
      </c>
      <c r="C31143">
        <v>98243</v>
      </c>
      <c r="D31143" t="str">
        <f>"98243"</f>
        <v>98243</v>
      </c>
      <c r="E31143" t="s">
        <v>6</v>
      </c>
    </row>
    <row r="31144" spans="1:5" x14ac:dyDescent="0.2">
      <c r="A31144">
        <v>98244</v>
      </c>
      <c r="B31144" t="s">
        <v>54</v>
      </c>
      <c r="C31144">
        <v>98244</v>
      </c>
      <c r="D31144" t="str">
        <f>"98244"</f>
        <v>98244</v>
      </c>
      <c r="E31144">
        <v>72.52</v>
      </c>
    </row>
    <row r="31145" spans="1:5" x14ac:dyDescent="0.2">
      <c r="A31145">
        <v>98245</v>
      </c>
      <c r="B31145" t="s">
        <v>54</v>
      </c>
      <c r="C31145">
        <v>98245</v>
      </c>
      <c r="D31145" t="str">
        <f>"98245"</f>
        <v>98245</v>
      </c>
      <c r="E31145">
        <v>74.290000000000006</v>
      </c>
    </row>
    <row r="31146" spans="1:5" x14ac:dyDescent="0.2">
      <c r="A31146">
        <v>98247</v>
      </c>
      <c r="B31146" t="s">
        <v>54</v>
      </c>
      <c r="C31146">
        <v>98247</v>
      </c>
      <c r="D31146" t="str">
        <f>"98247"</f>
        <v>98247</v>
      </c>
      <c r="E31146">
        <v>72.989999999999995</v>
      </c>
    </row>
    <row r="31147" spans="1:5" x14ac:dyDescent="0.2">
      <c r="A31147">
        <v>98248</v>
      </c>
      <c r="B31147" t="s">
        <v>54</v>
      </c>
      <c r="C31147">
        <v>98248</v>
      </c>
      <c r="D31147" t="str">
        <f>"98248"</f>
        <v>98248</v>
      </c>
      <c r="E31147">
        <v>76.739999999999995</v>
      </c>
    </row>
    <row r="31148" spans="1:5" x14ac:dyDescent="0.2">
      <c r="A31148">
        <v>98249</v>
      </c>
      <c r="B31148" t="s">
        <v>54</v>
      </c>
      <c r="C31148">
        <v>98249</v>
      </c>
      <c r="D31148" t="str">
        <f>"98249"</f>
        <v>98249</v>
      </c>
      <c r="E31148">
        <v>78.06</v>
      </c>
    </row>
    <row r="31149" spans="1:5" x14ac:dyDescent="0.2">
      <c r="A31149">
        <v>98250</v>
      </c>
      <c r="B31149" t="s">
        <v>54</v>
      </c>
      <c r="C31149">
        <v>98250</v>
      </c>
      <c r="D31149" t="str">
        <f>"98250"</f>
        <v>98250</v>
      </c>
      <c r="E31149">
        <v>78.27</v>
      </c>
    </row>
    <row r="31150" spans="1:5" x14ac:dyDescent="0.2">
      <c r="A31150">
        <v>98251</v>
      </c>
      <c r="B31150" t="s">
        <v>54</v>
      </c>
      <c r="C31150">
        <v>98251</v>
      </c>
      <c r="D31150" t="str">
        <f>"98251"</f>
        <v>98251</v>
      </c>
      <c r="E31150">
        <v>77.680000000000007</v>
      </c>
    </row>
    <row r="31151" spans="1:5" x14ac:dyDescent="0.2">
      <c r="A31151">
        <v>98252</v>
      </c>
      <c r="B31151" t="s">
        <v>54</v>
      </c>
      <c r="C31151">
        <v>98252</v>
      </c>
      <c r="D31151" t="str">
        <f>"98252"</f>
        <v>98252</v>
      </c>
      <c r="E31151">
        <v>81.239999999999995</v>
      </c>
    </row>
    <row r="31152" spans="1:5" x14ac:dyDescent="0.2">
      <c r="A31152">
        <v>98253</v>
      </c>
      <c r="B31152" t="s">
        <v>54</v>
      </c>
      <c r="C31152">
        <v>98253</v>
      </c>
      <c r="D31152" t="str">
        <f>"98253"</f>
        <v>98253</v>
      </c>
      <c r="E31152">
        <v>79.38</v>
      </c>
    </row>
    <row r="31153" spans="1:5" x14ac:dyDescent="0.2">
      <c r="A31153">
        <v>98255</v>
      </c>
      <c r="B31153" t="s">
        <v>54</v>
      </c>
      <c r="C31153">
        <v>98255</v>
      </c>
      <c r="D31153" t="str">
        <f>"98255"</f>
        <v>98255</v>
      </c>
      <c r="E31153" t="s">
        <v>6</v>
      </c>
    </row>
    <row r="31154" spans="1:5" x14ac:dyDescent="0.2">
      <c r="A31154">
        <v>98256</v>
      </c>
      <c r="B31154" t="s">
        <v>54</v>
      </c>
      <c r="C31154">
        <v>98256</v>
      </c>
      <c r="D31154" t="str">
        <f>"98256"</f>
        <v>98256</v>
      </c>
      <c r="E31154" t="s">
        <v>6</v>
      </c>
    </row>
    <row r="31155" spans="1:5" x14ac:dyDescent="0.2">
      <c r="A31155">
        <v>98257</v>
      </c>
      <c r="B31155" t="s">
        <v>54</v>
      </c>
      <c r="C31155">
        <v>98257</v>
      </c>
      <c r="D31155" t="str">
        <f>"98257"</f>
        <v>98257</v>
      </c>
      <c r="E31155">
        <v>77.23</v>
      </c>
    </row>
    <row r="31156" spans="1:5" x14ac:dyDescent="0.2">
      <c r="A31156">
        <v>98258</v>
      </c>
      <c r="B31156" t="s">
        <v>54</v>
      </c>
      <c r="C31156">
        <v>98258</v>
      </c>
      <c r="D31156" t="str">
        <f>"98258"</f>
        <v>98258</v>
      </c>
      <c r="E31156">
        <v>82.76</v>
      </c>
    </row>
    <row r="31157" spans="1:5" x14ac:dyDescent="0.2">
      <c r="A31157">
        <v>98260</v>
      </c>
      <c r="B31157" t="s">
        <v>54</v>
      </c>
      <c r="C31157">
        <v>98260</v>
      </c>
      <c r="D31157" t="str">
        <f>"98260"</f>
        <v>98260</v>
      </c>
      <c r="E31157">
        <v>76.849999999999994</v>
      </c>
    </row>
    <row r="31158" spans="1:5" x14ac:dyDescent="0.2">
      <c r="A31158">
        <v>98261</v>
      </c>
      <c r="B31158" t="s">
        <v>54</v>
      </c>
      <c r="C31158">
        <v>98261</v>
      </c>
      <c r="D31158" t="str">
        <f>"98261"</f>
        <v>98261</v>
      </c>
      <c r="E31158">
        <v>72.59</v>
      </c>
    </row>
    <row r="31159" spans="1:5" x14ac:dyDescent="0.2">
      <c r="A31159">
        <v>98262</v>
      </c>
      <c r="B31159" t="s">
        <v>54</v>
      </c>
      <c r="C31159">
        <v>98262</v>
      </c>
      <c r="D31159" t="str">
        <f>"98262"</f>
        <v>98262</v>
      </c>
      <c r="E31159">
        <v>75</v>
      </c>
    </row>
    <row r="31160" spans="1:5" x14ac:dyDescent="0.2">
      <c r="A31160">
        <v>98263</v>
      </c>
      <c r="B31160" t="s">
        <v>54</v>
      </c>
      <c r="C31160">
        <v>98263</v>
      </c>
      <c r="D31160" t="str">
        <f>"98263"</f>
        <v>98263</v>
      </c>
      <c r="E31160" t="s">
        <v>6</v>
      </c>
    </row>
    <row r="31161" spans="1:5" x14ac:dyDescent="0.2">
      <c r="A31161">
        <v>98264</v>
      </c>
      <c r="B31161" t="s">
        <v>54</v>
      </c>
      <c r="C31161">
        <v>98264</v>
      </c>
      <c r="D31161" t="str">
        <f>"98264"</f>
        <v>98264</v>
      </c>
      <c r="E31161">
        <v>75.7</v>
      </c>
    </row>
    <row r="31162" spans="1:5" x14ac:dyDescent="0.2">
      <c r="A31162">
        <v>98266</v>
      </c>
      <c r="B31162" t="s">
        <v>54</v>
      </c>
      <c r="C31162">
        <v>98266</v>
      </c>
      <c r="D31162" t="str">
        <f>"98266"</f>
        <v>98266</v>
      </c>
      <c r="E31162">
        <v>67.28</v>
      </c>
    </row>
    <row r="31163" spans="1:5" x14ac:dyDescent="0.2">
      <c r="A31163">
        <v>98267</v>
      </c>
      <c r="B31163" t="s">
        <v>54</v>
      </c>
      <c r="C31163">
        <v>98267</v>
      </c>
      <c r="D31163" t="str">
        <f>"98267"</f>
        <v>98267</v>
      </c>
      <c r="E31163">
        <v>68.180000000000007</v>
      </c>
    </row>
    <row r="31164" spans="1:5" x14ac:dyDescent="0.2">
      <c r="A31164">
        <v>98270</v>
      </c>
      <c r="B31164" t="s">
        <v>54</v>
      </c>
      <c r="C31164">
        <v>98270</v>
      </c>
      <c r="D31164" t="str">
        <f>"98270"</f>
        <v>98270</v>
      </c>
      <c r="E31164">
        <v>80.09</v>
      </c>
    </row>
    <row r="31165" spans="1:5" x14ac:dyDescent="0.2">
      <c r="A31165">
        <v>98271</v>
      </c>
      <c r="B31165" t="s">
        <v>54</v>
      </c>
      <c r="C31165">
        <v>98271</v>
      </c>
      <c r="D31165" t="str">
        <f>"98271"</f>
        <v>98271</v>
      </c>
      <c r="E31165">
        <v>79.900000000000006</v>
      </c>
    </row>
    <row r="31166" spans="1:5" x14ac:dyDescent="0.2">
      <c r="A31166">
        <v>98272</v>
      </c>
      <c r="B31166" t="s">
        <v>54</v>
      </c>
      <c r="C31166">
        <v>98272</v>
      </c>
      <c r="D31166" t="str">
        <f>"98272"</f>
        <v>98272</v>
      </c>
      <c r="E31166">
        <v>80.73</v>
      </c>
    </row>
    <row r="31167" spans="1:5" x14ac:dyDescent="0.2">
      <c r="A31167">
        <v>98273</v>
      </c>
      <c r="B31167" t="s">
        <v>54</v>
      </c>
      <c r="C31167">
        <v>98273</v>
      </c>
      <c r="D31167" t="str">
        <f>"98273"</f>
        <v>98273</v>
      </c>
      <c r="E31167">
        <v>71.540000000000006</v>
      </c>
    </row>
    <row r="31168" spans="1:5" x14ac:dyDescent="0.2">
      <c r="A31168">
        <v>98274</v>
      </c>
      <c r="B31168" t="s">
        <v>54</v>
      </c>
      <c r="C31168">
        <v>98274</v>
      </c>
      <c r="D31168" t="str">
        <f>"98274"</f>
        <v>98274</v>
      </c>
      <c r="E31168">
        <v>77.62</v>
      </c>
    </row>
    <row r="31169" spans="1:5" x14ac:dyDescent="0.2">
      <c r="A31169">
        <v>98275</v>
      </c>
      <c r="B31169" t="s">
        <v>54</v>
      </c>
      <c r="C31169">
        <v>98275</v>
      </c>
      <c r="D31169" t="str">
        <f>"98275"</f>
        <v>98275</v>
      </c>
      <c r="E31169">
        <v>83.99</v>
      </c>
    </row>
    <row r="31170" spans="1:5" x14ac:dyDescent="0.2">
      <c r="A31170">
        <v>98276</v>
      </c>
      <c r="B31170" t="s">
        <v>54</v>
      </c>
      <c r="C31170">
        <v>98276</v>
      </c>
      <c r="D31170" t="str">
        <f>"98276"</f>
        <v>98276</v>
      </c>
      <c r="E31170">
        <v>76.56</v>
      </c>
    </row>
    <row r="31171" spans="1:5" x14ac:dyDescent="0.2">
      <c r="A31171">
        <v>98277</v>
      </c>
      <c r="B31171" t="s">
        <v>54</v>
      </c>
      <c r="C31171">
        <v>98277</v>
      </c>
      <c r="D31171" t="str">
        <f>"98277"</f>
        <v>98277</v>
      </c>
      <c r="E31171">
        <v>76.430000000000007</v>
      </c>
    </row>
    <row r="31172" spans="1:5" x14ac:dyDescent="0.2">
      <c r="A31172">
        <v>98278</v>
      </c>
      <c r="B31172" t="s">
        <v>54</v>
      </c>
      <c r="C31172">
        <v>98278</v>
      </c>
      <c r="D31172" t="str">
        <f>"98278"</f>
        <v>98278</v>
      </c>
      <c r="E31172" t="s">
        <v>6</v>
      </c>
    </row>
    <row r="31173" spans="1:5" x14ac:dyDescent="0.2">
      <c r="A31173">
        <v>98279</v>
      </c>
      <c r="B31173" t="s">
        <v>54</v>
      </c>
      <c r="C31173">
        <v>98279</v>
      </c>
      <c r="D31173" t="str">
        <f>"98279"</f>
        <v>98279</v>
      </c>
      <c r="E31173">
        <v>67.650000000000006</v>
      </c>
    </row>
    <row r="31174" spans="1:5" x14ac:dyDescent="0.2">
      <c r="A31174">
        <v>98281</v>
      </c>
      <c r="B31174" t="s">
        <v>54</v>
      </c>
      <c r="C31174">
        <v>98281</v>
      </c>
      <c r="D31174" t="str">
        <f>"98281"</f>
        <v>98281</v>
      </c>
      <c r="E31174">
        <v>70.59</v>
      </c>
    </row>
    <row r="31175" spans="1:5" x14ac:dyDescent="0.2">
      <c r="A31175">
        <v>98282</v>
      </c>
      <c r="B31175" t="s">
        <v>54</v>
      </c>
      <c r="C31175">
        <v>98282</v>
      </c>
      <c r="D31175" t="str">
        <f>"98282"</f>
        <v>98282</v>
      </c>
      <c r="E31175">
        <v>81.040000000000006</v>
      </c>
    </row>
    <row r="31176" spans="1:5" x14ac:dyDescent="0.2">
      <c r="A31176">
        <v>98283</v>
      </c>
      <c r="B31176" t="s">
        <v>54</v>
      </c>
      <c r="C31176">
        <v>98283</v>
      </c>
      <c r="D31176" t="str">
        <f>"98283"</f>
        <v>98283</v>
      </c>
      <c r="E31176">
        <v>81.25</v>
      </c>
    </row>
    <row r="31177" spans="1:5" x14ac:dyDescent="0.2">
      <c r="A31177">
        <v>98284</v>
      </c>
      <c r="B31177" t="s">
        <v>54</v>
      </c>
      <c r="C31177">
        <v>98284</v>
      </c>
      <c r="D31177" t="str">
        <f>"98284"</f>
        <v>98284</v>
      </c>
      <c r="E31177">
        <v>77</v>
      </c>
    </row>
    <row r="31178" spans="1:5" x14ac:dyDescent="0.2">
      <c r="A31178">
        <v>98286</v>
      </c>
      <c r="B31178" t="s">
        <v>54</v>
      </c>
      <c r="C31178">
        <v>98286</v>
      </c>
      <c r="D31178" t="str">
        <f>"98286"</f>
        <v>98286</v>
      </c>
      <c r="E31178" t="s">
        <v>6</v>
      </c>
    </row>
    <row r="31179" spans="1:5" x14ac:dyDescent="0.2">
      <c r="A31179">
        <v>98287</v>
      </c>
      <c r="B31179" t="s">
        <v>54</v>
      </c>
      <c r="C31179">
        <v>98287</v>
      </c>
      <c r="D31179" t="str">
        <f>"98287"</f>
        <v>98287</v>
      </c>
      <c r="E31179" t="s">
        <v>6</v>
      </c>
    </row>
    <row r="31180" spans="1:5" x14ac:dyDescent="0.2">
      <c r="A31180">
        <v>98288</v>
      </c>
      <c r="B31180" t="s">
        <v>54</v>
      </c>
      <c r="C31180">
        <v>98288</v>
      </c>
      <c r="D31180" t="str">
        <f>"98288"</f>
        <v>98288</v>
      </c>
      <c r="E31180" t="s">
        <v>6</v>
      </c>
    </row>
    <row r="31181" spans="1:5" x14ac:dyDescent="0.2">
      <c r="A31181">
        <v>98290</v>
      </c>
      <c r="B31181" t="s">
        <v>54</v>
      </c>
      <c r="C31181">
        <v>98290</v>
      </c>
      <c r="D31181" t="str">
        <f>"98290"</f>
        <v>98290</v>
      </c>
      <c r="E31181">
        <v>82.72</v>
      </c>
    </row>
    <row r="31182" spans="1:5" x14ac:dyDescent="0.2">
      <c r="A31182">
        <v>98292</v>
      </c>
      <c r="B31182" t="s">
        <v>54</v>
      </c>
      <c r="C31182">
        <v>98292</v>
      </c>
      <c r="D31182" t="str">
        <f>"98292"</f>
        <v>98292</v>
      </c>
      <c r="E31182">
        <v>81.58</v>
      </c>
    </row>
    <row r="31183" spans="1:5" x14ac:dyDescent="0.2">
      <c r="A31183">
        <v>98293</v>
      </c>
      <c r="B31183" t="s">
        <v>54</v>
      </c>
      <c r="C31183">
        <v>98293</v>
      </c>
      <c r="D31183" t="str">
        <f>"98293"</f>
        <v>98293</v>
      </c>
      <c r="E31183" t="s">
        <v>6</v>
      </c>
    </row>
    <row r="31184" spans="1:5" x14ac:dyDescent="0.2">
      <c r="A31184">
        <v>98294</v>
      </c>
      <c r="B31184" t="s">
        <v>54</v>
      </c>
      <c r="C31184">
        <v>98294</v>
      </c>
      <c r="D31184" t="str">
        <f>"98294"</f>
        <v>98294</v>
      </c>
      <c r="E31184">
        <v>77.58</v>
      </c>
    </row>
    <row r="31185" spans="1:5" x14ac:dyDescent="0.2">
      <c r="A31185">
        <v>98295</v>
      </c>
      <c r="B31185" t="s">
        <v>54</v>
      </c>
      <c r="C31185">
        <v>98295</v>
      </c>
      <c r="D31185" t="str">
        <f>"98295"</f>
        <v>98295</v>
      </c>
      <c r="E31185">
        <v>71.19</v>
      </c>
    </row>
    <row r="31186" spans="1:5" x14ac:dyDescent="0.2">
      <c r="A31186">
        <v>98296</v>
      </c>
      <c r="B31186" t="s">
        <v>54</v>
      </c>
      <c r="C31186">
        <v>98296</v>
      </c>
      <c r="D31186" t="str">
        <f>"98296"</f>
        <v>98296</v>
      </c>
      <c r="E31186">
        <v>84.08</v>
      </c>
    </row>
    <row r="31187" spans="1:5" x14ac:dyDescent="0.2">
      <c r="A31187">
        <v>98297</v>
      </c>
      <c r="B31187" t="s">
        <v>54</v>
      </c>
      <c r="C31187">
        <v>98297</v>
      </c>
      <c r="D31187" t="str">
        <f>"98297"</f>
        <v>98297</v>
      </c>
      <c r="E31187" t="s">
        <v>6</v>
      </c>
    </row>
    <row r="31188" spans="1:5" x14ac:dyDescent="0.2">
      <c r="A31188">
        <v>98303</v>
      </c>
      <c r="B31188" t="s">
        <v>54</v>
      </c>
      <c r="C31188">
        <v>98303</v>
      </c>
      <c r="D31188" t="str">
        <f>"98303"</f>
        <v>98303</v>
      </c>
      <c r="E31188">
        <v>77.19</v>
      </c>
    </row>
    <row r="31189" spans="1:5" x14ac:dyDescent="0.2">
      <c r="A31189">
        <v>98304</v>
      </c>
      <c r="B31189" t="s">
        <v>54</v>
      </c>
      <c r="C31189">
        <v>98304</v>
      </c>
      <c r="D31189" t="str">
        <f>"98304"</f>
        <v>98304</v>
      </c>
      <c r="E31189">
        <v>71.790000000000006</v>
      </c>
    </row>
    <row r="31190" spans="1:5" x14ac:dyDescent="0.2">
      <c r="A31190">
        <v>98305</v>
      </c>
      <c r="B31190" t="s">
        <v>54</v>
      </c>
      <c r="C31190">
        <v>98305</v>
      </c>
      <c r="D31190" t="str">
        <f>"98305"</f>
        <v>98305</v>
      </c>
      <c r="E31190">
        <v>70.59</v>
      </c>
    </row>
    <row r="31191" spans="1:5" x14ac:dyDescent="0.2">
      <c r="A31191">
        <v>98310</v>
      </c>
      <c r="B31191" t="s">
        <v>54</v>
      </c>
      <c r="C31191">
        <v>98310</v>
      </c>
      <c r="D31191" t="str">
        <f>"98310"</f>
        <v>98310</v>
      </c>
      <c r="E31191">
        <v>78.7</v>
      </c>
    </row>
    <row r="31192" spans="1:5" x14ac:dyDescent="0.2">
      <c r="A31192">
        <v>98311</v>
      </c>
      <c r="B31192" t="s">
        <v>54</v>
      </c>
      <c r="C31192">
        <v>98311</v>
      </c>
      <c r="D31192" t="str">
        <f>"98311"</f>
        <v>98311</v>
      </c>
      <c r="E31192">
        <v>80.760000000000005</v>
      </c>
    </row>
    <row r="31193" spans="1:5" x14ac:dyDescent="0.2">
      <c r="A31193">
        <v>98312</v>
      </c>
      <c r="B31193" t="s">
        <v>54</v>
      </c>
      <c r="C31193">
        <v>98312</v>
      </c>
      <c r="D31193" t="str">
        <f>"98312"</f>
        <v>98312</v>
      </c>
      <c r="E31193">
        <v>78.62</v>
      </c>
    </row>
    <row r="31194" spans="1:5" x14ac:dyDescent="0.2">
      <c r="A31194">
        <v>98314</v>
      </c>
      <c r="B31194" t="s">
        <v>54</v>
      </c>
      <c r="C31194">
        <v>98314</v>
      </c>
      <c r="D31194" t="str">
        <f>"98314"</f>
        <v>98314</v>
      </c>
      <c r="E31194" t="s">
        <v>6</v>
      </c>
    </row>
    <row r="31195" spans="1:5" x14ac:dyDescent="0.2">
      <c r="A31195">
        <v>98315</v>
      </c>
      <c r="B31195" t="s">
        <v>54</v>
      </c>
      <c r="C31195">
        <v>98315</v>
      </c>
      <c r="D31195" t="str">
        <f>"98315"</f>
        <v>98315</v>
      </c>
      <c r="E31195">
        <v>71.12</v>
      </c>
    </row>
    <row r="31196" spans="1:5" x14ac:dyDescent="0.2">
      <c r="A31196">
        <v>98320</v>
      </c>
      <c r="B31196" t="s">
        <v>54</v>
      </c>
      <c r="C31196">
        <v>98320</v>
      </c>
      <c r="D31196" t="str">
        <f>"98320"</f>
        <v>98320</v>
      </c>
      <c r="E31196">
        <v>72.88</v>
      </c>
    </row>
    <row r="31197" spans="1:5" x14ac:dyDescent="0.2">
      <c r="A31197">
        <v>98321</v>
      </c>
      <c r="B31197" t="s">
        <v>54</v>
      </c>
      <c r="C31197">
        <v>98321</v>
      </c>
      <c r="D31197" t="str">
        <f>"98321"</f>
        <v>98321</v>
      </c>
      <c r="E31197">
        <v>82.62</v>
      </c>
    </row>
    <row r="31198" spans="1:5" x14ac:dyDescent="0.2">
      <c r="A31198">
        <v>98323</v>
      </c>
      <c r="B31198" t="s">
        <v>54</v>
      </c>
      <c r="C31198">
        <v>98323</v>
      </c>
      <c r="D31198" t="str">
        <f>"98323"</f>
        <v>98323</v>
      </c>
      <c r="E31198">
        <v>77.78</v>
      </c>
    </row>
    <row r="31199" spans="1:5" x14ac:dyDescent="0.2">
      <c r="A31199">
        <v>98325</v>
      </c>
      <c r="B31199" t="s">
        <v>54</v>
      </c>
      <c r="C31199">
        <v>98325</v>
      </c>
      <c r="D31199" t="str">
        <f>"98325"</f>
        <v>98325</v>
      </c>
      <c r="E31199">
        <v>74.31</v>
      </c>
    </row>
    <row r="31200" spans="1:5" x14ac:dyDescent="0.2">
      <c r="A31200">
        <v>98326</v>
      </c>
      <c r="B31200" t="s">
        <v>54</v>
      </c>
      <c r="C31200">
        <v>98326</v>
      </c>
      <c r="D31200" t="str">
        <f>"98326"</f>
        <v>98326</v>
      </c>
      <c r="E31200">
        <v>72.73</v>
      </c>
    </row>
    <row r="31201" spans="1:5" x14ac:dyDescent="0.2">
      <c r="A31201">
        <v>98327</v>
      </c>
      <c r="B31201" t="s">
        <v>54</v>
      </c>
      <c r="C31201">
        <v>98327</v>
      </c>
      <c r="D31201" t="str">
        <f>"98327"</f>
        <v>98327</v>
      </c>
      <c r="E31201">
        <v>82.08</v>
      </c>
    </row>
    <row r="31202" spans="1:5" x14ac:dyDescent="0.2">
      <c r="A31202">
        <v>98328</v>
      </c>
      <c r="B31202" t="s">
        <v>54</v>
      </c>
      <c r="C31202">
        <v>98328</v>
      </c>
      <c r="D31202" t="str">
        <f>"98328"</f>
        <v>98328</v>
      </c>
      <c r="E31202">
        <v>78.8</v>
      </c>
    </row>
    <row r="31203" spans="1:5" x14ac:dyDescent="0.2">
      <c r="A31203">
        <v>98329</v>
      </c>
      <c r="B31203" t="s">
        <v>54</v>
      </c>
      <c r="C31203">
        <v>98329</v>
      </c>
      <c r="D31203" t="str">
        <f>"98329"</f>
        <v>98329</v>
      </c>
      <c r="E31203">
        <v>80.64</v>
      </c>
    </row>
    <row r="31204" spans="1:5" x14ac:dyDescent="0.2">
      <c r="A31204">
        <v>98330</v>
      </c>
      <c r="B31204" t="s">
        <v>54</v>
      </c>
      <c r="C31204">
        <v>98330</v>
      </c>
      <c r="D31204" t="str">
        <f>"98330"</f>
        <v>98330</v>
      </c>
      <c r="E31204">
        <v>66.67</v>
      </c>
    </row>
    <row r="31205" spans="1:5" x14ac:dyDescent="0.2">
      <c r="A31205">
        <v>98331</v>
      </c>
      <c r="B31205" t="s">
        <v>54</v>
      </c>
      <c r="C31205">
        <v>98331</v>
      </c>
      <c r="D31205" t="str">
        <f>"98331"</f>
        <v>98331</v>
      </c>
      <c r="E31205">
        <v>70.22</v>
      </c>
    </row>
    <row r="31206" spans="1:5" x14ac:dyDescent="0.2">
      <c r="A31206">
        <v>98332</v>
      </c>
      <c r="B31206" t="s">
        <v>54</v>
      </c>
      <c r="C31206">
        <v>98332</v>
      </c>
      <c r="D31206" t="str">
        <f>"98332"</f>
        <v>98332</v>
      </c>
      <c r="E31206">
        <v>83.88</v>
      </c>
    </row>
    <row r="31207" spans="1:5" x14ac:dyDescent="0.2">
      <c r="A31207">
        <v>98333</v>
      </c>
      <c r="B31207" t="s">
        <v>54</v>
      </c>
      <c r="C31207">
        <v>98333</v>
      </c>
      <c r="D31207" t="str">
        <f>"98333"</f>
        <v>98333</v>
      </c>
      <c r="E31207">
        <v>84.54</v>
      </c>
    </row>
    <row r="31208" spans="1:5" x14ac:dyDescent="0.2">
      <c r="A31208">
        <v>98335</v>
      </c>
      <c r="B31208" t="s">
        <v>54</v>
      </c>
      <c r="C31208">
        <v>98335</v>
      </c>
      <c r="D31208" t="str">
        <f>"98335"</f>
        <v>98335</v>
      </c>
      <c r="E31208">
        <v>82.98</v>
      </c>
    </row>
    <row r="31209" spans="1:5" x14ac:dyDescent="0.2">
      <c r="A31209">
        <v>98336</v>
      </c>
      <c r="B31209" t="s">
        <v>54</v>
      </c>
      <c r="C31209">
        <v>98336</v>
      </c>
      <c r="D31209" t="str">
        <f>"98336"</f>
        <v>98336</v>
      </c>
      <c r="E31209">
        <v>66.67</v>
      </c>
    </row>
    <row r="31210" spans="1:5" x14ac:dyDescent="0.2">
      <c r="A31210">
        <v>98337</v>
      </c>
      <c r="B31210" t="s">
        <v>54</v>
      </c>
      <c r="C31210">
        <v>98337</v>
      </c>
      <c r="D31210" t="str">
        <f>"98337"</f>
        <v>98337</v>
      </c>
      <c r="E31210">
        <v>79.19</v>
      </c>
    </row>
    <row r="31211" spans="1:5" x14ac:dyDescent="0.2">
      <c r="A31211">
        <v>98338</v>
      </c>
      <c r="B31211" t="s">
        <v>54</v>
      </c>
      <c r="C31211">
        <v>98338</v>
      </c>
      <c r="D31211" t="str">
        <f>"98338"</f>
        <v>98338</v>
      </c>
      <c r="E31211">
        <v>79.12</v>
      </c>
    </row>
    <row r="31212" spans="1:5" x14ac:dyDescent="0.2">
      <c r="A31212">
        <v>98339</v>
      </c>
      <c r="B31212" t="s">
        <v>54</v>
      </c>
      <c r="C31212">
        <v>98339</v>
      </c>
      <c r="D31212" t="str">
        <f>"98339"</f>
        <v>98339</v>
      </c>
      <c r="E31212">
        <v>73.37</v>
      </c>
    </row>
    <row r="31213" spans="1:5" x14ac:dyDescent="0.2">
      <c r="A31213">
        <v>98340</v>
      </c>
      <c r="B31213" t="s">
        <v>54</v>
      </c>
      <c r="C31213">
        <v>98340</v>
      </c>
      <c r="D31213" t="str">
        <f>"98340"</f>
        <v>98340</v>
      </c>
      <c r="E31213">
        <v>81.34</v>
      </c>
    </row>
    <row r="31214" spans="1:5" x14ac:dyDescent="0.2">
      <c r="A31214">
        <v>98342</v>
      </c>
      <c r="B31214" t="s">
        <v>54</v>
      </c>
      <c r="C31214">
        <v>98342</v>
      </c>
      <c r="D31214" t="str">
        <f>"98342"</f>
        <v>98342</v>
      </c>
      <c r="E31214">
        <v>80.489999999999995</v>
      </c>
    </row>
    <row r="31215" spans="1:5" x14ac:dyDescent="0.2">
      <c r="A31215">
        <v>98343</v>
      </c>
      <c r="B31215" t="s">
        <v>54</v>
      </c>
      <c r="C31215">
        <v>98343</v>
      </c>
      <c r="D31215" t="str">
        <f>"98343"</f>
        <v>98343</v>
      </c>
      <c r="E31215" t="s">
        <v>6</v>
      </c>
    </row>
    <row r="31216" spans="1:5" x14ac:dyDescent="0.2">
      <c r="A31216">
        <v>98345</v>
      </c>
      <c r="B31216" t="s">
        <v>54</v>
      </c>
      <c r="C31216">
        <v>98345</v>
      </c>
      <c r="D31216" t="str">
        <f>"98345"</f>
        <v>98345</v>
      </c>
      <c r="E31216" t="s">
        <v>6</v>
      </c>
    </row>
    <row r="31217" spans="1:5" x14ac:dyDescent="0.2">
      <c r="A31217">
        <v>98346</v>
      </c>
      <c r="B31217" t="s">
        <v>54</v>
      </c>
      <c r="C31217">
        <v>98346</v>
      </c>
      <c r="D31217" t="str">
        <f>"98346"</f>
        <v>98346</v>
      </c>
      <c r="E31217">
        <v>79.31</v>
      </c>
    </row>
    <row r="31218" spans="1:5" x14ac:dyDescent="0.2">
      <c r="A31218">
        <v>98349</v>
      </c>
      <c r="B31218" t="s">
        <v>54</v>
      </c>
      <c r="C31218">
        <v>98349</v>
      </c>
      <c r="D31218" t="str">
        <f>"98349"</f>
        <v>98349</v>
      </c>
      <c r="E31218">
        <v>73.66</v>
      </c>
    </row>
    <row r="31219" spans="1:5" x14ac:dyDescent="0.2">
      <c r="A31219">
        <v>98350</v>
      </c>
      <c r="B31219" t="s">
        <v>54</v>
      </c>
      <c r="C31219">
        <v>98350</v>
      </c>
      <c r="D31219" t="str">
        <f>"98350"</f>
        <v>98350</v>
      </c>
      <c r="E31219" t="s">
        <v>6</v>
      </c>
    </row>
    <row r="31220" spans="1:5" x14ac:dyDescent="0.2">
      <c r="A31220">
        <v>98351</v>
      </c>
      <c r="B31220" t="s">
        <v>54</v>
      </c>
      <c r="C31220">
        <v>98351</v>
      </c>
      <c r="D31220" t="str">
        <f>"98351"</f>
        <v>98351</v>
      </c>
      <c r="E31220">
        <v>75.61</v>
      </c>
    </row>
    <row r="31221" spans="1:5" x14ac:dyDescent="0.2">
      <c r="A31221">
        <v>98354</v>
      </c>
      <c r="B31221" t="s">
        <v>54</v>
      </c>
      <c r="C31221">
        <v>98354</v>
      </c>
      <c r="D31221" t="str">
        <f>"98354"</f>
        <v>98354</v>
      </c>
      <c r="E31221">
        <v>81.96</v>
      </c>
    </row>
    <row r="31222" spans="1:5" x14ac:dyDescent="0.2">
      <c r="A31222">
        <v>98355</v>
      </c>
      <c r="B31222" t="s">
        <v>54</v>
      </c>
      <c r="C31222">
        <v>98355</v>
      </c>
      <c r="D31222" t="str">
        <f>"98355"</f>
        <v>98355</v>
      </c>
      <c r="E31222">
        <v>71.430000000000007</v>
      </c>
    </row>
    <row r="31223" spans="1:5" x14ac:dyDescent="0.2">
      <c r="A31223">
        <v>98356</v>
      </c>
      <c r="B31223" t="s">
        <v>54</v>
      </c>
      <c r="C31223">
        <v>98356</v>
      </c>
      <c r="D31223" t="str">
        <f>"98356"</f>
        <v>98356</v>
      </c>
      <c r="E31223">
        <v>72.45</v>
      </c>
    </row>
    <row r="31224" spans="1:5" x14ac:dyDescent="0.2">
      <c r="A31224">
        <v>98357</v>
      </c>
      <c r="B31224" t="s">
        <v>54</v>
      </c>
      <c r="C31224">
        <v>98357</v>
      </c>
      <c r="D31224" t="str">
        <f>"98357"</f>
        <v>98357</v>
      </c>
      <c r="E31224" t="s">
        <v>6</v>
      </c>
    </row>
    <row r="31225" spans="1:5" x14ac:dyDescent="0.2">
      <c r="A31225">
        <v>98358</v>
      </c>
      <c r="B31225" t="s">
        <v>54</v>
      </c>
      <c r="C31225">
        <v>98358</v>
      </c>
      <c r="D31225" t="str">
        <f>"98358"</f>
        <v>98358</v>
      </c>
      <c r="E31225">
        <v>69.569999999999993</v>
      </c>
    </row>
    <row r="31226" spans="1:5" x14ac:dyDescent="0.2">
      <c r="A31226">
        <v>98359</v>
      </c>
      <c r="B31226" t="s">
        <v>54</v>
      </c>
      <c r="C31226">
        <v>98359</v>
      </c>
      <c r="D31226" t="str">
        <f>"98359"</f>
        <v>98359</v>
      </c>
      <c r="E31226">
        <v>80.38</v>
      </c>
    </row>
    <row r="31227" spans="1:5" x14ac:dyDescent="0.2">
      <c r="A31227">
        <v>98360</v>
      </c>
      <c r="B31227" t="s">
        <v>54</v>
      </c>
      <c r="C31227">
        <v>98360</v>
      </c>
      <c r="D31227" t="str">
        <f>"98360"</f>
        <v>98360</v>
      </c>
      <c r="E31227">
        <v>82.15</v>
      </c>
    </row>
    <row r="31228" spans="1:5" x14ac:dyDescent="0.2">
      <c r="A31228">
        <v>98361</v>
      </c>
      <c r="B31228" t="s">
        <v>54</v>
      </c>
      <c r="C31228">
        <v>98361</v>
      </c>
      <c r="D31228" t="str">
        <f>"98361"</f>
        <v>98361</v>
      </c>
      <c r="E31228">
        <v>76</v>
      </c>
    </row>
    <row r="31229" spans="1:5" x14ac:dyDescent="0.2">
      <c r="A31229">
        <v>98362</v>
      </c>
      <c r="B31229" t="s">
        <v>54</v>
      </c>
      <c r="C31229">
        <v>98362</v>
      </c>
      <c r="D31229" t="str">
        <f>"98362"</f>
        <v>98362</v>
      </c>
      <c r="E31229">
        <v>75.94</v>
      </c>
    </row>
    <row r="31230" spans="1:5" x14ac:dyDescent="0.2">
      <c r="A31230">
        <v>98363</v>
      </c>
      <c r="B31230" t="s">
        <v>54</v>
      </c>
      <c r="C31230">
        <v>98363</v>
      </c>
      <c r="D31230" t="str">
        <f>"98363"</f>
        <v>98363</v>
      </c>
      <c r="E31230">
        <v>73.790000000000006</v>
      </c>
    </row>
    <row r="31231" spans="1:5" x14ac:dyDescent="0.2">
      <c r="A31231">
        <v>98364</v>
      </c>
      <c r="B31231" t="s">
        <v>54</v>
      </c>
      <c r="C31231">
        <v>98364</v>
      </c>
      <c r="D31231" t="str">
        <f>"98364"</f>
        <v>98364</v>
      </c>
      <c r="E31231" t="s">
        <v>6</v>
      </c>
    </row>
    <row r="31232" spans="1:5" x14ac:dyDescent="0.2">
      <c r="A31232">
        <v>98365</v>
      </c>
      <c r="B31232" t="s">
        <v>54</v>
      </c>
      <c r="C31232">
        <v>98365</v>
      </c>
      <c r="D31232" t="str">
        <f>"98365"</f>
        <v>98365</v>
      </c>
      <c r="E31232">
        <v>83.27</v>
      </c>
    </row>
    <row r="31233" spans="1:5" x14ac:dyDescent="0.2">
      <c r="A31233">
        <v>98366</v>
      </c>
      <c r="B31233" t="s">
        <v>54</v>
      </c>
      <c r="C31233">
        <v>98366</v>
      </c>
      <c r="D31233" t="str">
        <f>"98366"</f>
        <v>98366</v>
      </c>
      <c r="E31233">
        <v>79.180000000000007</v>
      </c>
    </row>
    <row r="31234" spans="1:5" x14ac:dyDescent="0.2">
      <c r="A31234">
        <v>98367</v>
      </c>
      <c r="B31234" t="s">
        <v>54</v>
      </c>
      <c r="C31234">
        <v>98367</v>
      </c>
      <c r="D31234" t="str">
        <f>"98367"</f>
        <v>98367</v>
      </c>
      <c r="E31234">
        <v>82.19</v>
      </c>
    </row>
    <row r="31235" spans="1:5" x14ac:dyDescent="0.2">
      <c r="A31235">
        <v>98368</v>
      </c>
      <c r="B31235" t="s">
        <v>54</v>
      </c>
      <c r="C31235">
        <v>98368</v>
      </c>
      <c r="D31235" t="str">
        <f>"98368"</f>
        <v>98368</v>
      </c>
      <c r="E31235">
        <v>75.739999999999995</v>
      </c>
    </row>
    <row r="31236" spans="1:5" x14ac:dyDescent="0.2">
      <c r="A31236">
        <v>98370</v>
      </c>
      <c r="B31236" t="s">
        <v>54</v>
      </c>
      <c r="C31236">
        <v>98370</v>
      </c>
      <c r="D31236" t="str">
        <f>"98370"</f>
        <v>98370</v>
      </c>
      <c r="E31236">
        <v>81.09</v>
      </c>
    </row>
    <row r="31237" spans="1:5" x14ac:dyDescent="0.2">
      <c r="A31237">
        <v>98371</v>
      </c>
      <c r="B31237" t="s">
        <v>54</v>
      </c>
      <c r="C31237">
        <v>98371</v>
      </c>
      <c r="D31237" t="str">
        <f>"98371"</f>
        <v>98371</v>
      </c>
      <c r="E31237">
        <v>82.11</v>
      </c>
    </row>
    <row r="31238" spans="1:5" x14ac:dyDescent="0.2">
      <c r="A31238">
        <v>98372</v>
      </c>
      <c r="B31238" t="s">
        <v>54</v>
      </c>
      <c r="C31238">
        <v>98372</v>
      </c>
      <c r="D31238" t="str">
        <f>"98372"</f>
        <v>98372</v>
      </c>
      <c r="E31238">
        <v>81.7</v>
      </c>
    </row>
    <row r="31239" spans="1:5" x14ac:dyDescent="0.2">
      <c r="A31239">
        <v>98373</v>
      </c>
      <c r="B31239" t="s">
        <v>54</v>
      </c>
      <c r="C31239">
        <v>98373</v>
      </c>
      <c r="D31239" t="str">
        <f>"98373"</f>
        <v>98373</v>
      </c>
      <c r="E31239">
        <v>80.28</v>
      </c>
    </row>
    <row r="31240" spans="1:5" x14ac:dyDescent="0.2">
      <c r="A31240">
        <v>98374</v>
      </c>
      <c r="B31240" t="s">
        <v>54</v>
      </c>
      <c r="C31240">
        <v>98374</v>
      </c>
      <c r="D31240" t="str">
        <f>"98374"</f>
        <v>98374</v>
      </c>
      <c r="E31240">
        <v>79.45</v>
      </c>
    </row>
    <row r="31241" spans="1:5" x14ac:dyDescent="0.2">
      <c r="A31241">
        <v>98375</v>
      </c>
      <c r="B31241" t="s">
        <v>54</v>
      </c>
      <c r="C31241">
        <v>98375</v>
      </c>
      <c r="D31241" t="str">
        <f>"98375"</f>
        <v>98375</v>
      </c>
      <c r="E31241">
        <v>79.22</v>
      </c>
    </row>
    <row r="31242" spans="1:5" x14ac:dyDescent="0.2">
      <c r="A31242">
        <v>98376</v>
      </c>
      <c r="B31242" t="s">
        <v>54</v>
      </c>
      <c r="C31242">
        <v>98376</v>
      </c>
      <c r="D31242" t="str">
        <f>"98376"</f>
        <v>98376</v>
      </c>
      <c r="E31242">
        <v>73.47</v>
      </c>
    </row>
    <row r="31243" spans="1:5" x14ac:dyDescent="0.2">
      <c r="A31243">
        <v>98377</v>
      </c>
      <c r="B31243" t="s">
        <v>54</v>
      </c>
      <c r="C31243">
        <v>98377</v>
      </c>
      <c r="D31243" t="str">
        <f>"98377"</f>
        <v>98377</v>
      </c>
      <c r="E31243">
        <v>71.23</v>
      </c>
    </row>
    <row r="31244" spans="1:5" x14ac:dyDescent="0.2">
      <c r="A31244">
        <v>98380</v>
      </c>
      <c r="B31244" t="s">
        <v>54</v>
      </c>
      <c r="C31244">
        <v>98380</v>
      </c>
      <c r="D31244" t="str">
        <f>"98380"</f>
        <v>98380</v>
      </c>
      <c r="E31244">
        <v>82.03</v>
      </c>
    </row>
    <row r="31245" spans="1:5" x14ac:dyDescent="0.2">
      <c r="A31245">
        <v>98381</v>
      </c>
      <c r="B31245" t="s">
        <v>54</v>
      </c>
      <c r="C31245">
        <v>98381</v>
      </c>
      <c r="D31245" t="str">
        <f>"98381"</f>
        <v>98381</v>
      </c>
      <c r="E31245">
        <v>78.569999999999993</v>
      </c>
    </row>
    <row r="31246" spans="1:5" x14ac:dyDescent="0.2">
      <c r="A31246">
        <v>98382</v>
      </c>
      <c r="B31246" t="s">
        <v>54</v>
      </c>
      <c r="C31246">
        <v>98382</v>
      </c>
      <c r="D31246" t="str">
        <f>"98382"</f>
        <v>98382</v>
      </c>
      <c r="E31246">
        <v>75.98</v>
      </c>
    </row>
    <row r="31247" spans="1:5" x14ac:dyDescent="0.2">
      <c r="A31247">
        <v>98383</v>
      </c>
      <c r="B31247" t="s">
        <v>54</v>
      </c>
      <c r="C31247">
        <v>98383</v>
      </c>
      <c r="D31247" t="str">
        <f>"98383"</f>
        <v>98383</v>
      </c>
      <c r="E31247">
        <v>82.56</v>
      </c>
    </row>
    <row r="31248" spans="1:5" x14ac:dyDescent="0.2">
      <c r="A31248">
        <v>98385</v>
      </c>
      <c r="B31248" t="s">
        <v>54</v>
      </c>
      <c r="C31248">
        <v>98385</v>
      </c>
      <c r="D31248" t="str">
        <f>"98385"</f>
        <v>98385</v>
      </c>
      <c r="E31248" t="s">
        <v>6</v>
      </c>
    </row>
    <row r="31249" spans="1:5" x14ac:dyDescent="0.2">
      <c r="A31249">
        <v>98387</v>
      </c>
      <c r="B31249" t="s">
        <v>54</v>
      </c>
      <c r="C31249">
        <v>98387</v>
      </c>
      <c r="D31249" t="str">
        <f>"98387"</f>
        <v>98387</v>
      </c>
      <c r="E31249">
        <v>75.88</v>
      </c>
    </row>
    <row r="31250" spans="1:5" x14ac:dyDescent="0.2">
      <c r="A31250">
        <v>98388</v>
      </c>
      <c r="B31250" t="s">
        <v>54</v>
      </c>
      <c r="C31250">
        <v>98388</v>
      </c>
      <c r="D31250" t="str">
        <f>"98388"</f>
        <v>98388</v>
      </c>
      <c r="E31250">
        <v>81.14</v>
      </c>
    </row>
    <row r="31251" spans="1:5" x14ac:dyDescent="0.2">
      <c r="A31251">
        <v>98390</v>
      </c>
      <c r="B31251" t="s">
        <v>54</v>
      </c>
      <c r="C31251">
        <v>98390</v>
      </c>
      <c r="D31251" t="str">
        <f>"98390"</f>
        <v>98390</v>
      </c>
      <c r="E31251">
        <v>79.97</v>
      </c>
    </row>
    <row r="31252" spans="1:5" x14ac:dyDescent="0.2">
      <c r="A31252">
        <v>98391</v>
      </c>
      <c r="B31252" t="s">
        <v>54</v>
      </c>
      <c r="C31252">
        <v>98391</v>
      </c>
      <c r="D31252" t="str">
        <f>"98391"</f>
        <v>98391</v>
      </c>
      <c r="E31252">
        <v>83.77</v>
      </c>
    </row>
    <row r="31253" spans="1:5" x14ac:dyDescent="0.2">
      <c r="A31253">
        <v>98392</v>
      </c>
      <c r="B31253" t="s">
        <v>54</v>
      </c>
      <c r="C31253">
        <v>98392</v>
      </c>
      <c r="D31253" t="str">
        <f>"98392"</f>
        <v>98392</v>
      </c>
      <c r="E31253">
        <v>79.47</v>
      </c>
    </row>
    <row r="31254" spans="1:5" x14ac:dyDescent="0.2">
      <c r="A31254">
        <v>98394</v>
      </c>
      <c r="B31254" t="s">
        <v>54</v>
      </c>
      <c r="C31254">
        <v>98394</v>
      </c>
      <c r="D31254" t="str">
        <f>"98394"</f>
        <v>98394</v>
      </c>
      <c r="E31254">
        <v>78.790000000000006</v>
      </c>
    </row>
    <row r="31255" spans="1:5" x14ac:dyDescent="0.2">
      <c r="A31255">
        <v>98396</v>
      </c>
      <c r="B31255" t="s">
        <v>54</v>
      </c>
      <c r="C31255">
        <v>98396</v>
      </c>
      <c r="D31255" t="str">
        <f>"98396"</f>
        <v>98396</v>
      </c>
      <c r="E31255" t="s">
        <v>6</v>
      </c>
    </row>
    <row r="31256" spans="1:5" x14ac:dyDescent="0.2">
      <c r="A31256">
        <v>98397</v>
      </c>
      <c r="B31256" t="s">
        <v>54</v>
      </c>
      <c r="C31256">
        <v>98397</v>
      </c>
      <c r="D31256" t="str">
        <f>"98397"</f>
        <v>98397</v>
      </c>
      <c r="E31256" t="s">
        <v>6</v>
      </c>
    </row>
    <row r="31257" spans="1:5" x14ac:dyDescent="0.2">
      <c r="A31257">
        <v>98402</v>
      </c>
      <c r="B31257" t="s">
        <v>54</v>
      </c>
      <c r="C31257">
        <v>98402</v>
      </c>
      <c r="D31257" t="str">
        <f>"98402"</f>
        <v>98402</v>
      </c>
      <c r="E31257">
        <v>83.55</v>
      </c>
    </row>
    <row r="31258" spans="1:5" x14ac:dyDescent="0.2">
      <c r="A31258">
        <v>98403</v>
      </c>
      <c r="B31258" t="s">
        <v>54</v>
      </c>
      <c r="C31258">
        <v>98403</v>
      </c>
      <c r="D31258" t="str">
        <f>"98403"</f>
        <v>98403</v>
      </c>
      <c r="E31258">
        <v>86.18</v>
      </c>
    </row>
    <row r="31259" spans="1:5" x14ac:dyDescent="0.2">
      <c r="A31259">
        <v>98404</v>
      </c>
      <c r="B31259" t="s">
        <v>54</v>
      </c>
      <c r="C31259">
        <v>98404</v>
      </c>
      <c r="D31259" t="str">
        <f>"98404"</f>
        <v>98404</v>
      </c>
      <c r="E31259">
        <v>70.12</v>
      </c>
    </row>
    <row r="31260" spans="1:5" x14ac:dyDescent="0.2">
      <c r="A31260">
        <v>98405</v>
      </c>
      <c r="B31260" t="s">
        <v>54</v>
      </c>
      <c r="C31260">
        <v>98405</v>
      </c>
      <c r="D31260" t="str">
        <f>"98405"</f>
        <v>98405</v>
      </c>
      <c r="E31260">
        <v>75.83</v>
      </c>
    </row>
    <row r="31261" spans="1:5" x14ac:dyDescent="0.2">
      <c r="A31261">
        <v>98406</v>
      </c>
      <c r="B31261" t="s">
        <v>54</v>
      </c>
      <c r="C31261">
        <v>98406</v>
      </c>
      <c r="D31261" t="str">
        <f>"98406"</f>
        <v>98406</v>
      </c>
      <c r="E31261">
        <v>81.86</v>
      </c>
    </row>
    <row r="31262" spans="1:5" x14ac:dyDescent="0.2">
      <c r="A31262">
        <v>98407</v>
      </c>
      <c r="B31262" t="s">
        <v>54</v>
      </c>
      <c r="C31262">
        <v>98407</v>
      </c>
      <c r="D31262" t="str">
        <f>"98407"</f>
        <v>98407</v>
      </c>
      <c r="E31262">
        <v>84.01</v>
      </c>
    </row>
    <row r="31263" spans="1:5" x14ac:dyDescent="0.2">
      <c r="A31263">
        <v>98408</v>
      </c>
      <c r="B31263" t="s">
        <v>54</v>
      </c>
      <c r="C31263">
        <v>98408</v>
      </c>
      <c r="D31263" t="str">
        <f>"98408"</f>
        <v>98408</v>
      </c>
      <c r="E31263">
        <v>74.77</v>
      </c>
    </row>
    <row r="31264" spans="1:5" x14ac:dyDescent="0.2">
      <c r="A31264">
        <v>98409</v>
      </c>
      <c r="B31264" t="s">
        <v>54</v>
      </c>
      <c r="C31264">
        <v>98409</v>
      </c>
      <c r="D31264" t="str">
        <f>"98409"</f>
        <v>98409</v>
      </c>
      <c r="E31264">
        <v>72</v>
      </c>
    </row>
    <row r="31265" spans="1:5" x14ac:dyDescent="0.2">
      <c r="A31265">
        <v>98413</v>
      </c>
      <c r="B31265" t="s">
        <v>54</v>
      </c>
      <c r="C31265">
        <v>98413</v>
      </c>
      <c r="D31265" t="str">
        <f>"98413"</f>
        <v>98413</v>
      </c>
      <c r="E31265" t="s">
        <v>6</v>
      </c>
    </row>
    <row r="31266" spans="1:5" x14ac:dyDescent="0.2">
      <c r="A31266">
        <v>98416</v>
      </c>
      <c r="B31266" t="s">
        <v>54</v>
      </c>
      <c r="C31266">
        <v>98416</v>
      </c>
      <c r="D31266" t="str">
        <f>"98416"</f>
        <v>98416</v>
      </c>
      <c r="E31266" t="s">
        <v>6</v>
      </c>
    </row>
    <row r="31267" spans="1:5" x14ac:dyDescent="0.2">
      <c r="A31267">
        <v>98418</v>
      </c>
      <c r="B31267" t="s">
        <v>54</v>
      </c>
      <c r="C31267">
        <v>98418</v>
      </c>
      <c r="D31267" t="str">
        <f>"98418"</f>
        <v>98418</v>
      </c>
      <c r="E31267">
        <v>73.87</v>
      </c>
    </row>
    <row r="31268" spans="1:5" x14ac:dyDescent="0.2">
      <c r="A31268">
        <v>98421</v>
      </c>
      <c r="B31268" t="s">
        <v>54</v>
      </c>
      <c r="C31268">
        <v>98421</v>
      </c>
      <c r="D31268" t="str">
        <f>"98421"</f>
        <v>98421</v>
      </c>
      <c r="E31268" t="s">
        <v>6</v>
      </c>
    </row>
    <row r="31269" spans="1:5" x14ac:dyDescent="0.2">
      <c r="A31269">
        <v>98422</v>
      </c>
      <c r="B31269" t="s">
        <v>54</v>
      </c>
      <c r="C31269">
        <v>98422</v>
      </c>
      <c r="D31269" t="str">
        <f>"98422"</f>
        <v>98422</v>
      </c>
      <c r="E31269">
        <v>82.67</v>
      </c>
    </row>
    <row r="31270" spans="1:5" x14ac:dyDescent="0.2">
      <c r="A31270">
        <v>98424</v>
      </c>
      <c r="B31270" t="s">
        <v>54</v>
      </c>
      <c r="C31270">
        <v>98424</v>
      </c>
      <c r="D31270" t="str">
        <f>"98424"</f>
        <v>98424</v>
      </c>
      <c r="E31270">
        <v>77.05</v>
      </c>
    </row>
    <row r="31271" spans="1:5" x14ac:dyDescent="0.2">
      <c r="A31271">
        <v>98433</v>
      </c>
      <c r="B31271" t="s">
        <v>54</v>
      </c>
      <c r="C31271">
        <v>98433</v>
      </c>
      <c r="D31271" t="str">
        <f>"98433"</f>
        <v>98433</v>
      </c>
      <c r="E31271">
        <v>65.97</v>
      </c>
    </row>
    <row r="31272" spans="1:5" x14ac:dyDescent="0.2">
      <c r="A31272">
        <v>98438</v>
      </c>
      <c r="B31272" t="s">
        <v>54</v>
      </c>
      <c r="C31272">
        <v>98438</v>
      </c>
      <c r="D31272" t="str">
        <f>"98438"</f>
        <v>98438</v>
      </c>
      <c r="E31272">
        <v>85.45</v>
      </c>
    </row>
    <row r="31273" spans="1:5" x14ac:dyDescent="0.2">
      <c r="A31273">
        <v>98439</v>
      </c>
      <c r="B31273" t="s">
        <v>54</v>
      </c>
      <c r="C31273">
        <v>98439</v>
      </c>
      <c r="D31273" t="str">
        <f>"98439"</f>
        <v>98439</v>
      </c>
      <c r="E31273">
        <v>53.55</v>
      </c>
    </row>
    <row r="31274" spans="1:5" x14ac:dyDescent="0.2">
      <c r="A31274">
        <v>98443</v>
      </c>
      <c r="B31274" t="s">
        <v>54</v>
      </c>
      <c r="C31274">
        <v>98443</v>
      </c>
      <c r="D31274" t="str">
        <f>"98443"</f>
        <v>98443</v>
      </c>
      <c r="E31274">
        <v>82.27</v>
      </c>
    </row>
    <row r="31275" spans="1:5" x14ac:dyDescent="0.2">
      <c r="A31275">
        <v>98444</v>
      </c>
      <c r="B31275" t="s">
        <v>54</v>
      </c>
      <c r="C31275">
        <v>98444</v>
      </c>
      <c r="D31275" t="str">
        <f>"98444"</f>
        <v>98444</v>
      </c>
      <c r="E31275">
        <v>68.2</v>
      </c>
    </row>
    <row r="31276" spans="1:5" x14ac:dyDescent="0.2">
      <c r="A31276">
        <v>98445</v>
      </c>
      <c r="B31276" t="s">
        <v>54</v>
      </c>
      <c r="C31276">
        <v>98445</v>
      </c>
      <c r="D31276" t="str">
        <f>"98445"</f>
        <v>98445</v>
      </c>
      <c r="E31276">
        <v>75</v>
      </c>
    </row>
    <row r="31277" spans="1:5" x14ac:dyDescent="0.2">
      <c r="A31277">
        <v>98446</v>
      </c>
      <c r="B31277" t="s">
        <v>54</v>
      </c>
      <c r="C31277">
        <v>98446</v>
      </c>
      <c r="D31277" t="str">
        <f>"98446"</f>
        <v>98446</v>
      </c>
      <c r="E31277">
        <v>78.849999999999994</v>
      </c>
    </row>
    <row r="31278" spans="1:5" x14ac:dyDescent="0.2">
      <c r="A31278">
        <v>98465</v>
      </c>
      <c r="B31278" t="s">
        <v>54</v>
      </c>
      <c r="C31278">
        <v>98465</v>
      </c>
      <c r="D31278" t="str">
        <f>"98465"</f>
        <v>98465</v>
      </c>
      <c r="E31278">
        <v>78.260000000000005</v>
      </c>
    </row>
    <row r="31279" spans="1:5" x14ac:dyDescent="0.2">
      <c r="A31279">
        <v>98466</v>
      </c>
      <c r="B31279" t="s">
        <v>54</v>
      </c>
      <c r="C31279">
        <v>98466</v>
      </c>
      <c r="D31279" t="str">
        <f>"98466"</f>
        <v>98466</v>
      </c>
      <c r="E31279">
        <v>79.11</v>
      </c>
    </row>
    <row r="31280" spans="1:5" x14ac:dyDescent="0.2">
      <c r="A31280">
        <v>98467</v>
      </c>
      <c r="B31280" t="s">
        <v>54</v>
      </c>
      <c r="C31280">
        <v>98467</v>
      </c>
      <c r="D31280" t="str">
        <f>"98467"</f>
        <v>98467</v>
      </c>
      <c r="E31280">
        <v>77.63</v>
      </c>
    </row>
    <row r="31281" spans="1:5" x14ac:dyDescent="0.2">
      <c r="A31281">
        <v>98498</v>
      </c>
      <c r="B31281" t="s">
        <v>54</v>
      </c>
      <c r="C31281">
        <v>98498</v>
      </c>
      <c r="D31281" t="str">
        <f>"98498"</f>
        <v>98498</v>
      </c>
      <c r="E31281">
        <v>77.39</v>
      </c>
    </row>
    <row r="31282" spans="1:5" x14ac:dyDescent="0.2">
      <c r="A31282">
        <v>98499</v>
      </c>
      <c r="B31282" t="s">
        <v>54</v>
      </c>
      <c r="C31282">
        <v>98499</v>
      </c>
      <c r="D31282" t="str">
        <f>"98499"</f>
        <v>98499</v>
      </c>
      <c r="E31282">
        <v>69.03</v>
      </c>
    </row>
    <row r="31283" spans="1:5" x14ac:dyDescent="0.2">
      <c r="A31283">
        <v>98501</v>
      </c>
      <c r="B31283" t="s">
        <v>54</v>
      </c>
      <c r="C31283">
        <v>98501</v>
      </c>
      <c r="D31283" t="str">
        <f>"98501"</f>
        <v>98501</v>
      </c>
      <c r="E31283">
        <v>81.099999999999994</v>
      </c>
    </row>
    <row r="31284" spans="1:5" x14ac:dyDescent="0.2">
      <c r="A31284">
        <v>98502</v>
      </c>
      <c r="B31284" t="s">
        <v>54</v>
      </c>
      <c r="C31284">
        <v>98502</v>
      </c>
      <c r="D31284" t="str">
        <f>"98502"</f>
        <v>98502</v>
      </c>
      <c r="E31284">
        <v>77.61</v>
      </c>
    </row>
    <row r="31285" spans="1:5" x14ac:dyDescent="0.2">
      <c r="A31285">
        <v>98503</v>
      </c>
      <c r="B31285" t="s">
        <v>54</v>
      </c>
      <c r="C31285">
        <v>98503</v>
      </c>
      <c r="D31285" t="str">
        <f>"98503"</f>
        <v>98503</v>
      </c>
      <c r="E31285">
        <v>77.319999999999993</v>
      </c>
    </row>
    <row r="31286" spans="1:5" x14ac:dyDescent="0.2">
      <c r="A31286">
        <v>98505</v>
      </c>
      <c r="B31286" t="s">
        <v>54</v>
      </c>
      <c r="C31286">
        <v>98505</v>
      </c>
      <c r="D31286" t="str">
        <f>"98505"</f>
        <v>98505</v>
      </c>
      <c r="E31286" t="s">
        <v>6</v>
      </c>
    </row>
    <row r="31287" spans="1:5" x14ac:dyDescent="0.2">
      <c r="A31287">
        <v>98506</v>
      </c>
      <c r="B31287" t="s">
        <v>54</v>
      </c>
      <c r="C31287">
        <v>98506</v>
      </c>
      <c r="D31287" t="str">
        <f>"98506"</f>
        <v>98506</v>
      </c>
      <c r="E31287">
        <v>79.569999999999993</v>
      </c>
    </row>
    <row r="31288" spans="1:5" x14ac:dyDescent="0.2">
      <c r="A31288">
        <v>98512</v>
      </c>
      <c r="B31288" t="s">
        <v>54</v>
      </c>
      <c r="C31288">
        <v>98512</v>
      </c>
      <c r="D31288" t="str">
        <f>"98512"</f>
        <v>98512</v>
      </c>
      <c r="E31288">
        <v>80.95</v>
      </c>
    </row>
    <row r="31289" spans="1:5" x14ac:dyDescent="0.2">
      <c r="A31289">
        <v>98513</v>
      </c>
      <c r="B31289" t="s">
        <v>54</v>
      </c>
      <c r="C31289">
        <v>98513</v>
      </c>
      <c r="D31289" t="str">
        <f>"98513"</f>
        <v>98513</v>
      </c>
      <c r="E31289">
        <v>78.97</v>
      </c>
    </row>
    <row r="31290" spans="1:5" x14ac:dyDescent="0.2">
      <c r="A31290">
        <v>98516</v>
      </c>
      <c r="B31290" t="s">
        <v>54</v>
      </c>
      <c r="C31290">
        <v>98516</v>
      </c>
      <c r="D31290" t="str">
        <f>"98516"</f>
        <v>98516</v>
      </c>
      <c r="E31290">
        <v>79.84</v>
      </c>
    </row>
    <row r="31291" spans="1:5" x14ac:dyDescent="0.2">
      <c r="A31291">
        <v>98520</v>
      </c>
      <c r="B31291" t="s">
        <v>54</v>
      </c>
      <c r="C31291">
        <v>98520</v>
      </c>
      <c r="D31291" t="str">
        <f>"98520"</f>
        <v>98520</v>
      </c>
      <c r="E31291">
        <v>68.66</v>
      </c>
    </row>
    <row r="31292" spans="1:5" x14ac:dyDescent="0.2">
      <c r="A31292">
        <v>98524</v>
      </c>
      <c r="B31292" t="s">
        <v>54</v>
      </c>
      <c r="C31292">
        <v>98524</v>
      </c>
      <c r="D31292" t="str">
        <f>"98524"</f>
        <v>98524</v>
      </c>
      <c r="E31292">
        <v>81.25</v>
      </c>
    </row>
    <row r="31293" spans="1:5" x14ac:dyDescent="0.2">
      <c r="A31293">
        <v>98526</v>
      </c>
      <c r="B31293" t="s">
        <v>54</v>
      </c>
      <c r="C31293">
        <v>98526</v>
      </c>
      <c r="D31293" t="str">
        <f>"98526"</f>
        <v>98526</v>
      </c>
      <c r="E31293">
        <v>63.64</v>
      </c>
    </row>
    <row r="31294" spans="1:5" x14ac:dyDescent="0.2">
      <c r="A31294">
        <v>98527</v>
      </c>
      <c r="B31294" t="s">
        <v>54</v>
      </c>
      <c r="C31294">
        <v>98527</v>
      </c>
      <c r="D31294" t="str">
        <f>"98527"</f>
        <v>98527</v>
      </c>
      <c r="E31294" t="s">
        <v>6</v>
      </c>
    </row>
    <row r="31295" spans="1:5" x14ac:dyDescent="0.2">
      <c r="A31295">
        <v>98528</v>
      </c>
      <c r="B31295" t="s">
        <v>54</v>
      </c>
      <c r="C31295">
        <v>98528</v>
      </c>
      <c r="D31295" t="str">
        <f>"98528"</f>
        <v>98528</v>
      </c>
      <c r="E31295">
        <v>77.53</v>
      </c>
    </row>
    <row r="31296" spans="1:5" x14ac:dyDescent="0.2">
      <c r="A31296">
        <v>98530</v>
      </c>
      <c r="B31296" t="s">
        <v>54</v>
      </c>
      <c r="C31296">
        <v>98530</v>
      </c>
      <c r="D31296" t="str">
        <f>"98530"</f>
        <v>98530</v>
      </c>
      <c r="E31296" t="s">
        <v>6</v>
      </c>
    </row>
    <row r="31297" spans="1:5" x14ac:dyDescent="0.2">
      <c r="A31297">
        <v>98531</v>
      </c>
      <c r="B31297" t="s">
        <v>54</v>
      </c>
      <c r="C31297">
        <v>98531</v>
      </c>
      <c r="D31297" t="str">
        <f>"98531"</f>
        <v>98531</v>
      </c>
      <c r="E31297">
        <v>68.02</v>
      </c>
    </row>
    <row r="31298" spans="1:5" x14ac:dyDescent="0.2">
      <c r="A31298">
        <v>98532</v>
      </c>
      <c r="B31298" t="s">
        <v>54</v>
      </c>
      <c r="C31298">
        <v>98532</v>
      </c>
      <c r="D31298" t="str">
        <f>"98532"</f>
        <v>98532</v>
      </c>
      <c r="E31298">
        <v>74.64</v>
      </c>
    </row>
    <row r="31299" spans="1:5" x14ac:dyDescent="0.2">
      <c r="A31299">
        <v>98533</v>
      </c>
      <c r="B31299" t="s">
        <v>54</v>
      </c>
      <c r="C31299">
        <v>98533</v>
      </c>
      <c r="D31299" t="str">
        <f>"98533"</f>
        <v>98533</v>
      </c>
      <c r="E31299">
        <v>70.83</v>
      </c>
    </row>
    <row r="31300" spans="1:5" x14ac:dyDescent="0.2">
      <c r="A31300">
        <v>98535</v>
      </c>
      <c r="B31300" t="s">
        <v>54</v>
      </c>
      <c r="C31300">
        <v>98535</v>
      </c>
      <c r="D31300" t="str">
        <f>"98535"</f>
        <v>98535</v>
      </c>
      <c r="E31300">
        <v>68.180000000000007</v>
      </c>
    </row>
    <row r="31301" spans="1:5" x14ac:dyDescent="0.2">
      <c r="A31301">
        <v>98536</v>
      </c>
      <c r="B31301" t="s">
        <v>54</v>
      </c>
      <c r="C31301">
        <v>98536</v>
      </c>
      <c r="D31301" t="str">
        <f>"98536"</f>
        <v>98536</v>
      </c>
      <c r="E31301" t="s">
        <v>6</v>
      </c>
    </row>
    <row r="31302" spans="1:5" x14ac:dyDescent="0.2">
      <c r="A31302">
        <v>98537</v>
      </c>
      <c r="B31302" t="s">
        <v>54</v>
      </c>
      <c r="C31302">
        <v>98537</v>
      </c>
      <c r="D31302" t="str">
        <f>"98537"</f>
        <v>98537</v>
      </c>
      <c r="E31302">
        <v>76.64</v>
      </c>
    </row>
    <row r="31303" spans="1:5" x14ac:dyDescent="0.2">
      <c r="A31303">
        <v>98538</v>
      </c>
      <c r="B31303" t="s">
        <v>54</v>
      </c>
      <c r="C31303">
        <v>98538</v>
      </c>
      <c r="D31303" t="str">
        <f>"98538"</f>
        <v>98538</v>
      </c>
      <c r="E31303">
        <v>76.19</v>
      </c>
    </row>
    <row r="31304" spans="1:5" x14ac:dyDescent="0.2">
      <c r="A31304">
        <v>98539</v>
      </c>
      <c r="B31304" t="s">
        <v>54</v>
      </c>
      <c r="C31304">
        <v>98539</v>
      </c>
      <c r="D31304" t="str">
        <f>"98539"</f>
        <v>98539</v>
      </c>
      <c r="E31304" t="s">
        <v>6</v>
      </c>
    </row>
    <row r="31305" spans="1:5" x14ac:dyDescent="0.2">
      <c r="A31305">
        <v>98541</v>
      </c>
      <c r="B31305" t="s">
        <v>54</v>
      </c>
      <c r="C31305">
        <v>98541</v>
      </c>
      <c r="D31305" t="str">
        <f>"98541"</f>
        <v>98541</v>
      </c>
      <c r="E31305">
        <v>75</v>
      </c>
    </row>
    <row r="31306" spans="1:5" x14ac:dyDescent="0.2">
      <c r="A31306">
        <v>98542</v>
      </c>
      <c r="B31306" t="s">
        <v>54</v>
      </c>
      <c r="C31306">
        <v>98542</v>
      </c>
      <c r="D31306" t="str">
        <f>"98542"</f>
        <v>98542</v>
      </c>
      <c r="E31306">
        <v>70.83</v>
      </c>
    </row>
    <row r="31307" spans="1:5" x14ac:dyDescent="0.2">
      <c r="A31307">
        <v>98546</v>
      </c>
      <c r="B31307" t="s">
        <v>54</v>
      </c>
      <c r="C31307">
        <v>98546</v>
      </c>
      <c r="D31307" t="str">
        <f>"98546"</f>
        <v>98546</v>
      </c>
      <c r="E31307">
        <v>76.52</v>
      </c>
    </row>
    <row r="31308" spans="1:5" x14ac:dyDescent="0.2">
      <c r="A31308">
        <v>98547</v>
      </c>
      <c r="B31308" t="s">
        <v>54</v>
      </c>
      <c r="C31308">
        <v>98547</v>
      </c>
      <c r="D31308" t="str">
        <f>"98547"</f>
        <v>98547</v>
      </c>
      <c r="E31308">
        <v>69.23</v>
      </c>
    </row>
    <row r="31309" spans="1:5" x14ac:dyDescent="0.2">
      <c r="A31309">
        <v>98548</v>
      </c>
      <c r="B31309" t="s">
        <v>54</v>
      </c>
      <c r="C31309">
        <v>98548</v>
      </c>
      <c r="D31309" t="str">
        <f>"98548"</f>
        <v>98548</v>
      </c>
      <c r="E31309">
        <v>75.959999999999994</v>
      </c>
    </row>
    <row r="31310" spans="1:5" x14ac:dyDescent="0.2">
      <c r="A31310">
        <v>98550</v>
      </c>
      <c r="B31310" t="s">
        <v>54</v>
      </c>
      <c r="C31310">
        <v>98550</v>
      </c>
      <c r="D31310" t="str">
        <f>"98550"</f>
        <v>98550</v>
      </c>
      <c r="E31310">
        <v>68.05</v>
      </c>
    </row>
    <row r="31311" spans="1:5" x14ac:dyDescent="0.2">
      <c r="A31311">
        <v>98552</v>
      </c>
      <c r="B31311" t="s">
        <v>54</v>
      </c>
      <c r="C31311">
        <v>98552</v>
      </c>
      <c r="D31311" t="str">
        <f>"98552"</f>
        <v>98552</v>
      </c>
      <c r="E31311">
        <v>61.54</v>
      </c>
    </row>
    <row r="31312" spans="1:5" x14ac:dyDescent="0.2">
      <c r="A31312">
        <v>98555</v>
      </c>
      <c r="B31312" t="s">
        <v>54</v>
      </c>
      <c r="C31312">
        <v>98555</v>
      </c>
      <c r="D31312" t="str">
        <f>"98555"</f>
        <v>98555</v>
      </c>
      <c r="E31312">
        <v>76.92</v>
      </c>
    </row>
    <row r="31313" spans="1:5" x14ac:dyDescent="0.2">
      <c r="A31313">
        <v>98557</v>
      </c>
      <c r="B31313" t="s">
        <v>54</v>
      </c>
      <c r="C31313">
        <v>98557</v>
      </c>
      <c r="D31313" t="str">
        <f>"98557"</f>
        <v>98557</v>
      </c>
      <c r="E31313">
        <v>78.98</v>
      </c>
    </row>
    <row r="31314" spans="1:5" x14ac:dyDescent="0.2">
      <c r="A31314">
        <v>98558</v>
      </c>
      <c r="B31314" t="s">
        <v>54</v>
      </c>
      <c r="C31314">
        <v>98558</v>
      </c>
      <c r="D31314" t="str">
        <f>"98558"</f>
        <v>98558</v>
      </c>
      <c r="E31314" t="s">
        <v>6</v>
      </c>
    </row>
    <row r="31315" spans="1:5" x14ac:dyDescent="0.2">
      <c r="A31315">
        <v>98560</v>
      </c>
      <c r="B31315" t="s">
        <v>54</v>
      </c>
      <c r="C31315">
        <v>98560</v>
      </c>
      <c r="D31315" t="str">
        <f>"98560"</f>
        <v>98560</v>
      </c>
      <c r="E31315">
        <v>61.54</v>
      </c>
    </row>
    <row r="31316" spans="1:5" x14ac:dyDescent="0.2">
      <c r="A31316">
        <v>98562</v>
      </c>
      <c r="B31316" t="s">
        <v>54</v>
      </c>
      <c r="C31316">
        <v>98562</v>
      </c>
      <c r="D31316" t="str">
        <f>"98562"</f>
        <v>98562</v>
      </c>
      <c r="E31316" t="s">
        <v>6</v>
      </c>
    </row>
    <row r="31317" spans="1:5" x14ac:dyDescent="0.2">
      <c r="A31317">
        <v>98563</v>
      </c>
      <c r="B31317" t="s">
        <v>54</v>
      </c>
      <c r="C31317">
        <v>98563</v>
      </c>
      <c r="D31317" t="str">
        <f>"98563"</f>
        <v>98563</v>
      </c>
      <c r="E31317">
        <v>78.260000000000005</v>
      </c>
    </row>
    <row r="31318" spans="1:5" x14ac:dyDescent="0.2">
      <c r="A31318">
        <v>98564</v>
      </c>
      <c r="B31318" t="s">
        <v>54</v>
      </c>
      <c r="C31318">
        <v>98564</v>
      </c>
      <c r="D31318" t="str">
        <f>"98564"</f>
        <v>98564</v>
      </c>
      <c r="E31318">
        <v>71.430000000000007</v>
      </c>
    </row>
    <row r="31319" spans="1:5" x14ac:dyDescent="0.2">
      <c r="A31319">
        <v>98565</v>
      </c>
      <c r="B31319" t="s">
        <v>54</v>
      </c>
      <c r="C31319">
        <v>98565</v>
      </c>
      <c r="D31319" t="str">
        <f>"98565"</f>
        <v>98565</v>
      </c>
      <c r="E31319" t="s">
        <v>6</v>
      </c>
    </row>
    <row r="31320" spans="1:5" x14ac:dyDescent="0.2">
      <c r="A31320">
        <v>98566</v>
      </c>
      <c r="B31320" t="s">
        <v>54</v>
      </c>
      <c r="C31320">
        <v>98566</v>
      </c>
      <c r="D31320" t="str">
        <f>"98566"</f>
        <v>98566</v>
      </c>
      <c r="E31320" t="s">
        <v>6</v>
      </c>
    </row>
    <row r="31321" spans="1:5" x14ac:dyDescent="0.2">
      <c r="A31321">
        <v>98568</v>
      </c>
      <c r="B31321" t="s">
        <v>54</v>
      </c>
      <c r="C31321">
        <v>98568</v>
      </c>
      <c r="D31321" t="str">
        <f>"98568"</f>
        <v>98568</v>
      </c>
      <c r="E31321">
        <v>72.569999999999993</v>
      </c>
    </row>
    <row r="31322" spans="1:5" x14ac:dyDescent="0.2">
      <c r="A31322">
        <v>98569</v>
      </c>
      <c r="B31322" t="s">
        <v>54</v>
      </c>
      <c r="C31322">
        <v>98569</v>
      </c>
      <c r="D31322" t="str">
        <f>"98569"</f>
        <v>98569</v>
      </c>
      <c r="E31322">
        <v>72.22</v>
      </c>
    </row>
    <row r="31323" spans="1:5" x14ac:dyDescent="0.2">
      <c r="A31323">
        <v>98570</v>
      </c>
      <c r="B31323" t="s">
        <v>54</v>
      </c>
      <c r="C31323">
        <v>98570</v>
      </c>
      <c r="D31323" t="str">
        <f>"98570"</f>
        <v>98570</v>
      </c>
      <c r="E31323">
        <v>71.680000000000007</v>
      </c>
    </row>
    <row r="31324" spans="1:5" x14ac:dyDescent="0.2">
      <c r="A31324">
        <v>98571</v>
      </c>
      <c r="B31324" t="s">
        <v>54</v>
      </c>
      <c r="C31324">
        <v>98571</v>
      </c>
      <c r="D31324" t="str">
        <f>"98571"</f>
        <v>98571</v>
      </c>
      <c r="E31324" t="s">
        <v>6</v>
      </c>
    </row>
    <row r="31325" spans="1:5" x14ac:dyDescent="0.2">
      <c r="A31325">
        <v>98572</v>
      </c>
      <c r="B31325" t="s">
        <v>54</v>
      </c>
      <c r="C31325">
        <v>98572</v>
      </c>
      <c r="D31325" t="str">
        <f>"98572"</f>
        <v>98572</v>
      </c>
      <c r="E31325">
        <v>69.23</v>
      </c>
    </row>
    <row r="31326" spans="1:5" x14ac:dyDescent="0.2">
      <c r="A31326">
        <v>98575</v>
      </c>
      <c r="B31326" t="s">
        <v>54</v>
      </c>
      <c r="C31326">
        <v>98575</v>
      </c>
      <c r="D31326" t="str">
        <f>"98575"</f>
        <v>98575</v>
      </c>
      <c r="E31326" t="s">
        <v>6</v>
      </c>
    </row>
    <row r="31327" spans="1:5" x14ac:dyDescent="0.2">
      <c r="A31327">
        <v>98576</v>
      </c>
      <c r="B31327" t="s">
        <v>54</v>
      </c>
      <c r="C31327">
        <v>98576</v>
      </c>
      <c r="D31327" t="str">
        <f>"98576"</f>
        <v>98576</v>
      </c>
      <c r="E31327">
        <v>77.64</v>
      </c>
    </row>
    <row r="31328" spans="1:5" x14ac:dyDescent="0.2">
      <c r="A31328">
        <v>98577</v>
      </c>
      <c r="B31328" t="s">
        <v>54</v>
      </c>
      <c r="C31328">
        <v>98577</v>
      </c>
      <c r="D31328" t="str">
        <f>"98577"</f>
        <v>98577</v>
      </c>
      <c r="E31328">
        <v>70.98</v>
      </c>
    </row>
    <row r="31329" spans="1:5" x14ac:dyDescent="0.2">
      <c r="A31329">
        <v>98579</v>
      </c>
      <c r="B31329" t="s">
        <v>54</v>
      </c>
      <c r="C31329">
        <v>98579</v>
      </c>
      <c r="D31329" t="str">
        <f>"98579"</f>
        <v>98579</v>
      </c>
      <c r="E31329">
        <v>75.459999999999994</v>
      </c>
    </row>
    <row r="31330" spans="1:5" x14ac:dyDescent="0.2">
      <c r="A31330">
        <v>98580</v>
      </c>
      <c r="B31330" t="s">
        <v>54</v>
      </c>
      <c r="C31330">
        <v>98580</v>
      </c>
      <c r="D31330" t="str">
        <f>"98580"</f>
        <v>98580</v>
      </c>
      <c r="E31330">
        <v>77.849999999999994</v>
      </c>
    </row>
    <row r="31331" spans="1:5" x14ac:dyDescent="0.2">
      <c r="A31331">
        <v>98581</v>
      </c>
      <c r="B31331" t="s">
        <v>54</v>
      </c>
      <c r="C31331">
        <v>98581</v>
      </c>
      <c r="D31331" t="str">
        <f>"98581"</f>
        <v>98581</v>
      </c>
      <c r="E31331">
        <v>64.709999999999994</v>
      </c>
    </row>
    <row r="31332" spans="1:5" x14ac:dyDescent="0.2">
      <c r="A31332">
        <v>98582</v>
      </c>
      <c r="B31332" t="s">
        <v>54</v>
      </c>
      <c r="C31332">
        <v>98582</v>
      </c>
      <c r="D31332" t="str">
        <f>"98582"</f>
        <v>98582</v>
      </c>
      <c r="E31332">
        <v>69.44</v>
      </c>
    </row>
    <row r="31333" spans="1:5" x14ac:dyDescent="0.2">
      <c r="A31333">
        <v>98583</v>
      </c>
      <c r="B31333" t="s">
        <v>54</v>
      </c>
      <c r="C31333">
        <v>98583</v>
      </c>
      <c r="D31333" t="str">
        <f>"98583"</f>
        <v>98583</v>
      </c>
      <c r="E31333" t="s">
        <v>6</v>
      </c>
    </row>
    <row r="31334" spans="1:5" x14ac:dyDescent="0.2">
      <c r="A31334">
        <v>98584</v>
      </c>
      <c r="B31334" t="s">
        <v>54</v>
      </c>
      <c r="C31334">
        <v>98584</v>
      </c>
      <c r="D31334" t="str">
        <f>"98584"</f>
        <v>98584</v>
      </c>
      <c r="E31334">
        <v>73.180000000000007</v>
      </c>
    </row>
    <row r="31335" spans="1:5" x14ac:dyDescent="0.2">
      <c r="A31335">
        <v>98585</v>
      </c>
      <c r="B31335" t="s">
        <v>54</v>
      </c>
      <c r="C31335">
        <v>98585</v>
      </c>
      <c r="D31335" t="str">
        <f>"98585"</f>
        <v>98585</v>
      </c>
      <c r="E31335">
        <v>78.790000000000006</v>
      </c>
    </row>
    <row r="31336" spans="1:5" x14ac:dyDescent="0.2">
      <c r="A31336">
        <v>98586</v>
      </c>
      <c r="B31336" t="s">
        <v>54</v>
      </c>
      <c r="C31336">
        <v>98586</v>
      </c>
      <c r="D31336" t="str">
        <f>"98586"</f>
        <v>98586</v>
      </c>
      <c r="E31336">
        <v>64.84</v>
      </c>
    </row>
    <row r="31337" spans="1:5" x14ac:dyDescent="0.2">
      <c r="A31337">
        <v>98587</v>
      </c>
      <c r="B31337" t="s">
        <v>54</v>
      </c>
      <c r="C31337">
        <v>98587</v>
      </c>
      <c r="D31337" t="str">
        <f>"98587"</f>
        <v>98587</v>
      </c>
      <c r="E31337" t="s">
        <v>6</v>
      </c>
    </row>
    <row r="31338" spans="1:5" x14ac:dyDescent="0.2">
      <c r="A31338">
        <v>98588</v>
      </c>
      <c r="B31338" t="s">
        <v>54</v>
      </c>
      <c r="C31338">
        <v>98588</v>
      </c>
      <c r="D31338" t="str">
        <f>"98588"</f>
        <v>98588</v>
      </c>
      <c r="E31338">
        <v>78.38</v>
      </c>
    </row>
    <row r="31339" spans="1:5" x14ac:dyDescent="0.2">
      <c r="A31339">
        <v>98589</v>
      </c>
      <c r="B31339" t="s">
        <v>54</v>
      </c>
      <c r="C31339">
        <v>98589</v>
      </c>
      <c r="D31339" t="str">
        <f>"98589"</f>
        <v>98589</v>
      </c>
      <c r="E31339">
        <v>78.05</v>
      </c>
    </row>
    <row r="31340" spans="1:5" x14ac:dyDescent="0.2">
      <c r="A31340">
        <v>98590</v>
      </c>
      <c r="B31340" t="s">
        <v>54</v>
      </c>
      <c r="C31340">
        <v>98590</v>
      </c>
      <c r="D31340" t="str">
        <f>"98590"</f>
        <v>98590</v>
      </c>
      <c r="E31340">
        <v>72.22</v>
      </c>
    </row>
    <row r="31341" spans="1:5" x14ac:dyDescent="0.2">
      <c r="A31341">
        <v>98591</v>
      </c>
      <c r="B31341" t="s">
        <v>54</v>
      </c>
      <c r="C31341">
        <v>98591</v>
      </c>
      <c r="D31341" t="str">
        <f>"98591"</f>
        <v>98591</v>
      </c>
      <c r="E31341">
        <v>74.739999999999995</v>
      </c>
    </row>
    <row r="31342" spans="1:5" x14ac:dyDescent="0.2">
      <c r="A31342">
        <v>98592</v>
      </c>
      <c r="B31342" t="s">
        <v>54</v>
      </c>
      <c r="C31342">
        <v>98592</v>
      </c>
      <c r="D31342" t="str">
        <f>"98592"</f>
        <v>98592</v>
      </c>
      <c r="E31342">
        <v>79.25</v>
      </c>
    </row>
    <row r="31343" spans="1:5" x14ac:dyDescent="0.2">
      <c r="A31343">
        <v>98593</v>
      </c>
      <c r="B31343" t="s">
        <v>54</v>
      </c>
      <c r="C31343">
        <v>98593</v>
      </c>
      <c r="D31343" t="str">
        <f>"98593"</f>
        <v>98593</v>
      </c>
      <c r="E31343">
        <v>68.89</v>
      </c>
    </row>
    <row r="31344" spans="1:5" x14ac:dyDescent="0.2">
      <c r="A31344">
        <v>98595</v>
      </c>
      <c r="B31344" t="s">
        <v>54</v>
      </c>
      <c r="C31344">
        <v>98595</v>
      </c>
      <c r="D31344" t="str">
        <f>"98595"</f>
        <v>98595</v>
      </c>
      <c r="E31344">
        <v>68.150000000000006</v>
      </c>
    </row>
    <row r="31345" spans="1:5" x14ac:dyDescent="0.2">
      <c r="A31345">
        <v>98596</v>
      </c>
      <c r="B31345" t="s">
        <v>54</v>
      </c>
      <c r="C31345">
        <v>98596</v>
      </c>
      <c r="D31345" t="str">
        <f>"98596"</f>
        <v>98596</v>
      </c>
      <c r="E31345">
        <v>72.86</v>
      </c>
    </row>
    <row r="31346" spans="1:5" x14ac:dyDescent="0.2">
      <c r="A31346">
        <v>98597</v>
      </c>
      <c r="B31346" t="s">
        <v>54</v>
      </c>
      <c r="C31346">
        <v>98597</v>
      </c>
      <c r="D31346" t="str">
        <f>"98597"</f>
        <v>98597</v>
      </c>
      <c r="E31346">
        <v>73.099999999999994</v>
      </c>
    </row>
    <row r="31347" spans="1:5" x14ac:dyDescent="0.2">
      <c r="A31347">
        <v>98601</v>
      </c>
      <c r="B31347" t="s">
        <v>54</v>
      </c>
      <c r="C31347">
        <v>98601</v>
      </c>
      <c r="D31347" t="str">
        <f>"98601"</f>
        <v>98601</v>
      </c>
      <c r="E31347">
        <v>76.97</v>
      </c>
    </row>
    <row r="31348" spans="1:5" x14ac:dyDescent="0.2">
      <c r="A31348">
        <v>98602</v>
      </c>
      <c r="B31348" t="s">
        <v>54</v>
      </c>
      <c r="C31348">
        <v>98602</v>
      </c>
      <c r="D31348" t="str">
        <f>"98602"</f>
        <v>98602</v>
      </c>
      <c r="E31348" t="s">
        <v>6</v>
      </c>
    </row>
    <row r="31349" spans="1:5" x14ac:dyDescent="0.2">
      <c r="A31349">
        <v>98603</v>
      </c>
      <c r="B31349" t="s">
        <v>54</v>
      </c>
      <c r="C31349">
        <v>98603</v>
      </c>
      <c r="D31349" t="str">
        <f>"98603"</f>
        <v>98603</v>
      </c>
      <c r="E31349">
        <v>80.95</v>
      </c>
    </row>
    <row r="31350" spans="1:5" x14ac:dyDescent="0.2">
      <c r="A31350">
        <v>98604</v>
      </c>
      <c r="B31350" t="s">
        <v>54</v>
      </c>
      <c r="C31350">
        <v>98604</v>
      </c>
      <c r="D31350" t="str">
        <f>"98604"</f>
        <v>98604</v>
      </c>
      <c r="E31350">
        <v>78.31</v>
      </c>
    </row>
    <row r="31351" spans="1:5" x14ac:dyDescent="0.2">
      <c r="A31351">
        <v>98605</v>
      </c>
      <c r="B31351" t="s">
        <v>54</v>
      </c>
      <c r="C31351">
        <v>98605</v>
      </c>
      <c r="D31351" t="str">
        <f>"98605"</f>
        <v>98605</v>
      </c>
      <c r="E31351">
        <v>73.61</v>
      </c>
    </row>
    <row r="31352" spans="1:5" x14ac:dyDescent="0.2">
      <c r="A31352">
        <v>98606</v>
      </c>
      <c r="B31352" t="s">
        <v>54</v>
      </c>
      <c r="C31352">
        <v>98606</v>
      </c>
      <c r="D31352" t="str">
        <f>"98606"</f>
        <v>98606</v>
      </c>
      <c r="E31352">
        <v>80.48</v>
      </c>
    </row>
    <row r="31353" spans="1:5" x14ac:dyDescent="0.2">
      <c r="A31353">
        <v>98607</v>
      </c>
      <c r="B31353" t="s">
        <v>54</v>
      </c>
      <c r="C31353">
        <v>98607</v>
      </c>
      <c r="D31353" t="str">
        <f>"98607"</f>
        <v>98607</v>
      </c>
      <c r="E31353">
        <v>81.510000000000005</v>
      </c>
    </row>
    <row r="31354" spans="1:5" x14ac:dyDescent="0.2">
      <c r="A31354">
        <v>98609</v>
      </c>
      <c r="B31354" t="s">
        <v>54</v>
      </c>
      <c r="C31354">
        <v>98609</v>
      </c>
      <c r="D31354" t="str">
        <f>"98609"</f>
        <v>98609</v>
      </c>
      <c r="E31354" t="s">
        <v>6</v>
      </c>
    </row>
    <row r="31355" spans="1:5" x14ac:dyDescent="0.2">
      <c r="A31355">
        <v>98610</v>
      </c>
      <c r="B31355" t="s">
        <v>54</v>
      </c>
      <c r="C31355">
        <v>98610</v>
      </c>
      <c r="D31355" t="str">
        <f>"98610"</f>
        <v>98610</v>
      </c>
      <c r="E31355">
        <v>72.87</v>
      </c>
    </row>
    <row r="31356" spans="1:5" x14ac:dyDescent="0.2">
      <c r="A31356">
        <v>98611</v>
      </c>
      <c r="B31356" t="s">
        <v>54</v>
      </c>
      <c r="C31356">
        <v>98611</v>
      </c>
      <c r="D31356" t="str">
        <f>"98611"</f>
        <v>98611</v>
      </c>
      <c r="E31356">
        <v>77.260000000000005</v>
      </c>
    </row>
    <row r="31357" spans="1:5" x14ac:dyDescent="0.2">
      <c r="A31357">
        <v>98612</v>
      </c>
      <c r="B31357" t="s">
        <v>54</v>
      </c>
      <c r="C31357">
        <v>98612</v>
      </c>
      <c r="D31357" t="str">
        <f>"98612"</f>
        <v>98612</v>
      </c>
      <c r="E31357">
        <v>71.430000000000007</v>
      </c>
    </row>
    <row r="31358" spans="1:5" x14ac:dyDescent="0.2">
      <c r="A31358">
        <v>98613</v>
      </c>
      <c r="B31358" t="s">
        <v>54</v>
      </c>
      <c r="C31358">
        <v>98613</v>
      </c>
      <c r="D31358" t="str">
        <f>"98613"</f>
        <v>98613</v>
      </c>
      <c r="E31358">
        <v>72.22</v>
      </c>
    </row>
    <row r="31359" spans="1:5" x14ac:dyDescent="0.2">
      <c r="A31359">
        <v>98614</v>
      </c>
      <c r="B31359" t="s">
        <v>54</v>
      </c>
      <c r="C31359">
        <v>98614</v>
      </c>
      <c r="D31359" t="str">
        <f>"98614"</f>
        <v>98614</v>
      </c>
      <c r="E31359" t="s">
        <v>6</v>
      </c>
    </row>
    <row r="31360" spans="1:5" x14ac:dyDescent="0.2">
      <c r="A31360">
        <v>98616</v>
      </c>
      <c r="B31360" t="s">
        <v>54</v>
      </c>
      <c r="C31360">
        <v>98616</v>
      </c>
      <c r="D31360" t="str">
        <f>"98616"</f>
        <v>98616</v>
      </c>
      <c r="E31360">
        <v>84.62</v>
      </c>
    </row>
    <row r="31361" spans="1:5" x14ac:dyDescent="0.2">
      <c r="A31361">
        <v>98617</v>
      </c>
      <c r="B31361" t="s">
        <v>54</v>
      </c>
      <c r="C31361">
        <v>98617</v>
      </c>
      <c r="D31361" t="str">
        <f>"98617"</f>
        <v>98617</v>
      </c>
      <c r="E31361" t="s">
        <v>6</v>
      </c>
    </row>
    <row r="31362" spans="1:5" x14ac:dyDescent="0.2">
      <c r="A31362">
        <v>98619</v>
      </c>
      <c r="B31362" t="s">
        <v>54</v>
      </c>
      <c r="C31362">
        <v>98619</v>
      </c>
      <c r="D31362" t="str">
        <f>"98619"</f>
        <v>98619</v>
      </c>
      <c r="E31362">
        <v>75</v>
      </c>
    </row>
    <row r="31363" spans="1:5" x14ac:dyDescent="0.2">
      <c r="A31363">
        <v>98620</v>
      </c>
      <c r="B31363" t="s">
        <v>54</v>
      </c>
      <c r="C31363">
        <v>98620</v>
      </c>
      <c r="D31363" t="str">
        <f>"98620"</f>
        <v>98620</v>
      </c>
      <c r="E31363">
        <v>69.45</v>
      </c>
    </row>
    <row r="31364" spans="1:5" x14ac:dyDescent="0.2">
      <c r="A31364">
        <v>98621</v>
      </c>
      <c r="B31364" t="s">
        <v>54</v>
      </c>
      <c r="C31364">
        <v>98621</v>
      </c>
      <c r="D31364" t="str">
        <f>"98621"</f>
        <v>98621</v>
      </c>
      <c r="E31364" t="s">
        <v>6</v>
      </c>
    </row>
    <row r="31365" spans="1:5" x14ac:dyDescent="0.2">
      <c r="A31365">
        <v>98623</v>
      </c>
      <c r="B31365" t="s">
        <v>54</v>
      </c>
      <c r="C31365">
        <v>98623</v>
      </c>
      <c r="D31365" t="str">
        <f>"98623"</f>
        <v>98623</v>
      </c>
      <c r="E31365" t="s">
        <v>6</v>
      </c>
    </row>
    <row r="31366" spans="1:5" x14ac:dyDescent="0.2">
      <c r="A31366">
        <v>98624</v>
      </c>
      <c r="B31366" t="s">
        <v>54</v>
      </c>
      <c r="C31366">
        <v>98624</v>
      </c>
      <c r="D31366" t="str">
        <f>"98624"</f>
        <v>98624</v>
      </c>
      <c r="E31366">
        <v>73.849999999999994</v>
      </c>
    </row>
    <row r="31367" spans="1:5" x14ac:dyDescent="0.2">
      <c r="A31367">
        <v>98625</v>
      </c>
      <c r="B31367" t="s">
        <v>54</v>
      </c>
      <c r="C31367">
        <v>98625</v>
      </c>
      <c r="D31367" t="str">
        <f>"98625"</f>
        <v>98625</v>
      </c>
      <c r="E31367">
        <v>79.64</v>
      </c>
    </row>
    <row r="31368" spans="1:5" x14ac:dyDescent="0.2">
      <c r="A31368">
        <v>98626</v>
      </c>
      <c r="B31368" t="s">
        <v>54</v>
      </c>
      <c r="C31368">
        <v>98626</v>
      </c>
      <c r="D31368" t="str">
        <f>"98626"</f>
        <v>98626</v>
      </c>
      <c r="E31368">
        <v>71.180000000000007</v>
      </c>
    </row>
    <row r="31369" spans="1:5" x14ac:dyDescent="0.2">
      <c r="A31369">
        <v>98628</v>
      </c>
      <c r="B31369" t="s">
        <v>54</v>
      </c>
      <c r="C31369">
        <v>98628</v>
      </c>
      <c r="D31369" t="str">
        <f>"98628"</f>
        <v>98628</v>
      </c>
      <c r="E31369">
        <v>65</v>
      </c>
    </row>
    <row r="31370" spans="1:5" x14ac:dyDescent="0.2">
      <c r="A31370">
        <v>98629</v>
      </c>
      <c r="B31370" t="s">
        <v>54</v>
      </c>
      <c r="C31370">
        <v>98629</v>
      </c>
      <c r="D31370" t="str">
        <f>"98629"</f>
        <v>98629</v>
      </c>
      <c r="E31370">
        <v>79.56</v>
      </c>
    </row>
    <row r="31371" spans="1:5" x14ac:dyDescent="0.2">
      <c r="A31371">
        <v>98631</v>
      </c>
      <c r="B31371" t="s">
        <v>54</v>
      </c>
      <c r="C31371">
        <v>98631</v>
      </c>
      <c r="D31371" t="str">
        <f>"98631"</f>
        <v>98631</v>
      </c>
      <c r="E31371">
        <v>72.83</v>
      </c>
    </row>
    <row r="31372" spans="1:5" x14ac:dyDescent="0.2">
      <c r="A31372">
        <v>98632</v>
      </c>
      <c r="B31372" t="s">
        <v>54</v>
      </c>
      <c r="C31372">
        <v>98632</v>
      </c>
      <c r="D31372" t="str">
        <f>"98632"</f>
        <v>98632</v>
      </c>
      <c r="E31372">
        <v>71.930000000000007</v>
      </c>
    </row>
    <row r="31373" spans="1:5" x14ac:dyDescent="0.2">
      <c r="A31373">
        <v>98635</v>
      </c>
      <c r="B31373" t="s">
        <v>54</v>
      </c>
      <c r="C31373">
        <v>98635</v>
      </c>
      <c r="D31373" t="str">
        <f>"98635"</f>
        <v>98635</v>
      </c>
      <c r="E31373">
        <v>72.5</v>
      </c>
    </row>
    <row r="31374" spans="1:5" x14ac:dyDescent="0.2">
      <c r="A31374">
        <v>98638</v>
      </c>
      <c r="B31374" t="s">
        <v>54</v>
      </c>
      <c r="C31374">
        <v>98638</v>
      </c>
      <c r="D31374" t="str">
        <f>"98638"</f>
        <v>98638</v>
      </c>
      <c r="E31374">
        <v>76.12</v>
      </c>
    </row>
    <row r="31375" spans="1:5" x14ac:dyDescent="0.2">
      <c r="A31375">
        <v>98639</v>
      </c>
      <c r="B31375" t="s">
        <v>54</v>
      </c>
      <c r="C31375">
        <v>98639</v>
      </c>
      <c r="D31375" t="str">
        <f>"98639"</f>
        <v>98639</v>
      </c>
      <c r="E31375" t="s">
        <v>6</v>
      </c>
    </row>
    <row r="31376" spans="1:5" x14ac:dyDescent="0.2">
      <c r="A31376">
        <v>98640</v>
      </c>
      <c r="B31376" t="s">
        <v>54</v>
      </c>
      <c r="C31376">
        <v>98640</v>
      </c>
      <c r="D31376" t="str">
        <f>"98640"</f>
        <v>98640</v>
      </c>
      <c r="E31376">
        <v>71.16</v>
      </c>
    </row>
    <row r="31377" spans="1:5" x14ac:dyDescent="0.2">
      <c r="A31377">
        <v>98641</v>
      </c>
      <c r="B31377" t="s">
        <v>54</v>
      </c>
      <c r="C31377">
        <v>98641</v>
      </c>
      <c r="D31377" t="str">
        <f>"98641"</f>
        <v>98641</v>
      </c>
      <c r="E31377" t="s">
        <v>6</v>
      </c>
    </row>
    <row r="31378" spans="1:5" x14ac:dyDescent="0.2">
      <c r="A31378">
        <v>98642</v>
      </c>
      <c r="B31378" t="s">
        <v>54</v>
      </c>
      <c r="C31378">
        <v>98642</v>
      </c>
      <c r="D31378" t="str">
        <f>"98642"</f>
        <v>98642</v>
      </c>
      <c r="E31378">
        <v>81.12</v>
      </c>
    </row>
    <row r="31379" spans="1:5" x14ac:dyDescent="0.2">
      <c r="A31379">
        <v>98643</v>
      </c>
      <c r="B31379" t="s">
        <v>54</v>
      </c>
      <c r="C31379">
        <v>98643</v>
      </c>
      <c r="D31379" t="str">
        <f>"98643"</f>
        <v>98643</v>
      </c>
      <c r="E31379">
        <v>66.67</v>
      </c>
    </row>
    <row r="31380" spans="1:5" x14ac:dyDescent="0.2">
      <c r="A31380">
        <v>98644</v>
      </c>
      <c r="B31380" t="s">
        <v>54</v>
      </c>
      <c r="C31380">
        <v>98644</v>
      </c>
      <c r="D31380" t="str">
        <f>"98644"</f>
        <v>98644</v>
      </c>
      <c r="E31380" t="s">
        <v>6</v>
      </c>
    </row>
    <row r="31381" spans="1:5" x14ac:dyDescent="0.2">
      <c r="A31381">
        <v>98645</v>
      </c>
      <c r="B31381" t="s">
        <v>54</v>
      </c>
      <c r="C31381">
        <v>98645</v>
      </c>
      <c r="D31381" t="str">
        <f>"98645"</f>
        <v>98645</v>
      </c>
      <c r="E31381">
        <v>76.19</v>
      </c>
    </row>
    <row r="31382" spans="1:5" x14ac:dyDescent="0.2">
      <c r="A31382">
        <v>98647</v>
      </c>
      <c r="B31382" t="s">
        <v>54</v>
      </c>
      <c r="C31382">
        <v>98647</v>
      </c>
      <c r="D31382" t="str">
        <f>"98647"</f>
        <v>98647</v>
      </c>
      <c r="E31382">
        <v>55.56</v>
      </c>
    </row>
    <row r="31383" spans="1:5" x14ac:dyDescent="0.2">
      <c r="A31383">
        <v>98648</v>
      </c>
      <c r="B31383" t="s">
        <v>54</v>
      </c>
      <c r="C31383">
        <v>98648</v>
      </c>
      <c r="D31383" t="str">
        <f>"98648"</f>
        <v>98648</v>
      </c>
      <c r="E31383">
        <v>77.400000000000006</v>
      </c>
    </row>
    <row r="31384" spans="1:5" x14ac:dyDescent="0.2">
      <c r="A31384">
        <v>98649</v>
      </c>
      <c r="B31384" t="s">
        <v>54</v>
      </c>
      <c r="C31384">
        <v>98649</v>
      </c>
      <c r="D31384" t="str">
        <f>"98649"</f>
        <v>98649</v>
      </c>
      <c r="E31384">
        <v>78.849999999999994</v>
      </c>
    </row>
    <row r="31385" spans="1:5" x14ac:dyDescent="0.2">
      <c r="A31385">
        <v>98650</v>
      </c>
      <c r="B31385" t="s">
        <v>54</v>
      </c>
      <c r="C31385">
        <v>98650</v>
      </c>
      <c r="D31385" t="str">
        <f>"98650"</f>
        <v>98650</v>
      </c>
      <c r="E31385">
        <v>71.7</v>
      </c>
    </row>
    <row r="31386" spans="1:5" x14ac:dyDescent="0.2">
      <c r="A31386">
        <v>98651</v>
      </c>
      <c r="B31386" t="s">
        <v>54</v>
      </c>
      <c r="C31386">
        <v>98651</v>
      </c>
      <c r="D31386" t="str">
        <f>"98651"</f>
        <v>98651</v>
      </c>
      <c r="E31386">
        <v>79.069999999999993</v>
      </c>
    </row>
    <row r="31387" spans="1:5" x14ac:dyDescent="0.2">
      <c r="A31387">
        <v>98660</v>
      </c>
      <c r="B31387" t="s">
        <v>54</v>
      </c>
      <c r="C31387">
        <v>98660</v>
      </c>
      <c r="D31387" t="str">
        <f>"98660"</f>
        <v>98660</v>
      </c>
      <c r="E31387">
        <v>77.400000000000006</v>
      </c>
    </row>
    <row r="31388" spans="1:5" x14ac:dyDescent="0.2">
      <c r="A31388">
        <v>98661</v>
      </c>
      <c r="B31388" t="s">
        <v>54</v>
      </c>
      <c r="C31388">
        <v>98661</v>
      </c>
      <c r="D31388" t="str">
        <f>"98661"</f>
        <v>98661</v>
      </c>
      <c r="E31388">
        <v>72.08</v>
      </c>
    </row>
    <row r="31389" spans="1:5" x14ac:dyDescent="0.2">
      <c r="A31389">
        <v>98662</v>
      </c>
      <c r="B31389" t="s">
        <v>54</v>
      </c>
      <c r="C31389">
        <v>98662</v>
      </c>
      <c r="D31389" t="str">
        <f>"98662"</f>
        <v>98662</v>
      </c>
      <c r="E31389">
        <v>75.599999999999994</v>
      </c>
    </row>
    <row r="31390" spans="1:5" x14ac:dyDescent="0.2">
      <c r="A31390">
        <v>98663</v>
      </c>
      <c r="B31390" t="s">
        <v>54</v>
      </c>
      <c r="C31390">
        <v>98663</v>
      </c>
      <c r="D31390" t="str">
        <f>"98663"</f>
        <v>98663</v>
      </c>
      <c r="E31390">
        <v>77.22</v>
      </c>
    </row>
    <row r="31391" spans="1:5" x14ac:dyDescent="0.2">
      <c r="A31391">
        <v>98664</v>
      </c>
      <c r="B31391" t="s">
        <v>54</v>
      </c>
      <c r="C31391">
        <v>98664</v>
      </c>
      <c r="D31391" t="str">
        <f>"98664"</f>
        <v>98664</v>
      </c>
      <c r="E31391">
        <v>76.56</v>
      </c>
    </row>
    <row r="31392" spans="1:5" x14ac:dyDescent="0.2">
      <c r="A31392">
        <v>98665</v>
      </c>
      <c r="B31392" t="s">
        <v>54</v>
      </c>
      <c r="C31392">
        <v>98665</v>
      </c>
      <c r="D31392" t="str">
        <f>"98665"</f>
        <v>98665</v>
      </c>
      <c r="E31392">
        <v>76.790000000000006</v>
      </c>
    </row>
    <row r="31393" spans="1:5" x14ac:dyDescent="0.2">
      <c r="A31393">
        <v>98670</v>
      </c>
      <c r="B31393" t="s">
        <v>54</v>
      </c>
      <c r="C31393">
        <v>98670</v>
      </c>
      <c r="D31393" t="str">
        <f>"98670"</f>
        <v>98670</v>
      </c>
      <c r="E31393" t="s">
        <v>6</v>
      </c>
    </row>
    <row r="31394" spans="1:5" x14ac:dyDescent="0.2">
      <c r="A31394">
        <v>98671</v>
      </c>
      <c r="B31394" t="s">
        <v>54</v>
      </c>
      <c r="C31394">
        <v>98671</v>
      </c>
      <c r="D31394" t="str">
        <f>"98671"</f>
        <v>98671</v>
      </c>
      <c r="E31394">
        <v>79.34</v>
      </c>
    </row>
    <row r="31395" spans="1:5" x14ac:dyDescent="0.2">
      <c r="A31395">
        <v>98672</v>
      </c>
      <c r="B31395" t="s">
        <v>54</v>
      </c>
      <c r="C31395">
        <v>98672</v>
      </c>
      <c r="D31395" t="str">
        <f>"98672"</f>
        <v>98672</v>
      </c>
      <c r="E31395">
        <v>77.88</v>
      </c>
    </row>
    <row r="31396" spans="1:5" x14ac:dyDescent="0.2">
      <c r="A31396">
        <v>98673</v>
      </c>
      <c r="B31396" t="s">
        <v>54</v>
      </c>
      <c r="C31396">
        <v>98673</v>
      </c>
      <c r="D31396" t="str">
        <f>"98673"</f>
        <v>98673</v>
      </c>
      <c r="E31396" t="s">
        <v>6</v>
      </c>
    </row>
    <row r="31397" spans="1:5" x14ac:dyDescent="0.2">
      <c r="A31397">
        <v>98674</v>
      </c>
      <c r="B31397" t="s">
        <v>54</v>
      </c>
      <c r="C31397">
        <v>98674</v>
      </c>
      <c r="D31397" t="str">
        <f>"98674"</f>
        <v>98674</v>
      </c>
      <c r="E31397">
        <v>76.19</v>
      </c>
    </row>
    <row r="31398" spans="1:5" x14ac:dyDescent="0.2">
      <c r="A31398">
        <v>98675</v>
      </c>
      <c r="B31398" t="s">
        <v>54</v>
      </c>
      <c r="C31398">
        <v>98675</v>
      </c>
      <c r="D31398" t="str">
        <f>"98675"</f>
        <v>98675</v>
      </c>
      <c r="E31398">
        <v>78.040000000000006</v>
      </c>
    </row>
    <row r="31399" spans="1:5" x14ac:dyDescent="0.2">
      <c r="A31399">
        <v>98682</v>
      </c>
      <c r="B31399" t="s">
        <v>54</v>
      </c>
      <c r="C31399">
        <v>98682</v>
      </c>
      <c r="D31399" t="str">
        <f>"98682"</f>
        <v>98682</v>
      </c>
      <c r="E31399">
        <v>75.37</v>
      </c>
    </row>
    <row r="31400" spans="1:5" x14ac:dyDescent="0.2">
      <c r="A31400">
        <v>98683</v>
      </c>
      <c r="B31400" t="s">
        <v>54</v>
      </c>
      <c r="C31400">
        <v>98683</v>
      </c>
      <c r="D31400" t="str">
        <f>"98683"</f>
        <v>98683</v>
      </c>
      <c r="E31400">
        <v>78.900000000000006</v>
      </c>
    </row>
    <row r="31401" spans="1:5" x14ac:dyDescent="0.2">
      <c r="A31401">
        <v>98684</v>
      </c>
      <c r="B31401" t="s">
        <v>54</v>
      </c>
      <c r="C31401">
        <v>98684</v>
      </c>
      <c r="D31401" t="str">
        <f>"98684"</f>
        <v>98684</v>
      </c>
      <c r="E31401">
        <v>76.650000000000006</v>
      </c>
    </row>
    <row r="31402" spans="1:5" x14ac:dyDescent="0.2">
      <c r="A31402">
        <v>98685</v>
      </c>
      <c r="B31402" t="s">
        <v>54</v>
      </c>
      <c r="C31402">
        <v>98685</v>
      </c>
      <c r="D31402" t="str">
        <f>"98685"</f>
        <v>98685</v>
      </c>
      <c r="E31402">
        <v>81.290000000000006</v>
      </c>
    </row>
    <row r="31403" spans="1:5" x14ac:dyDescent="0.2">
      <c r="A31403">
        <v>98686</v>
      </c>
      <c r="B31403" t="s">
        <v>54</v>
      </c>
      <c r="C31403">
        <v>98686</v>
      </c>
      <c r="D31403" t="str">
        <f>"98686"</f>
        <v>98686</v>
      </c>
      <c r="E31403">
        <v>80.290000000000006</v>
      </c>
    </row>
    <row r="31404" spans="1:5" x14ac:dyDescent="0.2">
      <c r="A31404">
        <v>98801</v>
      </c>
      <c r="B31404" t="s">
        <v>54</v>
      </c>
      <c r="C31404">
        <v>98801</v>
      </c>
      <c r="D31404" t="str">
        <f>"98801"</f>
        <v>98801</v>
      </c>
      <c r="E31404">
        <v>71.7</v>
      </c>
    </row>
    <row r="31405" spans="1:5" x14ac:dyDescent="0.2">
      <c r="A31405">
        <v>98802</v>
      </c>
      <c r="B31405" t="s">
        <v>54</v>
      </c>
      <c r="C31405">
        <v>98802</v>
      </c>
      <c r="D31405" t="str">
        <f>"98802"</f>
        <v>98802</v>
      </c>
      <c r="E31405">
        <v>73.88</v>
      </c>
    </row>
    <row r="31406" spans="1:5" x14ac:dyDescent="0.2">
      <c r="A31406">
        <v>98812</v>
      </c>
      <c r="B31406" t="s">
        <v>54</v>
      </c>
      <c r="C31406">
        <v>98812</v>
      </c>
      <c r="D31406" t="str">
        <f>"98812"</f>
        <v>98812</v>
      </c>
      <c r="E31406">
        <v>59.48</v>
      </c>
    </row>
    <row r="31407" spans="1:5" x14ac:dyDescent="0.2">
      <c r="A31407">
        <v>98813</v>
      </c>
      <c r="B31407" t="s">
        <v>54</v>
      </c>
      <c r="C31407">
        <v>98813</v>
      </c>
      <c r="D31407" t="str">
        <f>"98813"</f>
        <v>98813</v>
      </c>
      <c r="E31407">
        <v>31.25</v>
      </c>
    </row>
    <row r="31408" spans="1:5" x14ac:dyDescent="0.2">
      <c r="A31408">
        <v>98814</v>
      </c>
      <c r="B31408" t="s">
        <v>54</v>
      </c>
      <c r="C31408">
        <v>98814</v>
      </c>
      <c r="D31408" t="str">
        <f>"98814"</f>
        <v>98814</v>
      </c>
      <c r="E31408">
        <v>80.95</v>
      </c>
    </row>
    <row r="31409" spans="1:5" x14ac:dyDescent="0.2">
      <c r="A31409">
        <v>98815</v>
      </c>
      <c r="B31409" t="s">
        <v>54</v>
      </c>
      <c r="C31409">
        <v>98815</v>
      </c>
      <c r="D31409" t="str">
        <f>"98815"</f>
        <v>98815</v>
      </c>
      <c r="E31409">
        <v>73.510000000000005</v>
      </c>
    </row>
    <row r="31410" spans="1:5" x14ac:dyDescent="0.2">
      <c r="A31410">
        <v>98816</v>
      </c>
      <c r="B31410" t="s">
        <v>54</v>
      </c>
      <c r="C31410">
        <v>98816</v>
      </c>
      <c r="D31410" t="str">
        <f>"98816"</f>
        <v>98816</v>
      </c>
      <c r="E31410">
        <v>70.239999999999995</v>
      </c>
    </row>
    <row r="31411" spans="1:5" x14ac:dyDescent="0.2">
      <c r="A31411">
        <v>98817</v>
      </c>
      <c r="B31411" t="s">
        <v>54</v>
      </c>
      <c r="C31411">
        <v>98817</v>
      </c>
      <c r="D31411" t="str">
        <f>"98817"</f>
        <v>98817</v>
      </c>
      <c r="E31411" t="s">
        <v>6</v>
      </c>
    </row>
    <row r="31412" spans="1:5" x14ac:dyDescent="0.2">
      <c r="A31412">
        <v>98819</v>
      </c>
      <c r="B31412" t="s">
        <v>54</v>
      </c>
      <c r="C31412">
        <v>98819</v>
      </c>
      <c r="D31412" t="str">
        <f>"98819"</f>
        <v>98819</v>
      </c>
      <c r="E31412" t="s">
        <v>6</v>
      </c>
    </row>
    <row r="31413" spans="1:5" x14ac:dyDescent="0.2">
      <c r="A31413">
        <v>98821</v>
      </c>
      <c r="B31413" t="s">
        <v>54</v>
      </c>
      <c r="C31413">
        <v>98821</v>
      </c>
      <c r="D31413" t="str">
        <f>"98821"</f>
        <v>98821</v>
      </c>
      <c r="E31413" t="s">
        <v>6</v>
      </c>
    </row>
    <row r="31414" spans="1:5" x14ac:dyDescent="0.2">
      <c r="A31414">
        <v>98822</v>
      </c>
      <c r="B31414" t="s">
        <v>54</v>
      </c>
      <c r="C31414">
        <v>98822</v>
      </c>
      <c r="D31414" t="str">
        <f>"98822"</f>
        <v>98822</v>
      </c>
      <c r="E31414">
        <v>69.39</v>
      </c>
    </row>
    <row r="31415" spans="1:5" x14ac:dyDescent="0.2">
      <c r="A31415">
        <v>98823</v>
      </c>
      <c r="B31415" t="s">
        <v>54</v>
      </c>
      <c r="C31415">
        <v>98823</v>
      </c>
      <c r="D31415" t="str">
        <f>"98823"</f>
        <v>98823</v>
      </c>
      <c r="E31415">
        <v>70.59</v>
      </c>
    </row>
    <row r="31416" spans="1:5" x14ac:dyDescent="0.2">
      <c r="A31416">
        <v>98824</v>
      </c>
      <c r="B31416" t="s">
        <v>54</v>
      </c>
      <c r="C31416">
        <v>98824</v>
      </c>
      <c r="D31416" t="str">
        <f>"98824"</f>
        <v>98824</v>
      </c>
      <c r="E31416" t="s">
        <v>6</v>
      </c>
    </row>
    <row r="31417" spans="1:5" x14ac:dyDescent="0.2">
      <c r="A31417">
        <v>98826</v>
      </c>
      <c r="B31417" t="s">
        <v>54</v>
      </c>
      <c r="C31417">
        <v>98826</v>
      </c>
      <c r="D31417" t="str">
        <f>"98826"</f>
        <v>98826</v>
      </c>
      <c r="E31417">
        <v>76.84</v>
      </c>
    </row>
    <row r="31418" spans="1:5" x14ac:dyDescent="0.2">
      <c r="A31418">
        <v>98827</v>
      </c>
      <c r="B31418" t="s">
        <v>54</v>
      </c>
      <c r="C31418">
        <v>98827</v>
      </c>
      <c r="D31418" t="str">
        <f>"98827"</f>
        <v>98827</v>
      </c>
      <c r="E31418">
        <v>66.67</v>
      </c>
    </row>
    <row r="31419" spans="1:5" x14ac:dyDescent="0.2">
      <c r="A31419">
        <v>98828</v>
      </c>
      <c r="B31419" t="s">
        <v>54</v>
      </c>
      <c r="C31419">
        <v>98828</v>
      </c>
      <c r="D31419" t="str">
        <f>"98828"</f>
        <v>98828</v>
      </c>
      <c r="E31419">
        <v>71.680000000000007</v>
      </c>
    </row>
    <row r="31420" spans="1:5" x14ac:dyDescent="0.2">
      <c r="A31420">
        <v>98829</v>
      </c>
      <c r="B31420" t="s">
        <v>54</v>
      </c>
      <c r="C31420">
        <v>98829</v>
      </c>
      <c r="D31420" t="str">
        <f>"98829"</f>
        <v>98829</v>
      </c>
      <c r="E31420" t="s">
        <v>6</v>
      </c>
    </row>
    <row r="31421" spans="1:5" x14ac:dyDescent="0.2">
      <c r="A31421">
        <v>98830</v>
      </c>
      <c r="B31421" t="s">
        <v>54</v>
      </c>
      <c r="C31421">
        <v>98830</v>
      </c>
      <c r="D31421" t="str">
        <f>"98830"</f>
        <v>98830</v>
      </c>
      <c r="E31421">
        <v>70</v>
      </c>
    </row>
    <row r="31422" spans="1:5" x14ac:dyDescent="0.2">
      <c r="A31422">
        <v>98831</v>
      </c>
      <c r="B31422" t="s">
        <v>54</v>
      </c>
      <c r="C31422">
        <v>98831</v>
      </c>
      <c r="D31422" t="str">
        <f>"98831"</f>
        <v>98831</v>
      </c>
      <c r="E31422">
        <v>67.260000000000005</v>
      </c>
    </row>
    <row r="31423" spans="1:5" x14ac:dyDescent="0.2">
      <c r="A31423">
        <v>98832</v>
      </c>
      <c r="B31423" t="s">
        <v>54</v>
      </c>
      <c r="C31423">
        <v>98832</v>
      </c>
      <c r="D31423" t="str">
        <f>"98832"</f>
        <v>98832</v>
      </c>
      <c r="E31423">
        <v>90.48</v>
      </c>
    </row>
    <row r="31424" spans="1:5" x14ac:dyDescent="0.2">
      <c r="A31424">
        <v>98833</v>
      </c>
      <c r="B31424" t="s">
        <v>54</v>
      </c>
      <c r="C31424">
        <v>98833</v>
      </c>
      <c r="D31424" t="str">
        <f>"98833"</f>
        <v>98833</v>
      </c>
      <c r="E31424" t="s">
        <v>6</v>
      </c>
    </row>
    <row r="31425" spans="1:5" x14ac:dyDescent="0.2">
      <c r="A31425">
        <v>98834</v>
      </c>
      <c r="B31425" t="s">
        <v>54</v>
      </c>
      <c r="C31425">
        <v>98834</v>
      </c>
      <c r="D31425" t="str">
        <f>"98834"</f>
        <v>98834</v>
      </c>
      <c r="E31425" t="s">
        <v>6</v>
      </c>
    </row>
    <row r="31426" spans="1:5" x14ac:dyDescent="0.2">
      <c r="A31426">
        <v>98836</v>
      </c>
      <c r="B31426" t="s">
        <v>54</v>
      </c>
      <c r="C31426">
        <v>98836</v>
      </c>
      <c r="D31426" t="str">
        <f>"98836"</f>
        <v>98836</v>
      </c>
      <c r="E31426" t="s">
        <v>6</v>
      </c>
    </row>
    <row r="31427" spans="1:5" x14ac:dyDescent="0.2">
      <c r="A31427">
        <v>98837</v>
      </c>
      <c r="B31427" t="s">
        <v>54</v>
      </c>
      <c r="C31427">
        <v>98837</v>
      </c>
      <c r="D31427" t="str">
        <f>"98837"</f>
        <v>98837</v>
      </c>
      <c r="E31427">
        <v>68.34</v>
      </c>
    </row>
    <row r="31428" spans="1:5" x14ac:dyDescent="0.2">
      <c r="A31428">
        <v>98840</v>
      </c>
      <c r="B31428" t="s">
        <v>54</v>
      </c>
      <c r="C31428">
        <v>98840</v>
      </c>
      <c r="D31428" t="str">
        <f>"98840"</f>
        <v>98840</v>
      </c>
      <c r="E31428">
        <v>67.37</v>
      </c>
    </row>
    <row r="31429" spans="1:5" x14ac:dyDescent="0.2">
      <c r="A31429">
        <v>98841</v>
      </c>
      <c r="B31429" t="s">
        <v>54</v>
      </c>
      <c r="C31429">
        <v>98841</v>
      </c>
      <c r="D31429" t="str">
        <f>"98841"</f>
        <v>98841</v>
      </c>
      <c r="E31429">
        <v>64.72</v>
      </c>
    </row>
    <row r="31430" spans="1:5" x14ac:dyDescent="0.2">
      <c r="A31430">
        <v>98843</v>
      </c>
      <c r="B31430" t="s">
        <v>54</v>
      </c>
      <c r="C31430">
        <v>98843</v>
      </c>
      <c r="D31430" t="str">
        <f>"98843"</f>
        <v>98843</v>
      </c>
      <c r="E31430">
        <v>64.290000000000006</v>
      </c>
    </row>
    <row r="31431" spans="1:5" x14ac:dyDescent="0.2">
      <c r="A31431">
        <v>98844</v>
      </c>
      <c r="B31431" t="s">
        <v>54</v>
      </c>
      <c r="C31431">
        <v>98844</v>
      </c>
      <c r="D31431" t="str">
        <f>"98844"</f>
        <v>98844</v>
      </c>
      <c r="E31431">
        <v>63.58</v>
      </c>
    </row>
    <row r="31432" spans="1:5" x14ac:dyDescent="0.2">
      <c r="A31432">
        <v>98845</v>
      </c>
      <c r="B31432" t="s">
        <v>54</v>
      </c>
      <c r="C31432">
        <v>98845</v>
      </c>
      <c r="D31432" t="str">
        <f>"98845"</f>
        <v>98845</v>
      </c>
      <c r="E31432" t="s">
        <v>6</v>
      </c>
    </row>
    <row r="31433" spans="1:5" x14ac:dyDescent="0.2">
      <c r="A31433">
        <v>98846</v>
      </c>
      <c r="B31433" t="s">
        <v>54</v>
      </c>
      <c r="C31433">
        <v>98846</v>
      </c>
      <c r="D31433" t="str">
        <f>"98846"</f>
        <v>98846</v>
      </c>
      <c r="E31433">
        <v>72.22</v>
      </c>
    </row>
    <row r="31434" spans="1:5" x14ac:dyDescent="0.2">
      <c r="A31434">
        <v>98847</v>
      </c>
      <c r="B31434" t="s">
        <v>54</v>
      </c>
      <c r="C31434">
        <v>98847</v>
      </c>
      <c r="D31434" t="str">
        <f>"98847"</f>
        <v>98847</v>
      </c>
      <c r="E31434">
        <v>67.709999999999994</v>
      </c>
    </row>
    <row r="31435" spans="1:5" x14ac:dyDescent="0.2">
      <c r="A31435">
        <v>98848</v>
      </c>
      <c r="B31435" t="s">
        <v>54</v>
      </c>
      <c r="C31435">
        <v>98848</v>
      </c>
      <c r="D31435" t="str">
        <f>"98848"</f>
        <v>98848</v>
      </c>
      <c r="E31435">
        <v>59.66</v>
      </c>
    </row>
    <row r="31436" spans="1:5" x14ac:dyDescent="0.2">
      <c r="A31436">
        <v>98849</v>
      </c>
      <c r="B31436" t="s">
        <v>54</v>
      </c>
      <c r="C31436">
        <v>98849</v>
      </c>
      <c r="D31436" t="str">
        <f>"98849"</f>
        <v>98849</v>
      </c>
      <c r="E31436">
        <v>70.209999999999994</v>
      </c>
    </row>
    <row r="31437" spans="1:5" x14ac:dyDescent="0.2">
      <c r="A31437">
        <v>98850</v>
      </c>
      <c r="B31437" t="s">
        <v>54</v>
      </c>
      <c r="C31437">
        <v>98850</v>
      </c>
      <c r="D31437" t="str">
        <f>"98850"</f>
        <v>98850</v>
      </c>
      <c r="E31437">
        <v>61.45</v>
      </c>
    </row>
    <row r="31438" spans="1:5" x14ac:dyDescent="0.2">
      <c r="A31438">
        <v>98851</v>
      </c>
      <c r="B31438" t="s">
        <v>54</v>
      </c>
      <c r="C31438">
        <v>98851</v>
      </c>
      <c r="D31438" t="str">
        <f>"98851"</f>
        <v>98851</v>
      </c>
      <c r="E31438">
        <v>65.87</v>
      </c>
    </row>
    <row r="31439" spans="1:5" x14ac:dyDescent="0.2">
      <c r="A31439">
        <v>98852</v>
      </c>
      <c r="B31439" t="s">
        <v>54</v>
      </c>
      <c r="C31439">
        <v>98852</v>
      </c>
      <c r="D31439" t="str">
        <f>"98852"</f>
        <v>98852</v>
      </c>
      <c r="E31439" t="s">
        <v>6</v>
      </c>
    </row>
    <row r="31440" spans="1:5" x14ac:dyDescent="0.2">
      <c r="A31440">
        <v>98853</v>
      </c>
      <c r="B31440" t="s">
        <v>54</v>
      </c>
      <c r="C31440">
        <v>98853</v>
      </c>
      <c r="D31440" t="str">
        <f>"98853"</f>
        <v>98853</v>
      </c>
      <c r="E31440" t="s">
        <v>6</v>
      </c>
    </row>
    <row r="31441" spans="1:5" x14ac:dyDescent="0.2">
      <c r="A31441">
        <v>98855</v>
      </c>
      <c r="B31441" t="s">
        <v>54</v>
      </c>
      <c r="C31441">
        <v>98855</v>
      </c>
      <c r="D31441" t="str">
        <f>"98855"</f>
        <v>98855</v>
      </c>
      <c r="E31441">
        <v>62.45</v>
      </c>
    </row>
    <row r="31442" spans="1:5" x14ac:dyDescent="0.2">
      <c r="A31442">
        <v>98856</v>
      </c>
      <c r="B31442" t="s">
        <v>54</v>
      </c>
      <c r="C31442">
        <v>98856</v>
      </c>
      <c r="D31442" t="str">
        <f>"98856"</f>
        <v>98856</v>
      </c>
      <c r="E31442">
        <v>74.38</v>
      </c>
    </row>
    <row r="31443" spans="1:5" x14ac:dyDescent="0.2">
      <c r="A31443">
        <v>98857</v>
      </c>
      <c r="B31443" t="s">
        <v>54</v>
      </c>
      <c r="C31443">
        <v>98857</v>
      </c>
      <c r="D31443" t="str">
        <f>"98857"</f>
        <v>98857</v>
      </c>
      <c r="E31443">
        <v>65.680000000000007</v>
      </c>
    </row>
    <row r="31444" spans="1:5" x14ac:dyDescent="0.2">
      <c r="A31444">
        <v>98858</v>
      </c>
      <c r="B31444" t="s">
        <v>54</v>
      </c>
      <c r="C31444">
        <v>98858</v>
      </c>
      <c r="D31444" t="str">
        <f>"98858"</f>
        <v>98858</v>
      </c>
      <c r="E31444">
        <v>73.97</v>
      </c>
    </row>
    <row r="31445" spans="1:5" x14ac:dyDescent="0.2">
      <c r="A31445">
        <v>98859</v>
      </c>
      <c r="B31445" t="s">
        <v>54</v>
      </c>
      <c r="C31445">
        <v>98859</v>
      </c>
      <c r="D31445" t="str">
        <f>"98859"</f>
        <v>98859</v>
      </c>
      <c r="E31445" t="s">
        <v>6</v>
      </c>
    </row>
    <row r="31446" spans="1:5" x14ac:dyDescent="0.2">
      <c r="A31446">
        <v>98860</v>
      </c>
      <c r="B31446" t="s">
        <v>54</v>
      </c>
      <c r="C31446">
        <v>98860</v>
      </c>
      <c r="D31446" t="str">
        <f>"98860"</f>
        <v>98860</v>
      </c>
      <c r="E31446" t="s">
        <v>6</v>
      </c>
    </row>
    <row r="31447" spans="1:5" x14ac:dyDescent="0.2">
      <c r="A31447">
        <v>98862</v>
      </c>
      <c r="B31447" t="s">
        <v>54</v>
      </c>
      <c r="C31447">
        <v>98862</v>
      </c>
      <c r="D31447" t="str">
        <f>"98862"</f>
        <v>98862</v>
      </c>
      <c r="E31447">
        <v>79.14</v>
      </c>
    </row>
    <row r="31448" spans="1:5" x14ac:dyDescent="0.2">
      <c r="A31448">
        <v>98901</v>
      </c>
      <c r="B31448" t="s">
        <v>54</v>
      </c>
      <c r="C31448">
        <v>98901</v>
      </c>
      <c r="D31448" t="str">
        <f>"98901"</f>
        <v>98901</v>
      </c>
      <c r="E31448">
        <v>59.47</v>
      </c>
    </row>
    <row r="31449" spans="1:5" x14ac:dyDescent="0.2">
      <c r="A31449">
        <v>98902</v>
      </c>
      <c r="B31449" t="s">
        <v>54</v>
      </c>
      <c r="C31449">
        <v>98902</v>
      </c>
      <c r="D31449" t="str">
        <f>"98902"</f>
        <v>98902</v>
      </c>
      <c r="E31449">
        <v>62.52</v>
      </c>
    </row>
    <row r="31450" spans="1:5" x14ac:dyDescent="0.2">
      <c r="A31450">
        <v>98903</v>
      </c>
      <c r="B31450" t="s">
        <v>54</v>
      </c>
      <c r="C31450">
        <v>98903</v>
      </c>
      <c r="D31450" t="str">
        <f>"98903"</f>
        <v>98903</v>
      </c>
      <c r="E31450">
        <v>67.67</v>
      </c>
    </row>
    <row r="31451" spans="1:5" x14ac:dyDescent="0.2">
      <c r="A31451">
        <v>98908</v>
      </c>
      <c r="B31451" t="s">
        <v>54</v>
      </c>
      <c r="C31451">
        <v>98908</v>
      </c>
      <c r="D31451" t="str">
        <f>"98908"</f>
        <v>98908</v>
      </c>
      <c r="E31451">
        <v>76.150000000000006</v>
      </c>
    </row>
    <row r="31452" spans="1:5" x14ac:dyDescent="0.2">
      <c r="A31452">
        <v>98922</v>
      </c>
      <c r="B31452" t="s">
        <v>54</v>
      </c>
      <c r="C31452">
        <v>98922</v>
      </c>
      <c r="D31452" t="str">
        <f>"98922"</f>
        <v>98922</v>
      </c>
      <c r="E31452">
        <v>78.849999999999994</v>
      </c>
    </row>
    <row r="31453" spans="1:5" x14ac:dyDescent="0.2">
      <c r="A31453">
        <v>98923</v>
      </c>
      <c r="B31453" t="s">
        <v>54</v>
      </c>
      <c r="C31453">
        <v>98923</v>
      </c>
      <c r="D31453" t="str">
        <f>"98923"</f>
        <v>98923</v>
      </c>
      <c r="E31453">
        <v>68.12</v>
      </c>
    </row>
    <row r="31454" spans="1:5" x14ac:dyDescent="0.2">
      <c r="A31454">
        <v>98925</v>
      </c>
      <c r="B31454" t="s">
        <v>54</v>
      </c>
      <c r="C31454">
        <v>98925</v>
      </c>
      <c r="D31454" t="str">
        <f>"98925"</f>
        <v>98925</v>
      </c>
      <c r="E31454" t="s">
        <v>6</v>
      </c>
    </row>
    <row r="31455" spans="1:5" x14ac:dyDescent="0.2">
      <c r="A31455">
        <v>98926</v>
      </c>
      <c r="B31455" t="s">
        <v>54</v>
      </c>
      <c r="C31455">
        <v>98926</v>
      </c>
      <c r="D31455" t="str">
        <f>"98926"</f>
        <v>98926</v>
      </c>
      <c r="E31455">
        <v>74.010000000000005</v>
      </c>
    </row>
    <row r="31456" spans="1:5" x14ac:dyDescent="0.2">
      <c r="A31456">
        <v>98930</v>
      </c>
      <c r="B31456" t="s">
        <v>54</v>
      </c>
      <c r="C31456">
        <v>98930</v>
      </c>
      <c r="D31456" t="str">
        <f>"98930"</f>
        <v>98930</v>
      </c>
      <c r="E31456">
        <v>60.48</v>
      </c>
    </row>
    <row r="31457" spans="1:5" x14ac:dyDescent="0.2">
      <c r="A31457">
        <v>98932</v>
      </c>
      <c r="B31457" t="s">
        <v>54</v>
      </c>
      <c r="C31457">
        <v>98932</v>
      </c>
      <c r="D31457" t="str">
        <f>"98932"</f>
        <v>98932</v>
      </c>
      <c r="E31457">
        <v>54.39</v>
      </c>
    </row>
    <row r="31458" spans="1:5" x14ac:dyDescent="0.2">
      <c r="A31458">
        <v>98933</v>
      </c>
      <c r="B31458" t="s">
        <v>54</v>
      </c>
      <c r="C31458">
        <v>98933</v>
      </c>
      <c r="D31458" t="str">
        <f>"98933"</f>
        <v>98933</v>
      </c>
      <c r="E31458">
        <v>66.67</v>
      </c>
    </row>
    <row r="31459" spans="1:5" x14ac:dyDescent="0.2">
      <c r="A31459">
        <v>98934</v>
      </c>
      <c r="B31459" t="s">
        <v>54</v>
      </c>
      <c r="C31459">
        <v>98934</v>
      </c>
      <c r="D31459" t="str">
        <f>"98934"</f>
        <v>98934</v>
      </c>
      <c r="E31459" t="s">
        <v>6</v>
      </c>
    </row>
    <row r="31460" spans="1:5" x14ac:dyDescent="0.2">
      <c r="A31460">
        <v>98935</v>
      </c>
      <c r="B31460" t="s">
        <v>54</v>
      </c>
      <c r="C31460">
        <v>98935</v>
      </c>
      <c r="D31460" t="str">
        <f>"98935"</f>
        <v>98935</v>
      </c>
      <c r="E31460">
        <v>56.98</v>
      </c>
    </row>
    <row r="31461" spans="1:5" x14ac:dyDescent="0.2">
      <c r="A31461">
        <v>98936</v>
      </c>
      <c r="B31461" t="s">
        <v>54</v>
      </c>
      <c r="C31461">
        <v>98936</v>
      </c>
      <c r="D31461" t="str">
        <f>"98936"</f>
        <v>98936</v>
      </c>
      <c r="E31461">
        <v>72.03</v>
      </c>
    </row>
    <row r="31462" spans="1:5" x14ac:dyDescent="0.2">
      <c r="A31462">
        <v>98937</v>
      </c>
      <c r="B31462" t="s">
        <v>54</v>
      </c>
      <c r="C31462">
        <v>98937</v>
      </c>
      <c r="D31462" t="str">
        <f>"98937"</f>
        <v>98937</v>
      </c>
      <c r="E31462">
        <v>76.53</v>
      </c>
    </row>
    <row r="31463" spans="1:5" x14ac:dyDescent="0.2">
      <c r="A31463">
        <v>98938</v>
      </c>
      <c r="B31463" t="s">
        <v>54</v>
      </c>
      <c r="C31463">
        <v>98938</v>
      </c>
      <c r="D31463" t="str">
        <f>"98938"</f>
        <v>98938</v>
      </c>
      <c r="E31463">
        <v>58.02</v>
      </c>
    </row>
    <row r="31464" spans="1:5" x14ac:dyDescent="0.2">
      <c r="A31464">
        <v>98939</v>
      </c>
      <c r="B31464" t="s">
        <v>54</v>
      </c>
      <c r="C31464">
        <v>98939</v>
      </c>
      <c r="D31464" t="str">
        <f>"98939"</f>
        <v>98939</v>
      </c>
      <c r="E31464" t="s">
        <v>6</v>
      </c>
    </row>
    <row r="31465" spans="1:5" x14ac:dyDescent="0.2">
      <c r="A31465">
        <v>98940</v>
      </c>
      <c r="B31465" t="s">
        <v>54</v>
      </c>
      <c r="C31465">
        <v>98940</v>
      </c>
      <c r="D31465" t="str">
        <f>"98940"</f>
        <v>98940</v>
      </c>
      <c r="E31465" t="s">
        <v>6</v>
      </c>
    </row>
    <row r="31466" spans="1:5" x14ac:dyDescent="0.2">
      <c r="A31466">
        <v>98941</v>
      </c>
      <c r="B31466" t="s">
        <v>54</v>
      </c>
      <c r="C31466">
        <v>98941</v>
      </c>
      <c r="D31466" t="str">
        <f>"98941"</f>
        <v>98941</v>
      </c>
      <c r="E31466" t="s">
        <v>6</v>
      </c>
    </row>
    <row r="31467" spans="1:5" x14ac:dyDescent="0.2">
      <c r="A31467">
        <v>98942</v>
      </c>
      <c r="B31467" t="s">
        <v>54</v>
      </c>
      <c r="C31467">
        <v>98942</v>
      </c>
      <c r="D31467" t="str">
        <f>"98942"</f>
        <v>98942</v>
      </c>
      <c r="E31467">
        <v>75.55</v>
      </c>
    </row>
    <row r="31468" spans="1:5" x14ac:dyDescent="0.2">
      <c r="A31468">
        <v>98943</v>
      </c>
      <c r="B31468" t="s">
        <v>54</v>
      </c>
      <c r="C31468">
        <v>98943</v>
      </c>
      <c r="D31468" t="str">
        <f>"98943"</f>
        <v>98943</v>
      </c>
      <c r="E31468" t="s">
        <v>6</v>
      </c>
    </row>
    <row r="31469" spans="1:5" x14ac:dyDescent="0.2">
      <c r="A31469">
        <v>98944</v>
      </c>
      <c r="B31469" t="s">
        <v>54</v>
      </c>
      <c r="C31469">
        <v>98944</v>
      </c>
      <c r="D31469" t="str">
        <f>"98944"</f>
        <v>98944</v>
      </c>
      <c r="E31469">
        <v>56.36</v>
      </c>
    </row>
    <row r="31470" spans="1:5" x14ac:dyDescent="0.2">
      <c r="A31470">
        <v>98946</v>
      </c>
      <c r="B31470" t="s">
        <v>54</v>
      </c>
      <c r="C31470">
        <v>98946</v>
      </c>
      <c r="D31470" t="str">
        <f>"98946"</f>
        <v>98946</v>
      </c>
      <c r="E31470">
        <v>76.92</v>
      </c>
    </row>
    <row r="31471" spans="1:5" x14ac:dyDescent="0.2">
      <c r="A31471">
        <v>98947</v>
      </c>
      <c r="B31471" t="s">
        <v>54</v>
      </c>
      <c r="C31471">
        <v>98947</v>
      </c>
      <c r="D31471" t="str">
        <f>"98947"</f>
        <v>98947</v>
      </c>
      <c r="E31471">
        <v>63.16</v>
      </c>
    </row>
    <row r="31472" spans="1:5" x14ac:dyDescent="0.2">
      <c r="A31472">
        <v>98948</v>
      </c>
      <c r="B31472" t="s">
        <v>54</v>
      </c>
      <c r="C31472">
        <v>98948</v>
      </c>
      <c r="D31472" t="str">
        <f>"98948"</f>
        <v>98948</v>
      </c>
      <c r="E31472">
        <v>57.45</v>
      </c>
    </row>
    <row r="31473" spans="1:5" x14ac:dyDescent="0.2">
      <c r="A31473">
        <v>98950</v>
      </c>
      <c r="B31473" t="s">
        <v>54</v>
      </c>
      <c r="C31473">
        <v>98950</v>
      </c>
      <c r="D31473" t="str">
        <f>"98950"</f>
        <v>98950</v>
      </c>
      <c r="E31473" t="s">
        <v>6</v>
      </c>
    </row>
    <row r="31474" spans="1:5" x14ac:dyDescent="0.2">
      <c r="A31474">
        <v>98951</v>
      </c>
      <c r="B31474" t="s">
        <v>54</v>
      </c>
      <c r="C31474">
        <v>98951</v>
      </c>
      <c r="D31474" t="str">
        <f>"98951"</f>
        <v>98951</v>
      </c>
      <c r="E31474">
        <v>54.71</v>
      </c>
    </row>
    <row r="31475" spans="1:5" x14ac:dyDescent="0.2">
      <c r="A31475">
        <v>98952</v>
      </c>
      <c r="B31475" t="s">
        <v>54</v>
      </c>
      <c r="C31475">
        <v>98952</v>
      </c>
      <c r="D31475" t="str">
        <f>"98952"</f>
        <v>98952</v>
      </c>
      <c r="E31475">
        <v>63.01</v>
      </c>
    </row>
    <row r="31476" spans="1:5" x14ac:dyDescent="0.2">
      <c r="A31476">
        <v>98953</v>
      </c>
      <c r="B31476" t="s">
        <v>54</v>
      </c>
      <c r="C31476">
        <v>98953</v>
      </c>
      <c r="D31476" t="str">
        <f>"98953"</f>
        <v>98953</v>
      </c>
      <c r="E31476">
        <v>70.55</v>
      </c>
    </row>
    <row r="31477" spans="1:5" x14ac:dyDescent="0.2">
      <c r="A31477">
        <v>99001</v>
      </c>
      <c r="B31477" t="s">
        <v>54</v>
      </c>
      <c r="C31477">
        <v>99001</v>
      </c>
      <c r="D31477" t="str">
        <f>"99001"</f>
        <v>99001</v>
      </c>
      <c r="E31477">
        <v>65.8</v>
      </c>
    </row>
    <row r="31478" spans="1:5" x14ac:dyDescent="0.2">
      <c r="A31478">
        <v>99003</v>
      </c>
      <c r="B31478" t="s">
        <v>54</v>
      </c>
      <c r="C31478">
        <v>99003</v>
      </c>
      <c r="D31478" t="str">
        <f>"99003"</f>
        <v>99003</v>
      </c>
      <c r="E31478">
        <v>75.31</v>
      </c>
    </row>
    <row r="31479" spans="1:5" x14ac:dyDescent="0.2">
      <c r="A31479">
        <v>99004</v>
      </c>
      <c r="B31479" t="s">
        <v>54</v>
      </c>
      <c r="C31479">
        <v>99004</v>
      </c>
      <c r="D31479" t="str">
        <f>"99004"</f>
        <v>99004</v>
      </c>
      <c r="E31479">
        <v>71.2</v>
      </c>
    </row>
    <row r="31480" spans="1:5" x14ac:dyDescent="0.2">
      <c r="A31480">
        <v>99005</v>
      </c>
      <c r="B31480" t="s">
        <v>54</v>
      </c>
      <c r="C31480">
        <v>99005</v>
      </c>
      <c r="D31480" t="str">
        <f>"99005"</f>
        <v>99005</v>
      </c>
      <c r="E31480">
        <v>80.45</v>
      </c>
    </row>
    <row r="31481" spans="1:5" x14ac:dyDescent="0.2">
      <c r="A31481">
        <v>99006</v>
      </c>
      <c r="B31481" t="s">
        <v>54</v>
      </c>
      <c r="C31481">
        <v>99006</v>
      </c>
      <c r="D31481" t="str">
        <f>"99006"</f>
        <v>99006</v>
      </c>
      <c r="E31481">
        <v>72.06</v>
      </c>
    </row>
    <row r="31482" spans="1:5" x14ac:dyDescent="0.2">
      <c r="A31482">
        <v>99008</v>
      </c>
      <c r="B31482" t="s">
        <v>54</v>
      </c>
      <c r="C31482">
        <v>99008</v>
      </c>
      <c r="D31482" t="str">
        <f>"99008"</f>
        <v>99008</v>
      </c>
      <c r="E31482">
        <v>77.78</v>
      </c>
    </row>
    <row r="31483" spans="1:5" x14ac:dyDescent="0.2">
      <c r="A31483">
        <v>99009</v>
      </c>
      <c r="B31483" t="s">
        <v>54</v>
      </c>
      <c r="C31483">
        <v>99009</v>
      </c>
      <c r="D31483" t="str">
        <f>"99009"</f>
        <v>99009</v>
      </c>
      <c r="E31483">
        <v>71.510000000000005</v>
      </c>
    </row>
    <row r="31484" spans="1:5" x14ac:dyDescent="0.2">
      <c r="A31484">
        <v>99011</v>
      </c>
      <c r="B31484" t="s">
        <v>54</v>
      </c>
      <c r="C31484">
        <v>99011</v>
      </c>
      <c r="D31484" t="str">
        <f>"99011"</f>
        <v>99011</v>
      </c>
      <c r="E31484">
        <v>66.67</v>
      </c>
    </row>
    <row r="31485" spans="1:5" x14ac:dyDescent="0.2">
      <c r="A31485">
        <v>99012</v>
      </c>
      <c r="B31485" t="s">
        <v>54</v>
      </c>
      <c r="C31485">
        <v>99012</v>
      </c>
      <c r="D31485" t="str">
        <f>"99012"</f>
        <v>99012</v>
      </c>
      <c r="E31485">
        <v>72.09</v>
      </c>
    </row>
    <row r="31486" spans="1:5" x14ac:dyDescent="0.2">
      <c r="A31486">
        <v>99013</v>
      </c>
      <c r="B31486" t="s">
        <v>54</v>
      </c>
      <c r="C31486">
        <v>99013</v>
      </c>
      <c r="D31486" t="str">
        <f>"99013"</f>
        <v>99013</v>
      </c>
      <c r="E31486">
        <v>66.67</v>
      </c>
    </row>
    <row r="31487" spans="1:5" x14ac:dyDescent="0.2">
      <c r="A31487">
        <v>99014</v>
      </c>
      <c r="B31487" t="s">
        <v>54</v>
      </c>
      <c r="C31487">
        <v>99014</v>
      </c>
      <c r="D31487" t="str">
        <f>"99014"</f>
        <v>99014</v>
      </c>
      <c r="E31487" t="s">
        <v>6</v>
      </c>
    </row>
    <row r="31488" spans="1:5" x14ac:dyDescent="0.2">
      <c r="A31488">
        <v>99016</v>
      </c>
      <c r="B31488" t="s">
        <v>54</v>
      </c>
      <c r="C31488">
        <v>99016</v>
      </c>
      <c r="D31488" t="str">
        <f>"99016"</f>
        <v>99016</v>
      </c>
      <c r="E31488">
        <v>78.87</v>
      </c>
    </row>
    <row r="31489" spans="1:5" x14ac:dyDescent="0.2">
      <c r="A31489">
        <v>99017</v>
      </c>
      <c r="B31489" t="s">
        <v>54</v>
      </c>
      <c r="C31489">
        <v>99017</v>
      </c>
      <c r="D31489" t="str">
        <f>"99017"</f>
        <v>99017</v>
      </c>
      <c r="E31489" t="s">
        <v>6</v>
      </c>
    </row>
    <row r="31490" spans="1:5" x14ac:dyDescent="0.2">
      <c r="A31490">
        <v>99018</v>
      </c>
      <c r="B31490" t="s">
        <v>54</v>
      </c>
      <c r="C31490">
        <v>99018</v>
      </c>
      <c r="D31490" t="str">
        <f>"99018"</f>
        <v>99018</v>
      </c>
      <c r="E31490">
        <v>70</v>
      </c>
    </row>
    <row r="31491" spans="1:5" x14ac:dyDescent="0.2">
      <c r="A31491">
        <v>99019</v>
      </c>
      <c r="B31491" t="s">
        <v>54</v>
      </c>
      <c r="C31491">
        <v>99019</v>
      </c>
      <c r="D31491" t="str">
        <f>"99019"</f>
        <v>99019</v>
      </c>
      <c r="E31491">
        <v>80.569999999999993</v>
      </c>
    </row>
    <row r="31492" spans="1:5" x14ac:dyDescent="0.2">
      <c r="A31492">
        <v>99020</v>
      </c>
      <c r="B31492" t="s">
        <v>54</v>
      </c>
      <c r="C31492">
        <v>99020</v>
      </c>
      <c r="D31492" t="str">
        <f>"99020"</f>
        <v>99020</v>
      </c>
      <c r="E31492" t="s">
        <v>6</v>
      </c>
    </row>
    <row r="31493" spans="1:5" x14ac:dyDescent="0.2">
      <c r="A31493">
        <v>99021</v>
      </c>
      <c r="B31493" t="s">
        <v>54</v>
      </c>
      <c r="C31493">
        <v>99021</v>
      </c>
      <c r="D31493" t="str">
        <f>"99021"</f>
        <v>99021</v>
      </c>
      <c r="E31493">
        <v>77.430000000000007</v>
      </c>
    </row>
    <row r="31494" spans="1:5" x14ac:dyDescent="0.2">
      <c r="A31494">
        <v>99022</v>
      </c>
      <c r="B31494" t="s">
        <v>54</v>
      </c>
      <c r="C31494">
        <v>99022</v>
      </c>
      <c r="D31494" t="str">
        <f>"99022"</f>
        <v>99022</v>
      </c>
      <c r="E31494">
        <v>79.849999999999994</v>
      </c>
    </row>
    <row r="31495" spans="1:5" x14ac:dyDescent="0.2">
      <c r="A31495">
        <v>99023</v>
      </c>
      <c r="B31495" t="s">
        <v>54</v>
      </c>
      <c r="C31495">
        <v>99023</v>
      </c>
      <c r="D31495" t="str">
        <f>"99023"</f>
        <v>99023</v>
      </c>
      <c r="E31495">
        <v>81.48</v>
      </c>
    </row>
    <row r="31496" spans="1:5" x14ac:dyDescent="0.2">
      <c r="A31496">
        <v>99025</v>
      </c>
      <c r="B31496" t="s">
        <v>54</v>
      </c>
      <c r="C31496">
        <v>99025</v>
      </c>
      <c r="D31496" t="str">
        <f>"99025"</f>
        <v>99025</v>
      </c>
      <c r="E31496">
        <v>77.73</v>
      </c>
    </row>
    <row r="31497" spans="1:5" x14ac:dyDescent="0.2">
      <c r="A31497">
        <v>99026</v>
      </c>
      <c r="B31497" t="s">
        <v>54</v>
      </c>
      <c r="C31497">
        <v>99026</v>
      </c>
      <c r="D31497" t="str">
        <f>"99026"</f>
        <v>99026</v>
      </c>
      <c r="E31497">
        <v>78.7</v>
      </c>
    </row>
    <row r="31498" spans="1:5" x14ac:dyDescent="0.2">
      <c r="A31498">
        <v>99027</v>
      </c>
      <c r="B31498" t="s">
        <v>54</v>
      </c>
      <c r="C31498">
        <v>99027</v>
      </c>
      <c r="D31498" t="str">
        <f>"99027"</f>
        <v>99027</v>
      </c>
      <c r="E31498">
        <v>75.319999999999993</v>
      </c>
    </row>
    <row r="31499" spans="1:5" x14ac:dyDescent="0.2">
      <c r="A31499">
        <v>99029</v>
      </c>
      <c r="B31499" t="s">
        <v>54</v>
      </c>
      <c r="C31499">
        <v>99029</v>
      </c>
      <c r="D31499" t="str">
        <f>"99029"</f>
        <v>99029</v>
      </c>
      <c r="E31499">
        <v>78.209999999999994</v>
      </c>
    </row>
    <row r="31500" spans="1:5" x14ac:dyDescent="0.2">
      <c r="A31500">
        <v>99030</v>
      </c>
      <c r="B31500" t="s">
        <v>54</v>
      </c>
      <c r="C31500">
        <v>99030</v>
      </c>
      <c r="D31500" t="str">
        <f>"99030"</f>
        <v>99030</v>
      </c>
      <c r="E31500">
        <v>72.55</v>
      </c>
    </row>
    <row r="31501" spans="1:5" x14ac:dyDescent="0.2">
      <c r="A31501">
        <v>99031</v>
      </c>
      <c r="B31501" t="s">
        <v>54</v>
      </c>
      <c r="C31501">
        <v>99031</v>
      </c>
      <c r="D31501" t="str">
        <f>"99031"</f>
        <v>99031</v>
      </c>
      <c r="E31501">
        <v>75.41</v>
      </c>
    </row>
    <row r="31502" spans="1:5" x14ac:dyDescent="0.2">
      <c r="A31502">
        <v>99032</v>
      </c>
      <c r="B31502" t="s">
        <v>54</v>
      </c>
      <c r="C31502">
        <v>99032</v>
      </c>
      <c r="D31502" t="str">
        <f>"99032"</f>
        <v>99032</v>
      </c>
      <c r="E31502">
        <v>70</v>
      </c>
    </row>
    <row r="31503" spans="1:5" x14ac:dyDescent="0.2">
      <c r="A31503">
        <v>99033</v>
      </c>
      <c r="B31503" t="s">
        <v>54</v>
      </c>
      <c r="C31503">
        <v>99033</v>
      </c>
      <c r="D31503" t="str">
        <f>"99033"</f>
        <v>99033</v>
      </c>
      <c r="E31503">
        <v>66.67</v>
      </c>
    </row>
    <row r="31504" spans="1:5" x14ac:dyDescent="0.2">
      <c r="A31504">
        <v>99034</v>
      </c>
      <c r="B31504" t="s">
        <v>54</v>
      </c>
      <c r="C31504">
        <v>99034</v>
      </c>
      <c r="D31504" t="str">
        <f>"99034"</f>
        <v>99034</v>
      </c>
      <c r="E31504">
        <v>58.33</v>
      </c>
    </row>
    <row r="31505" spans="1:5" x14ac:dyDescent="0.2">
      <c r="A31505">
        <v>99036</v>
      </c>
      <c r="B31505" t="s">
        <v>54</v>
      </c>
      <c r="C31505">
        <v>99036</v>
      </c>
      <c r="D31505" t="str">
        <f>"99036"</f>
        <v>99036</v>
      </c>
      <c r="E31505">
        <v>82.05</v>
      </c>
    </row>
    <row r="31506" spans="1:5" x14ac:dyDescent="0.2">
      <c r="A31506">
        <v>99037</v>
      </c>
      <c r="B31506" t="s">
        <v>54</v>
      </c>
      <c r="C31506">
        <v>99037</v>
      </c>
      <c r="D31506" t="str">
        <f>"99037"</f>
        <v>99037</v>
      </c>
      <c r="E31506">
        <v>77.42</v>
      </c>
    </row>
    <row r="31507" spans="1:5" x14ac:dyDescent="0.2">
      <c r="A31507">
        <v>99039</v>
      </c>
      <c r="B31507" t="s">
        <v>54</v>
      </c>
      <c r="C31507">
        <v>99039</v>
      </c>
      <c r="D31507" t="str">
        <f>"99039"</f>
        <v>99039</v>
      </c>
      <c r="E31507" t="s">
        <v>6</v>
      </c>
    </row>
    <row r="31508" spans="1:5" x14ac:dyDescent="0.2">
      <c r="A31508">
        <v>99040</v>
      </c>
      <c r="B31508" t="s">
        <v>54</v>
      </c>
      <c r="C31508">
        <v>99040</v>
      </c>
      <c r="D31508" t="str">
        <f>"99040"</f>
        <v>99040</v>
      </c>
      <c r="E31508">
        <v>58.54</v>
      </c>
    </row>
    <row r="31509" spans="1:5" x14ac:dyDescent="0.2">
      <c r="A31509">
        <v>99101</v>
      </c>
      <c r="B31509" t="s">
        <v>54</v>
      </c>
      <c r="C31509">
        <v>99101</v>
      </c>
      <c r="D31509" t="str">
        <f>"99101"</f>
        <v>99101</v>
      </c>
      <c r="E31509">
        <v>64.290000000000006</v>
      </c>
    </row>
    <row r="31510" spans="1:5" x14ac:dyDescent="0.2">
      <c r="A31510">
        <v>99102</v>
      </c>
      <c r="B31510" t="s">
        <v>54</v>
      </c>
      <c r="C31510">
        <v>99102</v>
      </c>
      <c r="D31510" t="str">
        <f>"99102"</f>
        <v>99102</v>
      </c>
      <c r="E31510" t="s">
        <v>6</v>
      </c>
    </row>
    <row r="31511" spans="1:5" x14ac:dyDescent="0.2">
      <c r="A31511">
        <v>99103</v>
      </c>
      <c r="B31511" t="s">
        <v>54</v>
      </c>
      <c r="C31511">
        <v>99103</v>
      </c>
      <c r="D31511" t="str">
        <f>"99103"</f>
        <v>99103</v>
      </c>
      <c r="E31511">
        <v>76.19</v>
      </c>
    </row>
    <row r="31512" spans="1:5" x14ac:dyDescent="0.2">
      <c r="A31512">
        <v>99104</v>
      </c>
      <c r="B31512" t="s">
        <v>54</v>
      </c>
      <c r="C31512">
        <v>99104</v>
      </c>
      <c r="D31512" t="str">
        <f>"99104"</f>
        <v>99104</v>
      </c>
      <c r="E31512" t="s">
        <v>6</v>
      </c>
    </row>
    <row r="31513" spans="1:5" x14ac:dyDescent="0.2">
      <c r="A31513">
        <v>99105</v>
      </c>
      <c r="B31513" t="s">
        <v>54</v>
      </c>
      <c r="C31513">
        <v>99105</v>
      </c>
      <c r="D31513" t="str">
        <f>"99105"</f>
        <v>99105</v>
      </c>
      <c r="E31513" t="s">
        <v>6</v>
      </c>
    </row>
    <row r="31514" spans="1:5" x14ac:dyDescent="0.2">
      <c r="A31514">
        <v>99109</v>
      </c>
      <c r="B31514" t="s">
        <v>54</v>
      </c>
      <c r="C31514">
        <v>99109</v>
      </c>
      <c r="D31514" t="str">
        <f>"99109"</f>
        <v>99109</v>
      </c>
      <c r="E31514">
        <v>71.099999999999994</v>
      </c>
    </row>
    <row r="31515" spans="1:5" x14ac:dyDescent="0.2">
      <c r="A31515">
        <v>99110</v>
      </c>
      <c r="B31515" t="s">
        <v>54</v>
      </c>
      <c r="C31515">
        <v>99110</v>
      </c>
      <c r="D31515" t="str">
        <f>"99110"</f>
        <v>99110</v>
      </c>
      <c r="E31515">
        <v>65.67</v>
      </c>
    </row>
    <row r="31516" spans="1:5" x14ac:dyDescent="0.2">
      <c r="A31516">
        <v>99111</v>
      </c>
      <c r="B31516" t="s">
        <v>54</v>
      </c>
      <c r="C31516">
        <v>99111</v>
      </c>
      <c r="D31516" t="str">
        <f>"99111"</f>
        <v>99111</v>
      </c>
      <c r="E31516">
        <v>77.489999999999995</v>
      </c>
    </row>
    <row r="31517" spans="1:5" x14ac:dyDescent="0.2">
      <c r="A31517">
        <v>99113</v>
      </c>
      <c r="B31517" t="s">
        <v>54</v>
      </c>
      <c r="C31517">
        <v>99113</v>
      </c>
      <c r="D31517" t="str">
        <f>"99113"</f>
        <v>99113</v>
      </c>
      <c r="E31517">
        <v>80</v>
      </c>
    </row>
    <row r="31518" spans="1:5" x14ac:dyDescent="0.2">
      <c r="A31518">
        <v>99114</v>
      </c>
      <c r="B31518" t="s">
        <v>54</v>
      </c>
      <c r="C31518">
        <v>99114</v>
      </c>
      <c r="D31518" t="str">
        <f>"99114"</f>
        <v>99114</v>
      </c>
      <c r="E31518">
        <v>71.319999999999993</v>
      </c>
    </row>
    <row r="31519" spans="1:5" x14ac:dyDescent="0.2">
      <c r="A31519">
        <v>99115</v>
      </c>
      <c r="B31519" t="s">
        <v>54</v>
      </c>
      <c r="C31519">
        <v>99115</v>
      </c>
      <c r="D31519" t="str">
        <f>"99115"</f>
        <v>99115</v>
      </c>
      <c r="E31519">
        <v>69.39</v>
      </c>
    </row>
    <row r="31520" spans="1:5" x14ac:dyDescent="0.2">
      <c r="A31520">
        <v>99116</v>
      </c>
      <c r="B31520" t="s">
        <v>54</v>
      </c>
      <c r="C31520">
        <v>99116</v>
      </c>
      <c r="D31520" t="str">
        <f>"99116"</f>
        <v>99116</v>
      </c>
      <c r="E31520">
        <v>76.67</v>
      </c>
    </row>
    <row r="31521" spans="1:5" x14ac:dyDescent="0.2">
      <c r="A31521">
        <v>99117</v>
      </c>
      <c r="B31521" t="s">
        <v>54</v>
      </c>
      <c r="C31521">
        <v>99117</v>
      </c>
      <c r="D31521" t="str">
        <f>"99117"</f>
        <v>99117</v>
      </c>
      <c r="E31521">
        <v>68.180000000000007</v>
      </c>
    </row>
    <row r="31522" spans="1:5" x14ac:dyDescent="0.2">
      <c r="A31522">
        <v>99118</v>
      </c>
      <c r="B31522" t="s">
        <v>54</v>
      </c>
      <c r="C31522">
        <v>99118</v>
      </c>
      <c r="D31522" t="str">
        <f>"99118"</f>
        <v>99118</v>
      </c>
      <c r="E31522">
        <v>68.97</v>
      </c>
    </row>
    <row r="31523" spans="1:5" x14ac:dyDescent="0.2">
      <c r="A31523">
        <v>99119</v>
      </c>
      <c r="B31523" t="s">
        <v>54</v>
      </c>
      <c r="C31523">
        <v>99119</v>
      </c>
      <c r="D31523" t="str">
        <f>"99119"</f>
        <v>99119</v>
      </c>
      <c r="E31523">
        <v>73.81</v>
      </c>
    </row>
    <row r="31524" spans="1:5" x14ac:dyDescent="0.2">
      <c r="A31524">
        <v>99121</v>
      </c>
      <c r="B31524" t="s">
        <v>54</v>
      </c>
      <c r="C31524">
        <v>99121</v>
      </c>
      <c r="D31524" t="str">
        <f>"99121"</f>
        <v>99121</v>
      </c>
      <c r="E31524" t="s">
        <v>6</v>
      </c>
    </row>
    <row r="31525" spans="1:5" x14ac:dyDescent="0.2">
      <c r="A31525">
        <v>99122</v>
      </c>
      <c r="B31525" t="s">
        <v>54</v>
      </c>
      <c r="C31525">
        <v>99122</v>
      </c>
      <c r="D31525" t="str">
        <f>"99122"</f>
        <v>99122</v>
      </c>
      <c r="E31525">
        <v>73.17</v>
      </c>
    </row>
    <row r="31526" spans="1:5" x14ac:dyDescent="0.2">
      <c r="A31526">
        <v>99123</v>
      </c>
      <c r="B31526" t="s">
        <v>54</v>
      </c>
      <c r="C31526">
        <v>99123</v>
      </c>
      <c r="D31526" t="str">
        <f>"99123"</f>
        <v>99123</v>
      </c>
      <c r="E31526">
        <v>83.33</v>
      </c>
    </row>
    <row r="31527" spans="1:5" x14ac:dyDescent="0.2">
      <c r="A31527">
        <v>99124</v>
      </c>
      <c r="B31527" t="s">
        <v>54</v>
      </c>
      <c r="C31527">
        <v>99124</v>
      </c>
      <c r="D31527" t="str">
        <f>"99124"</f>
        <v>99124</v>
      </c>
      <c r="E31527" t="s">
        <v>6</v>
      </c>
    </row>
    <row r="31528" spans="1:5" x14ac:dyDescent="0.2">
      <c r="A31528">
        <v>99125</v>
      </c>
      <c r="B31528" t="s">
        <v>54</v>
      </c>
      <c r="C31528">
        <v>99125</v>
      </c>
      <c r="D31528" t="str">
        <f>"99125"</f>
        <v>99125</v>
      </c>
      <c r="E31528">
        <v>69.569999999999993</v>
      </c>
    </row>
    <row r="31529" spans="1:5" x14ac:dyDescent="0.2">
      <c r="A31529">
        <v>99126</v>
      </c>
      <c r="B31529" t="s">
        <v>54</v>
      </c>
      <c r="C31529">
        <v>99126</v>
      </c>
      <c r="D31529" t="str">
        <f>"99126"</f>
        <v>99126</v>
      </c>
      <c r="E31529">
        <v>68.75</v>
      </c>
    </row>
    <row r="31530" spans="1:5" x14ac:dyDescent="0.2">
      <c r="A31530">
        <v>99128</v>
      </c>
      <c r="B31530" t="s">
        <v>54</v>
      </c>
      <c r="C31530">
        <v>99128</v>
      </c>
      <c r="D31530" t="str">
        <f>"99128"</f>
        <v>99128</v>
      </c>
      <c r="E31530">
        <v>73.33</v>
      </c>
    </row>
    <row r="31531" spans="1:5" x14ac:dyDescent="0.2">
      <c r="A31531">
        <v>99129</v>
      </c>
      <c r="B31531" t="s">
        <v>54</v>
      </c>
      <c r="C31531">
        <v>99129</v>
      </c>
      <c r="D31531" t="str">
        <f>"99129"</f>
        <v>99129</v>
      </c>
      <c r="E31531">
        <v>59.09</v>
      </c>
    </row>
    <row r="31532" spans="1:5" x14ac:dyDescent="0.2">
      <c r="A31532">
        <v>99130</v>
      </c>
      <c r="B31532" t="s">
        <v>54</v>
      </c>
      <c r="C31532">
        <v>99130</v>
      </c>
      <c r="D31532" t="str">
        <f>"99130"</f>
        <v>99130</v>
      </c>
      <c r="E31532">
        <v>75.680000000000007</v>
      </c>
    </row>
    <row r="31533" spans="1:5" x14ac:dyDescent="0.2">
      <c r="A31533">
        <v>99131</v>
      </c>
      <c r="B31533" t="s">
        <v>54</v>
      </c>
      <c r="C31533">
        <v>99131</v>
      </c>
      <c r="D31533" t="str">
        <f>"99131"</f>
        <v>99131</v>
      </c>
      <c r="E31533" t="s">
        <v>6</v>
      </c>
    </row>
    <row r="31534" spans="1:5" x14ac:dyDescent="0.2">
      <c r="A31534">
        <v>99133</v>
      </c>
      <c r="B31534" t="s">
        <v>54</v>
      </c>
      <c r="C31534">
        <v>99133</v>
      </c>
      <c r="D31534" t="str">
        <f>"99133"</f>
        <v>99133</v>
      </c>
      <c r="E31534">
        <v>78.260000000000005</v>
      </c>
    </row>
    <row r="31535" spans="1:5" x14ac:dyDescent="0.2">
      <c r="A31535">
        <v>99134</v>
      </c>
      <c r="B31535" t="s">
        <v>54</v>
      </c>
      <c r="C31535">
        <v>99134</v>
      </c>
      <c r="D31535" t="str">
        <f>"99134"</f>
        <v>99134</v>
      </c>
      <c r="E31535">
        <v>72</v>
      </c>
    </row>
    <row r="31536" spans="1:5" x14ac:dyDescent="0.2">
      <c r="A31536">
        <v>99135</v>
      </c>
      <c r="B31536" t="s">
        <v>54</v>
      </c>
      <c r="C31536">
        <v>99135</v>
      </c>
      <c r="D31536" t="str">
        <f>"99135"</f>
        <v>99135</v>
      </c>
      <c r="E31536">
        <v>81.819999999999993</v>
      </c>
    </row>
    <row r="31537" spans="1:5" x14ac:dyDescent="0.2">
      <c r="A31537">
        <v>99136</v>
      </c>
      <c r="B31537" t="s">
        <v>54</v>
      </c>
      <c r="C31537">
        <v>99136</v>
      </c>
      <c r="D31537" t="str">
        <f>"99136"</f>
        <v>99136</v>
      </c>
      <c r="E31537" t="s">
        <v>6</v>
      </c>
    </row>
    <row r="31538" spans="1:5" x14ac:dyDescent="0.2">
      <c r="A31538">
        <v>99137</v>
      </c>
      <c r="B31538" t="s">
        <v>54</v>
      </c>
      <c r="C31538">
        <v>99137</v>
      </c>
      <c r="D31538" t="str">
        <f>"99137"</f>
        <v>99137</v>
      </c>
      <c r="E31538">
        <v>53.33</v>
      </c>
    </row>
    <row r="31539" spans="1:5" x14ac:dyDescent="0.2">
      <c r="A31539">
        <v>99138</v>
      </c>
      <c r="B31539" t="s">
        <v>54</v>
      </c>
      <c r="C31539">
        <v>99138</v>
      </c>
      <c r="D31539" t="str">
        <f>"99138"</f>
        <v>99138</v>
      </c>
      <c r="E31539">
        <v>59.18</v>
      </c>
    </row>
    <row r="31540" spans="1:5" x14ac:dyDescent="0.2">
      <c r="A31540">
        <v>99139</v>
      </c>
      <c r="B31540" t="s">
        <v>54</v>
      </c>
      <c r="C31540">
        <v>99139</v>
      </c>
      <c r="D31540" t="str">
        <f>"99139"</f>
        <v>99139</v>
      </c>
      <c r="E31540">
        <v>72.55</v>
      </c>
    </row>
    <row r="31541" spans="1:5" x14ac:dyDescent="0.2">
      <c r="A31541">
        <v>99140</v>
      </c>
      <c r="B31541" t="s">
        <v>54</v>
      </c>
      <c r="C31541">
        <v>99140</v>
      </c>
      <c r="D31541" t="str">
        <f>"99140"</f>
        <v>99140</v>
      </c>
      <c r="E31541">
        <v>61.54</v>
      </c>
    </row>
    <row r="31542" spans="1:5" x14ac:dyDescent="0.2">
      <c r="A31542">
        <v>99141</v>
      </c>
      <c r="B31542" t="s">
        <v>54</v>
      </c>
      <c r="C31542">
        <v>99141</v>
      </c>
      <c r="D31542" t="str">
        <f>"99141"</f>
        <v>99141</v>
      </c>
      <c r="E31542">
        <v>71.25</v>
      </c>
    </row>
    <row r="31543" spans="1:5" x14ac:dyDescent="0.2">
      <c r="A31543">
        <v>99143</v>
      </c>
      <c r="B31543" t="s">
        <v>54</v>
      </c>
      <c r="C31543">
        <v>99143</v>
      </c>
      <c r="D31543" t="str">
        <f>"99143"</f>
        <v>99143</v>
      </c>
      <c r="E31543">
        <v>74.069999999999993</v>
      </c>
    </row>
    <row r="31544" spans="1:5" x14ac:dyDescent="0.2">
      <c r="A31544">
        <v>99144</v>
      </c>
      <c r="B31544" t="s">
        <v>54</v>
      </c>
      <c r="C31544">
        <v>99144</v>
      </c>
      <c r="D31544" t="str">
        <f>"99144"</f>
        <v>99144</v>
      </c>
      <c r="E31544" t="s">
        <v>6</v>
      </c>
    </row>
    <row r="31545" spans="1:5" x14ac:dyDescent="0.2">
      <c r="A31545">
        <v>99146</v>
      </c>
      <c r="B31545" t="s">
        <v>54</v>
      </c>
      <c r="C31545">
        <v>99146</v>
      </c>
      <c r="D31545" t="str">
        <f>"99146"</f>
        <v>99146</v>
      </c>
      <c r="E31545" t="s">
        <v>6</v>
      </c>
    </row>
    <row r="31546" spans="1:5" x14ac:dyDescent="0.2">
      <c r="A31546">
        <v>99147</v>
      </c>
      <c r="B31546" t="s">
        <v>54</v>
      </c>
      <c r="C31546">
        <v>99147</v>
      </c>
      <c r="D31546" t="str">
        <f>"99147"</f>
        <v>99147</v>
      </c>
      <c r="E31546" t="s">
        <v>6</v>
      </c>
    </row>
    <row r="31547" spans="1:5" x14ac:dyDescent="0.2">
      <c r="A31547">
        <v>99148</v>
      </c>
      <c r="B31547" t="s">
        <v>54</v>
      </c>
      <c r="C31547">
        <v>99148</v>
      </c>
      <c r="D31547" t="str">
        <f>"99148"</f>
        <v>99148</v>
      </c>
      <c r="E31547">
        <v>70.19</v>
      </c>
    </row>
    <row r="31548" spans="1:5" x14ac:dyDescent="0.2">
      <c r="A31548">
        <v>99149</v>
      </c>
      <c r="B31548" t="s">
        <v>54</v>
      </c>
      <c r="C31548">
        <v>99149</v>
      </c>
      <c r="D31548" t="str">
        <f>"99149"</f>
        <v>99149</v>
      </c>
      <c r="E31548" t="s">
        <v>6</v>
      </c>
    </row>
    <row r="31549" spans="1:5" x14ac:dyDescent="0.2">
      <c r="A31549">
        <v>99150</v>
      </c>
      <c r="B31549" t="s">
        <v>54</v>
      </c>
      <c r="C31549">
        <v>99150</v>
      </c>
      <c r="D31549" t="str">
        <f>"99150"</f>
        <v>99150</v>
      </c>
      <c r="E31549">
        <v>78.569999999999993</v>
      </c>
    </row>
    <row r="31550" spans="1:5" x14ac:dyDescent="0.2">
      <c r="A31550">
        <v>99151</v>
      </c>
      <c r="B31550" t="s">
        <v>54</v>
      </c>
      <c r="C31550">
        <v>99151</v>
      </c>
      <c r="D31550" t="str">
        <f>"99151"</f>
        <v>99151</v>
      </c>
      <c r="E31550" t="s">
        <v>6</v>
      </c>
    </row>
    <row r="31551" spans="1:5" x14ac:dyDescent="0.2">
      <c r="A31551">
        <v>99152</v>
      </c>
      <c r="B31551" t="s">
        <v>54</v>
      </c>
      <c r="C31551">
        <v>99152</v>
      </c>
      <c r="D31551" t="str">
        <f>"99152"</f>
        <v>99152</v>
      </c>
      <c r="E31551" t="s">
        <v>6</v>
      </c>
    </row>
    <row r="31552" spans="1:5" x14ac:dyDescent="0.2">
      <c r="A31552">
        <v>99153</v>
      </c>
      <c r="B31552" t="s">
        <v>54</v>
      </c>
      <c r="C31552">
        <v>99153</v>
      </c>
      <c r="D31552" t="str">
        <f>"99153"</f>
        <v>99153</v>
      </c>
      <c r="E31552">
        <v>84.21</v>
      </c>
    </row>
    <row r="31553" spans="1:5" x14ac:dyDescent="0.2">
      <c r="A31553">
        <v>99154</v>
      </c>
      <c r="B31553" t="s">
        <v>54</v>
      </c>
      <c r="C31553">
        <v>99154</v>
      </c>
      <c r="D31553" t="str">
        <f>"99154"</f>
        <v>99154</v>
      </c>
      <c r="E31553" t="s">
        <v>6</v>
      </c>
    </row>
    <row r="31554" spans="1:5" x14ac:dyDescent="0.2">
      <c r="A31554">
        <v>99155</v>
      </c>
      <c r="B31554" t="s">
        <v>54</v>
      </c>
      <c r="C31554">
        <v>99155</v>
      </c>
      <c r="D31554" t="str">
        <f>"99155"</f>
        <v>99155</v>
      </c>
      <c r="E31554" t="s">
        <v>6</v>
      </c>
    </row>
    <row r="31555" spans="1:5" x14ac:dyDescent="0.2">
      <c r="A31555">
        <v>99156</v>
      </c>
      <c r="B31555" t="s">
        <v>54</v>
      </c>
      <c r="C31555">
        <v>99156</v>
      </c>
      <c r="D31555" t="str">
        <f>"99156"</f>
        <v>99156</v>
      </c>
      <c r="E31555">
        <v>70</v>
      </c>
    </row>
    <row r="31556" spans="1:5" x14ac:dyDescent="0.2">
      <c r="A31556">
        <v>99157</v>
      </c>
      <c r="B31556" t="s">
        <v>54</v>
      </c>
      <c r="C31556">
        <v>99157</v>
      </c>
      <c r="D31556" t="str">
        <f>"99157"</f>
        <v>99157</v>
      </c>
      <c r="E31556">
        <v>58.06</v>
      </c>
    </row>
    <row r="31557" spans="1:5" x14ac:dyDescent="0.2">
      <c r="A31557">
        <v>99158</v>
      </c>
      <c r="B31557" t="s">
        <v>54</v>
      </c>
      <c r="C31557">
        <v>99158</v>
      </c>
      <c r="D31557" t="str">
        <f>"99158"</f>
        <v>99158</v>
      </c>
      <c r="E31557">
        <v>70.37</v>
      </c>
    </row>
    <row r="31558" spans="1:5" x14ac:dyDescent="0.2">
      <c r="A31558">
        <v>99159</v>
      </c>
      <c r="B31558" t="s">
        <v>54</v>
      </c>
      <c r="C31558">
        <v>99159</v>
      </c>
      <c r="D31558" t="str">
        <f>"99159"</f>
        <v>99159</v>
      </c>
      <c r="E31558">
        <v>73.209999999999994</v>
      </c>
    </row>
    <row r="31559" spans="1:5" x14ac:dyDescent="0.2">
      <c r="A31559">
        <v>99160</v>
      </c>
      <c r="B31559" t="s">
        <v>54</v>
      </c>
      <c r="C31559">
        <v>99160</v>
      </c>
      <c r="D31559" t="str">
        <f>"99160"</f>
        <v>99160</v>
      </c>
      <c r="E31559" t="s">
        <v>6</v>
      </c>
    </row>
    <row r="31560" spans="1:5" x14ac:dyDescent="0.2">
      <c r="A31560">
        <v>99161</v>
      </c>
      <c r="B31560" t="s">
        <v>54</v>
      </c>
      <c r="C31560">
        <v>99161</v>
      </c>
      <c r="D31560" t="str">
        <f>"99161"</f>
        <v>99161</v>
      </c>
      <c r="E31560">
        <v>81.430000000000007</v>
      </c>
    </row>
    <row r="31561" spans="1:5" x14ac:dyDescent="0.2">
      <c r="A31561">
        <v>99163</v>
      </c>
      <c r="B31561" t="s">
        <v>54</v>
      </c>
      <c r="C31561">
        <v>99163</v>
      </c>
      <c r="D31561" t="str">
        <f>"99163"</f>
        <v>99163</v>
      </c>
      <c r="E31561">
        <v>69.08</v>
      </c>
    </row>
    <row r="31562" spans="1:5" x14ac:dyDescent="0.2">
      <c r="A31562">
        <v>99166</v>
      </c>
      <c r="B31562" t="s">
        <v>54</v>
      </c>
      <c r="C31562">
        <v>99166</v>
      </c>
      <c r="D31562" t="str">
        <f>"99166"</f>
        <v>99166</v>
      </c>
      <c r="E31562">
        <v>70</v>
      </c>
    </row>
    <row r="31563" spans="1:5" x14ac:dyDescent="0.2">
      <c r="A31563">
        <v>99167</v>
      </c>
      <c r="B31563" t="s">
        <v>54</v>
      </c>
      <c r="C31563">
        <v>99167</v>
      </c>
      <c r="D31563" t="str">
        <f>"99167"</f>
        <v>99167</v>
      </c>
      <c r="E31563">
        <v>62.07</v>
      </c>
    </row>
    <row r="31564" spans="1:5" x14ac:dyDescent="0.2">
      <c r="A31564">
        <v>99169</v>
      </c>
      <c r="B31564" t="s">
        <v>54</v>
      </c>
      <c r="C31564">
        <v>99169</v>
      </c>
      <c r="D31564" t="str">
        <f>"99169"</f>
        <v>99169</v>
      </c>
      <c r="E31564">
        <v>75.209999999999994</v>
      </c>
    </row>
    <row r="31565" spans="1:5" x14ac:dyDescent="0.2">
      <c r="A31565">
        <v>99170</v>
      </c>
      <c r="B31565" t="s">
        <v>54</v>
      </c>
      <c r="C31565">
        <v>99170</v>
      </c>
      <c r="D31565" t="str">
        <f>"99170"</f>
        <v>99170</v>
      </c>
      <c r="E31565">
        <v>70.209999999999994</v>
      </c>
    </row>
    <row r="31566" spans="1:5" x14ac:dyDescent="0.2">
      <c r="A31566">
        <v>99171</v>
      </c>
      <c r="B31566" t="s">
        <v>54</v>
      </c>
      <c r="C31566">
        <v>99171</v>
      </c>
      <c r="D31566" t="str">
        <f>"99171"</f>
        <v>99171</v>
      </c>
      <c r="E31566">
        <v>72.73</v>
      </c>
    </row>
    <row r="31567" spans="1:5" x14ac:dyDescent="0.2">
      <c r="A31567">
        <v>99173</v>
      </c>
      <c r="B31567" t="s">
        <v>54</v>
      </c>
      <c r="C31567">
        <v>99173</v>
      </c>
      <c r="D31567" t="str">
        <f>"99173"</f>
        <v>99173</v>
      </c>
      <c r="E31567">
        <v>63.64</v>
      </c>
    </row>
    <row r="31568" spans="1:5" x14ac:dyDescent="0.2">
      <c r="A31568">
        <v>99176</v>
      </c>
      <c r="B31568" t="s">
        <v>54</v>
      </c>
      <c r="C31568">
        <v>99176</v>
      </c>
      <c r="D31568" t="str">
        <f>"99176"</f>
        <v>99176</v>
      </c>
      <c r="E31568" t="s">
        <v>6</v>
      </c>
    </row>
    <row r="31569" spans="1:5" x14ac:dyDescent="0.2">
      <c r="A31569">
        <v>99179</v>
      </c>
      <c r="B31569" t="s">
        <v>54</v>
      </c>
      <c r="C31569">
        <v>99179</v>
      </c>
      <c r="D31569" t="str">
        <f>"99179"</f>
        <v>99179</v>
      </c>
      <c r="E31569">
        <v>81.819999999999993</v>
      </c>
    </row>
    <row r="31570" spans="1:5" x14ac:dyDescent="0.2">
      <c r="A31570">
        <v>99180</v>
      </c>
      <c r="B31570" t="s">
        <v>54</v>
      </c>
      <c r="C31570">
        <v>99180</v>
      </c>
      <c r="D31570" t="str">
        <f>"99180"</f>
        <v>99180</v>
      </c>
      <c r="E31570">
        <v>71.430000000000007</v>
      </c>
    </row>
    <row r="31571" spans="1:5" x14ac:dyDescent="0.2">
      <c r="A31571">
        <v>99181</v>
      </c>
      <c r="B31571" t="s">
        <v>54</v>
      </c>
      <c r="C31571">
        <v>99181</v>
      </c>
      <c r="D31571" t="str">
        <f>"99181"</f>
        <v>99181</v>
      </c>
      <c r="E31571">
        <v>64.38</v>
      </c>
    </row>
    <row r="31572" spans="1:5" x14ac:dyDescent="0.2">
      <c r="A31572">
        <v>99185</v>
      </c>
      <c r="B31572" t="s">
        <v>54</v>
      </c>
      <c r="C31572">
        <v>99185</v>
      </c>
      <c r="D31572" t="str">
        <f>"99185"</f>
        <v>99185</v>
      </c>
      <c r="E31572">
        <v>75.38</v>
      </c>
    </row>
    <row r="31573" spans="1:5" x14ac:dyDescent="0.2">
      <c r="A31573">
        <v>99201</v>
      </c>
      <c r="B31573" t="s">
        <v>54</v>
      </c>
      <c r="C31573">
        <v>99201</v>
      </c>
      <c r="D31573" t="str">
        <f>"99201"</f>
        <v>99201</v>
      </c>
      <c r="E31573">
        <v>71.239999999999995</v>
      </c>
    </row>
    <row r="31574" spans="1:5" x14ac:dyDescent="0.2">
      <c r="A31574">
        <v>99202</v>
      </c>
      <c r="B31574" t="s">
        <v>54</v>
      </c>
      <c r="C31574">
        <v>99202</v>
      </c>
      <c r="D31574" t="str">
        <f>"99202"</f>
        <v>99202</v>
      </c>
      <c r="E31574">
        <v>66.709999999999994</v>
      </c>
    </row>
    <row r="31575" spans="1:5" x14ac:dyDescent="0.2">
      <c r="A31575">
        <v>99203</v>
      </c>
      <c r="B31575" t="s">
        <v>54</v>
      </c>
      <c r="C31575">
        <v>99203</v>
      </c>
      <c r="D31575" t="str">
        <f>"99203"</f>
        <v>99203</v>
      </c>
      <c r="E31575">
        <v>81.33</v>
      </c>
    </row>
    <row r="31576" spans="1:5" x14ac:dyDescent="0.2">
      <c r="A31576">
        <v>99204</v>
      </c>
      <c r="B31576" t="s">
        <v>54</v>
      </c>
      <c r="C31576">
        <v>99204</v>
      </c>
      <c r="D31576" t="str">
        <f>"99204"</f>
        <v>99204</v>
      </c>
      <c r="E31576">
        <v>76.12</v>
      </c>
    </row>
    <row r="31577" spans="1:5" x14ac:dyDescent="0.2">
      <c r="A31577">
        <v>99205</v>
      </c>
      <c r="B31577" t="s">
        <v>54</v>
      </c>
      <c r="C31577">
        <v>99205</v>
      </c>
      <c r="D31577" t="str">
        <f>"99205"</f>
        <v>99205</v>
      </c>
      <c r="E31577">
        <v>74.09</v>
      </c>
    </row>
    <row r="31578" spans="1:5" x14ac:dyDescent="0.2">
      <c r="A31578">
        <v>99206</v>
      </c>
      <c r="B31578" t="s">
        <v>54</v>
      </c>
      <c r="C31578">
        <v>99206</v>
      </c>
      <c r="D31578" t="str">
        <f>"99206"</f>
        <v>99206</v>
      </c>
      <c r="E31578">
        <v>74.52</v>
      </c>
    </row>
    <row r="31579" spans="1:5" x14ac:dyDescent="0.2">
      <c r="A31579">
        <v>99207</v>
      </c>
      <c r="B31579" t="s">
        <v>54</v>
      </c>
      <c r="C31579">
        <v>99207</v>
      </c>
      <c r="D31579" t="str">
        <f>"99207"</f>
        <v>99207</v>
      </c>
      <c r="E31579">
        <v>64.790000000000006</v>
      </c>
    </row>
    <row r="31580" spans="1:5" x14ac:dyDescent="0.2">
      <c r="A31580">
        <v>99208</v>
      </c>
      <c r="B31580" t="s">
        <v>54</v>
      </c>
      <c r="C31580">
        <v>99208</v>
      </c>
      <c r="D31580" t="str">
        <f>"99208"</f>
        <v>99208</v>
      </c>
      <c r="E31580">
        <v>75.900000000000006</v>
      </c>
    </row>
    <row r="31581" spans="1:5" x14ac:dyDescent="0.2">
      <c r="A31581">
        <v>99212</v>
      </c>
      <c r="B31581" t="s">
        <v>54</v>
      </c>
      <c r="C31581">
        <v>99212</v>
      </c>
      <c r="D31581" t="str">
        <f>"99212"</f>
        <v>99212</v>
      </c>
      <c r="E31581">
        <v>74.819999999999993</v>
      </c>
    </row>
    <row r="31582" spans="1:5" x14ac:dyDescent="0.2">
      <c r="A31582">
        <v>99216</v>
      </c>
      <c r="B31582" t="s">
        <v>54</v>
      </c>
      <c r="C31582">
        <v>99216</v>
      </c>
      <c r="D31582" t="str">
        <f>"99216"</f>
        <v>99216</v>
      </c>
      <c r="E31582">
        <v>73.8</v>
      </c>
    </row>
    <row r="31583" spans="1:5" x14ac:dyDescent="0.2">
      <c r="A31583">
        <v>99217</v>
      </c>
      <c r="B31583" t="s">
        <v>54</v>
      </c>
      <c r="C31583">
        <v>99217</v>
      </c>
      <c r="D31583" t="str">
        <f>"99217"</f>
        <v>99217</v>
      </c>
      <c r="E31583">
        <v>71.92</v>
      </c>
    </row>
    <row r="31584" spans="1:5" x14ac:dyDescent="0.2">
      <c r="A31584">
        <v>99218</v>
      </c>
      <c r="B31584" t="s">
        <v>54</v>
      </c>
      <c r="C31584">
        <v>99218</v>
      </c>
      <c r="D31584" t="str">
        <f>"99218"</f>
        <v>99218</v>
      </c>
      <c r="E31584">
        <v>73.05</v>
      </c>
    </row>
    <row r="31585" spans="1:5" x14ac:dyDescent="0.2">
      <c r="A31585">
        <v>99223</v>
      </c>
      <c r="B31585" t="s">
        <v>54</v>
      </c>
      <c r="C31585">
        <v>99223</v>
      </c>
      <c r="D31585" t="str">
        <f>"99223"</f>
        <v>99223</v>
      </c>
      <c r="E31585">
        <v>76.86</v>
      </c>
    </row>
    <row r="31586" spans="1:5" x14ac:dyDescent="0.2">
      <c r="A31586">
        <v>99224</v>
      </c>
      <c r="B31586" t="s">
        <v>54</v>
      </c>
      <c r="C31586">
        <v>99224</v>
      </c>
      <c r="D31586" t="str">
        <f>"99224"</f>
        <v>99224</v>
      </c>
      <c r="E31586">
        <v>78.28</v>
      </c>
    </row>
    <row r="31587" spans="1:5" x14ac:dyDescent="0.2">
      <c r="A31587">
        <v>99252</v>
      </c>
      <c r="B31587" t="s">
        <v>54</v>
      </c>
      <c r="C31587">
        <v>99252</v>
      </c>
      <c r="D31587" t="str">
        <f>"99252"</f>
        <v>99252</v>
      </c>
      <c r="E31587" t="s">
        <v>6</v>
      </c>
    </row>
    <row r="31588" spans="1:5" x14ac:dyDescent="0.2">
      <c r="A31588">
        <v>99260</v>
      </c>
      <c r="B31588" t="s">
        <v>54</v>
      </c>
      <c r="C31588">
        <v>99260</v>
      </c>
      <c r="D31588" t="str">
        <f>"99260"</f>
        <v>99260</v>
      </c>
      <c r="E31588" t="s">
        <v>6</v>
      </c>
    </row>
    <row r="31589" spans="1:5" x14ac:dyDescent="0.2">
      <c r="A31589">
        <v>99301</v>
      </c>
      <c r="B31589" t="s">
        <v>54</v>
      </c>
      <c r="C31589">
        <v>99301</v>
      </c>
      <c r="D31589" t="str">
        <f>"99301"</f>
        <v>99301</v>
      </c>
      <c r="E31589">
        <v>66.12</v>
      </c>
    </row>
    <row r="31590" spans="1:5" x14ac:dyDescent="0.2">
      <c r="A31590">
        <v>99320</v>
      </c>
      <c r="B31590" t="s">
        <v>54</v>
      </c>
      <c r="C31590">
        <v>99320</v>
      </c>
      <c r="D31590" t="str">
        <f>"99320"</f>
        <v>99320</v>
      </c>
      <c r="E31590">
        <v>72.47</v>
      </c>
    </row>
    <row r="31591" spans="1:5" x14ac:dyDescent="0.2">
      <c r="A31591">
        <v>99321</v>
      </c>
      <c r="B31591" t="s">
        <v>54</v>
      </c>
      <c r="C31591">
        <v>99321</v>
      </c>
      <c r="D31591" t="str">
        <f>"99321"</f>
        <v>99321</v>
      </c>
      <c r="E31591">
        <v>40</v>
      </c>
    </row>
    <row r="31592" spans="1:5" x14ac:dyDescent="0.2">
      <c r="A31592">
        <v>99322</v>
      </c>
      <c r="B31592" t="s">
        <v>54</v>
      </c>
      <c r="C31592">
        <v>99322</v>
      </c>
      <c r="D31592" t="str">
        <f>"99322"</f>
        <v>99322</v>
      </c>
      <c r="E31592">
        <v>75</v>
      </c>
    </row>
    <row r="31593" spans="1:5" x14ac:dyDescent="0.2">
      <c r="A31593">
        <v>99323</v>
      </c>
      <c r="B31593" t="s">
        <v>54</v>
      </c>
      <c r="C31593">
        <v>99323</v>
      </c>
      <c r="D31593" t="str">
        <f>"99323"</f>
        <v>99323</v>
      </c>
      <c r="E31593">
        <v>75.150000000000006</v>
      </c>
    </row>
    <row r="31594" spans="1:5" x14ac:dyDescent="0.2">
      <c r="A31594">
        <v>99324</v>
      </c>
      <c r="B31594" t="s">
        <v>54</v>
      </c>
      <c r="C31594">
        <v>99324</v>
      </c>
      <c r="D31594" t="str">
        <f>"99324"</f>
        <v>99324</v>
      </c>
      <c r="E31594">
        <v>71.010000000000005</v>
      </c>
    </row>
    <row r="31595" spans="1:5" x14ac:dyDescent="0.2">
      <c r="A31595">
        <v>99326</v>
      </c>
      <c r="B31595" t="s">
        <v>54</v>
      </c>
      <c r="C31595">
        <v>99326</v>
      </c>
      <c r="D31595" t="str">
        <f>"99326"</f>
        <v>99326</v>
      </c>
      <c r="E31595">
        <v>63.51</v>
      </c>
    </row>
    <row r="31596" spans="1:5" x14ac:dyDescent="0.2">
      <c r="A31596">
        <v>99328</v>
      </c>
      <c r="B31596" t="s">
        <v>54</v>
      </c>
      <c r="C31596">
        <v>99328</v>
      </c>
      <c r="D31596" t="str">
        <f>"99328"</f>
        <v>99328</v>
      </c>
      <c r="E31596">
        <v>73.38</v>
      </c>
    </row>
    <row r="31597" spans="1:5" x14ac:dyDescent="0.2">
      <c r="A31597">
        <v>99329</v>
      </c>
      <c r="B31597" t="s">
        <v>54</v>
      </c>
      <c r="C31597">
        <v>99329</v>
      </c>
      <c r="D31597" t="str">
        <f>"99329"</f>
        <v>99329</v>
      </c>
      <c r="E31597">
        <v>69.23</v>
      </c>
    </row>
    <row r="31598" spans="1:5" x14ac:dyDescent="0.2">
      <c r="A31598">
        <v>99330</v>
      </c>
      <c r="B31598" t="s">
        <v>54</v>
      </c>
      <c r="C31598">
        <v>99330</v>
      </c>
      <c r="D31598" t="str">
        <f>"99330"</f>
        <v>99330</v>
      </c>
      <c r="E31598">
        <v>63.24</v>
      </c>
    </row>
    <row r="31599" spans="1:5" x14ac:dyDescent="0.2">
      <c r="A31599">
        <v>99333</v>
      </c>
      <c r="B31599" t="s">
        <v>54</v>
      </c>
      <c r="C31599">
        <v>99333</v>
      </c>
      <c r="D31599" t="str">
        <f>"99333"</f>
        <v>99333</v>
      </c>
      <c r="E31599" t="s">
        <v>6</v>
      </c>
    </row>
    <row r="31600" spans="1:5" x14ac:dyDescent="0.2">
      <c r="A31600">
        <v>99335</v>
      </c>
      <c r="B31600" t="s">
        <v>54</v>
      </c>
      <c r="C31600">
        <v>99335</v>
      </c>
      <c r="D31600" t="str">
        <f>"99335"</f>
        <v>99335</v>
      </c>
      <c r="E31600" t="s">
        <v>6</v>
      </c>
    </row>
    <row r="31601" spans="1:5" x14ac:dyDescent="0.2">
      <c r="A31601">
        <v>99336</v>
      </c>
      <c r="B31601" t="s">
        <v>54</v>
      </c>
      <c r="C31601">
        <v>99336</v>
      </c>
      <c r="D31601" t="str">
        <f>"99336"</f>
        <v>99336</v>
      </c>
      <c r="E31601">
        <v>66.650000000000006</v>
      </c>
    </row>
    <row r="31602" spans="1:5" x14ac:dyDescent="0.2">
      <c r="A31602">
        <v>99337</v>
      </c>
      <c r="B31602" t="s">
        <v>54</v>
      </c>
      <c r="C31602">
        <v>99337</v>
      </c>
      <c r="D31602" t="str">
        <f>"99337"</f>
        <v>99337</v>
      </c>
      <c r="E31602">
        <v>74.510000000000005</v>
      </c>
    </row>
    <row r="31603" spans="1:5" x14ac:dyDescent="0.2">
      <c r="A31603">
        <v>99338</v>
      </c>
      <c r="B31603" t="s">
        <v>54</v>
      </c>
      <c r="C31603">
        <v>99338</v>
      </c>
      <c r="D31603" t="str">
        <f>"99338"</f>
        <v>99338</v>
      </c>
      <c r="E31603">
        <v>82.08</v>
      </c>
    </row>
    <row r="31604" spans="1:5" x14ac:dyDescent="0.2">
      <c r="A31604">
        <v>99341</v>
      </c>
      <c r="B31604" t="s">
        <v>54</v>
      </c>
      <c r="C31604">
        <v>99341</v>
      </c>
      <c r="D31604" t="str">
        <f>"99341"</f>
        <v>99341</v>
      </c>
      <c r="E31604">
        <v>68.75</v>
      </c>
    </row>
    <row r="31605" spans="1:5" x14ac:dyDescent="0.2">
      <c r="A31605">
        <v>99343</v>
      </c>
      <c r="B31605" t="s">
        <v>54</v>
      </c>
      <c r="C31605">
        <v>99343</v>
      </c>
      <c r="D31605" t="str">
        <f>"99343"</f>
        <v>99343</v>
      </c>
      <c r="E31605">
        <v>58.82</v>
      </c>
    </row>
    <row r="31606" spans="1:5" x14ac:dyDescent="0.2">
      <c r="A31606">
        <v>99344</v>
      </c>
      <c r="B31606" t="s">
        <v>54</v>
      </c>
      <c r="C31606">
        <v>99344</v>
      </c>
      <c r="D31606" t="str">
        <f>"99344"</f>
        <v>99344</v>
      </c>
      <c r="E31606">
        <v>55.71</v>
      </c>
    </row>
    <row r="31607" spans="1:5" x14ac:dyDescent="0.2">
      <c r="A31607">
        <v>99345</v>
      </c>
      <c r="B31607" t="s">
        <v>54</v>
      </c>
      <c r="C31607">
        <v>99345</v>
      </c>
      <c r="D31607" t="str">
        <f>"99345"</f>
        <v>99345</v>
      </c>
      <c r="E31607" t="s">
        <v>6</v>
      </c>
    </row>
    <row r="31608" spans="1:5" x14ac:dyDescent="0.2">
      <c r="A31608">
        <v>99346</v>
      </c>
      <c r="B31608" t="s">
        <v>54</v>
      </c>
      <c r="C31608">
        <v>99346</v>
      </c>
      <c r="D31608" t="str">
        <f>"99346"</f>
        <v>99346</v>
      </c>
      <c r="E31608" t="s">
        <v>6</v>
      </c>
    </row>
    <row r="31609" spans="1:5" x14ac:dyDescent="0.2">
      <c r="A31609">
        <v>99347</v>
      </c>
      <c r="B31609" t="s">
        <v>54</v>
      </c>
      <c r="C31609">
        <v>99347</v>
      </c>
      <c r="D31609" t="str">
        <f>"99347"</f>
        <v>99347</v>
      </c>
      <c r="E31609">
        <v>72.92</v>
      </c>
    </row>
    <row r="31610" spans="1:5" x14ac:dyDescent="0.2">
      <c r="A31610">
        <v>99348</v>
      </c>
      <c r="B31610" t="s">
        <v>54</v>
      </c>
      <c r="C31610">
        <v>99348</v>
      </c>
      <c r="D31610" t="str">
        <f>"99348"</f>
        <v>99348</v>
      </c>
      <c r="E31610">
        <v>63.64</v>
      </c>
    </row>
    <row r="31611" spans="1:5" x14ac:dyDescent="0.2">
      <c r="A31611">
        <v>99349</v>
      </c>
      <c r="B31611" t="s">
        <v>54</v>
      </c>
      <c r="C31611">
        <v>99349</v>
      </c>
      <c r="D31611" t="str">
        <f>"99349"</f>
        <v>99349</v>
      </c>
      <c r="E31611">
        <v>49.69</v>
      </c>
    </row>
    <row r="31612" spans="1:5" x14ac:dyDescent="0.2">
      <c r="A31612">
        <v>99350</v>
      </c>
      <c r="B31612" t="s">
        <v>54</v>
      </c>
      <c r="C31612">
        <v>99350</v>
      </c>
      <c r="D31612" t="str">
        <f>"99350"</f>
        <v>99350</v>
      </c>
      <c r="E31612">
        <v>68.55</v>
      </c>
    </row>
    <row r="31613" spans="1:5" x14ac:dyDescent="0.2">
      <c r="A31613">
        <v>99352</v>
      </c>
      <c r="B31613" t="s">
        <v>54</v>
      </c>
      <c r="C31613">
        <v>99352</v>
      </c>
      <c r="D31613" t="str">
        <f>"99352"</f>
        <v>99352</v>
      </c>
      <c r="E31613">
        <v>81.28</v>
      </c>
    </row>
    <row r="31614" spans="1:5" x14ac:dyDescent="0.2">
      <c r="A31614">
        <v>99353</v>
      </c>
      <c r="B31614" t="s">
        <v>54</v>
      </c>
      <c r="C31614">
        <v>99353</v>
      </c>
      <c r="D31614" t="str">
        <f>"99353"</f>
        <v>99353</v>
      </c>
      <c r="E31614">
        <v>79.92</v>
      </c>
    </row>
    <row r="31615" spans="1:5" x14ac:dyDescent="0.2">
      <c r="A31615">
        <v>99354</v>
      </c>
      <c r="B31615" t="s">
        <v>54</v>
      </c>
      <c r="C31615">
        <v>99354</v>
      </c>
      <c r="D31615" t="str">
        <f>"99354"</f>
        <v>99354</v>
      </c>
      <c r="E31615">
        <v>76.97</v>
      </c>
    </row>
    <row r="31616" spans="1:5" x14ac:dyDescent="0.2">
      <c r="A31616">
        <v>99356</v>
      </c>
      <c r="B31616" t="s">
        <v>54</v>
      </c>
      <c r="C31616">
        <v>99356</v>
      </c>
      <c r="D31616" t="str">
        <f>"99356"</f>
        <v>99356</v>
      </c>
      <c r="E31616">
        <v>54.55</v>
      </c>
    </row>
    <row r="31617" spans="1:5" x14ac:dyDescent="0.2">
      <c r="A31617">
        <v>99357</v>
      </c>
      <c r="B31617" t="s">
        <v>54</v>
      </c>
      <c r="C31617">
        <v>99357</v>
      </c>
      <c r="D31617" t="str">
        <f>"99357"</f>
        <v>99357</v>
      </c>
      <c r="E31617">
        <v>50</v>
      </c>
    </row>
    <row r="31618" spans="1:5" x14ac:dyDescent="0.2">
      <c r="A31618">
        <v>99359</v>
      </c>
      <c r="B31618" t="s">
        <v>54</v>
      </c>
      <c r="C31618">
        <v>99359</v>
      </c>
      <c r="D31618" t="str">
        <f>"99359"</f>
        <v>99359</v>
      </c>
      <c r="E31618" t="s">
        <v>6</v>
      </c>
    </row>
    <row r="31619" spans="1:5" x14ac:dyDescent="0.2">
      <c r="A31619">
        <v>99360</v>
      </c>
      <c r="B31619" t="s">
        <v>54</v>
      </c>
      <c r="C31619">
        <v>99360</v>
      </c>
      <c r="D31619" t="str">
        <f>"99360"</f>
        <v>99360</v>
      </c>
      <c r="E31619">
        <v>73.53</v>
      </c>
    </row>
    <row r="31620" spans="1:5" x14ac:dyDescent="0.2">
      <c r="A31620">
        <v>99361</v>
      </c>
      <c r="B31620" t="s">
        <v>54</v>
      </c>
      <c r="C31620">
        <v>99361</v>
      </c>
      <c r="D31620" t="str">
        <f>"99361"</f>
        <v>99361</v>
      </c>
      <c r="E31620">
        <v>75.31</v>
      </c>
    </row>
    <row r="31621" spans="1:5" x14ac:dyDescent="0.2">
      <c r="A31621">
        <v>99362</v>
      </c>
      <c r="B31621" t="s">
        <v>54</v>
      </c>
      <c r="C31621">
        <v>99362</v>
      </c>
      <c r="D31621" t="str">
        <f>"99362"</f>
        <v>99362</v>
      </c>
      <c r="E31621">
        <v>72.88</v>
      </c>
    </row>
    <row r="31622" spans="1:5" x14ac:dyDescent="0.2">
      <c r="A31622">
        <v>99363</v>
      </c>
      <c r="B31622" t="s">
        <v>54</v>
      </c>
      <c r="C31622">
        <v>99363</v>
      </c>
      <c r="D31622" t="str">
        <f>"99363"</f>
        <v>99363</v>
      </c>
      <c r="E31622" t="s">
        <v>6</v>
      </c>
    </row>
    <row r="31623" spans="1:5" x14ac:dyDescent="0.2">
      <c r="A31623">
        <v>99371</v>
      </c>
      <c r="B31623" t="s">
        <v>54</v>
      </c>
      <c r="C31623">
        <v>99371</v>
      </c>
      <c r="D31623" t="str">
        <f>"99371"</f>
        <v>99371</v>
      </c>
      <c r="E31623">
        <v>66.67</v>
      </c>
    </row>
    <row r="31624" spans="1:5" x14ac:dyDescent="0.2">
      <c r="A31624">
        <v>99401</v>
      </c>
      <c r="B31624" t="s">
        <v>54</v>
      </c>
      <c r="C31624">
        <v>99401</v>
      </c>
      <c r="D31624" t="str">
        <f>"99401"</f>
        <v>99401</v>
      </c>
      <c r="E31624">
        <v>64.290000000000006</v>
      </c>
    </row>
    <row r="31625" spans="1:5" x14ac:dyDescent="0.2">
      <c r="A31625">
        <v>99402</v>
      </c>
      <c r="B31625" t="s">
        <v>54</v>
      </c>
      <c r="C31625">
        <v>99402</v>
      </c>
      <c r="D31625" t="str">
        <f>"99402"</f>
        <v>99402</v>
      </c>
      <c r="E31625">
        <v>72.94</v>
      </c>
    </row>
    <row r="31626" spans="1:5" x14ac:dyDescent="0.2">
      <c r="A31626">
        <v>99403</v>
      </c>
      <c r="B31626" t="s">
        <v>54</v>
      </c>
      <c r="C31626">
        <v>99403</v>
      </c>
      <c r="D31626" t="str">
        <f>"99403"</f>
        <v>99403</v>
      </c>
      <c r="E31626">
        <v>72.87</v>
      </c>
    </row>
    <row r="31627" spans="1:5" x14ac:dyDescent="0.2">
      <c r="A31627">
        <v>53001</v>
      </c>
      <c r="B31627" t="s">
        <v>55</v>
      </c>
      <c r="C31627">
        <v>53001</v>
      </c>
      <c r="D31627" t="str">
        <f>"53001"</f>
        <v>53001</v>
      </c>
      <c r="E31627">
        <v>78.790000000000006</v>
      </c>
    </row>
    <row r="31628" spans="1:5" x14ac:dyDescent="0.2">
      <c r="A31628">
        <v>53002</v>
      </c>
      <c r="B31628" t="s">
        <v>55</v>
      </c>
      <c r="C31628">
        <v>53002</v>
      </c>
      <c r="D31628" t="str">
        <f>"53002"</f>
        <v>53002</v>
      </c>
      <c r="E31628">
        <v>82.5</v>
      </c>
    </row>
    <row r="31629" spans="1:5" x14ac:dyDescent="0.2">
      <c r="A31629">
        <v>53003</v>
      </c>
      <c r="B31629" t="s">
        <v>55</v>
      </c>
      <c r="C31629">
        <v>53003</v>
      </c>
      <c r="D31629" t="str">
        <f>"53003"</f>
        <v>53003</v>
      </c>
      <c r="E31629" t="s">
        <v>6</v>
      </c>
    </row>
    <row r="31630" spans="1:5" x14ac:dyDescent="0.2">
      <c r="A31630">
        <v>53004</v>
      </c>
      <c r="B31630" t="s">
        <v>55</v>
      </c>
      <c r="C31630">
        <v>53004</v>
      </c>
      <c r="D31630" t="str">
        <f>"53004"</f>
        <v>53004</v>
      </c>
      <c r="E31630">
        <v>77.78</v>
      </c>
    </row>
    <row r="31631" spans="1:5" x14ac:dyDescent="0.2">
      <c r="A31631">
        <v>53005</v>
      </c>
      <c r="B31631" t="s">
        <v>55</v>
      </c>
      <c r="C31631">
        <v>53005</v>
      </c>
      <c r="D31631" t="str">
        <f>"53005"</f>
        <v>53005</v>
      </c>
      <c r="E31631">
        <v>82.72</v>
      </c>
    </row>
    <row r="31632" spans="1:5" x14ac:dyDescent="0.2">
      <c r="A31632">
        <v>53006</v>
      </c>
      <c r="B31632" t="s">
        <v>55</v>
      </c>
      <c r="C31632">
        <v>53006</v>
      </c>
      <c r="D31632" t="str">
        <f>"53006"</f>
        <v>53006</v>
      </c>
      <c r="E31632">
        <v>81.319999999999993</v>
      </c>
    </row>
    <row r="31633" spans="1:5" x14ac:dyDescent="0.2">
      <c r="A31633">
        <v>53007</v>
      </c>
      <c r="B31633" t="s">
        <v>55</v>
      </c>
      <c r="C31633">
        <v>53007</v>
      </c>
      <c r="D31633" t="str">
        <f>"53007"</f>
        <v>53007</v>
      </c>
      <c r="E31633">
        <v>78</v>
      </c>
    </row>
    <row r="31634" spans="1:5" x14ac:dyDescent="0.2">
      <c r="A31634">
        <v>53010</v>
      </c>
      <c r="B31634" t="s">
        <v>55</v>
      </c>
      <c r="C31634">
        <v>53010</v>
      </c>
      <c r="D31634" t="str">
        <f>"53010"</f>
        <v>53010</v>
      </c>
      <c r="E31634">
        <v>77.23</v>
      </c>
    </row>
    <row r="31635" spans="1:5" x14ac:dyDescent="0.2">
      <c r="A31635">
        <v>53011</v>
      </c>
      <c r="B31635" t="s">
        <v>55</v>
      </c>
      <c r="C31635">
        <v>53011</v>
      </c>
      <c r="D31635" t="str">
        <f>"53011"</f>
        <v>53011</v>
      </c>
      <c r="E31635">
        <v>77.39</v>
      </c>
    </row>
    <row r="31636" spans="1:5" x14ac:dyDescent="0.2">
      <c r="A31636">
        <v>53012</v>
      </c>
      <c r="B31636" t="s">
        <v>55</v>
      </c>
      <c r="C31636">
        <v>53012</v>
      </c>
      <c r="D31636" t="str">
        <f>"53012"</f>
        <v>53012</v>
      </c>
      <c r="E31636">
        <v>81.02</v>
      </c>
    </row>
    <row r="31637" spans="1:5" x14ac:dyDescent="0.2">
      <c r="A31637">
        <v>53013</v>
      </c>
      <c r="B31637" t="s">
        <v>55</v>
      </c>
      <c r="C31637">
        <v>53013</v>
      </c>
      <c r="D31637" t="str">
        <f>"53013"</f>
        <v>53013</v>
      </c>
      <c r="E31637">
        <v>77.650000000000006</v>
      </c>
    </row>
    <row r="31638" spans="1:5" x14ac:dyDescent="0.2">
      <c r="A31638">
        <v>53014</v>
      </c>
      <c r="B31638" t="s">
        <v>55</v>
      </c>
      <c r="C31638">
        <v>53014</v>
      </c>
      <c r="D31638" t="str">
        <f>"53014"</f>
        <v>53014</v>
      </c>
      <c r="E31638">
        <v>78.48</v>
      </c>
    </row>
    <row r="31639" spans="1:5" x14ac:dyDescent="0.2">
      <c r="A31639">
        <v>53015</v>
      </c>
      <c r="B31639" t="s">
        <v>55</v>
      </c>
      <c r="C31639">
        <v>53015</v>
      </c>
      <c r="D31639" t="str">
        <f>"53015"</f>
        <v>53015</v>
      </c>
      <c r="E31639">
        <v>79.53</v>
      </c>
    </row>
    <row r="31640" spans="1:5" x14ac:dyDescent="0.2">
      <c r="A31640">
        <v>53016</v>
      </c>
      <c r="B31640" t="s">
        <v>55</v>
      </c>
      <c r="C31640">
        <v>53016</v>
      </c>
      <c r="D31640" t="str">
        <f>"53016"</f>
        <v>53016</v>
      </c>
      <c r="E31640" t="s">
        <v>6</v>
      </c>
    </row>
    <row r="31641" spans="1:5" x14ac:dyDescent="0.2">
      <c r="A31641">
        <v>53017</v>
      </c>
      <c r="B31641" t="s">
        <v>55</v>
      </c>
      <c r="C31641">
        <v>53017</v>
      </c>
      <c r="D31641" t="str">
        <f>"53017"</f>
        <v>53017</v>
      </c>
      <c r="E31641">
        <v>81.03</v>
      </c>
    </row>
    <row r="31642" spans="1:5" x14ac:dyDescent="0.2">
      <c r="A31642">
        <v>53018</v>
      </c>
      <c r="B31642" t="s">
        <v>55</v>
      </c>
      <c r="C31642">
        <v>53018</v>
      </c>
      <c r="D31642" t="str">
        <f>"53018"</f>
        <v>53018</v>
      </c>
      <c r="E31642">
        <v>78.930000000000007</v>
      </c>
    </row>
    <row r="31643" spans="1:5" x14ac:dyDescent="0.2">
      <c r="A31643">
        <v>53019</v>
      </c>
      <c r="B31643" t="s">
        <v>55</v>
      </c>
      <c r="C31643">
        <v>53019</v>
      </c>
      <c r="D31643" t="str">
        <f>"53019"</f>
        <v>53019</v>
      </c>
      <c r="E31643">
        <v>77.319999999999993</v>
      </c>
    </row>
    <row r="31644" spans="1:5" x14ac:dyDescent="0.2">
      <c r="A31644">
        <v>53020</v>
      </c>
      <c r="B31644" t="s">
        <v>55</v>
      </c>
      <c r="C31644">
        <v>53020</v>
      </c>
      <c r="D31644" t="str">
        <f>"53020"</f>
        <v>53020</v>
      </c>
      <c r="E31644">
        <v>81.52</v>
      </c>
    </row>
    <row r="31645" spans="1:5" x14ac:dyDescent="0.2">
      <c r="A31645">
        <v>53021</v>
      </c>
      <c r="B31645" t="s">
        <v>55</v>
      </c>
      <c r="C31645">
        <v>53021</v>
      </c>
      <c r="D31645" t="str">
        <f>"53021"</f>
        <v>53021</v>
      </c>
      <c r="E31645">
        <v>79.150000000000006</v>
      </c>
    </row>
    <row r="31646" spans="1:5" x14ac:dyDescent="0.2">
      <c r="A31646">
        <v>53022</v>
      </c>
      <c r="B31646" t="s">
        <v>55</v>
      </c>
      <c r="C31646">
        <v>53022</v>
      </c>
      <c r="D31646" t="str">
        <f>"53022"</f>
        <v>53022</v>
      </c>
      <c r="E31646">
        <v>80.39</v>
      </c>
    </row>
    <row r="31647" spans="1:5" x14ac:dyDescent="0.2">
      <c r="A31647">
        <v>53023</v>
      </c>
      <c r="B31647" t="s">
        <v>55</v>
      </c>
      <c r="C31647">
        <v>53023</v>
      </c>
      <c r="D31647" t="str">
        <f>"53023"</f>
        <v>53023</v>
      </c>
      <c r="E31647">
        <v>79.099999999999994</v>
      </c>
    </row>
    <row r="31648" spans="1:5" x14ac:dyDescent="0.2">
      <c r="A31648">
        <v>53024</v>
      </c>
      <c r="B31648" t="s">
        <v>55</v>
      </c>
      <c r="C31648">
        <v>53024</v>
      </c>
      <c r="D31648" t="str">
        <f>"53024"</f>
        <v>53024</v>
      </c>
      <c r="E31648">
        <v>80.040000000000006</v>
      </c>
    </row>
    <row r="31649" spans="1:5" x14ac:dyDescent="0.2">
      <c r="A31649">
        <v>53027</v>
      </c>
      <c r="B31649" t="s">
        <v>55</v>
      </c>
      <c r="C31649">
        <v>53027</v>
      </c>
      <c r="D31649" t="str">
        <f>"53027"</f>
        <v>53027</v>
      </c>
      <c r="E31649">
        <v>79.430000000000007</v>
      </c>
    </row>
    <row r="31650" spans="1:5" x14ac:dyDescent="0.2">
      <c r="A31650">
        <v>53029</v>
      </c>
      <c r="B31650" t="s">
        <v>55</v>
      </c>
      <c r="C31650">
        <v>53029</v>
      </c>
      <c r="D31650" t="str">
        <f>"53029"</f>
        <v>53029</v>
      </c>
      <c r="E31650">
        <v>80.61</v>
      </c>
    </row>
    <row r="31651" spans="1:5" x14ac:dyDescent="0.2">
      <c r="A31651">
        <v>53032</v>
      </c>
      <c r="B31651" t="s">
        <v>55</v>
      </c>
      <c r="C31651">
        <v>53032</v>
      </c>
      <c r="D31651" t="str">
        <f>"53032"</f>
        <v>53032</v>
      </c>
      <c r="E31651">
        <v>78.88</v>
      </c>
    </row>
    <row r="31652" spans="1:5" x14ac:dyDescent="0.2">
      <c r="A31652">
        <v>53033</v>
      </c>
      <c r="B31652" t="s">
        <v>55</v>
      </c>
      <c r="C31652">
        <v>53033</v>
      </c>
      <c r="D31652" t="str">
        <f>"53033"</f>
        <v>53033</v>
      </c>
      <c r="E31652">
        <v>84.59</v>
      </c>
    </row>
    <row r="31653" spans="1:5" x14ac:dyDescent="0.2">
      <c r="A31653">
        <v>53034</v>
      </c>
      <c r="B31653" t="s">
        <v>55</v>
      </c>
      <c r="C31653">
        <v>53034</v>
      </c>
      <c r="D31653" t="str">
        <f>"53034"</f>
        <v>53034</v>
      </c>
      <c r="E31653">
        <v>78.95</v>
      </c>
    </row>
    <row r="31654" spans="1:5" x14ac:dyDescent="0.2">
      <c r="A31654">
        <v>53035</v>
      </c>
      <c r="B31654" t="s">
        <v>55</v>
      </c>
      <c r="C31654">
        <v>53035</v>
      </c>
      <c r="D31654" t="str">
        <f>"53035"</f>
        <v>53035</v>
      </c>
      <c r="E31654">
        <v>80</v>
      </c>
    </row>
    <row r="31655" spans="1:5" x14ac:dyDescent="0.2">
      <c r="A31655">
        <v>53036</v>
      </c>
      <c r="B31655" t="s">
        <v>55</v>
      </c>
      <c r="C31655">
        <v>53036</v>
      </c>
      <c r="D31655" t="str">
        <f>"53036"</f>
        <v>53036</v>
      </c>
      <c r="E31655">
        <v>81.760000000000005</v>
      </c>
    </row>
    <row r="31656" spans="1:5" x14ac:dyDescent="0.2">
      <c r="A31656">
        <v>53037</v>
      </c>
      <c r="B31656" t="s">
        <v>55</v>
      </c>
      <c r="C31656">
        <v>53037</v>
      </c>
      <c r="D31656" t="str">
        <f>"53037"</f>
        <v>53037</v>
      </c>
      <c r="E31656">
        <v>81.150000000000006</v>
      </c>
    </row>
    <row r="31657" spans="1:5" x14ac:dyDescent="0.2">
      <c r="A31657">
        <v>53038</v>
      </c>
      <c r="B31657" t="s">
        <v>55</v>
      </c>
      <c r="C31657">
        <v>53038</v>
      </c>
      <c r="D31657" t="str">
        <f>"53038"</f>
        <v>53038</v>
      </c>
      <c r="E31657">
        <v>80.48</v>
      </c>
    </row>
    <row r="31658" spans="1:5" x14ac:dyDescent="0.2">
      <c r="A31658">
        <v>53039</v>
      </c>
      <c r="B31658" t="s">
        <v>55</v>
      </c>
      <c r="C31658">
        <v>53039</v>
      </c>
      <c r="D31658" t="str">
        <f>"53039"</f>
        <v>53039</v>
      </c>
      <c r="E31658">
        <v>78.37</v>
      </c>
    </row>
    <row r="31659" spans="1:5" x14ac:dyDescent="0.2">
      <c r="A31659">
        <v>53040</v>
      </c>
      <c r="B31659" t="s">
        <v>55</v>
      </c>
      <c r="C31659">
        <v>53040</v>
      </c>
      <c r="D31659" t="str">
        <f>"53040"</f>
        <v>53040</v>
      </c>
      <c r="E31659">
        <v>78.61</v>
      </c>
    </row>
    <row r="31660" spans="1:5" x14ac:dyDescent="0.2">
      <c r="A31660">
        <v>53042</v>
      </c>
      <c r="B31660" t="s">
        <v>55</v>
      </c>
      <c r="C31660">
        <v>53042</v>
      </c>
      <c r="D31660" t="str">
        <f>"53042"</f>
        <v>53042</v>
      </c>
      <c r="E31660">
        <v>78.92</v>
      </c>
    </row>
    <row r="31661" spans="1:5" x14ac:dyDescent="0.2">
      <c r="A31661">
        <v>53044</v>
      </c>
      <c r="B31661" t="s">
        <v>55</v>
      </c>
      <c r="C31661">
        <v>53044</v>
      </c>
      <c r="D31661" t="str">
        <f>"53044"</f>
        <v>53044</v>
      </c>
      <c r="E31661">
        <v>79.489999999999995</v>
      </c>
    </row>
    <row r="31662" spans="1:5" x14ac:dyDescent="0.2">
      <c r="A31662">
        <v>53045</v>
      </c>
      <c r="B31662" t="s">
        <v>55</v>
      </c>
      <c r="C31662">
        <v>53045</v>
      </c>
      <c r="D31662" t="str">
        <f>"53045"</f>
        <v>53045</v>
      </c>
      <c r="E31662">
        <v>81.680000000000007</v>
      </c>
    </row>
    <row r="31663" spans="1:5" x14ac:dyDescent="0.2">
      <c r="A31663">
        <v>53046</v>
      </c>
      <c r="B31663" t="s">
        <v>55</v>
      </c>
      <c r="C31663">
        <v>53046</v>
      </c>
      <c r="D31663" t="str">
        <f>"53046"</f>
        <v>53046</v>
      </c>
      <c r="E31663">
        <v>79.41</v>
      </c>
    </row>
    <row r="31664" spans="1:5" x14ac:dyDescent="0.2">
      <c r="A31664">
        <v>53047</v>
      </c>
      <c r="B31664" t="s">
        <v>55</v>
      </c>
      <c r="C31664">
        <v>53047</v>
      </c>
      <c r="D31664" t="str">
        <f>"53047"</f>
        <v>53047</v>
      </c>
      <c r="E31664" t="s">
        <v>6</v>
      </c>
    </row>
    <row r="31665" spans="1:5" x14ac:dyDescent="0.2">
      <c r="A31665">
        <v>53048</v>
      </c>
      <c r="B31665" t="s">
        <v>55</v>
      </c>
      <c r="C31665">
        <v>53048</v>
      </c>
      <c r="D31665" t="str">
        <f>"53048"</f>
        <v>53048</v>
      </c>
      <c r="E31665">
        <v>76.739999999999995</v>
      </c>
    </row>
    <row r="31666" spans="1:5" x14ac:dyDescent="0.2">
      <c r="A31666">
        <v>53049</v>
      </c>
      <c r="B31666" t="s">
        <v>55</v>
      </c>
      <c r="C31666">
        <v>53049</v>
      </c>
      <c r="D31666" t="str">
        <f>"53049"</f>
        <v>53049</v>
      </c>
      <c r="E31666">
        <v>81.599999999999994</v>
      </c>
    </row>
    <row r="31667" spans="1:5" x14ac:dyDescent="0.2">
      <c r="A31667">
        <v>53050</v>
      </c>
      <c r="B31667" t="s">
        <v>55</v>
      </c>
      <c r="C31667">
        <v>53050</v>
      </c>
      <c r="D31667" t="str">
        <f>"53050"</f>
        <v>53050</v>
      </c>
      <c r="E31667">
        <v>78.430000000000007</v>
      </c>
    </row>
    <row r="31668" spans="1:5" x14ac:dyDescent="0.2">
      <c r="A31668">
        <v>53051</v>
      </c>
      <c r="B31668" t="s">
        <v>55</v>
      </c>
      <c r="C31668">
        <v>53051</v>
      </c>
      <c r="D31668" t="str">
        <f>"53051"</f>
        <v>53051</v>
      </c>
      <c r="E31668">
        <v>81.86</v>
      </c>
    </row>
    <row r="31669" spans="1:5" x14ac:dyDescent="0.2">
      <c r="A31669">
        <v>53056</v>
      </c>
      <c r="B31669" t="s">
        <v>55</v>
      </c>
      <c r="C31669">
        <v>53056</v>
      </c>
      <c r="D31669" t="str">
        <f>"53056"</f>
        <v>53056</v>
      </c>
      <c r="E31669" t="s">
        <v>6</v>
      </c>
    </row>
    <row r="31670" spans="1:5" x14ac:dyDescent="0.2">
      <c r="A31670">
        <v>53057</v>
      </c>
      <c r="B31670" t="s">
        <v>55</v>
      </c>
      <c r="C31670">
        <v>53057</v>
      </c>
      <c r="D31670" t="str">
        <f>"53057"</f>
        <v>53057</v>
      </c>
      <c r="E31670">
        <v>80.260000000000005</v>
      </c>
    </row>
    <row r="31671" spans="1:5" x14ac:dyDescent="0.2">
      <c r="A31671">
        <v>53058</v>
      </c>
      <c r="B31671" t="s">
        <v>55</v>
      </c>
      <c r="C31671">
        <v>53058</v>
      </c>
      <c r="D31671" t="str">
        <f>"53058"</f>
        <v>53058</v>
      </c>
      <c r="E31671">
        <v>81.400000000000006</v>
      </c>
    </row>
    <row r="31672" spans="1:5" x14ac:dyDescent="0.2">
      <c r="A31672">
        <v>53059</v>
      </c>
      <c r="B31672" t="s">
        <v>55</v>
      </c>
      <c r="C31672">
        <v>53059</v>
      </c>
      <c r="D31672" t="str">
        <f>"53059"</f>
        <v>53059</v>
      </c>
      <c r="E31672">
        <v>78.72</v>
      </c>
    </row>
    <row r="31673" spans="1:5" x14ac:dyDescent="0.2">
      <c r="A31673">
        <v>53061</v>
      </c>
      <c r="B31673" t="s">
        <v>55</v>
      </c>
      <c r="C31673">
        <v>53061</v>
      </c>
      <c r="D31673" t="str">
        <f>"53061"</f>
        <v>53061</v>
      </c>
      <c r="E31673">
        <v>79.42</v>
      </c>
    </row>
    <row r="31674" spans="1:5" x14ac:dyDescent="0.2">
      <c r="A31674">
        <v>53063</v>
      </c>
      <c r="B31674" t="s">
        <v>55</v>
      </c>
      <c r="C31674">
        <v>53063</v>
      </c>
      <c r="D31674" t="str">
        <f>"53063"</f>
        <v>53063</v>
      </c>
      <c r="E31674">
        <v>78.209999999999994</v>
      </c>
    </row>
    <row r="31675" spans="1:5" x14ac:dyDescent="0.2">
      <c r="A31675">
        <v>53065</v>
      </c>
      <c r="B31675" t="s">
        <v>55</v>
      </c>
      <c r="C31675">
        <v>53065</v>
      </c>
      <c r="D31675" t="str">
        <f>"53065"</f>
        <v>53065</v>
      </c>
      <c r="E31675">
        <v>81.73</v>
      </c>
    </row>
    <row r="31676" spans="1:5" x14ac:dyDescent="0.2">
      <c r="A31676">
        <v>53066</v>
      </c>
      <c r="B31676" t="s">
        <v>55</v>
      </c>
      <c r="C31676">
        <v>53066</v>
      </c>
      <c r="D31676" t="str">
        <f>"53066"</f>
        <v>53066</v>
      </c>
      <c r="E31676">
        <v>80.13</v>
      </c>
    </row>
    <row r="31677" spans="1:5" x14ac:dyDescent="0.2">
      <c r="A31677">
        <v>53069</v>
      </c>
      <c r="B31677" t="s">
        <v>55</v>
      </c>
      <c r="C31677">
        <v>53069</v>
      </c>
      <c r="D31677" t="str">
        <f>"53069"</f>
        <v>53069</v>
      </c>
      <c r="E31677">
        <v>84.78</v>
      </c>
    </row>
    <row r="31678" spans="1:5" x14ac:dyDescent="0.2">
      <c r="A31678">
        <v>53070</v>
      </c>
      <c r="B31678" t="s">
        <v>55</v>
      </c>
      <c r="C31678">
        <v>53070</v>
      </c>
      <c r="D31678" t="str">
        <f>"53070"</f>
        <v>53070</v>
      </c>
      <c r="E31678">
        <v>77.97</v>
      </c>
    </row>
    <row r="31679" spans="1:5" x14ac:dyDescent="0.2">
      <c r="A31679">
        <v>53072</v>
      </c>
      <c r="B31679" t="s">
        <v>55</v>
      </c>
      <c r="C31679">
        <v>53072</v>
      </c>
      <c r="D31679" t="str">
        <f>"53072"</f>
        <v>53072</v>
      </c>
      <c r="E31679">
        <v>82.1</v>
      </c>
    </row>
    <row r="31680" spans="1:5" x14ac:dyDescent="0.2">
      <c r="A31680">
        <v>53073</v>
      </c>
      <c r="B31680" t="s">
        <v>55</v>
      </c>
      <c r="C31680">
        <v>53073</v>
      </c>
      <c r="D31680" t="str">
        <f>"53073"</f>
        <v>53073</v>
      </c>
      <c r="E31680">
        <v>77.569999999999993</v>
      </c>
    </row>
    <row r="31681" spans="1:5" x14ac:dyDescent="0.2">
      <c r="A31681">
        <v>53074</v>
      </c>
      <c r="B31681" t="s">
        <v>55</v>
      </c>
      <c r="C31681">
        <v>53074</v>
      </c>
      <c r="D31681" t="str">
        <f>"53074"</f>
        <v>53074</v>
      </c>
      <c r="E31681">
        <v>78.91</v>
      </c>
    </row>
    <row r="31682" spans="1:5" x14ac:dyDescent="0.2">
      <c r="A31682">
        <v>53075</v>
      </c>
      <c r="B31682" t="s">
        <v>55</v>
      </c>
      <c r="C31682">
        <v>53075</v>
      </c>
      <c r="D31682" t="str">
        <f>"53075"</f>
        <v>53075</v>
      </c>
      <c r="E31682">
        <v>79.17</v>
      </c>
    </row>
    <row r="31683" spans="1:5" x14ac:dyDescent="0.2">
      <c r="A31683">
        <v>53076</v>
      </c>
      <c r="B31683" t="s">
        <v>55</v>
      </c>
      <c r="C31683">
        <v>53076</v>
      </c>
      <c r="D31683" t="str">
        <f>"53076"</f>
        <v>53076</v>
      </c>
      <c r="E31683">
        <v>81.680000000000007</v>
      </c>
    </row>
    <row r="31684" spans="1:5" x14ac:dyDescent="0.2">
      <c r="A31684">
        <v>53078</v>
      </c>
      <c r="B31684" t="s">
        <v>55</v>
      </c>
      <c r="C31684">
        <v>53078</v>
      </c>
      <c r="D31684" t="str">
        <f>"53078"</f>
        <v>53078</v>
      </c>
      <c r="E31684">
        <v>80.39</v>
      </c>
    </row>
    <row r="31685" spans="1:5" x14ac:dyDescent="0.2">
      <c r="A31685">
        <v>53079</v>
      </c>
      <c r="B31685" t="s">
        <v>55</v>
      </c>
      <c r="C31685">
        <v>53079</v>
      </c>
      <c r="D31685" t="str">
        <f>"53079"</f>
        <v>53079</v>
      </c>
      <c r="E31685">
        <v>79.45</v>
      </c>
    </row>
    <row r="31686" spans="1:5" x14ac:dyDescent="0.2">
      <c r="A31686">
        <v>53080</v>
      </c>
      <c r="B31686" t="s">
        <v>55</v>
      </c>
      <c r="C31686">
        <v>53080</v>
      </c>
      <c r="D31686" t="str">
        <f>"53080"</f>
        <v>53080</v>
      </c>
      <c r="E31686">
        <v>79.05</v>
      </c>
    </row>
    <row r="31687" spans="1:5" x14ac:dyDescent="0.2">
      <c r="A31687">
        <v>53081</v>
      </c>
      <c r="B31687" t="s">
        <v>55</v>
      </c>
      <c r="C31687">
        <v>53081</v>
      </c>
      <c r="D31687" t="str">
        <f>"53081"</f>
        <v>53081</v>
      </c>
      <c r="E31687">
        <v>70.62</v>
      </c>
    </row>
    <row r="31688" spans="1:5" x14ac:dyDescent="0.2">
      <c r="A31688">
        <v>53083</v>
      </c>
      <c r="B31688" t="s">
        <v>55</v>
      </c>
      <c r="C31688">
        <v>53083</v>
      </c>
      <c r="D31688" t="str">
        <f>"53083"</f>
        <v>53083</v>
      </c>
      <c r="E31688">
        <v>77.75</v>
      </c>
    </row>
    <row r="31689" spans="1:5" x14ac:dyDescent="0.2">
      <c r="A31689">
        <v>53085</v>
      </c>
      <c r="B31689" t="s">
        <v>55</v>
      </c>
      <c r="C31689">
        <v>53085</v>
      </c>
      <c r="D31689" t="str">
        <f>"53085"</f>
        <v>53085</v>
      </c>
      <c r="E31689">
        <v>78.77</v>
      </c>
    </row>
    <row r="31690" spans="1:5" x14ac:dyDescent="0.2">
      <c r="A31690">
        <v>53086</v>
      </c>
      <c r="B31690" t="s">
        <v>55</v>
      </c>
      <c r="C31690">
        <v>53086</v>
      </c>
      <c r="D31690" t="str">
        <f>"53086"</f>
        <v>53086</v>
      </c>
      <c r="E31690">
        <v>81.099999999999994</v>
      </c>
    </row>
    <row r="31691" spans="1:5" x14ac:dyDescent="0.2">
      <c r="A31691">
        <v>53088</v>
      </c>
      <c r="B31691" t="s">
        <v>55</v>
      </c>
      <c r="C31691">
        <v>53088</v>
      </c>
      <c r="D31691" t="str">
        <f>"53088"</f>
        <v>53088</v>
      </c>
      <c r="E31691" t="s">
        <v>6</v>
      </c>
    </row>
    <row r="31692" spans="1:5" x14ac:dyDescent="0.2">
      <c r="A31692">
        <v>53089</v>
      </c>
      <c r="B31692" t="s">
        <v>55</v>
      </c>
      <c r="C31692">
        <v>53089</v>
      </c>
      <c r="D31692" t="str">
        <f>"53089"</f>
        <v>53089</v>
      </c>
      <c r="E31692">
        <v>81.02</v>
      </c>
    </row>
    <row r="31693" spans="1:5" x14ac:dyDescent="0.2">
      <c r="A31693">
        <v>53090</v>
      </c>
      <c r="B31693" t="s">
        <v>55</v>
      </c>
      <c r="C31693">
        <v>53090</v>
      </c>
      <c r="D31693" t="str">
        <f>"53090"</f>
        <v>53090</v>
      </c>
      <c r="E31693">
        <v>80.06</v>
      </c>
    </row>
    <row r="31694" spans="1:5" x14ac:dyDescent="0.2">
      <c r="A31694">
        <v>53091</v>
      </c>
      <c r="B31694" t="s">
        <v>55</v>
      </c>
      <c r="C31694">
        <v>53091</v>
      </c>
      <c r="D31694" t="str">
        <f>"53091"</f>
        <v>53091</v>
      </c>
      <c r="E31694">
        <v>78.900000000000006</v>
      </c>
    </row>
    <row r="31695" spans="1:5" x14ac:dyDescent="0.2">
      <c r="A31695">
        <v>53092</v>
      </c>
      <c r="B31695" t="s">
        <v>55</v>
      </c>
      <c r="C31695">
        <v>53092</v>
      </c>
      <c r="D31695" t="str">
        <f>"53092"</f>
        <v>53092</v>
      </c>
      <c r="E31695">
        <v>81.52</v>
      </c>
    </row>
    <row r="31696" spans="1:5" x14ac:dyDescent="0.2">
      <c r="A31696">
        <v>53093</v>
      </c>
      <c r="B31696" t="s">
        <v>55</v>
      </c>
      <c r="C31696">
        <v>53093</v>
      </c>
      <c r="D31696" t="str">
        <f>"53093"</f>
        <v>53093</v>
      </c>
      <c r="E31696">
        <v>77.38</v>
      </c>
    </row>
    <row r="31697" spans="1:5" x14ac:dyDescent="0.2">
      <c r="A31697">
        <v>53094</v>
      </c>
      <c r="B31697" t="s">
        <v>55</v>
      </c>
      <c r="C31697">
        <v>53094</v>
      </c>
      <c r="D31697" t="str">
        <f>"53094"</f>
        <v>53094</v>
      </c>
      <c r="E31697">
        <v>74.14</v>
      </c>
    </row>
    <row r="31698" spans="1:5" x14ac:dyDescent="0.2">
      <c r="A31698">
        <v>53095</v>
      </c>
      <c r="B31698" t="s">
        <v>55</v>
      </c>
      <c r="C31698">
        <v>53095</v>
      </c>
      <c r="D31698" t="str">
        <f>"53095"</f>
        <v>53095</v>
      </c>
      <c r="E31698">
        <v>78.78</v>
      </c>
    </row>
    <row r="31699" spans="1:5" x14ac:dyDescent="0.2">
      <c r="A31699">
        <v>53097</v>
      </c>
      <c r="B31699" t="s">
        <v>55</v>
      </c>
      <c r="C31699">
        <v>53097</v>
      </c>
      <c r="D31699" t="str">
        <f>"53097"</f>
        <v>53097</v>
      </c>
      <c r="E31699">
        <v>80.59</v>
      </c>
    </row>
    <row r="31700" spans="1:5" x14ac:dyDescent="0.2">
      <c r="A31700">
        <v>53098</v>
      </c>
      <c r="B31700" t="s">
        <v>55</v>
      </c>
      <c r="C31700">
        <v>53098</v>
      </c>
      <c r="D31700" t="str">
        <f>"53098"</f>
        <v>53098</v>
      </c>
      <c r="E31700">
        <v>76.59</v>
      </c>
    </row>
    <row r="31701" spans="1:5" x14ac:dyDescent="0.2">
      <c r="A31701">
        <v>53099</v>
      </c>
      <c r="B31701" t="s">
        <v>55</v>
      </c>
      <c r="C31701">
        <v>53099</v>
      </c>
      <c r="D31701" t="str">
        <f>"53099"</f>
        <v>53099</v>
      </c>
      <c r="E31701" t="s">
        <v>6</v>
      </c>
    </row>
    <row r="31702" spans="1:5" x14ac:dyDescent="0.2">
      <c r="A31702">
        <v>53103</v>
      </c>
      <c r="B31702" t="s">
        <v>55</v>
      </c>
      <c r="C31702">
        <v>53103</v>
      </c>
      <c r="D31702" t="str">
        <f>"53103"</f>
        <v>53103</v>
      </c>
      <c r="E31702">
        <v>82.74</v>
      </c>
    </row>
    <row r="31703" spans="1:5" x14ac:dyDescent="0.2">
      <c r="A31703">
        <v>53104</v>
      </c>
      <c r="B31703" t="s">
        <v>55</v>
      </c>
      <c r="C31703">
        <v>53104</v>
      </c>
      <c r="D31703" t="str">
        <f>"53104"</f>
        <v>53104</v>
      </c>
      <c r="E31703">
        <v>79</v>
      </c>
    </row>
    <row r="31704" spans="1:5" x14ac:dyDescent="0.2">
      <c r="A31704">
        <v>53105</v>
      </c>
      <c r="B31704" t="s">
        <v>55</v>
      </c>
      <c r="C31704">
        <v>53105</v>
      </c>
      <c r="D31704" t="str">
        <f>"53105"</f>
        <v>53105</v>
      </c>
      <c r="E31704">
        <v>76.7</v>
      </c>
    </row>
    <row r="31705" spans="1:5" x14ac:dyDescent="0.2">
      <c r="A31705">
        <v>53108</v>
      </c>
      <c r="B31705" t="s">
        <v>55</v>
      </c>
      <c r="C31705">
        <v>53108</v>
      </c>
      <c r="D31705" t="str">
        <f>"53108"</f>
        <v>53108</v>
      </c>
      <c r="E31705">
        <v>81.459999999999994</v>
      </c>
    </row>
    <row r="31706" spans="1:5" x14ac:dyDescent="0.2">
      <c r="A31706">
        <v>53110</v>
      </c>
      <c r="B31706" t="s">
        <v>55</v>
      </c>
      <c r="C31706">
        <v>53110</v>
      </c>
      <c r="D31706" t="str">
        <f>"53110"</f>
        <v>53110</v>
      </c>
      <c r="E31706">
        <v>73.400000000000006</v>
      </c>
    </row>
    <row r="31707" spans="1:5" x14ac:dyDescent="0.2">
      <c r="A31707">
        <v>53114</v>
      </c>
      <c r="B31707" t="s">
        <v>55</v>
      </c>
      <c r="C31707">
        <v>53114</v>
      </c>
      <c r="D31707" t="str">
        <f>"53114"</f>
        <v>53114</v>
      </c>
      <c r="E31707">
        <v>76.92</v>
      </c>
    </row>
    <row r="31708" spans="1:5" x14ac:dyDescent="0.2">
      <c r="A31708">
        <v>53115</v>
      </c>
      <c r="B31708" t="s">
        <v>55</v>
      </c>
      <c r="C31708">
        <v>53115</v>
      </c>
      <c r="D31708" t="str">
        <f>"53115"</f>
        <v>53115</v>
      </c>
      <c r="E31708">
        <v>70.92</v>
      </c>
    </row>
    <row r="31709" spans="1:5" x14ac:dyDescent="0.2">
      <c r="A31709">
        <v>53118</v>
      </c>
      <c r="B31709" t="s">
        <v>55</v>
      </c>
      <c r="C31709">
        <v>53118</v>
      </c>
      <c r="D31709" t="str">
        <f>"53118"</f>
        <v>53118</v>
      </c>
      <c r="E31709">
        <v>80.55</v>
      </c>
    </row>
    <row r="31710" spans="1:5" x14ac:dyDescent="0.2">
      <c r="A31710">
        <v>53119</v>
      </c>
      <c r="B31710" t="s">
        <v>55</v>
      </c>
      <c r="C31710">
        <v>53119</v>
      </c>
      <c r="D31710" t="str">
        <f>"53119"</f>
        <v>53119</v>
      </c>
      <c r="E31710">
        <v>81.94</v>
      </c>
    </row>
    <row r="31711" spans="1:5" x14ac:dyDescent="0.2">
      <c r="A31711">
        <v>53120</v>
      </c>
      <c r="B31711" t="s">
        <v>55</v>
      </c>
      <c r="C31711">
        <v>53120</v>
      </c>
      <c r="D31711" t="str">
        <f>"53120"</f>
        <v>53120</v>
      </c>
      <c r="E31711">
        <v>79.77</v>
      </c>
    </row>
    <row r="31712" spans="1:5" x14ac:dyDescent="0.2">
      <c r="A31712">
        <v>53121</v>
      </c>
      <c r="B31712" t="s">
        <v>55</v>
      </c>
      <c r="C31712">
        <v>53121</v>
      </c>
      <c r="D31712" t="str">
        <f>"53121"</f>
        <v>53121</v>
      </c>
      <c r="E31712">
        <v>75.739999999999995</v>
      </c>
    </row>
    <row r="31713" spans="1:5" x14ac:dyDescent="0.2">
      <c r="A31713">
        <v>53122</v>
      </c>
      <c r="B31713" t="s">
        <v>55</v>
      </c>
      <c r="C31713">
        <v>53122</v>
      </c>
      <c r="D31713" t="str">
        <f>"53122"</f>
        <v>53122</v>
      </c>
      <c r="E31713">
        <v>81.819999999999993</v>
      </c>
    </row>
    <row r="31714" spans="1:5" x14ac:dyDescent="0.2">
      <c r="A31714">
        <v>53125</v>
      </c>
      <c r="B31714" t="s">
        <v>55</v>
      </c>
      <c r="C31714">
        <v>53125</v>
      </c>
      <c r="D31714" t="str">
        <f>"53125"</f>
        <v>53125</v>
      </c>
      <c r="E31714">
        <v>77.42</v>
      </c>
    </row>
    <row r="31715" spans="1:5" x14ac:dyDescent="0.2">
      <c r="A31715">
        <v>53126</v>
      </c>
      <c r="B31715" t="s">
        <v>55</v>
      </c>
      <c r="C31715">
        <v>53126</v>
      </c>
      <c r="D31715" t="str">
        <f>"53126"</f>
        <v>53126</v>
      </c>
      <c r="E31715">
        <v>81.48</v>
      </c>
    </row>
    <row r="31716" spans="1:5" x14ac:dyDescent="0.2">
      <c r="A31716">
        <v>53127</v>
      </c>
      <c r="B31716" t="s">
        <v>55</v>
      </c>
      <c r="C31716">
        <v>53127</v>
      </c>
      <c r="D31716" t="str">
        <f>"53127"</f>
        <v>53127</v>
      </c>
      <c r="E31716" t="s">
        <v>6</v>
      </c>
    </row>
    <row r="31717" spans="1:5" x14ac:dyDescent="0.2">
      <c r="A31717">
        <v>53128</v>
      </c>
      <c r="B31717" t="s">
        <v>55</v>
      </c>
      <c r="C31717">
        <v>53128</v>
      </c>
      <c r="D31717" t="str">
        <f>"53128"</f>
        <v>53128</v>
      </c>
      <c r="E31717">
        <v>74.03</v>
      </c>
    </row>
    <row r="31718" spans="1:5" x14ac:dyDescent="0.2">
      <c r="A31718">
        <v>53129</v>
      </c>
      <c r="B31718" t="s">
        <v>55</v>
      </c>
      <c r="C31718">
        <v>53129</v>
      </c>
      <c r="D31718" t="str">
        <f>"53129"</f>
        <v>53129</v>
      </c>
      <c r="E31718">
        <v>79.05</v>
      </c>
    </row>
    <row r="31719" spans="1:5" x14ac:dyDescent="0.2">
      <c r="A31719">
        <v>53130</v>
      </c>
      <c r="B31719" t="s">
        <v>55</v>
      </c>
      <c r="C31719">
        <v>53130</v>
      </c>
      <c r="D31719" t="str">
        <f>"53130"</f>
        <v>53130</v>
      </c>
      <c r="E31719">
        <v>79.86</v>
      </c>
    </row>
    <row r="31720" spans="1:5" x14ac:dyDescent="0.2">
      <c r="A31720">
        <v>53132</v>
      </c>
      <c r="B31720" t="s">
        <v>55</v>
      </c>
      <c r="C31720">
        <v>53132</v>
      </c>
      <c r="D31720" t="str">
        <f>"53132"</f>
        <v>53132</v>
      </c>
      <c r="E31720">
        <v>80.739999999999995</v>
      </c>
    </row>
    <row r="31721" spans="1:5" x14ac:dyDescent="0.2">
      <c r="A31721">
        <v>53137</v>
      </c>
      <c r="B31721" t="s">
        <v>55</v>
      </c>
      <c r="C31721">
        <v>53137</v>
      </c>
      <c r="D31721" t="str">
        <f>"53137"</f>
        <v>53137</v>
      </c>
      <c r="E31721">
        <v>79.27</v>
      </c>
    </row>
    <row r="31722" spans="1:5" x14ac:dyDescent="0.2">
      <c r="A31722">
        <v>53139</v>
      </c>
      <c r="B31722" t="s">
        <v>55</v>
      </c>
      <c r="C31722">
        <v>53139</v>
      </c>
      <c r="D31722" t="str">
        <f>"53139"</f>
        <v>53139</v>
      </c>
      <c r="E31722">
        <v>81.819999999999993</v>
      </c>
    </row>
    <row r="31723" spans="1:5" x14ac:dyDescent="0.2">
      <c r="A31723">
        <v>53140</v>
      </c>
      <c r="B31723" t="s">
        <v>55</v>
      </c>
      <c r="C31723">
        <v>53140</v>
      </c>
      <c r="D31723" t="str">
        <f>"53140"</f>
        <v>53140</v>
      </c>
      <c r="E31723">
        <v>65.47</v>
      </c>
    </row>
    <row r="31724" spans="1:5" x14ac:dyDescent="0.2">
      <c r="A31724">
        <v>53142</v>
      </c>
      <c r="B31724" t="s">
        <v>55</v>
      </c>
      <c r="C31724">
        <v>53142</v>
      </c>
      <c r="D31724" t="str">
        <f>"53142"</f>
        <v>53142</v>
      </c>
      <c r="E31724">
        <v>75.66</v>
      </c>
    </row>
    <row r="31725" spans="1:5" x14ac:dyDescent="0.2">
      <c r="A31725">
        <v>53143</v>
      </c>
      <c r="B31725" t="s">
        <v>55</v>
      </c>
      <c r="C31725">
        <v>53143</v>
      </c>
      <c r="D31725" t="str">
        <f>"53143"</f>
        <v>53143</v>
      </c>
      <c r="E31725">
        <v>66.48</v>
      </c>
    </row>
    <row r="31726" spans="1:5" x14ac:dyDescent="0.2">
      <c r="A31726">
        <v>53144</v>
      </c>
      <c r="B31726" t="s">
        <v>55</v>
      </c>
      <c r="C31726">
        <v>53144</v>
      </c>
      <c r="D31726" t="str">
        <f>"53144"</f>
        <v>53144</v>
      </c>
      <c r="E31726">
        <v>71.5</v>
      </c>
    </row>
    <row r="31727" spans="1:5" x14ac:dyDescent="0.2">
      <c r="A31727">
        <v>53146</v>
      </c>
      <c r="B31727" t="s">
        <v>55</v>
      </c>
      <c r="C31727">
        <v>53146</v>
      </c>
      <c r="D31727" t="str">
        <f>"53146"</f>
        <v>53146</v>
      </c>
      <c r="E31727">
        <v>81.89</v>
      </c>
    </row>
    <row r="31728" spans="1:5" x14ac:dyDescent="0.2">
      <c r="A31728">
        <v>53147</v>
      </c>
      <c r="B31728" t="s">
        <v>55</v>
      </c>
      <c r="C31728">
        <v>53147</v>
      </c>
      <c r="D31728" t="str">
        <f>"53147"</f>
        <v>53147</v>
      </c>
      <c r="E31728">
        <v>73.11</v>
      </c>
    </row>
    <row r="31729" spans="1:5" x14ac:dyDescent="0.2">
      <c r="A31729">
        <v>53149</v>
      </c>
      <c r="B31729" t="s">
        <v>55</v>
      </c>
      <c r="C31729">
        <v>53149</v>
      </c>
      <c r="D31729" t="str">
        <f>"53149"</f>
        <v>53149</v>
      </c>
      <c r="E31729">
        <v>82.88</v>
      </c>
    </row>
    <row r="31730" spans="1:5" x14ac:dyDescent="0.2">
      <c r="A31730">
        <v>53150</v>
      </c>
      <c r="B31730" t="s">
        <v>55</v>
      </c>
      <c r="C31730">
        <v>53150</v>
      </c>
      <c r="D31730" t="str">
        <f>"53150"</f>
        <v>53150</v>
      </c>
      <c r="E31730">
        <v>82.12</v>
      </c>
    </row>
    <row r="31731" spans="1:5" x14ac:dyDescent="0.2">
      <c r="A31731">
        <v>53151</v>
      </c>
      <c r="B31731" t="s">
        <v>55</v>
      </c>
      <c r="C31731">
        <v>53151</v>
      </c>
      <c r="D31731" t="str">
        <f>"53151"</f>
        <v>53151</v>
      </c>
      <c r="E31731">
        <v>82.5</v>
      </c>
    </row>
    <row r="31732" spans="1:5" x14ac:dyDescent="0.2">
      <c r="A31732">
        <v>53153</v>
      </c>
      <c r="B31732" t="s">
        <v>55</v>
      </c>
      <c r="C31732">
        <v>53153</v>
      </c>
      <c r="D31732" t="str">
        <f>"53153"</f>
        <v>53153</v>
      </c>
      <c r="E31732">
        <v>81.819999999999993</v>
      </c>
    </row>
    <row r="31733" spans="1:5" x14ac:dyDescent="0.2">
      <c r="A31733">
        <v>53154</v>
      </c>
      <c r="B31733" t="s">
        <v>55</v>
      </c>
      <c r="C31733">
        <v>53154</v>
      </c>
      <c r="D31733" t="str">
        <f>"53154"</f>
        <v>53154</v>
      </c>
      <c r="E31733">
        <v>80.209999999999994</v>
      </c>
    </row>
    <row r="31734" spans="1:5" x14ac:dyDescent="0.2">
      <c r="A31734">
        <v>53156</v>
      </c>
      <c r="B31734" t="s">
        <v>55</v>
      </c>
      <c r="C31734">
        <v>53156</v>
      </c>
      <c r="D31734" t="str">
        <f>"53156"</f>
        <v>53156</v>
      </c>
      <c r="E31734">
        <v>75.64</v>
      </c>
    </row>
    <row r="31735" spans="1:5" x14ac:dyDescent="0.2">
      <c r="A31735">
        <v>53158</v>
      </c>
      <c r="B31735" t="s">
        <v>55</v>
      </c>
      <c r="C31735">
        <v>53158</v>
      </c>
      <c r="D31735" t="str">
        <f>"53158"</f>
        <v>53158</v>
      </c>
      <c r="E31735">
        <v>79.290000000000006</v>
      </c>
    </row>
    <row r="31736" spans="1:5" x14ac:dyDescent="0.2">
      <c r="A31736">
        <v>53167</v>
      </c>
      <c r="B31736" t="s">
        <v>55</v>
      </c>
      <c r="C31736">
        <v>53167</v>
      </c>
      <c r="D31736" t="str">
        <f>"53167"</f>
        <v>53167</v>
      </c>
      <c r="E31736" t="s">
        <v>6</v>
      </c>
    </row>
    <row r="31737" spans="1:5" x14ac:dyDescent="0.2">
      <c r="A31737">
        <v>53168</v>
      </c>
      <c r="B31737" t="s">
        <v>55</v>
      </c>
      <c r="C31737">
        <v>53168</v>
      </c>
      <c r="D31737" t="str">
        <f>"53168"</f>
        <v>53168</v>
      </c>
      <c r="E31737">
        <v>78.650000000000006</v>
      </c>
    </row>
    <row r="31738" spans="1:5" x14ac:dyDescent="0.2">
      <c r="A31738">
        <v>53170</v>
      </c>
      <c r="B31738" t="s">
        <v>55</v>
      </c>
      <c r="C31738">
        <v>53170</v>
      </c>
      <c r="D31738" t="str">
        <f>"53170"</f>
        <v>53170</v>
      </c>
      <c r="E31738">
        <v>76.27</v>
      </c>
    </row>
    <row r="31739" spans="1:5" x14ac:dyDescent="0.2">
      <c r="A31739">
        <v>53172</v>
      </c>
      <c r="B31739" t="s">
        <v>55</v>
      </c>
      <c r="C31739">
        <v>53172</v>
      </c>
      <c r="D31739" t="str">
        <f>"53172"</f>
        <v>53172</v>
      </c>
      <c r="E31739">
        <v>75.459999999999994</v>
      </c>
    </row>
    <row r="31740" spans="1:5" x14ac:dyDescent="0.2">
      <c r="A31740">
        <v>53177</v>
      </c>
      <c r="B31740" t="s">
        <v>55</v>
      </c>
      <c r="C31740">
        <v>53177</v>
      </c>
      <c r="D31740" t="str">
        <f>"53177"</f>
        <v>53177</v>
      </c>
      <c r="E31740">
        <v>76.44</v>
      </c>
    </row>
    <row r="31741" spans="1:5" x14ac:dyDescent="0.2">
      <c r="A31741">
        <v>53178</v>
      </c>
      <c r="B31741" t="s">
        <v>55</v>
      </c>
      <c r="C31741">
        <v>53178</v>
      </c>
      <c r="D31741" t="str">
        <f>"53178"</f>
        <v>53178</v>
      </c>
      <c r="E31741">
        <v>80.989999999999995</v>
      </c>
    </row>
    <row r="31742" spans="1:5" x14ac:dyDescent="0.2">
      <c r="A31742">
        <v>53179</v>
      </c>
      <c r="B31742" t="s">
        <v>55</v>
      </c>
      <c r="C31742">
        <v>53179</v>
      </c>
      <c r="D31742" t="str">
        <f>"53179"</f>
        <v>53179</v>
      </c>
      <c r="E31742">
        <v>78.41</v>
      </c>
    </row>
    <row r="31743" spans="1:5" x14ac:dyDescent="0.2">
      <c r="A31743">
        <v>53181</v>
      </c>
      <c r="B31743" t="s">
        <v>55</v>
      </c>
      <c r="C31743">
        <v>53181</v>
      </c>
      <c r="D31743" t="str">
        <f>"53181"</f>
        <v>53181</v>
      </c>
      <c r="E31743">
        <v>75.989999999999995</v>
      </c>
    </row>
    <row r="31744" spans="1:5" x14ac:dyDescent="0.2">
      <c r="A31744">
        <v>53182</v>
      </c>
      <c r="B31744" t="s">
        <v>55</v>
      </c>
      <c r="C31744">
        <v>53182</v>
      </c>
      <c r="D31744" t="str">
        <f>"53182"</f>
        <v>53182</v>
      </c>
      <c r="E31744">
        <v>77.58</v>
      </c>
    </row>
    <row r="31745" spans="1:5" x14ac:dyDescent="0.2">
      <c r="A31745">
        <v>53183</v>
      </c>
      <c r="B31745" t="s">
        <v>55</v>
      </c>
      <c r="C31745">
        <v>53183</v>
      </c>
      <c r="D31745" t="str">
        <f>"53183"</f>
        <v>53183</v>
      </c>
      <c r="E31745">
        <v>81.88</v>
      </c>
    </row>
    <row r="31746" spans="1:5" x14ac:dyDescent="0.2">
      <c r="A31746">
        <v>53184</v>
      </c>
      <c r="B31746" t="s">
        <v>55</v>
      </c>
      <c r="C31746">
        <v>53184</v>
      </c>
      <c r="D31746" t="str">
        <f>"53184"</f>
        <v>53184</v>
      </c>
      <c r="E31746">
        <v>70.87</v>
      </c>
    </row>
    <row r="31747" spans="1:5" x14ac:dyDescent="0.2">
      <c r="A31747">
        <v>53185</v>
      </c>
      <c r="B31747" t="s">
        <v>55</v>
      </c>
      <c r="C31747">
        <v>53185</v>
      </c>
      <c r="D31747" t="str">
        <f>"53185"</f>
        <v>53185</v>
      </c>
      <c r="E31747">
        <v>81.349999999999994</v>
      </c>
    </row>
    <row r="31748" spans="1:5" x14ac:dyDescent="0.2">
      <c r="A31748">
        <v>53186</v>
      </c>
      <c r="B31748" t="s">
        <v>55</v>
      </c>
      <c r="C31748">
        <v>53186</v>
      </c>
      <c r="D31748" t="str">
        <f>"53186"</f>
        <v>53186</v>
      </c>
      <c r="E31748">
        <v>76.849999999999994</v>
      </c>
    </row>
    <row r="31749" spans="1:5" x14ac:dyDescent="0.2">
      <c r="A31749">
        <v>53188</v>
      </c>
      <c r="B31749" t="s">
        <v>55</v>
      </c>
      <c r="C31749">
        <v>53188</v>
      </c>
      <c r="D31749" t="str">
        <f>"53188"</f>
        <v>53188</v>
      </c>
      <c r="E31749">
        <v>78.89</v>
      </c>
    </row>
    <row r="31750" spans="1:5" x14ac:dyDescent="0.2">
      <c r="A31750">
        <v>53189</v>
      </c>
      <c r="B31750" t="s">
        <v>55</v>
      </c>
      <c r="C31750">
        <v>53189</v>
      </c>
      <c r="D31750" t="str">
        <f>"53189"</f>
        <v>53189</v>
      </c>
      <c r="E31750">
        <v>80.650000000000006</v>
      </c>
    </row>
    <row r="31751" spans="1:5" x14ac:dyDescent="0.2">
      <c r="A31751">
        <v>53190</v>
      </c>
      <c r="B31751" t="s">
        <v>55</v>
      </c>
      <c r="C31751">
        <v>53190</v>
      </c>
      <c r="D31751" t="str">
        <f>"53190"</f>
        <v>53190</v>
      </c>
      <c r="E31751">
        <v>72.97</v>
      </c>
    </row>
    <row r="31752" spans="1:5" x14ac:dyDescent="0.2">
      <c r="A31752">
        <v>53191</v>
      </c>
      <c r="B31752" t="s">
        <v>55</v>
      </c>
      <c r="C31752">
        <v>53191</v>
      </c>
      <c r="D31752" t="str">
        <f>"53191"</f>
        <v>53191</v>
      </c>
      <c r="E31752">
        <v>75.17</v>
      </c>
    </row>
    <row r="31753" spans="1:5" x14ac:dyDescent="0.2">
      <c r="A31753">
        <v>53192</v>
      </c>
      <c r="B31753" t="s">
        <v>55</v>
      </c>
      <c r="C31753">
        <v>53192</v>
      </c>
      <c r="D31753" t="str">
        <f>"53192"</f>
        <v>53192</v>
      </c>
      <c r="E31753" t="s">
        <v>6</v>
      </c>
    </row>
    <row r="31754" spans="1:5" x14ac:dyDescent="0.2">
      <c r="A31754">
        <v>53195</v>
      </c>
      <c r="B31754" t="s">
        <v>55</v>
      </c>
      <c r="C31754">
        <v>53195</v>
      </c>
      <c r="D31754" t="str">
        <f>"53195"</f>
        <v>53195</v>
      </c>
      <c r="E31754" t="s">
        <v>6</v>
      </c>
    </row>
    <row r="31755" spans="1:5" x14ac:dyDescent="0.2">
      <c r="A31755">
        <v>53202</v>
      </c>
      <c r="B31755" t="s">
        <v>55</v>
      </c>
      <c r="C31755">
        <v>53202</v>
      </c>
      <c r="D31755" t="str">
        <f>"53202"</f>
        <v>53202</v>
      </c>
      <c r="E31755">
        <v>86.09</v>
      </c>
    </row>
    <row r="31756" spans="1:5" x14ac:dyDescent="0.2">
      <c r="A31756">
        <v>53203</v>
      </c>
      <c r="B31756" t="s">
        <v>55</v>
      </c>
      <c r="C31756">
        <v>53203</v>
      </c>
      <c r="D31756" t="str">
        <f>"53203"</f>
        <v>53203</v>
      </c>
      <c r="E31756">
        <v>86.78</v>
      </c>
    </row>
    <row r="31757" spans="1:5" x14ac:dyDescent="0.2">
      <c r="A31757">
        <v>53204</v>
      </c>
      <c r="B31757" t="s">
        <v>55</v>
      </c>
      <c r="C31757">
        <v>53204</v>
      </c>
      <c r="D31757" t="str">
        <f>"53204"</f>
        <v>53204</v>
      </c>
      <c r="E31757">
        <v>47.41</v>
      </c>
    </row>
    <row r="31758" spans="1:5" x14ac:dyDescent="0.2">
      <c r="A31758">
        <v>53205</v>
      </c>
      <c r="B31758" t="s">
        <v>55</v>
      </c>
      <c r="C31758">
        <v>53205</v>
      </c>
      <c r="D31758" t="str">
        <f>"53205"</f>
        <v>53205</v>
      </c>
      <c r="E31758">
        <v>42.43</v>
      </c>
    </row>
    <row r="31759" spans="1:5" x14ac:dyDescent="0.2">
      <c r="A31759">
        <v>53206</v>
      </c>
      <c r="B31759" t="s">
        <v>55</v>
      </c>
      <c r="C31759">
        <v>53206</v>
      </c>
      <c r="D31759" t="str">
        <f>"53206"</f>
        <v>53206</v>
      </c>
      <c r="E31759">
        <v>39.630000000000003</v>
      </c>
    </row>
    <row r="31760" spans="1:5" x14ac:dyDescent="0.2">
      <c r="A31760">
        <v>53207</v>
      </c>
      <c r="B31760" t="s">
        <v>55</v>
      </c>
      <c r="C31760">
        <v>53207</v>
      </c>
      <c r="D31760" t="str">
        <f>"53207"</f>
        <v>53207</v>
      </c>
      <c r="E31760">
        <v>80.540000000000006</v>
      </c>
    </row>
    <row r="31761" spans="1:5" x14ac:dyDescent="0.2">
      <c r="A31761">
        <v>53208</v>
      </c>
      <c r="B31761" t="s">
        <v>55</v>
      </c>
      <c r="C31761">
        <v>53208</v>
      </c>
      <c r="D31761" t="str">
        <f>"53208"</f>
        <v>53208</v>
      </c>
      <c r="E31761">
        <v>59.7</v>
      </c>
    </row>
    <row r="31762" spans="1:5" x14ac:dyDescent="0.2">
      <c r="A31762">
        <v>53209</v>
      </c>
      <c r="B31762" t="s">
        <v>55</v>
      </c>
      <c r="C31762">
        <v>53209</v>
      </c>
      <c r="D31762" t="str">
        <f>"53209"</f>
        <v>53209</v>
      </c>
      <c r="E31762">
        <v>58.9</v>
      </c>
    </row>
    <row r="31763" spans="1:5" x14ac:dyDescent="0.2">
      <c r="A31763">
        <v>53210</v>
      </c>
      <c r="B31763" t="s">
        <v>55</v>
      </c>
      <c r="C31763">
        <v>53210</v>
      </c>
      <c r="D31763" t="str">
        <f>"53210"</f>
        <v>53210</v>
      </c>
      <c r="E31763">
        <v>52.5</v>
      </c>
    </row>
    <row r="31764" spans="1:5" x14ac:dyDescent="0.2">
      <c r="A31764">
        <v>53211</v>
      </c>
      <c r="B31764" t="s">
        <v>55</v>
      </c>
      <c r="C31764">
        <v>53211</v>
      </c>
      <c r="D31764" t="str">
        <f>"53211"</f>
        <v>53211</v>
      </c>
      <c r="E31764">
        <v>78.56</v>
      </c>
    </row>
    <row r="31765" spans="1:5" x14ac:dyDescent="0.2">
      <c r="A31765">
        <v>53212</v>
      </c>
      <c r="B31765" t="s">
        <v>55</v>
      </c>
      <c r="C31765">
        <v>53212</v>
      </c>
      <c r="D31765" t="str">
        <f>"53212"</f>
        <v>53212</v>
      </c>
      <c r="E31765">
        <v>64.06</v>
      </c>
    </row>
    <row r="31766" spans="1:5" x14ac:dyDescent="0.2">
      <c r="A31766">
        <v>53213</v>
      </c>
      <c r="B31766" t="s">
        <v>55</v>
      </c>
      <c r="C31766">
        <v>53213</v>
      </c>
      <c r="D31766" t="str">
        <f>"53213"</f>
        <v>53213</v>
      </c>
      <c r="E31766">
        <v>83.07</v>
      </c>
    </row>
    <row r="31767" spans="1:5" x14ac:dyDescent="0.2">
      <c r="A31767">
        <v>53214</v>
      </c>
      <c r="B31767" t="s">
        <v>55</v>
      </c>
      <c r="C31767">
        <v>53214</v>
      </c>
      <c r="D31767" t="str">
        <f>"53214"</f>
        <v>53214</v>
      </c>
      <c r="E31767">
        <v>72.11</v>
      </c>
    </row>
    <row r="31768" spans="1:5" x14ac:dyDescent="0.2">
      <c r="A31768">
        <v>53215</v>
      </c>
      <c r="B31768" t="s">
        <v>55</v>
      </c>
      <c r="C31768">
        <v>53215</v>
      </c>
      <c r="D31768" t="str">
        <f>"53215"</f>
        <v>53215</v>
      </c>
      <c r="E31768">
        <v>53.64</v>
      </c>
    </row>
    <row r="31769" spans="1:5" x14ac:dyDescent="0.2">
      <c r="A31769">
        <v>53216</v>
      </c>
      <c r="B31769" t="s">
        <v>55</v>
      </c>
      <c r="C31769">
        <v>53216</v>
      </c>
      <c r="D31769" t="str">
        <f>"53216"</f>
        <v>53216</v>
      </c>
      <c r="E31769">
        <v>56.81</v>
      </c>
    </row>
    <row r="31770" spans="1:5" x14ac:dyDescent="0.2">
      <c r="A31770">
        <v>53217</v>
      </c>
      <c r="B31770" t="s">
        <v>55</v>
      </c>
      <c r="C31770">
        <v>53217</v>
      </c>
      <c r="D31770" t="str">
        <f>"53217"</f>
        <v>53217</v>
      </c>
      <c r="E31770">
        <v>81.77</v>
      </c>
    </row>
    <row r="31771" spans="1:5" x14ac:dyDescent="0.2">
      <c r="A31771">
        <v>53218</v>
      </c>
      <c r="B31771" t="s">
        <v>55</v>
      </c>
      <c r="C31771">
        <v>53218</v>
      </c>
      <c r="D31771" t="str">
        <f>"53218"</f>
        <v>53218</v>
      </c>
      <c r="E31771">
        <v>52.1</v>
      </c>
    </row>
    <row r="31772" spans="1:5" x14ac:dyDescent="0.2">
      <c r="A31772">
        <v>53219</v>
      </c>
      <c r="B31772" t="s">
        <v>55</v>
      </c>
      <c r="C31772">
        <v>53219</v>
      </c>
      <c r="D31772" t="str">
        <f>"53219"</f>
        <v>53219</v>
      </c>
      <c r="E31772">
        <v>74.44</v>
      </c>
    </row>
    <row r="31773" spans="1:5" x14ac:dyDescent="0.2">
      <c r="A31773">
        <v>53220</v>
      </c>
      <c r="B31773" t="s">
        <v>55</v>
      </c>
      <c r="C31773">
        <v>53220</v>
      </c>
      <c r="D31773" t="str">
        <f>"53220"</f>
        <v>53220</v>
      </c>
      <c r="E31773">
        <v>76.290000000000006</v>
      </c>
    </row>
    <row r="31774" spans="1:5" x14ac:dyDescent="0.2">
      <c r="A31774">
        <v>53221</v>
      </c>
      <c r="B31774" t="s">
        <v>55</v>
      </c>
      <c r="C31774">
        <v>53221</v>
      </c>
      <c r="D31774" t="str">
        <f>"53221"</f>
        <v>53221</v>
      </c>
      <c r="E31774">
        <v>70.42</v>
      </c>
    </row>
    <row r="31775" spans="1:5" x14ac:dyDescent="0.2">
      <c r="A31775">
        <v>53222</v>
      </c>
      <c r="B31775" t="s">
        <v>55</v>
      </c>
      <c r="C31775">
        <v>53222</v>
      </c>
      <c r="D31775" t="str">
        <f>"53222"</f>
        <v>53222</v>
      </c>
      <c r="E31775">
        <v>75.69</v>
      </c>
    </row>
    <row r="31776" spans="1:5" x14ac:dyDescent="0.2">
      <c r="A31776">
        <v>53223</v>
      </c>
      <c r="B31776" t="s">
        <v>55</v>
      </c>
      <c r="C31776">
        <v>53223</v>
      </c>
      <c r="D31776" t="str">
        <f>"53223"</f>
        <v>53223</v>
      </c>
      <c r="E31776">
        <v>67.48</v>
      </c>
    </row>
    <row r="31777" spans="1:5" x14ac:dyDescent="0.2">
      <c r="A31777">
        <v>53224</v>
      </c>
      <c r="B31777" t="s">
        <v>55</v>
      </c>
      <c r="C31777">
        <v>53224</v>
      </c>
      <c r="D31777" t="str">
        <f>"53224"</f>
        <v>53224</v>
      </c>
      <c r="E31777">
        <v>62.45</v>
      </c>
    </row>
    <row r="31778" spans="1:5" x14ac:dyDescent="0.2">
      <c r="A31778">
        <v>53225</v>
      </c>
      <c r="B31778" t="s">
        <v>55</v>
      </c>
      <c r="C31778">
        <v>53225</v>
      </c>
      <c r="D31778" t="str">
        <f>"53225"</f>
        <v>53225</v>
      </c>
      <c r="E31778">
        <v>60.59</v>
      </c>
    </row>
    <row r="31779" spans="1:5" x14ac:dyDescent="0.2">
      <c r="A31779">
        <v>53226</v>
      </c>
      <c r="B31779" t="s">
        <v>55</v>
      </c>
      <c r="C31779">
        <v>53226</v>
      </c>
      <c r="D31779" t="str">
        <f>"53226"</f>
        <v>53226</v>
      </c>
      <c r="E31779">
        <v>81.75</v>
      </c>
    </row>
    <row r="31780" spans="1:5" x14ac:dyDescent="0.2">
      <c r="A31780">
        <v>53227</v>
      </c>
      <c r="B31780" t="s">
        <v>55</v>
      </c>
      <c r="C31780">
        <v>53227</v>
      </c>
      <c r="D31780" t="str">
        <f>"53227"</f>
        <v>53227</v>
      </c>
      <c r="E31780">
        <v>78.010000000000005</v>
      </c>
    </row>
    <row r="31781" spans="1:5" x14ac:dyDescent="0.2">
      <c r="A31781">
        <v>53228</v>
      </c>
      <c r="B31781" t="s">
        <v>55</v>
      </c>
      <c r="C31781">
        <v>53228</v>
      </c>
      <c r="D31781" t="str">
        <f>"53228"</f>
        <v>53228</v>
      </c>
      <c r="E31781">
        <v>78.650000000000006</v>
      </c>
    </row>
    <row r="31782" spans="1:5" x14ac:dyDescent="0.2">
      <c r="A31782">
        <v>53233</v>
      </c>
      <c r="B31782" t="s">
        <v>55</v>
      </c>
      <c r="C31782">
        <v>53233</v>
      </c>
      <c r="D31782" t="str">
        <f>"53233"</f>
        <v>53233</v>
      </c>
      <c r="E31782">
        <v>53.58</v>
      </c>
    </row>
    <row r="31783" spans="1:5" x14ac:dyDescent="0.2">
      <c r="A31783">
        <v>53235</v>
      </c>
      <c r="B31783" t="s">
        <v>55</v>
      </c>
      <c r="C31783">
        <v>53235</v>
      </c>
      <c r="D31783" t="str">
        <f>"53235"</f>
        <v>53235</v>
      </c>
      <c r="E31783">
        <v>78.790000000000006</v>
      </c>
    </row>
    <row r="31784" spans="1:5" x14ac:dyDescent="0.2">
      <c r="A31784">
        <v>53402</v>
      </c>
      <c r="B31784" t="s">
        <v>55</v>
      </c>
      <c r="C31784">
        <v>53402</v>
      </c>
      <c r="D31784" t="str">
        <f>"53402"</f>
        <v>53402</v>
      </c>
      <c r="E31784">
        <v>72.83</v>
      </c>
    </row>
    <row r="31785" spans="1:5" x14ac:dyDescent="0.2">
      <c r="A31785">
        <v>53403</v>
      </c>
      <c r="B31785" t="s">
        <v>55</v>
      </c>
      <c r="C31785">
        <v>53403</v>
      </c>
      <c r="D31785" t="str">
        <f>"53403"</f>
        <v>53403</v>
      </c>
      <c r="E31785">
        <v>63.7</v>
      </c>
    </row>
    <row r="31786" spans="1:5" x14ac:dyDescent="0.2">
      <c r="A31786">
        <v>53404</v>
      </c>
      <c r="B31786" t="s">
        <v>55</v>
      </c>
      <c r="C31786">
        <v>53404</v>
      </c>
      <c r="D31786" t="str">
        <f>"53404"</f>
        <v>53404</v>
      </c>
      <c r="E31786">
        <v>56.9</v>
      </c>
    </row>
    <row r="31787" spans="1:5" x14ac:dyDescent="0.2">
      <c r="A31787">
        <v>53405</v>
      </c>
      <c r="B31787" t="s">
        <v>55</v>
      </c>
      <c r="C31787">
        <v>53405</v>
      </c>
      <c r="D31787" t="str">
        <f>"53405"</f>
        <v>53405</v>
      </c>
      <c r="E31787">
        <v>70.569999999999993</v>
      </c>
    </row>
    <row r="31788" spans="1:5" x14ac:dyDescent="0.2">
      <c r="A31788">
        <v>53406</v>
      </c>
      <c r="B31788" t="s">
        <v>55</v>
      </c>
      <c r="C31788">
        <v>53406</v>
      </c>
      <c r="D31788" t="str">
        <f>"53406"</f>
        <v>53406</v>
      </c>
      <c r="E31788">
        <v>76.06</v>
      </c>
    </row>
    <row r="31789" spans="1:5" x14ac:dyDescent="0.2">
      <c r="A31789">
        <v>53501</v>
      </c>
      <c r="B31789" t="s">
        <v>55</v>
      </c>
      <c r="C31789">
        <v>53501</v>
      </c>
      <c r="D31789" t="str">
        <f>"53501"</f>
        <v>53501</v>
      </c>
      <c r="E31789" t="s">
        <v>6</v>
      </c>
    </row>
    <row r="31790" spans="1:5" x14ac:dyDescent="0.2">
      <c r="A31790">
        <v>53502</v>
      </c>
      <c r="B31790" t="s">
        <v>55</v>
      </c>
      <c r="C31790">
        <v>53502</v>
      </c>
      <c r="D31790" t="str">
        <f>"53502"</f>
        <v>53502</v>
      </c>
      <c r="E31790">
        <v>77.599999999999994</v>
      </c>
    </row>
    <row r="31791" spans="1:5" x14ac:dyDescent="0.2">
      <c r="A31791">
        <v>53503</v>
      </c>
      <c r="B31791" t="s">
        <v>55</v>
      </c>
      <c r="C31791">
        <v>53503</v>
      </c>
      <c r="D31791" t="str">
        <f>"53503"</f>
        <v>53503</v>
      </c>
      <c r="E31791">
        <v>79.17</v>
      </c>
    </row>
    <row r="31792" spans="1:5" x14ac:dyDescent="0.2">
      <c r="A31792">
        <v>53504</v>
      </c>
      <c r="B31792" t="s">
        <v>55</v>
      </c>
      <c r="C31792">
        <v>53504</v>
      </c>
      <c r="D31792" t="str">
        <f>"53504"</f>
        <v>53504</v>
      </c>
      <c r="E31792">
        <v>72.45</v>
      </c>
    </row>
    <row r="31793" spans="1:5" x14ac:dyDescent="0.2">
      <c r="A31793">
        <v>53505</v>
      </c>
      <c r="B31793" t="s">
        <v>55</v>
      </c>
      <c r="C31793">
        <v>53505</v>
      </c>
      <c r="D31793" t="str">
        <f>"53505"</f>
        <v>53505</v>
      </c>
      <c r="E31793">
        <v>72.73</v>
      </c>
    </row>
    <row r="31794" spans="1:5" x14ac:dyDescent="0.2">
      <c r="A31794">
        <v>53506</v>
      </c>
      <c r="B31794" t="s">
        <v>55</v>
      </c>
      <c r="C31794">
        <v>53506</v>
      </c>
      <c r="D31794" t="str">
        <f>"53506"</f>
        <v>53506</v>
      </c>
      <c r="E31794">
        <v>70</v>
      </c>
    </row>
    <row r="31795" spans="1:5" x14ac:dyDescent="0.2">
      <c r="A31795">
        <v>53507</v>
      </c>
      <c r="B31795" t="s">
        <v>55</v>
      </c>
      <c r="C31795">
        <v>53507</v>
      </c>
      <c r="D31795" t="str">
        <f>"53507"</f>
        <v>53507</v>
      </c>
      <c r="E31795">
        <v>81.819999999999993</v>
      </c>
    </row>
    <row r="31796" spans="1:5" x14ac:dyDescent="0.2">
      <c r="A31796">
        <v>53508</v>
      </c>
      <c r="B31796" t="s">
        <v>55</v>
      </c>
      <c r="C31796">
        <v>53508</v>
      </c>
      <c r="D31796" t="str">
        <f>"53508"</f>
        <v>53508</v>
      </c>
      <c r="E31796">
        <v>82.14</v>
      </c>
    </row>
    <row r="31797" spans="1:5" x14ac:dyDescent="0.2">
      <c r="A31797">
        <v>53510</v>
      </c>
      <c r="B31797" t="s">
        <v>55</v>
      </c>
      <c r="C31797">
        <v>53510</v>
      </c>
      <c r="D31797" t="str">
        <f>"53510"</f>
        <v>53510</v>
      </c>
      <c r="E31797">
        <v>76.39</v>
      </c>
    </row>
    <row r="31798" spans="1:5" x14ac:dyDescent="0.2">
      <c r="A31798">
        <v>53511</v>
      </c>
      <c r="B31798" t="s">
        <v>55</v>
      </c>
      <c r="C31798">
        <v>53511</v>
      </c>
      <c r="D31798" t="str">
        <f>"53511"</f>
        <v>53511</v>
      </c>
      <c r="E31798">
        <v>67.319999999999993</v>
      </c>
    </row>
    <row r="31799" spans="1:5" x14ac:dyDescent="0.2">
      <c r="A31799">
        <v>53515</v>
      </c>
      <c r="B31799" t="s">
        <v>55</v>
      </c>
      <c r="C31799">
        <v>53515</v>
      </c>
      <c r="D31799" t="str">
        <f>"53515"</f>
        <v>53515</v>
      </c>
      <c r="E31799">
        <v>82.81</v>
      </c>
    </row>
    <row r="31800" spans="1:5" x14ac:dyDescent="0.2">
      <c r="A31800">
        <v>53516</v>
      </c>
      <c r="B31800" t="s">
        <v>55</v>
      </c>
      <c r="C31800">
        <v>53516</v>
      </c>
      <c r="D31800" t="str">
        <f>"53516"</f>
        <v>53516</v>
      </c>
      <c r="E31800">
        <v>75.680000000000007</v>
      </c>
    </row>
    <row r="31801" spans="1:5" x14ac:dyDescent="0.2">
      <c r="A31801">
        <v>53517</v>
      </c>
      <c r="B31801" t="s">
        <v>55</v>
      </c>
      <c r="C31801">
        <v>53517</v>
      </c>
      <c r="D31801" t="str">
        <f>"53517"</f>
        <v>53517</v>
      </c>
      <c r="E31801">
        <v>82.11</v>
      </c>
    </row>
    <row r="31802" spans="1:5" x14ac:dyDescent="0.2">
      <c r="A31802">
        <v>53518</v>
      </c>
      <c r="B31802" t="s">
        <v>55</v>
      </c>
      <c r="C31802">
        <v>53518</v>
      </c>
      <c r="D31802" t="str">
        <f>"53518"</f>
        <v>53518</v>
      </c>
      <c r="E31802">
        <v>75.41</v>
      </c>
    </row>
    <row r="31803" spans="1:5" x14ac:dyDescent="0.2">
      <c r="A31803">
        <v>53520</v>
      </c>
      <c r="B31803" t="s">
        <v>55</v>
      </c>
      <c r="C31803">
        <v>53520</v>
      </c>
      <c r="D31803" t="str">
        <f>"53520"</f>
        <v>53520</v>
      </c>
      <c r="E31803">
        <v>73.73</v>
      </c>
    </row>
    <row r="31804" spans="1:5" x14ac:dyDescent="0.2">
      <c r="A31804">
        <v>53521</v>
      </c>
      <c r="B31804" t="s">
        <v>55</v>
      </c>
      <c r="C31804">
        <v>53521</v>
      </c>
      <c r="D31804" t="str">
        <f>"53521"</f>
        <v>53521</v>
      </c>
      <c r="E31804">
        <v>81.819999999999993</v>
      </c>
    </row>
    <row r="31805" spans="1:5" x14ac:dyDescent="0.2">
      <c r="A31805">
        <v>53522</v>
      </c>
      <c r="B31805" t="s">
        <v>55</v>
      </c>
      <c r="C31805">
        <v>53522</v>
      </c>
      <c r="D31805" t="str">
        <f>"53522"</f>
        <v>53522</v>
      </c>
      <c r="E31805">
        <v>71.150000000000006</v>
      </c>
    </row>
    <row r="31806" spans="1:5" x14ac:dyDescent="0.2">
      <c r="A31806">
        <v>53523</v>
      </c>
      <c r="B31806" t="s">
        <v>55</v>
      </c>
      <c r="C31806">
        <v>53523</v>
      </c>
      <c r="D31806" t="str">
        <f>"53523"</f>
        <v>53523</v>
      </c>
      <c r="E31806">
        <v>79.099999999999994</v>
      </c>
    </row>
    <row r="31807" spans="1:5" x14ac:dyDescent="0.2">
      <c r="A31807">
        <v>53525</v>
      </c>
      <c r="B31807" t="s">
        <v>55</v>
      </c>
      <c r="C31807">
        <v>53525</v>
      </c>
      <c r="D31807" t="str">
        <f>"53525"</f>
        <v>53525</v>
      </c>
      <c r="E31807">
        <v>74.069999999999993</v>
      </c>
    </row>
    <row r="31808" spans="1:5" x14ac:dyDescent="0.2">
      <c r="A31808">
        <v>53526</v>
      </c>
      <c r="B31808" t="s">
        <v>55</v>
      </c>
      <c r="C31808">
        <v>53526</v>
      </c>
      <c r="D31808" t="str">
        <f>"53526"</f>
        <v>53526</v>
      </c>
      <c r="E31808">
        <v>74.069999999999993</v>
      </c>
    </row>
    <row r="31809" spans="1:5" x14ac:dyDescent="0.2">
      <c r="A31809">
        <v>53527</v>
      </c>
      <c r="B31809" t="s">
        <v>55</v>
      </c>
      <c r="C31809">
        <v>53527</v>
      </c>
      <c r="D31809" t="str">
        <f>"53527"</f>
        <v>53527</v>
      </c>
      <c r="E31809">
        <v>82.95</v>
      </c>
    </row>
    <row r="31810" spans="1:5" x14ac:dyDescent="0.2">
      <c r="A31810">
        <v>53528</v>
      </c>
      <c r="B31810" t="s">
        <v>55</v>
      </c>
      <c r="C31810">
        <v>53528</v>
      </c>
      <c r="D31810" t="str">
        <f>"53528"</f>
        <v>53528</v>
      </c>
      <c r="E31810">
        <v>83.33</v>
      </c>
    </row>
    <row r="31811" spans="1:5" x14ac:dyDescent="0.2">
      <c r="A31811">
        <v>53529</v>
      </c>
      <c r="B31811" t="s">
        <v>55</v>
      </c>
      <c r="C31811">
        <v>53529</v>
      </c>
      <c r="D31811" t="str">
        <f>"53529"</f>
        <v>53529</v>
      </c>
      <c r="E31811">
        <v>80.19</v>
      </c>
    </row>
    <row r="31812" spans="1:5" x14ac:dyDescent="0.2">
      <c r="A31812">
        <v>53530</v>
      </c>
      <c r="B31812" t="s">
        <v>55</v>
      </c>
      <c r="C31812">
        <v>53530</v>
      </c>
      <c r="D31812" t="str">
        <f>"53530"</f>
        <v>53530</v>
      </c>
      <c r="E31812">
        <v>69.08</v>
      </c>
    </row>
    <row r="31813" spans="1:5" x14ac:dyDescent="0.2">
      <c r="A31813">
        <v>53531</v>
      </c>
      <c r="B31813" t="s">
        <v>55</v>
      </c>
      <c r="C31813">
        <v>53531</v>
      </c>
      <c r="D31813" t="str">
        <f>"53531"</f>
        <v>53531</v>
      </c>
      <c r="E31813">
        <v>81.33</v>
      </c>
    </row>
    <row r="31814" spans="1:5" x14ac:dyDescent="0.2">
      <c r="A31814">
        <v>53532</v>
      </c>
      <c r="B31814" t="s">
        <v>55</v>
      </c>
      <c r="C31814">
        <v>53532</v>
      </c>
      <c r="D31814" t="str">
        <f>"53532"</f>
        <v>53532</v>
      </c>
      <c r="E31814">
        <v>83.14</v>
      </c>
    </row>
    <row r="31815" spans="1:5" x14ac:dyDescent="0.2">
      <c r="A31815">
        <v>53533</v>
      </c>
      <c r="B31815" t="s">
        <v>55</v>
      </c>
      <c r="C31815">
        <v>53533</v>
      </c>
      <c r="D31815" t="str">
        <f>"53533"</f>
        <v>53533</v>
      </c>
      <c r="E31815">
        <v>74.59</v>
      </c>
    </row>
    <row r="31816" spans="1:5" x14ac:dyDescent="0.2">
      <c r="A31816">
        <v>53534</v>
      </c>
      <c r="B31816" t="s">
        <v>55</v>
      </c>
      <c r="C31816">
        <v>53534</v>
      </c>
      <c r="D31816" t="str">
        <f>"53534"</f>
        <v>53534</v>
      </c>
      <c r="E31816">
        <v>78.92</v>
      </c>
    </row>
    <row r="31817" spans="1:5" x14ac:dyDescent="0.2">
      <c r="A31817">
        <v>53536</v>
      </c>
      <c r="B31817" t="s">
        <v>55</v>
      </c>
      <c r="C31817">
        <v>53536</v>
      </c>
      <c r="D31817" t="str">
        <f>"53536"</f>
        <v>53536</v>
      </c>
      <c r="E31817">
        <v>79.86</v>
      </c>
    </row>
    <row r="31818" spans="1:5" x14ac:dyDescent="0.2">
      <c r="A31818">
        <v>53537</v>
      </c>
      <c r="B31818" t="s">
        <v>55</v>
      </c>
      <c r="C31818">
        <v>53537</v>
      </c>
      <c r="D31818" t="str">
        <f>"53537"</f>
        <v>53537</v>
      </c>
      <c r="E31818" t="s">
        <v>6</v>
      </c>
    </row>
    <row r="31819" spans="1:5" x14ac:dyDescent="0.2">
      <c r="A31819">
        <v>53538</v>
      </c>
      <c r="B31819" t="s">
        <v>55</v>
      </c>
      <c r="C31819">
        <v>53538</v>
      </c>
      <c r="D31819" t="str">
        <f>"53538"</f>
        <v>53538</v>
      </c>
      <c r="E31819">
        <v>75.790000000000006</v>
      </c>
    </row>
    <row r="31820" spans="1:5" x14ac:dyDescent="0.2">
      <c r="A31820">
        <v>53540</v>
      </c>
      <c r="B31820" t="s">
        <v>55</v>
      </c>
      <c r="C31820">
        <v>53540</v>
      </c>
      <c r="D31820" t="str">
        <f>"53540"</f>
        <v>53540</v>
      </c>
      <c r="E31820" t="s">
        <v>6</v>
      </c>
    </row>
    <row r="31821" spans="1:5" x14ac:dyDescent="0.2">
      <c r="A31821">
        <v>53541</v>
      </c>
      <c r="B31821" t="s">
        <v>55</v>
      </c>
      <c r="C31821">
        <v>53541</v>
      </c>
      <c r="D31821" t="str">
        <f>"53541"</f>
        <v>53541</v>
      </c>
      <c r="E31821">
        <v>69.05</v>
      </c>
    </row>
    <row r="31822" spans="1:5" x14ac:dyDescent="0.2">
      <c r="A31822">
        <v>53543</v>
      </c>
      <c r="B31822" t="s">
        <v>55</v>
      </c>
      <c r="C31822">
        <v>53543</v>
      </c>
      <c r="D31822" t="str">
        <f>"53543"</f>
        <v>53543</v>
      </c>
      <c r="E31822">
        <v>70</v>
      </c>
    </row>
    <row r="31823" spans="1:5" x14ac:dyDescent="0.2">
      <c r="A31823">
        <v>53544</v>
      </c>
      <c r="B31823" t="s">
        <v>55</v>
      </c>
      <c r="C31823">
        <v>53544</v>
      </c>
      <c r="D31823" t="str">
        <f>"53544"</f>
        <v>53544</v>
      </c>
      <c r="E31823">
        <v>71.790000000000006</v>
      </c>
    </row>
    <row r="31824" spans="1:5" x14ac:dyDescent="0.2">
      <c r="A31824">
        <v>53545</v>
      </c>
      <c r="B31824" t="s">
        <v>55</v>
      </c>
      <c r="C31824">
        <v>53545</v>
      </c>
      <c r="D31824" t="str">
        <f>"53545"</f>
        <v>53545</v>
      </c>
      <c r="E31824">
        <v>74.55</v>
      </c>
    </row>
    <row r="31825" spans="1:5" x14ac:dyDescent="0.2">
      <c r="A31825">
        <v>53546</v>
      </c>
      <c r="B31825" t="s">
        <v>55</v>
      </c>
      <c r="C31825">
        <v>53546</v>
      </c>
      <c r="D31825" t="str">
        <f>"53546"</f>
        <v>53546</v>
      </c>
      <c r="E31825">
        <v>75.989999999999995</v>
      </c>
    </row>
    <row r="31826" spans="1:5" x14ac:dyDescent="0.2">
      <c r="A31826">
        <v>53548</v>
      </c>
      <c r="B31826" t="s">
        <v>55</v>
      </c>
      <c r="C31826">
        <v>53548</v>
      </c>
      <c r="D31826" t="str">
        <f>"53548"</f>
        <v>53548</v>
      </c>
      <c r="E31826">
        <v>71.97</v>
      </c>
    </row>
    <row r="31827" spans="1:5" x14ac:dyDescent="0.2">
      <c r="A31827">
        <v>53549</v>
      </c>
      <c r="B31827" t="s">
        <v>55</v>
      </c>
      <c r="C31827">
        <v>53549</v>
      </c>
      <c r="D31827" t="str">
        <f>"53549"</f>
        <v>53549</v>
      </c>
      <c r="E31827">
        <v>73.650000000000006</v>
      </c>
    </row>
    <row r="31828" spans="1:5" x14ac:dyDescent="0.2">
      <c r="A31828">
        <v>53550</v>
      </c>
      <c r="B31828" t="s">
        <v>55</v>
      </c>
      <c r="C31828">
        <v>53550</v>
      </c>
      <c r="D31828" t="str">
        <f>"53550"</f>
        <v>53550</v>
      </c>
      <c r="E31828">
        <v>72.13</v>
      </c>
    </row>
    <row r="31829" spans="1:5" x14ac:dyDescent="0.2">
      <c r="A31829">
        <v>53551</v>
      </c>
      <c r="B31829" t="s">
        <v>55</v>
      </c>
      <c r="C31829">
        <v>53551</v>
      </c>
      <c r="D31829" t="str">
        <f>"53551"</f>
        <v>53551</v>
      </c>
      <c r="E31829">
        <v>79.27</v>
      </c>
    </row>
    <row r="31830" spans="1:5" x14ac:dyDescent="0.2">
      <c r="A31830">
        <v>53553</v>
      </c>
      <c r="B31830" t="s">
        <v>55</v>
      </c>
      <c r="C31830">
        <v>53553</v>
      </c>
      <c r="D31830" t="str">
        <f>"53553"</f>
        <v>53553</v>
      </c>
      <c r="E31830">
        <v>67.86</v>
      </c>
    </row>
    <row r="31831" spans="1:5" x14ac:dyDescent="0.2">
      <c r="A31831">
        <v>53554</v>
      </c>
      <c r="B31831" t="s">
        <v>55</v>
      </c>
      <c r="C31831">
        <v>53554</v>
      </c>
      <c r="D31831" t="str">
        <f>"53554"</f>
        <v>53554</v>
      </c>
      <c r="E31831">
        <v>72.34</v>
      </c>
    </row>
    <row r="31832" spans="1:5" x14ac:dyDescent="0.2">
      <c r="A31832">
        <v>53555</v>
      </c>
      <c r="B31832" t="s">
        <v>55</v>
      </c>
      <c r="C31832">
        <v>53555</v>
      </c>
      <c r="D31832" t="str">
        <f>"53555"</f>
        <v>53555</v>
      </c>
      <c r="E31832">
        <v>82.42</v>
      </c>
    </row>
    <row r="31833" spans="1:5" x14ac:dyDescent="0.2">
      <c r="A31833">
        <v>53556</v>
      </c>
      <c r="B31833" t="s">
        <v>55</v>
      </c>
      <c r="C31833">
        <v>53556</v>
      </c>
      <c r="D31833" t="str">
        <f>"53556"</f>
        <v>53556</v>
      </c>
      <c r="E31833">
        <v>71.97</v>
      </c>
    </row>
    <row r="31834" spans="1:5" x14ac:dyDescent="0.2">
      <c r="A31834">
        <v>53557</v>
      </c>
      <c r="B31834" t="s">
        <v>55</v>
      </c>
      <c r="C31834">
        <v>53557</v>
      </c>
      <c r="D31834" t="str">
        <f>"53557"</f>
        <v>53557</v>
      </c>
      <c r="E31834">
        <v>83.33</v>
      </c>
    </row>
    <row r="31835" spans="1:5" x14ac:dyDescent="0.2">
      <c r="A31835">
        <v>53558</v>
      </c>
      <c r="B31835" t="s">
        <v>55</v>
      </c>
      <c r="C31835">
        <v>53558</v>
      </c>
      <c r="D31835" t="str">
        <f>"53558"</f>
        <v>53558</v>
      </c>
      <c r="E31835">
        <v>82.93</v>
      </c>
    </row>
    <row r="31836" spans="1:5" x14ac:dyDescent="0.2">
      <c r="A31836">
        <v>53559</v>
      </c>
      <c r="B31836" t="s">
        <v>55</v>
      </c>
      <c r="C31836">
        <v>53559</v>
      </c>
      <c r="D31836" t="str">
        <f>"53559"</f>
        <v>53559</v>
      </c>
      <c r="E31836">
        <v>76.849999999999994</v>
      </c>
    </row>
    <row r="31837" spans="1:5" x14ac:dyDescent="0.2">
      <c r="A31837">
        <v>53560</v>
      </c>
      <c r="B31837" t="s">
        <v>55</v>
      </c>
      <c r="C31837">
        <v>53560</v>
      </c>
      <c r="D31837" t="str">
        <f>"53560"</f>
        <v>53560</v>
      </c>
      <c r="E31837">
        <v>81.42</v>
      </c>
    </row>
    <row r="31838" spans="1:5" x14ac:dyDescent="0.2">
      <c r="A31838">
        <v>53561</v>
      </c>
      <c r="B31838" t="s">
        <v>55</v>
      </c>
      <c r="C31838">
        <v>53561</v>
      </c>
      <c r="D31838" t="str">
        <f>"53561"</f>
        <v>53561</v>
      </c>
      <c r="E31838">
        <v>78.349999999999994</v>
      </c>
    </row>
    <row r="31839" spans="1:5" x14ac:dyDescent="0.2">
      <c r="A31839">
        <v>53562</v>
      </c>
      <c r="B31839" t="s">
        <v>55</v>
      </c>
      <c r="C31839">
        <v>53562</v>
      </c>
      <c r="D31839" t="str">
        <f>"53562"</f>
        <v>53562</v>
      </c>
      <c r="E31839">
        <v>83.67</v>
      </c>
    </row>
    <row r="31840" spans="1:5" x14ac:dyDescent="0.2">
      <c r="A31840">
        <v>53563</v>
      </c>
      <c r="B31840" t="s">
        <v>55</v>
      </c>
      <c r="C31840">
        <v>53563</v>
      </c>
      <c r="D31840" t="str">
        <f>"53563"</f>
        <v>53563</v>
      </c>
      <c r="E31840">
        <v>78.349999999999994</v>
      </c>
    </row>
    <row r="31841" spans="1:5" x14ac:dyDescent="0.2">
      <c r="A31841">
        <v>53565</v>
      </c>
      <c r="B31841" t="s">
        <v>55</v>
      </c>
      <c r="C31841">
        <v>53565</v>
      </c>
      <c r="D31841" t="str">
        <f>"53565"</f>
        <v>53565</v>
      </c>
      <c r="E31841">
        <v>73.55</v>
      </c>
    </row>
    <row r="31842" spans="1:5" x14ac:dyDescent="0.2">
      <c r="A31842">
        <v>53566</v>
      </c>
      <c r="B31842" t="s">
        <v>55</v>
      </c>
      <c r="C31842">
        <v>53566</v>
      </c>
      <c r="D31842" t="str">
        <f>"53566"</f>
        <v>53566</v>
      </c>
      <c r="E31842">
        <v>71.37</v>
      </c>
    </row>
    <row r="31843" spans="1:5" x14ac:dyDescent="0.2">
      <c r="A31843">
        <v>53569</v>
      </c>
      <c r="B31843" t="s">
        <v>55</v>
      </c>
      <c r="C31843">
        <v>53569</v>
      </c>
      <c r="D31843" t="str">
        <f>"53569"</f>
        <v>53569</v>
      </c>
      <c r="E31843">
        <v>75</v>
      </c>
    </row>
    <row r="31844" spans="1:5" x14ac:dyDescent="0.2">
      <c r="A31844">
        <v>53570</v>
      </c>
      <c r="B31844" t="s">
        <v>55</v>
      </c>
      <c r="C31844">
        <v>53570</v>
      </c>
      <c r="D31844" t="str">
        <f>"53570"</f>
        <v>53570</v>
      </c>
      <c r="E31844">
        <v>77.44</v>
      </c>
    </row>
    <row r="31845" spans="1:5" x14ac:dyDescent="0.2">
      <c r="A31845">
        <v>53571</v>
      </c>
      <c r="B31845" t="s">
        <v>55</v>
      </c>
      <c r="C31845">
        <v>53571</v>
      </c>
      <c r="D31845" t="str">
        <f>"53571"</f>
        <v>53571</v>
      </c>
      <c r="E31845" t="s">
        <v>6</v>
      </c>
    </row>
    <row r="31846" spans="1:5" x14ac:dyDescent="0.2">
      <c r="A31846">
        <v>53572</v>
      </c>
      <c r="B31846" t="s">
        <v>55</v>
      </c>
      <c r="C31846">
        <v>53572</v>
      </c>
      <c r="D31846" t="str">
        <f>"53572"</f>
        <v>53572</v>
      </c>
      <c r="E31846">
        <v>80.39</v>
      </c>
    </row>
    <row r="31847" spans="1:5" x14ac:dyDescent="0.2">
      <c r="A31847">
        <v>53573</v>
      </c>
      <c r="B31847" t="s">
        <v>55</v>
      </c>
      <c r="C31847">
        <v>53573</v>
      </c>
      <c r="D31847" t="str">
        <f>"53573"</f>
        <v>53573</v>
      </c>
      <c r="E31847">
        <v>71.430000000000007</v>
      </c>
    </row>
    <row r="31848" spans="1:5" x14ac:dyDescent="0.2">
      <c r="A31848">
        <v>53574</v>
      </c>
      <c r="B31848" t="s">
        <v>55</v>
      </c>
      <c r="C31848">
        <v>53574</v>
      </c>
      <c r="D31848" t="str">
        <f>"53574"</f>
        <v>53574</v>
      </c>
      <c r="E31848">
        <v>79.290000000000006</v>
      </c>
    </row>
    <row r="31849" spans="1:5" x14ac:dyDescent="0.2">
      <c r="A31849">
        <v>53575</v>
      </c>
      <c r="B31849" t="s">
        <v>55</v>
      </c>
      <c r="C31849">
        <v>53575</v>
      </c>
      <c r="D31849" t="str">
        <f>"53575"</f>
        <v>53575</v>
      </c>
      <c r="E31849">
        <v>82.8</v>
      </c>
    </row>
    <row r="31850" spans="1:5" x14ac:dyDescent="0.2">
      <c r="A31850">
        <v>53576</v>
      </c>
      <c r="B31850" t="s">
        <v>55</v>
      </c>
      <c r="C31850">
        <v>53576</v>
      </c>
      <c r="D31850" t="str">
        <f>"53576"</f>
        <v>53576</v>
      </c>
      <c r="E31850">
        <v>78.38</v>
      </c>
    </row>
    <row r="31851" spans="1:5" x14ac:dyDescent="0.2">
      <c r="A31851">
        <v>53577</v>
      </c>
      <c r="B31851" t="s">
        <v>55</v>
      </c>
      <c r="C31851">
        <v>53577</v>
      </c>
      <c r="D31851" t="str">
        <f>"53577"</f>
        <v>53577</v>
      </c>
      <c r="E31851">
        <v>76.06</v>
      </c>
    </row>
    <row r="31852" spans="1:5" x14ac:dyDescent="0.2">
      <c r="A31852">
        <v>53578</v>
      </c>
      <c r="B31852" t="s">
        <v>55</v>
      </c>
      <c r="C31852">
        <v>53578</v>
      </c>
      <c r="D31852" t="str">
        <f>"53578"</f>
        <v>53578</v>
      </c>
      <c r="E31852">
        <v>79.45</v>
      </c>
    </row>
    <row r="31853" spans="1:5" x14ac:dyDescent="0.2">
      <c r="A31853">
        <v>53579</v>
      </c>
      <c r="B31853" t="s">
        <v>55</v>
      </c>
      <c r="C31853">
        <v>53579</v>
      </c>
      <c r="D31853" t="str">
        <f>"53579"</f>
        <v>53579</v>
      </c>
      <c r="E31853">
        <v>72.53</v>
      </c>
    </row>
    <row r="31854" spans="1:5" x14ac:dyDescent="0.2">
      <c r="A31854">
        <v>53580</v>
      </c>
      <c r="B31854" t="s">
        <v>55</v>
      </c>
      <c r="C31854">
        <v>53580</v>
      </c>
      <c r="D31854" t="str">
        <f>"53580"</f>
        <v>53580</v>
      </c>
      <c r="E31854">
        <v>69.569999999999993</v>
      </c>
    </row>
    <row r="31855" spans="1:5" x14ac:dyDescent="0.2">
      <c r="A31855">
        <v>53581</v>
      </c>
      <c r="B31855" t="s">
        <v>55</v>
      </c>
      <c r="C31855">
        <v>53581</v>
      </c>
      <c r="D31855" t="str">
        <f>"53581"</f>
        <v>53581</v>
      </c>
      <c r="E31855">
        <v>70.73</v>
      </c>
    </row>
    <row r="31856" spans="1:5" x14ac:dyDescent="0.2">
      <c r="A31856">
        <v>53582</v>
      </c>
      <c r="B31856" t="s">
        <v>55</v>
      </c>
      <c r="C31856">
        <v>53582</v>
      </c>
      <c r="D31856" t="str">
        <f>"53582"</f>
        <v>53582</v>
      </c>
      <c r="E31856">
        <v>79.25</v>
      </c>
    </row>
    <row r="31857" spans="1:5" x14ac:dyDescent="0.2">
      <c r="A31857">
        <v>53583</v>
      </c>
      <c r="B31857" t="s">
        <v>55</v>
      </c>
      <c r="C31857">
        <v>53583</v>
      </c>
      <c r="D31857" t="str">
        <f>"53583"</f>
        <v>53583</v>
      </c>
      <c r="E31857">
        <v>77.849999999999994</v>
      </c>
    </row>
    <row r="31858" spans="1:5" x14ac:dyDescent="0.2">
      <c r="A31858">
        <v>53585</v>
      </c>
      <c r="B31858" t="s">
        <v>55</v>
      </c>
      <c r="C31858">
        <v>53585</v>
      </c>
      <c r="D31858" t="str">
        <f>"53585"</f>
        <v>53585</v>
      </c>
      <c r="E31858">
        <v>72.22</v>
      </c>
    </row>
    <row r="31859" spans="1:5" x14ac:dyDescent="0.2">
      <c r="A31859">
        <v>53586</v>
      </c>
      <c r="B31859" t="s">
        <v>55</v>
      </c>
      <c r="C31859">
        <v>53586</v>
      </c>
      <c r="D31859" t="str">
        <f>"53586"</f>
        <v>53586</v>
      </c>
      <c r="E31859">
        <v>71</v>
      </c>
    </row>
    <row r="31860" spans="1:5" x14ac:dyDescent="0.2">
      <c r="A31860">
        <v>53587</v>
      </c>
      <c r="B31860" t="s">
        <v>55</v>
      </c>
      <c r="C31860">
        <v>53587</v>
      </c>
      <c r="D31860" t="str">
        <f>"53587"</f>
        <v>53587</v>
      </c>
      <c r="E31860">
        <v>68.33</v>
      </c>
    </row>
    <row r="31861" spans="1:5" x14ac:dyDescent="0.2">
      <c r="A31861">
        <v>53588</v>
      </c>
      <c r="B31861" t="s">
        <v>55</v>
      </c>
      <c r="C31861">
        <v>53588</v>
      </c>
      <c r="D31861" t="str">
        <f>"53588"</f>
        <v>53588</v>
      </c>
      <c r="E31861">
        <v>77.569999999999993</v>
      </c>
    </row>
    <row r="31862" spans="1:5" x14ac:dyDescent="0.2">
      <c r="A31862">
        <v>53589</v>
      </c>
      <c r="B31862" t="s">
        <v>55</v>
      </c>
      <c r="C31862">
        <v>53589</v>
      </c>
      <c r="D31862" t="str">
        <f>"53589"</f>
        <v>53589</v>
      </c>
      <c r="E31862">
        <v>79.69</v>
      </c>
    </row>
    <row r="31863" spans="1:5" x14ac:dyDescent="0.2">
      <c r="A31863">
        <v>53590</v>
      </c>
      <c r="B31863" t="s">
        <v>55</v>
      </c>
      <c r="C31863">
        <v>53590</v>
      </c>
      <c r="D31863" t="str">
        <f>"53590"</f>
        <v>53590</v>
      </c>
      <c r="E31863">
        <v>81.05</v>
      </c>
    </row>
    <row r="31864" spans="1:5" x14ac:dyDescent="0.2">
      <c r="A31864">
        <v>53593</v>
      </c>
      <c r="B31864" t="s">
        <v>55</v>
      </c>
      <c r="C31864">
        <v>53593</v>
      </c>
      <c r="D31864" t="str">
        <f>"53593"</f>
        <v>53593</v>
      </c>
      <c r="E31864">
        <v>83.86</v>
      </c>
    </row>
    <row r="31865" spans="1:5" x14ac:dyDescent="0.2">
      <c r="A31865">
        <v>53594</v>
      </c>
      <c r="B31865" t="s">
        <v>55</v>
      </c>
      <c r="C31865">
        <v>53594</v>
      </c>
      <c r="D31865" t="str">
        <f>"53594"</f>
        <v>53594</v>
      </c>
      <c r="E31865">
        <v>76.209999999999994</v>
      </c>
    </row>
    <row r="31866" spans="1:5" x14ac:dyDescent="0.2">
      <c r="A31866">
        <v>53597</v>
      </c>
      <c r="B31866" t="s">
        <v>55</v>
      </c>
      <c r="C31866">
        <v>53597</v>
      </c>
      <c r="D31866" t="str">
        <f>"53597"</f>
        <v>53597</v>
      </c>
      <c r="E31866">
        <v>82.6</v>
      </c>
    </row>
    <row r="31867" spans="1:5" x14ac:dyDescent="0.2">
      <c r="A31867">
        <v>53598</v>
      </c>
      <c r="B31867" t="s">
        <v>55</v>
      </c>
      <c r="C31867">
        <v>53598</v>
      </c>
      <c r="D31867" t="str">
        <f>"53598"</f>
        <v>53598</v>
      </c>
      <c r="E31867">
        <v>82.78</v>
      </c>
    </row>
    <row r="31868" spans="1:5" x14ac:dyDescent="0.2">
      <c r="A31868">
        <v>53599</v>
      </c>
      <c r="B31868" t="s">
        <v>55</v>
      </c>
      <c r="C31868">
        <v>53599</v>
      </c>
      <c r="D31868" t="str">
        <f>"53599"</f>
        <v>53599</v>
      </c>
      <c r="E31868" t="s">
        <v>6</v>
      </c>
    </row>
    <row r="31869" spans="1:5" x14ac:dyDescent="0.2">
      <c r="A31869">
        <v>53703</v>
      </c>
      <c r="B31869" t="s">
        <v>55</v>
      </c>
      <c r="C31869">
        <v>53703</v>
      </c>
      <c r="D31869" t="str">
        <f>"53703"</f>
        <v>53703</v>
      </c>
      <c r="E31869">
        <v>81.64</v>
      </c>
    </row>
    <row r="31870" spans="1:5" x14ac:dyDescent="0.2">
      <c r="A31870">
        <v>53704</v>
      </c>
      <c r="B31870" t="s">
        <v>55</v>
      </c>
      <c r="C31870">
        <v>53704</v>
      </c>
      <c r="D31870" t="str">
        <f>"53704"</f>
        <v>53704</v>
      </c>
      <c r="E31870">
        <v>78.73</v>
      </c>
    </row>
    <row r="31871" spans="1:5" x14ac:dyDescent="0.2">
      <c r="A31871">
        <v>53705</v>
      </c>
      <c r="B31871" t="s">
        <v>55</v>
      </c>
      <c r="C31871">
        <v>53705</v>
      </c>
      <c r="D31871" t="str">
        <f>"53705"</f>
        <v>53705</v>
      </c>
      <c r="E31871">
        <v>82.68</v>
      </c>
    </row>
    <row r="31872" spans="1:5" x14ac:dyDescent="0.2">
      <c r="A31872">
        <v>53706</v>
      </c>
      <c r="B31872" t="s">
        <v>55</v>
      </c>
      <c r="C31872">
        <v>53706</v>
      </c>
      <c r="D31872" t="str">
        <f>"53706"</f>
        <v>53706</v>
      </c>
      <c r="E31872">
        <v>42.86</v>
      </c>
    </row>
    <row r="31873" spans="1:5" x14ac:dyDescent="0.2">
      <c r="A31873">
        <v>53711</v>
      </c>
      <c r="B31873" t="s">
        <v>55</v>
      </c>
      <c r="C31873">
        <v>53711</v>
      </c>
      <c r="D31873" t="str">
        <f>"53711"</f>
        <v>53711</v>
      </c>
      <c r="E31873">
        <v>80.61</v>
      </c>
    </row>
    <row r="31874" spans="1:5" x14ac:dyDescent="0.2">
      <c r="A31874">
        <v>53713</v>
      </c>
      <c r="B31874" t="s">
        <v>55</v>
      </c>
      <c r="C31874">
        <v>53713</v>
      </c>
      <c r="D31874" t="str">
        <f>"53713"</f>
        <v>53713</v>
      </c>
      <c r="E31874">
        <v>69.459999999999994</v>
      </c>
    </row>
    <row r="31875" spans="1:5" x14ac:dyDescent="0.2">
      <c r="A31875">
        <v>53714</v>
      </c>
      <c r="B31875" t="s">
        <v>55</v>
      </c>
      <c r="C31875">
        <v>53714</v>
      </c>
      <c r="D31875" t="str">
        <f>"53714"</f>
        <v>53714</v>
      </c>
      <c r="E31875">
        <v>77.569999999999993</v>
      </c>
    </row>
    <row r="31876" spans="1:5" x14ac:dyDescent="0.2">
      <c r="A31876">
        <v>53715</v>
      </c>
      <c r="B31876" t="s">
        <v>55</v>
      </c>
      <c r="C31876">
        <v>53715</v>
      </c>
      <c r="D31876" t="str">
        <f>"53715"</f>
        <v>53715</v>
      </c>
      <c r="E31876">
        <v>73.010000000000005</v>
      </c>
    </row>
    <row r="31877" spans="1:5" x14ac:dyDescent="0.2">
      <c r="A31877">
        <v>53716</v>
      </c>
      <c r="B31877" t="s">
        <v>55</v>
      </c>
      <c r="C31877">
        <v>53716</v>
      </c>
      <c r="D31877" t="str">
        <f>"53716"</f>
        <v>53716</v>
      </c>
      <c r="E31877">
        <v>81.52</v>
      </c>
    </row>
    <row r="31878" spans="1:5" x14ac:dyDescent="0.2">
      <c r="A31878">
        <v>53717</v>
      </c>
      <c r="B31878" t="s">
        <v>55</v>
      </c>
      <c r="C31878">
        <v>53717</v>
      </c>
      <c r="D31878" t="str">
        <f>"53717"</f>
        <v>53717</v>
      </c>
      <c r="E31878">
        <v>83.9</v>
      </c>
    </row>
    <row r="31879" spans="1:5" x14ac:dyDescent="0.2">
      <c r="A31879">
        <v>53718</v>
      </c>
      <c r="B31879" t="s">
        <v>55</v>
      </c>
      <c r="C31879">
        <v>53718</v>
      </c>
      <c r="D31879" t="str">
        <f>"53718"</f>
        <v>53718</v>
      </c>
      <c r="E31879">
        <v>85.55</v>
      </c>
    </row>
    <row r="31880" spans="1:5" x14ac:dyDescent="0.2">
      <c r="A31880">
        <v>53719</v>
      </c>
      <c r="B31880" t="s">
        <v>55</v>
      </c>
      <c r="C31880">
        <v>53719</v>
      </c>
      <c r="D31880" t="str">
        <f>"53719"</f>
        <v>53719</v>
      </c>
      <c r="E31880">
        <v>83.22</v>
      </c>
    </row>
    <row r="31881" spans="1:5" x14ac:dyDescent="0.2">
      <c r="A31881">
        <v>53726</v>
      </c>
      <c r="B31881" t="s">
        <v>55</v>
      </c>
      <c r="C31881">
        <v>53726</v>
      </c>
      <c r="D31881" t="str">
        <f>"53726"</f>
        <v>53726</v>
      </c>
      <c r="E31881">
        <v>78.42</v>
      </c>
    </row>
    <row r="31882" spans="1:5" x14ac:dyDescent="0.2">
      <c r="A31882">
        <v>53783</v>
      </c>
      <c r="B31882" t="s">
        <v>55</v>
      </c>
      <c r="C31882">
        <v>53783</v>
      </c>
      <c r="D31882" t="str">
        <f>"53783"</f>
        <v>53783</v>
      </c>
      <c r="E31882" t="s">
        <v>6</v>
      </c>
    </row>
    <row r="31883" spans="1:5" x14ac:dyDescent="0.2">
      <c r="A31883">
        <v>53788</v>
      </c>
      <c r="B31883" t="s">
        <v>55</v>
      </c>
      <c r="C31883">
        <v>53788</v>
      </c>
      <c r="D31883" t="str">
        <f>"53788"</f>
        <v>53788</v>
      </c>
      <c r="E31883" t="s">
        <v>6</v>
      </c>
    </row>
    <row r="31884" spans="1:5" x14ac:dyDescent="0.2">
      <c r="A31884">
        <v>53792</v>
      </c>
      <c r="B31884" t="s">
        <v>55</v>
      </c>
      <c r="C31884">
        <v>53792</v>
      </c>
      <c r="D31884" t="str">
        <f>"53792"</f>
        <v>53792</v>
      </c>
      <c r="E31884" t="s">
        <v>6</v>
      </c>
    </row>
    <row r="31885" spans="1:5" x14ac:dyDescent="0.2">
      <c r="A31885">
        <v>53801</v>
      </c>
      <c r="B31885" t="s">
        <v>55</v>
      </c>
      <c r="C31885">
        <v>53801</v>
      </c>
      <c r="D31885" t="str">
        <f>"53801"</f>
        <v>53801</v>
      </c>
      <c r="E31885">
        <v>71.05</v>
      </c>
    </row>
    <row r="31886" spans="1:5" x14ac:dyDescent="0.2">
      <c r="A31886">
        <v>53803</v>
      </c>
      <c r="B31886" t="s">
        <v>55</v>
      </c>
      <c r="C31886">
        <v>53803</v>
      </c>
      <c r="D31886" t="str">
        <f>"53803"</f>
        <v>53803</v>
      </c>
      <c r="E31886">
        <v>69.349999999999994</v>
      </c>
    </row>
    <row r="31887" spans="1:5" x14ac:dyDescent="0.2">
      <c r="A31887">
        <v>53804</v>
      </c>
      <c r="B31887" t="s">
        <v>55</v>
      </c>
      <c r="C31887">
        <v>53804</v>
      </c>
      <c r="D31887" t="str">
        <f>"53804"</f>
        <v>53804</v>
      </c>
      <c r="E31887">
        <v>68.849999999999994</v>
      </c>
    </row>
    <row r="31888" spans="1:5" x14ac:dyDescent="0.2">
      <c r="A31888">
        <v>53805</v>
      </c>
      <c r="B31888" t="s">
        <v>55</v>
      </c>
      <c r="C31888">
        <v>53805</v>
      </c>
      <c r="D31888" t="str">
        <f>"53805"</f>
        <v>53805</v>
      </c>
      <c r="E31888">
        <v>70.61</v>
      </c>
    </row>
    <row r="31889" spans="1:5" x14ac:dyDescent="0.2">
      <c r="A31889">
        <v>53806</v>
      </c>
      <c r="B31889" t="s">
        <v>55</v>
      </c>
      <c r="C31889">
        <v>53806</v>
      </c>
      <c r="D31889" t="str">
        <f>"53806"</f>
        <v>53806</v>
      </c>
      <c r="E31889">
        <v>70.89</v>
      </c>
    </row>
    <row r="31890" spans="1:5" x14ac:dyDescent="0.2">
      <c r="A31890">
        <v>53807</v>
      </c>
      <c r="B31890" t="s">
        <v>55</v>
      </c>
      <c r="C31890">
        <v>53807</v>
      </c>
      <c r="D31890" t="str">
        <f>"53807"</f>
        <v>53807</v>
      </c>
      <c r="E31890">
        <v>75.349999999999994</v>
      </c>
    </row>
    <row r="31891" spans="1:5" x14ac:dyDescent="0.2">
      <c r="A31891">
        <v>53808</v>
      </c>
      <c r="B31891" t="s">
        <v>55</v>
      </c>
      <c r="C31891">
        <v>53808</v>
      </c>
      <c r="D31891" t="str">
        <f>"53808"</f>
        <v>53808</v>
      </c>
      <c r="E31891" t="s">
        <v>6</v>
      </c>
    </row>
    <row r="31892" spans="1:5" x14ac:dyDescent="0.2">
      <c r="A31892">
        <v>53809</v>
      </c>
      <c r="B31892" t="s">
        <v>55</v>
      </c>
      <c r="C31892">
        <v>53809</v>
      </c>
      <c r="D31892" t="str">
        <f>"53809"</f>
        <v>53809</v>
      </c>
      <c r="E31892">
        <v>71.349999999999994</v>
      </c>
    </row>
    <row r="31893" spans="1:5" x14ac:dyDescent="0.2">
      <c r="A31893">
        <v>53810</v>
      </c>
      <c r="B31893" t="s">
        <v>55</v>
      </c>
      <c r="C31893">
        <v>53810</v>
      </c>
      <c r="D31893" t="str">
        <f>"53810"</f>
        <v>53810</v>
      </c>
      <c r="E31893">
        <v>71.430000000000007</v>
      </c>
    </row>
    <row r="31894" spans="1:5" x14ac:dyDescent="0.2">
      <c r="A31894">
        <v>53811</v>
      </c>
      <c r="B31894" t="s">
        <v>55</v>
      </c>
      <c r="C31894">
        <v>53811</v>
      </c>
      <c r="D31894" t="str">
        <f>"53811"</f>
        <v>53811</v>
      </c>
      <c r="E31894">
        <v>76.510000000000005</v>
      </c>
    </row>
    <row r="31895" spans="1:5" x14ac:dyDescent="0.2">
      <c r="A31895">
        <v>53812</v>
      </c>
      <c r="B31895" t="s">
        <v>55</v>
      </c>
      <c r="C31895">
        <v>53812</v>
      </c>
      <c r="D31895" t="str">
        <f>"53812"</f>
        <v>53812</v>
      </c>
      <c r="E31895" t="s">
        <v>6</v>
      </c>
    </row>
    <row r="31896" spans="1:5" x14ac:dyDescent="0.2">
      <c r="A31896">
        <v>53813</v>
      </c>
      <c r="B31896" t="s">
        <v>55</v>
      </c>
      <c r="C31896">
        <v>53813</v>
      </c>
      <c r="D31896" t="str">
        <f>"53813"</f>
        <v>53813</v>
      </c>
      <c r="E31896">
        <v>74.290000000000006</v>
      </c>
    </row>
    <row r="31897" spans="1:5" x14ac:dyDescent="0.2">
      <c r="A31897">
        <v>53816</v>
      </c>
      <c r="B31897" t="s">
        <v>55</v>
      </c>
      <c r="C31897">
        <v>53816</v>
      </c>
      <c r="D31897" t="str">
        <f>"53816"</f>
        <v>53816</v>
      </c>
      <c r="E31897">
        <v>69.7</v>
      </c>
    </row>
    <row r="31898" spans="1:5" x14ac:dyDescent="0.2">
      <c r="A31898">
        <v>53817</v>
      </c>
      <c r="B31898" t="s">
        <v>55</v>
      </c>
      <c r="C31898">
        <v>53817</v>
      </c>
      <c r="D31898" t="str">
        <f>"53817"</f>
        <v>53817</v>
      </c>
      <c r="E31898" t="s">
        <v>6</v>
      </c>
    </row>
    <row r="31899" spans="1:5" x14ac:dyDescent="0.2">
      <c r="A31899">
        <v>53818</v>
      </c>
      <c r="B31899" t="s">
        <v>55</v>
      </c>
      <c r="C31899">
        <v>53818</v>
      </c>
      <c r="D31899" t="str">
        <f>"53818"</f>
        <v>53818</v>
      </c>
      <c r="E31899">
        <v>72.34</v>
      </c>
    </row>
    <row r="31900" spans="1:5" x14ac:dyDescent="0.2">
      <c r="A31900">
        <v>53820</v>
      </c>
      <c r="B31900" t="s">
        <v>55</v>
      </c>
      <c r="C31900">
        <v>53820</v>
      </c>
      <c r="D31900" t="str">
        <f>"53820"</f>
        <v>53820</v>
      </c>
      <c r="E31900">
        <v>80.33</v>
      </c>
    </row>
    <row r="31901" spans="1:5" x14ac:dyDescent="0.2">
      <c r="A31901">
        <v>53821</v>
      </c>
      <c r="B31901" t="s">
        <v>55</v>
      </c>
      <c r="C31901">
        <v>53821</v>
      </c>
      <c r="D31901" t="str">
        <f>"53821"</f>
        <v>53821</v>
      </c>
      <c r="E31901">
        <v>70.260000000000005</v>
      </c>
    </row>
    <row r="31902" spans="1:5" x14ac:dyDescent="0.2">
      <c r="A31902">
        <v>53825</v>
      </c>
      <c r="B31902" t="s">
        <v>55</v>
      </c>
      <c r="C31902">
        <v>53825</v>
      </c>
      <c r="D31902" t="str">
        <f>"53825"</f>
        <v>53825</v>
      </c>
      <c r="E31902">
        <v>63.64</v>
      </c>
    </row>
    <row r="31903" spans="1:5" x14ac:dyDescent="0.2">
      <c r="A31903">
        <v>53826</v>
      </c>
      <c r="B31903" t="s">
        <v>55</v>
      </c>
      <c r="C31903">
        <v>53826</v>
      </c>
      <c r="D31903" t="str">
        <f>"53826"</f>
        <v>53826</v>
      </c>
      <c r="E31903">
        <v>70.489999999999995</v>
      </c>
    </row>
    <row r="31904" spans="1:5" x14ac:dyDescent="0.2">
      <c r="A31904">
        <v>53827</v>
      </c>
      <c r="B31904" t="s">
        <v>55</v>
      </c>
      <c r="C31904">
        <v>53827</v>
      </c>
      <c r="D31904" t="str">
        <f>"53827"</f>
        <v>53827</v>
      </c>
      <c r="E31904">
        <v>76.92</v>
      </c>
    </row>
    <row r="31905" spans="1:5" x14ac:dyDescent="0.2">
      <c r="A31905">
        <v>53901</v>
      </c>
      <c r="B31905" t="s">
        <v>55</v>
      </c>
      <c r="C31905">
        <v>53901</v>
      </c>
      <c r="D31905" t="str">
        <f>"53901"</f>
        <v>53901</v>
      </c>
      <c r="E31905">
        <v>74.150000000000006</v>
      </c>
    </row>
    <row r="31906" spans="1:5" x14ac:dyDescent="0.2">
      <c r="A31906">
        <v>53910</v>
      </c>
      <c r="B31906" t="s">
        <v>55</v>
      </c>
      <c r="C31906">
        <v>53910</v>
      </c>
      <c r="D31906" t="str">
        <f>"53910"</f>
        <v>53910</v>
      </c>
      <c r="E31906">
        <v>61.69</v>
      </c>
    </row>
    <row r="31907" spans="1:5" x14ac:dyDescent="0.2">
      <c r="A31907">
        <v>53911</v>
      </c>
      <c r="B31907" t="s">
        <v>55</v>
      </c>
      <c r="C31907">
        <v>53911</v>
      </c>
      <c r="D31907" t="str">
        <f>"53911"</f>
        <v>53911</v>
      </c>
      <c r="E31907">
        <v>85.71</v>
      </c>
    </row>
    <row r="31908" spans="1:5" x14ac:dyDescent="0.2">
      <c r="A31908">
        <v>53913</v>
      </c>
      <c r="B31908" t="s">
        <v>55</v>
      </c>
      <c r="C31908">
        <v>53913</v>
      </c>
      <c r="D31908" t="str">
        <f>"53913"</f>
        <v>53913</v>
      </c>
      <c r="E31908">
        <v>73.959999999999994</v>
      </c>
    </row>
    <row r="31909" spans="1:5" x14ac:dyDescent="0.2">
      <c r="A31909">
        <v>53916</v>
      </c>
      <c r="B31909" t="s">
        <v>55</v>
      </c>
      <c r="C31909">
        <v>53916</v>
      </c>
      <c r="D31909" t="str">
        <f>"53916"</f>
        <v>53916</v>
      </c>
      <c r="E31909">
        <v>74.44</v>
      </c>
    </row>
    <row r="31910" spans="1:5" x14ac:dyDescent="0.2">
      <c r="A31910">
        <v>53919</v>
      </c>
      <c r="B31910" t="s">
        <v>55</v>
      </c>
      <c r="C31910">
        <v>53919</v>
      </c>
      <c r="D31910" t="str">
        <f>"53919"</f>
        <v>53919</v>
      </c>
      <c r="E31910">
        <v>77.31</v>
      </c>
    </row>
    <row r="31911" spans="1:5" x14ac:dyDescent="0.2">
      <c r="A31911">
        <v>53920</v>
      </c>
      <c r="B31911" t="s">
        <v>55</v>
      </c>
      <c r="C31911">
        <v>53920</v>
      </c>
      <c r="D31911" t="str">
        <f>"53920"</f>
        <v>53920</v>
      </c>
      <c r="E31911">
        <v>77.78</v>
      </c>
    </row>
    <row r="31912" spans="1:5" x14ac:dyDescent="0.2">
      <c r="A31912">
        <v>53922</v>
      </c>
      <c r="B31912" t="s">
        <v>55</v>
      </c>
      <c r="C31912">
        <v>53922</v>
      </c>
      <c r="D31912" t="str">
        <f>"53922"</f>
        <v>53922</v>
      </c>
      <c r="E31912">
        <v>76</v>
      </c>
    </row>
    <row r="31913" spans="1:5" x14ac:dyDescent="0.2">
      <c r="A31913">
        <v>53923</v>
      </c>
      <c r="B31913" t="s">
        <v>55</v>
      </c>
      <c r="C31913">
        <v>53923</v>
      </c>
      <c r="D31913" t="str">
        <f>"53923"</f>
        <v>53923</v>
      </c>
      <c r="E31913">
        <v>72.45</v>
      </c>
    </row>
    <row r="31914" spans="1:5" x14ac:dyDescent="0.2">
      <c r="A31914">
        <v>53924</v>
      </c>
      <c r="B31914" t="s">
        <v>55</v>
      </c>
      <c r="C31914">
        <v>53924</v>
      </c>
      <c r="D31914" t="str">
        <f>"53924"</f>
        <v>53924</v>
      </c>
      <c r="E31914">
        <v>70.97</v>
      </c>
    </row>
    <row r="31915" spans="1:5" x14ac:dyDescent="0.2">
      <c r="A31915">
        <v>53925</v>
      </c>
      <c r="B31915" t="s">
        <v>55</v>
      </c>
      <c r="C31915">
        <v>53925</v>
      </c>
      <c r="D31915" t="str">
        <f>"53925"</f>
        <v>53925</v>
      </c>
      <c r="E31915">
        <v>78.52</v>
      </c>
    </row>
    <row r="31916" spans="1:5" x14ac:dyDescent="0.2">
      <c r="A31916">
        <v>53926</v>
      </c>
      <c r="B31916" t="s">
        <v>55</v>
      </c>
      <c r="C31916">
        <v>53926</v>
      </c>
      <c r="D31916" t="str">
        <f>"53926"</f>
        <v>53926</v>
      </c>
      <c r="E31916">
        <v>65</v>
      </c>
    </row>
    <row r="31917" spans="1:5" x14ac:dyDescent="0.2">
      <c r="A31917">
        <v>53928</v>
      </c>
      <c r="B31917" t="s">
        <v>55</v>
      </c>
      <c r="C31917">
        <v>53928</v>
      </c>
      <c r="D31917" t="str">
        <f>"53928"</f>
        <v>53928</v>
      </c>
      <c r="E31917" t="s">
        <v>6</v>
      </c>
    </row>
    <row r="31918" spans="1:5" x14ac:dyDescent="0.2">
      <c r="A31918">
        <v>53929</v>
      </c>
      <c r="B31918" t="s">
        <v>55</v>
      </c>
      <c r="C31918">
        <v>53929</v>
      </c>
      <c r="D31918" t="str">
        <f>"53929"</f>
        <v>53929</v>
      </c>
      <c r="E31918">
        <v>69.67</v>
      </c>
    </row>
    <row r="31919" spans="1:5" x14ac:dyDescent="0.2">
      <c r="A31919">
        <v>53930</v>
      </c>
      <c r="B31919" t="s">
        <v>55</v>
      </c>
      <c r="C31919">
        <v>53930</v>
      </c>
      <c r="D31919" t="str">
        <f>"53930"</f>
        <v>53930</v>
      </c>
      <c r="E31919">
        <v>72.06</v>
      </c>
    </row>
    <row r="31920" spans="1:5" x14ac:dyDescent="0.2">
      <c r="A31920">
        <v>53931</v>
      </c>
      <c r="B31920" t="s">
        <v>55</v>
      </c>
      <c r="C31920">
        <v>53931</v>
      </c>
      <c r="D31920" t="str">
        <f>"53931"</f>
        <v>53931</v>
      </c>
      <c r="E31920" t="s">
        <v>6</v>
      </c>
    </row>
    <row r="31921" spans="1:5" x14ac:dyDescent="0.2">
      <c r="A31921">
        <v>53932</v>
      </c>
      <c r="B31921" t="s">
        <v>55</v>
      </c>
      <c r="C31921">
        <v>53932</v>
      </c>
      <c r="D31921" t="str">
        <f>"53932"</f>
        <v>53932</v>
      </c>
      <c r="E31921">
        <v>78.42</v>
      </c>
    </row>
    <row r="31922" spans="1:5" x14ac:dyDescent="0.2">
      <c r="A31922">
        <v>53933</v>
      </c>
      <c r="B31922" t="s">
        <v>55</v>
      </c>
      <c r="C31922">
        <v>53933</v>
      </c>
      <c r="D31922" t="str">
        <f>"53933"</f>
        <v>53933</v>
      </c>
      <c r="E31922">
        <v>76.599999999999994</v>
      </c>
    </row>
    <row r="31923" spans="1:5" x14ac:dyDescent="0.2">
      <c r="A31923">
        <v>53934</v>
      </c>
      <c r="B31923" t="s">
        <v>55</v>
      </c>
      <c r="C31923">
        <v>53934</v>
      </c>
      <c r="D31923" t="str">
        <f>"53934"</f>
        <v>53934</v>
      </c>
      <c r="E31923">
        <v>66.349999999999994</v>
      </c>
    </row>
    <row r="31924" spans="1:5" x14ac:dyDescent="0.2">
      <c r="A31924">
        <v>53935</v>
      </c>
      <c r="B31924" t="s">
        <v>55</v>
      </c>
      <c r="C31924">
        <v>53935</v>
      </c>
      <c r="D31924" t="str">
        <f>"53935"</f>
        <v>53935</v>
      </c>
      <c r="E31924" t="s">
        <v>6</v>
      </c>
    </row>
    <row r="31925" spans="1:5" x14ac:dyDescent="0.2">
      <c r="A31925">
        <v>53936</v>
      </c>
      <c r="B31925" t="s">
        <v>55</v>
      </c>
      <c r="C31925">
        <v>53936</v>
      </c>
      <c r="D31925" t="str">
        <f>"53936"</f>
        <v>53936</v>
      </c>
      <c r="E31925">
        <v>64.290000000000006</v>
      </c>
    </row>
    <row r="31926" spans="1:5" x14ac:dyDescent="0.2">
      <c r="A31926">
        <v>53937</v>
      </c>
      <c r="B31926" t="s">
        <v>55</v>
      </c>
      <c r="C31926">
        <v>53937</v>
      </c>
      <c r="D31926" t="str">
        <f>"53937"</f>
        <v>53937</v>
      </c>
      <c r="E31926">
        <v>64.44</v>
      </c>
    </row>
    <row r="31927" spans="1:5" x14ac:dyDescent="0.2">
      <c r="A31927">
        <v>53939</v>
      </c>
      <c r="B31927" t="s">
        <v>55</v>
      </c>
      <c r="C31927">
        <v>53939</v>
      </c>
      <c r="D31927" t="str">
        <f>"53939"</f>
        <v>53939</v>
      </c>
      <c r="E31927" t="s">
        <v>6</v>
      </c>
    </row>
    <row r="31928" spans="1:5" x14ac:dyDescent="0.2">
      <c r="A31928">
        <v>53940</v>
      </c>
      <c r="B31928" t="s">
        <v>55</v>
      </c>
      <c r="C31928">
        <v>53940</v>
      </c>
      <c r="D31928" t="str">
        <f>"53940"</f>
        <v>53940</v>
      </c>
      <c r="E31928" t="s">
        <v>6</v>
      </c>
    </row>
    <row r="31929" spans="1:5" x14ac:dyDescent="0.2">
      <c r="A31929">
        <v>53941</v>
      </c>
      <c r="B31929" t="s">
        <v>55</v>
      </c>
      <c r="C31929">
        <v>53941</v>
      </c>
      <c r="D31929" t="str">
        <f>"53941"</f>
        <v>53941</v>
      </c>
      <c r="E31929">
        <v>73.72</v>
      </c>
    </row>
    <row r="31930" spans="1:5" x14ac:dyDescent="0.2">
      <c r="A31930">
        <v>53943</v>
      </c>
      <c r="B31930" t="s">
        <v>55</v>
      </c>
      <c r="C31930">
        <v>53943</v>
      </c>
      <c r="D31930" t="str">
        <f>"53943"</f>
        <v>53943</v>
      </c>
      <c r="E31930">
        <v>71.150000000000006</v>
      </c>
    </row>
    <row r="31931" spans="1:5" x14ac:dyDescent="0.2">
      <c r="A31931">
        <v>53944</v>
      </c>
      <c r="B31931" t="s">
        <v>55</v>
      </c>
      <c r="C31931">
        <v>53944</v>
      </c>
      <c r="D31931" t="str">
        <f>"53944"</f>
        <v>53944</v>
      </c>
      <c r="E31931">
        <v>71.3</v>
      </c>
    </row>
    <row r="31932" spans="1:5" x14ac:dyDescent="0.2">
      <c r="A31932">
        <v>53946</v>
      </c>
      <c r="B31932" t="s">
        <v>55</v>
      </c>
      <c r="C31932">
        <v>53946</v>
      </c>
      <c r="D31932" t="str">
        <f>"53946"</f>
        <v>53946</v>
      </c>
      <c r="E31932">
        <v>75</v>
      </c>
    </row>
    <row r="31933" spans="1:5" x14ac:dyDescent="0.2">
      <c r="A31933">
        <v>53947</v>
      </c>
      <c r="B31933" t="s">
        <v>55</v>
      </c>
      <c r="C31933">
        <v>53947</v>
      </c>
      <c r="D31933" t="str">
        <f>"53947"</f>
        <v>53947</v>
      </c>
      <c r="E31933" t="s">
        <v>6</v>
      </c>
    </row>
    <row r="31934" spans="1:5" x14ac:dyDescent="0.2">
      <c r="A31934">
        <v>53948</v>
      </c>
      <c r="B31934" t="s">
        <v>55</v>
      </c>
      <c r="C31934">
        <v>53948</v>
      </c>
      <c r="D31934" t="str">
        <f>"53948"</f>
        <v>53948</v>
      </c>
      <c r="E31934">
        <v>69.739999999999995</v>
      </c>
    </row>
    <row r="31935" spans="1:5" x14ac:dyDescent="0.2">
      <c r="A31935">
        <v>53949</v>
      </c>
      <c r="B31935" t="s">
        <v>55</v>
      </c>
      <c r="C31935">
        <v>53949</v>
      </c>
      <c r="D31935" t="str">
        <f>"53949"</f>
        <v>53949</v>
      </c>
      <c r="E31935">
        <v>71.38</v>
      </c>
    </row>
    <row r="31936" spans="1:5" x14ac:dyDescent="0.2">
      <c r="A31936">
        <v>53950</v>
      </c>
      <c r="B31936" t="s">
        <v>55</v>
      </c>
      <c r="C31936">
        <v>53950</v>
      </c>
      <c r="D31936" t="str">
        <f>"53950"</f>
        <v>53950</v>
      </c>
      <c r="E31936">
        <v>72.150000000000006</v>
      </c>
    </row>
    <row r="31937" spans="1:5" x14ac:dyDescent="0.2">
      <c r="A31937">
        <v>53951</v>
      </c>
      <c r="B31937" t="s">
        <v>55</v>
      </c>
      <c r="C31937">
        <v>53951</v>
      </c>
      <c r="D31937" t="str">
        <f>"53951"</f>
        <v>53951</v>
      </c>
      <c r="E31937">
        <v>69.489999999999995</v>
      </c>
    </row>
    <row r="31938" spans="1:5" x14ac:dyDescent="0.2">
      <c r="A31938">
        <v>53952</v>
      </c>
      <c r="B31938" t="s">
        <v>55</v>
      </c>
      <c r="C31938">
        <v>53952</v>
      </c>
      <c r="D31938" t="str">
        <f>"53952"</f>
        <v>53952</v>
      </c>
      <c r="E31938">
        <v>73.38</v>
      </c>
    </row>
    <row r="31939" spans="1:5" x14ac:dyDescent="0.2">
      <c r="A31939">
        <v>53953</v>
      </c>
      <c r="B31939" t="s">
        <v>55</v>
      </c>
      <c r="C31939">
        <v>53953</v>
      </c>
      <c r="D31939" t="str">
        <f>"53953"</f>
        <v>53953</v>
      </c>
      <c r="E31939" t="s">
        <v>6</v>
      </c>
    </row>
    <row r="31940" spans="1:5" x14ac:dyDescent="0.2">
      <c r="A31940">
        <v>53954</v>
      </c>
      <c r="B31940" t="s">
        <v>55</v>
      </c>
      <c r="C31940">
        <v>53954</v>
      </c>
      <c r="D31940" t="str">
        <f>"53954"</f>
        <v>53954</v>
      </c>
      <c r="E31940">
        <v>78.569999999999993</v>
      </c>
    </row>
    <row r="31941" spans="1:5" x14ac:dyDescent="0.2">
      <c r="A31941">
        <v>53955</v>
      </c>
      <c r="B31941" t="s">
        <v>55</v>
      </c>
      <c r="C31941">
        <v>53955</v>
      </c>
      <c r="D31941" t="str">
        <f>"53955"</f>
        <v>53955</v>
      </c>
      <c r="E31941">
        <v>78.34</v>
      </c>
    </row>
    <row r="31942" spans="1:5" x14ac:dyDescent="0.2">
      <c r="A31942">
        <v>53956</v>
      </c>
      <c r="B31942" t="s">
        <v>55</v>
      </c>
      <c r="C31942">
        <v>53956</v>
      </c>
      <c r="D31942" t="str">
        <f>"53956"</f>
        <v>53956</v>
      </c>
      <c r="E31942">
        <v>75.95</v>
      </c>
    </row>
    <row r="31943" spans="1:5" x14ac:dyDescent="0.2">
      <c r="A31943">
        <v>53958</v>
      </c>
      <c r="B31943" t="s">
        <v>55</v>
      </c>
      <c r="C31943">
        <v>53958</v>
      </c>
      <c r="D31943" t="str">
        <f>"53958"</f>
        <v>53958</v>
      </c>
      <c r="E31943" t="s">
        <v>6</v>
      </c>
    </row>
    <row r="31944" spans="1:5" x14ac:dyDescent="0.2">
      <c r="A31944">
        <v>53959</v>
      </c>
      <c r="B31944" t="s">
        <v>55</v>
      </c>
      <c r="C31944">
        <v>53959</v>
      </c>
      <c r="D31944" t="str">
        <f>"53959"</f>
        <v>53959</v>
      </c>
      <c r="E31944">
        <v>73.400000000000006</v>
      </c>
    </row>
    <row r="31945" spans="1:5" x14ac:dyDescent="0.2">
      <c r="A31945">
        <v>53960</v>
      </c>
      <c r="B31945" t="s">
        <v>55</v>
      </c>
      <c r="C31945">
        <v>53960</v>
      </c>
      <c r="D31945" t="str">
        <f>"53960"</f>
        <v>53960</v>
      </c>
      <c r="E31945">
        <v>80.349999999999994</v>
      </c>
    </row>
    <row r="31946" spans="1:5" x14ac:dyDescent="0.2">
      <c r="A31946">
        <v>53961</v>
      </c>
      <c r="B31946" t="s">
        <v>55</v>
      </c>
      <c r="C31946">
        <v>53961</v>
      </c>
      <c r="D31946" t="str">
        <f>"53961"</f>
        <v>53961</v>
      </c>
      <c r="E31946">
        <v>73.17</v>
      </c>
    </row>
    <row r="31947" spans="1:5" x14ac:dyDescent="0.2">
      <c r="A31947">
        <v>53962</v>
      </c>
      <c r="B31947" t="s">
        <v>55</v>
      </c>
      <c r="C31947">
        <v>53962</v>
      </c>
      <c r="D31947" t="str">
        <f>"53962"</f>
        <v>53962</v>
      </c>
      <c r="E31947" t="s">
        <v>6</v>
      </c>
    </row>
    <row r="31948" spans="1:5" x14ac:dyDescent="0.2">
      <c r="A31948">
        <v>53963</v>
      </c>
      <c r="B31948" t="s">
        <v>55</v>
      </c>
      <c r="C31948">
        <v>53963</v>
      </c>
      <c r="D31948" t="str">
        <f>"53963"</f>
        <v>53963</v>
      </c>
      <c r="E31948">
        <v>77.64</v>
      </c>
    </row>
    <row r="31949" spans="1:5" x14ac:dyDescent="0.2">
      <c r="A31949">
        <v>53964</v>
      </c>
      <c r="B31949" t="s">
        <v>55</v>
      </c>
      <c r="C31949">
        <v>53964</v>
      </c>
      <c r="D31949" t="str">
        <f>"53964"</f>
        <v>53964</v>
      </c>
      <c r="E31949">
        <v>69.59</v>
      </c>
    </row>
    <row r="31950" spans="1:5" x14ac:dyDescent="0.2">
      <c r="A31950">
        <v>53965</v>
      </c>
      <c r="B31950" t="s">
        <v>55</v>
      </c>
      <c r="C31950">
        <v>53965</v>
      </c>
      <c r="D31950" t="str">
        <f>"53965"</f>
        <v>53965</v>
      </c>
      <c r="E31950">
        <v>64.59</v>
      </c>
    </row>
    <row r="31951" spans="1:5" x14ac:dyDescent="0.2">
      <c r="A31951">
        <v>53968</v>
      </c>
      <c r="B31951" t="s">
        <v>55</v>
      </c>
      <c r="C31951">
        <v>53968</v>
      </c>
      <c r="D31951" t="str">
        <f>"53968"</f>
        <v>53968</v>
      </c>
      <c r="E31951">
        <v>69.900000000000006</v>
      </c>
    </row>
    <row r="31952" spans="1:5" x14ac:dyDescent="0.2">
      <c r="A31952">
        <v>53969</v>
      </c>
      <c r="B31952" t="s">
        <v>55</v>
      </c>
      <c r="C31952">
        <v>53969</v>
      </c>
      <c r="D31952" t="str">
        <f>"53969"</f>
        <v>53969</v>
      </c>
      <c r="E31952" t="s">
        <v>6</v>
      </c>
    </row>
    <row r="31953" spans="1:5" x14ac:dyDescent="0.2">
      <c r="A31953">
        <v>54001</v>
      </c>
      <c r="B31953" t="s">
        <v>55</v>
      </c>
      <c r="C31953">
        <v>54001</v>
      </c>
      <c r="D31953" t="str">
        <f>"54001"</f>
        <v>54001</v>
      </c>
      <c r="E31953">
        <v>74.260000000000005</v>
      </c>
    </row>
    <row r="31954" spans="1:5" x14ac:dyDescent="0.2">
      <c r="A31954">
        <v>54002</v>
      </c>
      <c r="B31954" t="s">
        <v>55</v>
      </c>
      <c r="C31954">
        <v>54002</v>
      </c>
      <c r="D31954" t="str">
        <f>"54002"</f>
        <v>54002</v>
      </c>
      <c r="E31954">
        <v>78.91</v>
      </c>
    </row>
    <row r="31955" spans="1:5" x14ac:dyDescent="0.2">
      <c r="A31955">
        <v>54003</v>
      </c>
      <c r="B31955" t="s">
        <v>55</v>
      </c>
      <c r="C31955">
        <v>54003</v>
      </c>
      <c r="D31955" t="str">
        <f>"54003"</f>
        <v>54003</v>
      </c>
      <c r="E31955">
        <v>83.02</v>
      </c>
    </row>
    <row r="31956" spans="1:5" x14ac:dyDescent="0.2">
      <c r="A31956">
        <v>54004</v>
      </c>
      <c r="B31956" t="s">
        <v>55</v>
      </c>
      <c r="C31956">
        <v>54004</v>
      </c>
      <c r="D31956" t="str">
        <f>"54004"</f>
        <v>54004</v>
      </c>
      <c r="E31956">
        <v>71.7</v>
      </c>
    </row>
    <row r="31957" spans="1:5" x14ac:dyDescent="0.2">
      <c r="A31957">
        <v>54005</v>
      </c>
      <c r="B31957" t="s">
        <v>55</v>
      </c>
      <c r="C31957">
        <v>54005</v>
      </c>
      <c r="D31957" t="str">
        <f>"54005"</f>
        <v>54005</v>
      </c>
      <c r="E31957">
        <v>74.67</v>
      </c>
    </row>
    <row r="31958" spans="1:5" x14ac:dyDescent="0.2">
      <c r="A31958">
        <v>54006</v>
      </c>
      <c r="B31958" t="s">
        <v>55</v>
      </c>
      <c r="C31958">
        <v>54006</v>
      </c>
      <c r="D31958" t="str">
        <f>"54006"</f>
        <v>54006</v>
      </c>
      <c r="E31958">
        <v>71.05</v>
      </c>
    </row>
    <row r="31959" spans="1:5" x14ac:dyDescent="0.2">
      <c r="A31959">
        <v>54007</v>
      </c>
      <c r="B31959" t="s">
        <v>55</v>
      </c>
      <c r="C31959">
        <v>54007</v>
      </c>
      <c r="D31959" t="str">
        <f>"54007"</f>
        <v>54007</v>
      </c>
      <c r="E31959">
        <v>75.81</v>
      </c>
    </row>
    <row r="31960" spans="1:5" x14ac:dyDescent="0.2">
      <c r="A31960">
        <v>54009</v>
      </c>
      <c r="B31960" t="s">
        <v>55</v>
      </c>
      <c r="C31960">
        <v>54009</v>
      </c>
      <c r="D31960" t="str">
        <f>"54009"</f>
        <v>54009</v>
      </c>
      <c r="E31960">
        <v>76.42</v>
      </c>
    </row>
    <row r="31961" spans="1:5" x14ac:dyDescent="0.2">
      <c r="A31961">
        <v>54011</v>
      </c>
      <c r="B31961" t="s">
        <v>55</v>
      </c>
      <c r="C31961">
        <v>54011</v>
      </c>
      <c r="D31961" t="str">
        <f>"54011"</f>
        <v>54011</v>
      </c>
      <c r="E31961">
        <v>77.709999999999994</v>
      </c>
    </row>
    <row r="31962" spans="1:5" x14ac:dyDescent="0.2">
      <c r="A31962">
        <v>54013</v>
      </c>
      <c r="B31962" t="s">
        <v>55</v>
      </c>
      <c r="C31962">
        <v>54013</v>
      </c>
      <c r="D31962" t="str">
        <f>"54013"</f>
        <v>54013</v>
      </c>
      <c r="E31962">
        <v>75.459999999999994</v>
      </c>
    </row>
    <row r="31963" spans="1:5" x14ac:dyDescent="0.2">
      <c r="A31963">
        <v>54014</v>
      </c>
      <c r="B31963" t="s">
        <v>55</v>
      </c>
      <c r="C31963">
        <v>54014</v>
      </c>
      <c r="D31963" t="str">
        <f>"54014"</f>
        <v>54014</v>
      </c>
      <c r="E31963">
        <v>81.150000000000006</v>
      </c>
    </row>
    <row r="31964" spans="1:5" x14ac:dyDescent="0.2">
      <c r="A31964">
        <v>54015</v>
      </c>
      <c r="B31964" t="s">
        <v>55</v>
      </c>
      <c r="C31964">
        <v>54015</v>
      </c>
      <c r="D31964" t="str">
        <f>"54015"</f>
        <v>54015</v>
      </c>
      <c r="E31964">
        <v>82.87</v>
      </c>
    </row>
    <row r="31965" spans="1:5" x14ac:dyDescent="0.2">
      <c r="A31965">
        <v>54016</v>
      </c>
      <c r="B31965" t="s">
        <v>55</v>
      </c>
      <c r="C31965">
        <v>54016</v>
      </c>
      <c r="D31965" t="str">
        <f>"54016"</f>
        <v>54016</v>
      </c>
      <c r="E31965">
        <v>82.71</v>
      </c>
    </row>
    <row r="31966" spans="1:5" x14ac:dyDescent="0.2">
      <c r="A31966">
        <v>54017</v>
      </c>
      <c r="B31966" t="s">
        <v>55</v>
      </c>
      <c r="C31966">
        <v>54017</v>
      </c>
      <c r="D31966" t="str">
        <f>"54017"</f>
        <v>54017</v>
      </c>
      <c r="E31966">
        <v>79.06</v>
      </c>
    </row>
    <row r="31967" spans="1:5" x14ac:dyDescent="0.2">
      <c r="A31967">
        <v>54020</v>
      </c>
      <c r="B31967" t="s">
        <v>55</v>
      </c>
      <c r="C31967">
        <v>54020</v>
      </c>
      <c r="D31967" t="str">
        <f>"54020"</f>
        <v>54020</v>
      </c>
      <c r="E31967">
        <v>80.38</v>
      </c>
    </row>
    <row r="31968" spans="1:5" x14ac:dyDescent="0.2">
      <c r="A31968">
        <v>54021</v>
      </c>
      <c r="B31968" t="s">
        <v>55</v>
      </c>
      <c r="C31968">
        <v>54021</v>
      </c>
      <c r="D31968" t="str">
        <f>"54021"</f>
        <v>54021</v>
      </c>
      <c r="E31968">
        <v>81.66</v>
      </c>
    </row>
    <row r="31969" spans="1:5" x14ac:dyDescent="0.2">
      <c r="A31969">
        <v>54022</v>
      </c>
      <c r="B31969" t="s">
        <v>55</v>
      </c>
      <c r="C31969">
        <v>54022</v>
      </c>
      <c r="D31969" t="str">
        <f>"54022"</f>
        <v>54022</v>
      </c>
      <c r="E31969">
        <v>79.7</v>
      </c>
    </row>
    <row r="31970" spans="1:5" x14ac:dyDescent="0.2">
      <c r="A31970">
        <v>54023</v>
      </c>
      <c r="B31970" t="s">
        <v>55</v>
      </c>
      <c r="C31970">
        <v>54023</v>
      </c>
      <c r="D31970" t="str">
        <f>"54023"</f>
        <v>54023</v>
      </c>
      <c r="E31970">
        <v>82.5</v>
      </c>
    </row>
    <row r="31971" spans="1:5" x14ac:dyDescent="0.2">
      <c r="A31971">
        <v>54024</v>
      </c>
      <c r="B31971" t="s">
        <v>55</v>
      </c>
      <c r="C31971">
        <v>54024</v>
      </c>
      <c r="D31971" t="str">
        <f>"54024"</f>
        <v>54024</v>
      </c>
      <c r="E31971">
        <v>77.290000000000006</v>
      </c>
    </row>
    <row r="31972" spans="1:5" x14ac:dyDescent="0.2">
      <c r="A31972">
        <v>54025</v>
      </c>
      <c r="B31972" t="s">
        <v>55</v>
      </c>
      <c r="C31972">
        <v>54025</v>
      </c>
      <c r="D31972" t="str">
        <f>"54025"</f>
        <v>54025</v>
      </c>
      <c r="E31972">
        <v>80.5</v>
      </c>
    </row>
    <row r="31973" spans="1:5" x14ac:dyDescent="0.2">
      <c r="A31973">
        <v>54026</v>
      </c>
      <c r="B31973" t="s">
        <v>55</v>
      </c>
      <c r="C31973">
        <v>54026</v>
      </c>
      <c r="D31973" t="str">
        <f>"54026"</f>
        <v>54026</v>
      </c>
      <c r="E31973">
        <v>76.290000000000006</v>
      </c>
    </row>
    <row r="31974" spans="1:5" x14ac:dyDescent="0.2">
      <c r="A31974">
        <v>54027</v>
      </c>
      <c r="B31974" t="s">
        <v>55</v>
      </c>
      <c r="C31974">
        <v>54027</v>
      </c>
      <c r="D31974" t="str">
        <f>"54027"</f>
        <v>54027</v>
      </c>
      <c r="E31974">
        <v>81.25</v>
      </c>
    </row>
    <row r="31975" spans="1:5" x14ac:dyDescent="0.2">
      <c r="A31975">
        <v>54028</v>
      </c>
      <c r="B31975" t="s">
        <v>55</v>
      </c>
      <c r="C31975">
        <v>54028</v>
      </c>
      <c r="D31975" t="str">
        <f>"54028"</f>
        <v>54028</v>
      </c>
      <c r="E31975">
        <v>76.42</v>
      </c>
    </row>
    <row r="31976" spans="1:5" x14ac:dyDescent="0.2">
      <c r="A31976">
        <v>54082</v>
      </c>
      <c r="B31976" t="s">
        <v>55</v>
      </c>
      <c r="C31976">
        <v>54082</v>
      </c>
      <c r="D31976" t="str">
        <f>"54082"</f>
        <v>54082</v>
      </c>
      <c r="E31976">
        <v>83.13</v>
      </c>
    </row>
    <row r="31977" spans="1:5" x14ac:dyDescent="0.2">
      <c r="A31977">
        <v>54101</v>
      </c>
      <c r="B31977" t="s">
        <v>55</v>
      </c>
      <c r="C31977">
        <v>54101</v>
      </c>
      <c r="D31977" t="str">
        <f>"54101"</f>
        <v>54101</v>
      </c>
      <c r="E31977">
        <v>82.73</v>
      </c>
    </row>
    <row r="31978" spans="1:5" x14ac:dyDescent="0.2">
      <c r="A31978">
        <v>54102</v>
      </c>
      <c r="B31978" t="s">
        <v>55</v>
      </c>
      <c r="C31978">
        <v>54102</v>
      </c>
      <c r="D31978" t="str">
        <f>"54102"</f>
        <v>54102</v>
      </c>
      <c r="E31978">
        <v>65.849999999999994</v>
      </c>
    </row>
    <row r="31979" spans="1:5" x14ac:dyDescent="0.2">
      <c r="A31979">
        <v>54103</v>
      </c>
      <c r="B31979" t="s">
        <v>55</v>
      </c>
      <c r="C31979">
        <v>54103</v>
      </c>
      <c r="D31979" t="str">
        <f>"54103"</f>
        <v>54103</v>
      </c>
      <c r="E31979">
        <v>57.89</v>
      </c>
    </row>
    <row r="31980" spans="1:5" x14ac:dyDescent="0.2">
      <c r="A31980">
        <v>54104</v>
      </c>
      <c r="B31980" t="s">
        <v>55</v>
      </c>
      <c r="C31980">
        <v>54104</v>
      </c>
      <c r="D31980" t="str">
        <f>"54104"</f>
        <v>54104</v>
      </c>
      <c r="E31980">
        <v>70.37</v>
      </c>
    </row>
    <row r="31981" spans="1:5" x14ac:dyDescent="0.2">
      <c r="A31981">
        <v>54106</v>
      </c>
      <c r="B31981" t="s">
        <v>55</v>
      </c>
      <c r="C31981">
        <v>54106</v>
      </c>
      <c r="D31981" t="str">
        <f>"54106"</f>
        <v>54106</v>
      </c>
      <c r="E31981">
        <v>79.02</v>
      </c>
    </row>
    <row r="31982" spans="1:5" x14ac:dyDescent="0.2">
      <c r="A31982">
        <v>54107</v>
      </c>
      <c r="B31982" t="s">
        <v>55</v>
      </c>
      <c r="C31982">
        <v>54107</v>
      </c>
      <c r="D31982" t="str">
        <f>"54107"</f>
        <v>54107</v>
      </c>
      <c r="E31982">
        <v>73.510000000000005</v>
      </c>
    </row>
    <row r="31983" spans="1:5" x14ac:dyDescent="0.2">
      <c r="A31983">
        <v>54110</v>
      </c>
      <c r="B31983" t="s">
        <v>55</v>
      </c>
      <c r="C31983">
        <v>54110</v>
      </c>
      <c r="D31983" t="str">
        <f>"54110"</f>
        <v>54110</v>
      </c>
      <c r="E31983">
        <v>79.099999999999994</v>
      </c>
    </row>
    <row r="31984" spans="1:5" x14ac:dyDescent="0.2">
      <c r="A31984">
        <v>54111</v>
      </c>
      <c r="B31984" t="s">
        <v>55</v>
      </c>
      <c r="C31984">
        <v>54111</v>
      </c>
      <c r="D31984" t="str">
        <f>"54111"</f>
        <v>54111</v>
      </c>
      <c r="E31984">
        <v>74.53</v>
      </c>
    </row>
    <row r="31985" spans="1:5" x14ac:dyDescent="0.2">
      <c r="A31985">
        <v>54112</v>
      </c>
      <c r="B31985" t="s">
        <v>55</v>
      </c>
      <c r="C31985">
        <v>54112</v>
      </c>
      <c r="D31985" t="str">
        <f>"54112"</f>
        <v>54112</v>
      </c>
      <c r="E31985">
        <v>74</v>
      </c>
    </row>
    <row r="31986" spans="1:5" x14ac:dyDescent="0.2">
      <c r="A31986">
        <v>54113</v>
      </c>
      <c r="B31986" t="s">
        <v>55</v>
      </c>
      <c r="C31986">
        <v>54113</v>
      </c>
      <c r="D31986" t="str">
        <f>"54113"</f>
        <v>54113</v>
      </c>
      <c r="E31986">
        <v>79.12</v>
      </c>
    </row>
    <row r="31987" spans="1:5" x14ac:dyDescent="0.2">
      <c r="A31987">
        <v>54114</v>
      </c>
      <c r="B31987" t="s">
        <v>55</v>
      </c>
      <c r="C31987">
        <v>54114</v>
      </c>
      <c r="D31987" t="str">
        <f>"54114"</f>
        <v>54114</v>
      </c>
      <c r="E31987">
        <v>72.180000000000007</v>
      </c>
    </row>
    <row r="31988" spans="1:5" x14ac:dyDescent="0.2">
      <c r="A31988">
        <v>54115</v>
      </c>
      <c r="B31988" t="s">
        <v>55</v>
      </c>
      <c r="C31988">
        <v>54115</v>
      </c>
      <c r="D31988" t="str">
        <f>"54115"</f>
        <v>54115</v>
      </c>
      <c r="E31988">
        <v>80.099999999999994</v>
      </c>
    </row>
    <row r="31989" spans="1:5" x14ac:dyDescent="0.2">
      <c r="A31989">
        <v>54119</v>
      </c>
      <c r="B31989" t="s">
        <v>55</v>
      </c>
      <c r="C31989">
        <v>54119</v>
      </c>
      <c r="D31989" t="str">
        <f>"54119"</f>
        <v>54119</v>
      </c>
      <c r="E31989">
        <v>68.180000000000007</v>
      </c>
    </row>
    <row r="31990" spans="1:5" x14ac:dyDescent="0.2">
      <c r="A31990">
        <v>54120</v>
      </c>
      <c r="B31990" t="s">
        <v>55</v>
      </c>
      <c r="C31990">
        <v>54120</v>
      </c>
      <c r="D31990" t="str">
        <f>"54120"</f>
        <v>54120</v>
      </c>
      <c r="E31990">
        <v>75</v>
      </c>
    </row>
    <row r="31991" spans="1:5" x14ac:dyDescent="0.2">
      <c r="A31991">
        <v>54121</v>
      </c>
      <c r="B31991" t="s">
        <v>55</v>
      </c>
      <c r="C31991">
        <v>54121</v>
      </c>
      <c r="D31991" t="str">
        <f>"54121"</f>
        <v>54121</v>
      </c>
      <c r="E31991">
        <v>72.790000000000006</v>
      </c>
    </row>
    <row r="31992" spans="1:5" x14ac:dyDescent="0.2">
      <c r="A31992">
        <v>54123</v>
      </c>
      <c r="B31992" t="s">
        <v>55</v>
      </c>
      <c r="C31992">
        <v>54123</v>
      </c>
      <c r="D31992" t="str">
        <f>"54123"</f>
        <v>54123</v>
      </c>
      <c r="E31992">
        <v>71.430000000000007</v>
      </c>
    </row>
    <row r="31993" spans="1:5" x14ac:dyDescent="0.2">
      <c r="A31993">
        <v>54124</v>
      </c>
      <c r="B31993" t="s">
        <v>55</v>
      </c>
      <c r="C31993">
        <v>54124</v>
      </c>
      <c r="D31993" t="str">
        <f>"54124"</f>
        <v>54124</v>
      </c>
      <c r="E31993">
        <v>72.319999999999993</v>
      </c>
    </row>
    <row r="31994" spans="1:5" x14ac:dyDescent="0.2">
      <c r="A31994">
        <v>54125</v>
      </c>
      <c r="B31994" t="s">
        <v>55</v>
      </c>
      <c r="C31994">
        <v>54125</v>
      </c>
      <c r="D31994" t="str">
        <f>"54125"</f>
        <v>54125</v>
      </c>
      <c r="E31994">
        <v>68.180000000000007</v>
      </c>
    </row>
    <row r="31995" spans="1:5" x14ac:dyDescent="0.2">
      <c r="A31995">
        <v>54126</v>
      </c>
      <c r="B31995" t="s">
        <v>55</v>
      </c>
      <c r="C31995">
        <v>54126</v>
      </c>
      <c r="D31995" t="str">
        <f>"54126"</f>
        <v>54126</v>
      </c>
      <c r="E31995">
        <v>79.67</v>
      </c>
    </row>
    <row r="31996" spans="1:5" x14ac:dyDescent="0.2">
      <c r="A31996">
        <v>54127</v>
      </c>
      <c r="B31996" t="s">
        <v>55</v>
      </c>
      <c r="C31996">
        <v>54127</v>
      </c>
      <c r="D31996" t="str">
        <f>"54127"</f>
        <v>54127</v>
      </c>
      <c r="E31996" t="s">
        <v>6</v>
      </c>
    </row>
    <row r="31997" spans="1:5" x14ac:dyDescent="0.2">
      <c r="A31997">
        <v>54128</v>
      </c>
      <c r="B31997" t="s">
        <v>55</v>
      </c>
      <c r="C31997">
        <v>54128</v>
      </c>
      <c r="D31997" t="str">
        <f>"54128"</f>
        <v>54128</v>
      </c>
      <c r="E31997">
        <v>70</v>
      </c>
    </row>
    <row r="31998" spans="1:5" x14ac:dyDescent="0.2">
      <c r="A31998">
        <v>54129</v>
      </c>
      <c r="B31998" t="s">
        <v>55</v>
      </c>
      <c r="C31998">
        <v>54129</v>
      </c>
      <c r="D31998" t="str">
        <f>"54129"</f>
        <v>54129</v>
      </c>
      <c r="E31998">
        <v>79.14</v>
      </c>
    </row>
    <row r="31999" spans="1:5" x14ac:dyDescent="0.2">
      <c r="A31999">
        <v>54130</v>
      </c>
      <c r="B31999" t="s">
        <v>55</v>
      </c>
      <c r="C31999">
        <v>54130</v>
      </c>
      <c r="D31999" t="str">
        <f>"54130"</f>
        <v>54130</v>
      </c>
      <c r="E31999">
        <v>79.61</v>
      </c>
    </row>
    <row r="32000" spans="1:5" x14ac:dyDescent="0.2">
      <c r="A32000">
        <v>54135</v>
      </c>
      <c r="B32000" t="s">
        <v>55</v>
      </c>
      <c r="C32000">
        <v>54135</v>
      </c>
      <c r="D32000" t="str">
        <f>"54135"</f>
        <v>54135</v>
      </c>
      <c r="E32000">
        <v>56.12</v>
      </c>
    </row>
    <row r="32001" spans="1:5" x14ac:dyDescent="0.2">
      <c r="A32001">
        <v>54136</v>
      </c>
      <c r="B32001" t="s">
        <v>55</v>
      </c>
      <c r="C32001">
        <v>54136</v>
      </c>
      <c r="D32001" t="str">
        <f>"54136"</f>
        <v>54136</v>
      </c>
      <c r="E32001">
        <v>77.650000000000006</v>
      </c>
    </row>
    <row r="32002" spans="1:5" x14ac:dyDescent="0.2">
      <c r="A32002">
        <v>54137</v>
      </c>
      <c r="B32002" t="s">
        <v>55</v>
      </c>
      <c r="C32002">
        <v>54137</v>
      </c>
      <c r="D32002" t="str">
        <f>"54137"</f>
        <v>54137</v>
      </c>
      <c r="E32002">
        <v>76.36</v>
      </c>
    </row>
    <row r="32003" spans="1:5" x14ac:dyDescent="0.2">
      <c r="A32003">
        <v>54138</v>
      </c>
      <c r="B32003" t="s">
        <v>55</v>
      </c>
      <c r="C32003">
        <v>54138</v>
      </c>
      <c r="D32003" t="str">
        <f>"54138"</f>
        <v>54138</v>
      </c>
      <c r="E32003">
        <v>71.739999999999995</v>
      </c>
    </row>
    <row r="32004" spans="1:5" x14ac:dyDescent="0.2">
      <c r="A32004">
        <v>54139</v>
      </c>
      <c r="B32004" t="s">
        <v>55</v>
      </c>
      <c r="C32004">
        <v>54139</v>
      </c>
      <c r="D32004" t="str">
        <f>"54139"</f>
        <v>54139</v>
      </c>
      <c r="E32004">
        <v>75</v>
      </c>
    </row>
    <row r="32005" spans="1:5" x14ac:dyDescent="0.2">
      <c r="A32005">
        <v>54140</v>
      </c>
      <c r="B32005" t="s">
        <v>55</v>
      </c>
      <c r="C32005">
        <v>54140</v>
      </c>
      <c r="D32005" t="str">
        <f>"54140"</f>
        <v>54140</v>
      </c>
      <c r="E32005">
        <v>76.739999999999995</v>
      </c>
    </row>
    <row r="32006" spans="1:5" x14ac:dyDescent="0.2">
      <c r="A32006">
        <v>54141</v>
      </c>
      <c r="B32006" t="s">
        <v>55</v>
      </c>
      <c r="C32006">
        <v>54141</v>
      </c>
      <c r="D32006" t="str">
        <f>"54141"</f>
        <v>54141</v>
      </c>
      <c r="E32006">
        <v>83.09</v>
      </c>
    </row>
    <row r="32007" spans="1:5" x14ac:dyDescent="0.2">
      <c r="A32007">
        <v>54143</v>
      </c>
      <c r="B32007" t="s">
        <v>55</v>
      </c>
      <c r="C32007">
        <v>54143</v>
      </c>
      <c r="D32007" t="str">
        <f>"54143"</f>
        <v>54143</v>
      </c>
      <c r="E32007">
        <v>72.92</v>
      </c>
    </row>
    <row r="32008" spans="1:5" x14ac:dyDescent="0.2">
      <c r="A32008">
        <v>54149</v>
      </c>
      <c r="B32008" t="s">
        <v>55</v>
      </c>
      <c r="C32008">
        <v>54149</v>
      </c>
      <c r="D32008" t="str">
        <f>"54149"</f>
        <v>54149</v>
      </c>
      <c r="E32008">
        <v>72.41</v>
      </c>
    </row>
    <row r="32009" spans="1:5" x14ac:dyDescent="0.2">
      <c r="A32009">
        <v>54150</v>
      </c>
      <c r="B32009" t="s">
        <v>55</v>
      </c>
      <c r="C32009">
        <v>54150</v>
      </c>
      <c r="D32009" t="str">
        <f>"54150"</f>
        <v>54150</v>
      </c>
      <c r="E32009">
        <v>47.06</v>
      </c>
    </row>
    <row r="32010" spans="1:5" x14ac:dyDescent="0.2">
      <c r="A32010">
        <v>54151</v>
      </c>
      <c r="B32010" t="s">
        <v>55</v>
      </c>
      <c r="C32010">
        <v>54151</v>
      </c>
      <c r="D32010" t="str">
        <f>"54151"</f>
        <v>54151</v>
      </c>
      <c r="E32010">
        <v>71.760000000000005</v>
      </c>
    </row>
    <row r="32011" spans="1:5" x14ac:dyDescent="0.2">
      <c r="A32011">
        <v>54152</v>
      </c>
      <c r="B32011" t="s">
        <v>55</v>
      </c>
      <c r="C32011">
        <v>54152</v>
      </c>
      <c r="D32011" t="str">
        <f>"54152"</f>
        <v>54152</v>
      </c>
      <c r="E32011" t="s">
        <v>6</v>
      </c>
    </row>
    <row r="32012" spans="1:5" x14ac:dyDescent="0.2">
      <c r="A32012">
        <v>54153</v>
      </c>
      <c r="B32012" t="s">
        <v>55</v>
      </c>
      <c r="C32012">
        <v>54153</v>
      </c>
      <c r="D32012" t="str">
        <f>"54153"</f>
        <v>54153</v>
      </c>
      <c r="E32012">
        <v>71.3</v>
      </c>
    </row>
    <row r="32013" spans="1:5" x14ac:dyDescent="0.2">
      <c r="A32013">
        <v>54154</v>
      </c>
      <c r="B32013" t="s">
        <v>55</v>
      </c>
      <c r="C32013">
        <v>54154</v>
      </c>
      <c r="D32013" t="str">
        <f>"54154"</f>
        <v>54154</v>
      </c>
      <c r="E32013">
        <v>74.62</v>
      </c>
    </row>
    <row r="32014" spans="1:5" x14ac:dyDescent="0.2">
      <c r="A32014">
        <v>54155</v>
      </c>
      <c r="B32014" t="s">
        <v>55</v>
      </c>
      <c r="C32014">
        <v>54155</v>
      </c>
      <c r="D32014" t="str">
        <f>"54155"</f>
        <v>54155</v>
      </c>
      <c r="E32014">
        <v>78.03</v>
      </c>
    </row>
    <row r="32015" spans="1:5" x14ac:dyDescent="0.2">
      <c r="A32015">
        <v>54156</v>
      </c>
      <c r="B32015" t="s">
        <v>55</v>
      </c>
      <c r="C32015">
        <v>54156</v>
      </c>
      <c r="D32015" t="str">
        <f>"54156"</f>
        <v>54156</v>
      </c>
      <c r="E32015">
        <v>65.75</v>
      </c>
    </row>
    <row r="32016" spans="1:5" x14ac:dyDescent="0.2">
      <c r="A32016">
        <v>54157</v>
      </c>
      <c r="B32016" t="s">
        <v>55</v>
      </c>
      <c r="C32016">
        <v>54157</v>
      </c>
      <c r="D32016" t="str">
        <f>"54157"</f>
        <v>54157</v>
      </c>
      <c r="E32016">
        <v>74.91</v>
      </c>
    </row>
    <row r="32017" spans="1:5" x14ac:dyDescent="0.2">
      <c r="A32017">
        <v>54159</v>
      </c>
      <c r="B32017" t="s">
        <v>55</v>
      </c>
      <c r="C32017">
        <v>54159</v>
      </c>
      <c r="D32017" t="str">
        <f>"54159"</f>
        <v>54159</v>
      </c>
      <c r="E32017">
        <v>73.91</v>
      </c>
    </row>
    <row r="32018" spans="1:5" x14ac:dyDescent="0.2">
      <c r="A32018">
        <v>54160</v>
      </c>
      <c r="B32018" t="s">
        <v>55</v>
      </c>
      <c r="C32018">
        <v>54160</v>
      </c>
      <c r="D32018" t="str">
        <f>"54160"</f>
        <v>54160</v>
      </c>
      <c r="E32018" t="s">
        <v>6</v>
      </c>
    </row>
    <row r="32019" spans="1:5" x14ac:dyDescent="0.2">
      <c r="A32019">
        <v>54161</v>
      </c>
      <c r="B32019" t="s">
        <v>55</v>
      </c>
      <c r="C32019">
        <v>54161</v>
      </c>
      <c r="D32019" t="str">
        <f>"54161"</f>
        <v>54161</v>
      </c>
      <c r="E32019">
        <v>73.08</v>
      </c>
    </row>
    <row r="32020" spans="1:5" x14ac:dyDescent="0.2">
      <c r="A32020">
        <v>54162</v>
      </c>
      <c r="B32020" t="s">
        <v>55</v>
      </c>
      <c r="C32020">
        <v>54162</v>
      </c>
      <c r="D32020" t="str">
        <f>"54162"</f>
        <v>54162</v>
      </c>
      <c r="E32020">
        <v>76.22</v>
      </c>
    </row>
    <row r="32021" spans="1:5" x14ac:dyDescent="0.2">
      <c r="A32021">
        <v>54165</v>
      </c>
      <c r="B32021" t="s">
        <v>55</v>
      </c>
      <c r="C32021">
        <v>54165</v>
      </c>
      <c r="D32021" t="str">
        <f>"54165"</f>
        <v>54165</v>
      </c>
      <c r="E32021">
        <v>77.5</v>
      </c>
    </row>
    <row r="32022" spans="1:5" x14ac:dyDescent="0.2">
      <c r="A32022">
        <v>54166</v>
      </c>
      <c r="B32022" t="s">
        <v>55</v>
      </c>
      <c r="C32022">
        <v>54166</v>
      </c>
      <c r="D32022" t="str">
        <f>"54166"</f>
        <v>54166</v>
      </c>
      <c r="E32022">
        <v>71.5</v>
      </c>
    </row>
    <row r="32023" spans="1:5" x14ac:dyDescent="0.2">
      <c r="A32023">
        <v>54169</v>
      </c>
      <c r="B32023" t="s">
        <v>55</v>
      </c>
      <c r="C32023">
        <v>54169</v>
      </c>
      <c r="D32023" t="str">
        <f>"54169"</f>
        <v>54169</v>
      </c>
      <c r="E32023">
        <v>83.44</v>
      </c>
    </row>
    <row r="32024" spans="1:5" x14ac:dyDescent="0.2">
      <c r="A32024">
        <v>54170</v>
      </c>
      <c r="B32024" t="s">
        <v>55</v>
      </c>
      <c r="C32024">
        <v>54170</v>
      </c>
      <c r="D32024" t="str">
        <f>"54170"</f>
        <v>54170</v>
      </c>
      <c r="E32024">
        <v>77.540000000000006</v>
      </c>
    </row>
    <row r="32025" spans="1:5" x14ac:dyDescent="0.2">
      <c r="A32025">
        <v>54171</v>
      </c>
      <c r="B32025" t="s">
        <v>55</v>
      </c>
      <c r="C32025">
        <v>54171</v>
      </c>
      <c r="D32025" t="str">
        <f>"54171"</f>
        <v>54171</v>
      </c>
      <c r="E32025">
        <v>82.45</v>
      </c>
    </row>
    <row r="32026" spans="1:5" x14ac:dyDescent="0.2">
      <c r="A32026">
        <v>54173</v>
      </c>
      <c r="B32026" t="s">
        <v>55</v>
      </c>
      <c r="C32026">
        <v>54173</v>
      </c>
      <c r="D32026" t="str">
        <f>"54173"</f>
        <v>54173</v>
      </c>
      <c r="E32026">
        <v>83.09</v>
      </c>
    </row>
    <row r="32027" spans="1:5" x14ac:dyDescent="0.2">
      <c r="A32027">
        <v>54174</v>
      </c>
      <c r="B32027" t="s">
        <v>55</v>
      </c>
      <c r="C32027">
        <v>54174</v>
      </c>
      <c r="D32027" t="str">
        <f>"54174"</f>
        <v>54174</v>
      </c>
      <c r="E32027">
        <v>68.12</v>
      </c>
    </row>
    <row r="32028" spans="1:5" x14ac:dyDescent="0.2">
      <c r="A32028">
        <v>54175</v>
      </c>
      <c r="B32028" t="s">
        <v>55</v>
      </c>
      <c r="C32028">
        <v>54175</v>
      </c>
      <c r="D32028" t="str">
        <f>"54175"</f>
        <v>54175</v>
      </c>
      <c r="E32028">
        <v>74.069999999999993</v>
      </c>
    </row>
    <row r="32029" spans="1:5" x14ac:dyDescent="0.2">
      <c r="A32029">
        <v>54177</v>
      </c>
      <c r="B32029" t="s">
        <v>55</v>
      </c>
      <c r="C32029">
        <v>54177</v>
      </c>
      <c r="D32029" t="str">
        <f>"54177"</f>
        <v>54177</v>
      </c>
      <c r="E32029">
        <v>69.569999999999993</v>
      </c>
    </row>
    <row r="32030" spans="1:5" x14ac:dyDescent="0.2">
      <c r="A32030">
        <v>54180</v>
      </c>
      <c r="B32030" t="s">
        <v>55</v>
      </c>
      <c r="C32030">
        <v>54180</v>
      </c>
      <c r="D32030" t="str">
        <f>"54180"</f>
        <v>54180</v>
      </c>
      <c r="E32030">
        <v>79.33</v>
      </c>
    </row>
    <row r="32031" spans="1:5" x14ac:dyDescent="0.2">
      <c r="A32031">
        <v>54201</v>
      </c>
      <c r="B32031" t="s">
        <v>55</v>
      </c>
      <c r="C32031">
        <v>54201</v>
      </c>
      <c r="D32031" t="str">
        <f>"54201"</f>
        <v>54201</v>
      </c>
      <c r="E32031">
        <v>72.05</v>
      </c>
    </row>
    <row r="32032" spans="1:5" x14ac:dyDescent="0.2">
      <c r="A32032">
        <v>54202</v>
      </c>
      <c r="B32032" t="s">
        <v>55</v>
      </c>
      <c r="C32032">
        <v>54202</v>
      </c>
      <c r="D32032" t="str">
        <f>"54202"</f>
        <v>54202</v>
      </c>
      <c r="E32032">
        <v>77.92</v>
      </c>
    </row>
    <row r="32033" spans="1:5" x14ac:dyDescent="0.2">
      <c r="A32033">
        <v>54204</v>
      </c>
      <c r="B32033" t="s">
        <v>55</v>
      </c>
      <c r="C32033">
        <v>54204</v>
      </c>
      <c r="D32033" t="str">
        <f>"54204"</f>
        <v>54204</v>
      </c>
      <c r="E32033">
        <v>80</v>
      </c>
    </row>
    <row r="32034" spans="1:5" x14ac:dyDescent="0.2">
      <c r="A32034">
        <v>54205</v>
      </c>
      <c r="B32034" t="s">
        <v>55</v>
      </c>
      <c r="C32034">
        <v>54205</v>
      </c>
      <c r="D32034" t="str">
        <f>"54205"</f>
        <v>54205</v>
      </c>
      <c r="E32034">
        <v>77.88</v>
      </c>
    </row>
    <row r="32035" spans="1:5" x14ac:dyDescent="0.2">
      <c r="A32035">
        <v>54207</v>
      </c>
      <c r="B32035" t="s">
        <v>55</v>
      </c>
      <c r="C32035">
        <v>54207</v>
      </c>
      <c r="D32035" t="str">
        <f>"54207"</f>
        <v>54207</v>
      </c>
      <c r="E32035" t="s">
        <v>6</v>
      </c>
    </row>
    <row r="32036" spans="1:5" x14ac:dyDescent="0.2">
      <c r="A32036">
        <v>54208</v>
      </c>
      <c r="B32036" t="s">
        <v>55</v>
      </c>
      <c r="C32036">
        <v>54208</v>
      </c>
      <c r="D32036" t="str">
        <f>"54208"</f>
        <v>54208</v>
      </c>
      <c r="E32036">
        <v>80.13</v>
      </c>
    </row>
    <row r="32037" spans="1:5" x14ac:dyDescent="0.2">
      <c r="A32037">
        <v>54209</v>
      </c>
      <c r="B32037" t="s">
        <v>55</v>
      </c>
      <c r="C32037">
        <v>54209</v>
      </c>
      <c r="D32037" t="str">
        <f>"54209"</f>
        <v>54209</v>
      </c>
      <c r="E32037">
        <v>73.489999999999995</v>
      </c>
    </row>
    <row r="32038" spans="1:5" x14ac:dyDescent="0.2">
      <c r="A32038">
        <v>54210</v>
      </c>
      <c r="B32038" t="s">
        <v>55</v>
      </c>
      <c r="C32038">
        <v>54210</v>
      </c>
      <c r="D32038" t="str">
        <f>"54210"</f>
        <v>54210</v>
      </c>
      <c r="E32038">
        <v>74.069999999999993</v>
      </c>
    </row>
    <row r="32039" spans="1:5" x14ac:dyDescent="0.2">
      <c r="A32039">
        <v>54211</v>
      </c>
      <c r="B32039" t="s">
        <v>55</v>
      </c>
      <c r="C32039">
        <v>54211</v>
      </c>
      <c r="D32039" t="str">
        <f>"54211"</f>
        <v>54211</v>
      </c>
      <c r="E32039" t="s">
        <v>6</v>
      </c>
    </row>
    <row r="32040" spans="1:5" x14ac:dyDescent="0.2">
      <c r="A32040">
        <v>54212</v>
      </c>
      <c r="B32040" t="s">
        <v>55</v>
      </c>
      <c r="C32040">
        <v>54212</v>
      </c>
      <c r="D32040" t="str">
        <f>"54212"</f>
        <v>54212</v>
      </c>
      <c r="E32040">
        <v>75</v>
      </c>
    </row>
    <row r="32041" spans="1:5" x14ac:dyDescent="0.2">
      <c r="A32041">
        <v>54213</v>
      </c>
      <c r="B32041" t="s">
        <v>55</v>
      </c>
      <c r="C32041">
        <v>54213</v>
      </c>
      <c r="D32041" t="str">
        <f>"54213"</f>
        <v>54213</v>
      </c>
      <c r="E32041">
        <v>75.36</v>
      </c>
    </row>
    <row r="32042" spans="1:5" x14ac:dyDescent="0.2">
      <c r="A32042">
        <v>54214</v>
      </c>
      <c r="B32042" t="s">
        <v>55</v>
      </c>
      <c r="C32042">
        <v>54214</v>
      </c>
      <c r="D32042" t="str">
        <f>"54214"</f>
        <v>54214</v>
      </c>
      <c r="E32042" t="s">
        <v>6</v>
      </c>
    </row>
    <row r="32043" spans="1:5" x14ac:dyDescent="0.2">
      <c r="A32043">
        <v>54216</v>
      </c>
      <c r="B32043" t="s">
        <v>55</v>
      </c>
      <c r="C32043">
        <v>54216</v>
      </c>
      <c r="D32043" t="str">
        <f>"54216"</f>
        <v>54216</v>
      </c>
      <c r="E32043">
        <v>76.08</v>
      </c>
    </row>
    <row r="32044" spans="1:5" x14ac:dyDescent="0.2">
      <c r="A32044">
        <v>54217</v>
      </c>
      <c r="B32044" t="s">
        <v>55</v>
      </c>
      <c r="C32044">
        <v>54217</v>
      </c>
      <c r="D32044" t="str">
        <f>"54217"</f>
        <v>54217</v>
      </c>
      <c r="E32044">
        <v>79.62</v>
      </c>
    </row>
    <row r="32045" spans="1:5" x14ac:dyDescent="0.2">
      <c r="A32045">
        <v>54220</v>
      </c>
      <c r="B32045" t="s">
        <v>55</v>
      </c>
      <c r="C32045">
        <v>54220</v>
      </c>
      <c r="D32045" t="str">
        <f>"54220"</f>
        <v>54220</v>
      </c>
      <c r="E32045">
        <v>73.650000000000006</v>
      </c>
    </row>
    <row r="32046" spans="1:5" x14ac:dyDescent="0.2">
      <c r="A32046">
        <v>54227</v>
      </c>
      <c r="B32046" t="s">
        <v>55</v>
      </c>
      <c r="C32046">
        <v>54227</v>
      </c>
      <c r="D32046" t="str">
        <f>"54227"</f>
        <v>54227</v>
      </c>
      <c r="E32046">
        <v>81.010000000000005</v>
      </c>
    </row>
    <row r="32047" spans="1:5" x14ac:dyDescent="0.2">
      <c r="A32047">
        <v>54228</v>
      </c>
      <c r="B32047" t="s">
        <v>55</v>
      </c>
      <c r="C32047">
        <v>54228</v>
      </c>
      <c r="D32047" t="str">
        <f>"54228"</f>
        <v>54228</v>
      </c>
      <c r="E32047">
        <v>77.27</v>
      </c>
    </row>
    <row r="32048" spans="1:5" x14ac:dyDescent="0.2">
      <c r="A32048">
        <v>54229</v>
      </c>
      <c r="B32048" t="s">
        <v>55</v>
      </c>
      <c r="C32048">
        <v>54229</v>
      </c>
      <c r="D32048" t="str">
        <f>"54229"</f>
        <v>54229</v>
      </c>
      <c r="E32048">
        <v>82.82</v>
      </c>
    </row>
    <row r="32049" spans="1:5" x14ac:dyDescent="0.2">
      <c r="A32049">
        <v>54230</v>
      </c>
      <c r="B32049" t="s">
        <v>55</v>
      </c>
      <c r="C32049">
        <v>54230</v>
      </c>
      <c r="D32049" t="str">
        <f>"54230"</f>
        <v>54230</v>
      </c>
      <c r="E32049">
        <v>76.959999999999994</v>
      </c>
    </row>
    <row r="32050" spans="1:5" x14ac:dyDescent="0.2">
      <c r="A32050">
        <v>54232</v>
      </c>
      <c r="B32050" t="s">
        <v>55</v>
      </c>
      <c r="C32050">
        <v>54232</v>
      </c>
      <c r="D32050" t="str">
        <f>"54232"</f>
        <v>54232</v>
      </c>
      <c r="E32050" t="s">
        <v>6</v>
      </c>
    </row>
    <row r="32051" spans="1:5" x14ac:dyDescent="0.2">
      <c r="A32051">
        <v>54234</v>
      </c>
      <c r="B32051" t="s">
        <v>55</v>
      </c>
      <c r="C32051">
        <v>54234</v>
      </c>
      <c r="D32051" t="str">
        <f>"54234"</f>
        <v>54234</v>
      </c>
      <c r="E32051">
        <v>73.91</v>
      </c>
    </row>
    <row r="32052" spans="1:5" x14ac:dyDescent="0.2">
      <c r="A32052">
        <v>54235</v>
      </c>
      <c r="B32052" t="s">
        <v>55</v>
      </c>
      <c r="C32052">
        <v>54235</v>
      </c>
      <c r="D32052" t="str">
        <f>"54235"</f>
        <v>54235</v>
      </c>
      <c r="E32052">
        <v>75.319999999999993</v>
      </c>
    </row>
    <row r="32053" spans="1:5" x14ac:dyDescent="0.2">
      <c r="A32053">
        <v>54241</v>
      </c>
      <c r="B32053" t="s">
        <v>55</v>
      </c>
      <c r="C32053">
        <v>54241</v>
      </c>
      <c r="D32053" t="str">
        <f>"54241"</f>
        <v>54241</v>
      </c>
      <c r="E32053">
        <v>72.540000000000006</v>
      </c>
    </row>
    <row r="32054" spans="1:5" x14ac:dyDescent="0.2">
      <c r="A32054">
        <v>54245</v>
      </c>
      <c r="B32054" t="s">
        <v>55</v>
      </c>
      <c r="C32054">
        <v>54245</v>
      </c>
      <c r="D32054" t="str">
        <f>"54245"</f>
        <v>54245</v>
      </c>
      <c r="E32054">
        <v>78.989999999999995</v>
      </c>
    </row>
    <row r="32055" spans="1:5" x14ac:dyDescent="0.2">
      <c r="A32055">
        <v>54246</v>
      </c>
      <c r="B32055" t="s">
        <v>55</v>
      </c>
      <c r="C32055">
        <v>54246</v>
      </c>
      <c r="D32055" t="str">
        <f>"54246"</f>
        <v>54246</v>
      </c>
      <c r="E32055">
        <v>71.430000000000007</v>
      </c>
    </row>
    <row r="32056" spans="1:5" x14ac:dyDescent="0.2">
      <c r="A32056">
        <v>54247</v>
      </c>
      <c r="B32056" t="s">
        <v>55</v>
      </c>
      <c r="C32056">
        <v>54247</v>
      </c>
      <c r="D32056" t="str">
        <f>"54247"</f>
        <v>54247</v>
      </c>
      <c r="E32056">
        <v>78.569999999999993</v>
      </c>
    </row>
    <row r="32057" spans="1:5" x14ac:dyDescent="0.2">
      <c r="A32057">
        <v>54301</v>
      </c>
      <c r="B32057" t="s">
        <v>55</v>
      </c>
      <c r="C32057">
        <v>54301</v>
      </c>
      <c r="D32057" t="str">
        <f>"54301"</f>
        <v>54301</v>
      </c>
      <c r="E32057">
        <v>74.41</v>
      </c>
    </row>
    <row r="32058" spans="1:5" x14ac:dyDescent="0.2">
      <c r="A32058">
        <v>54302</v>
      </c>
      <c r="B32058" t="s">
        <v>55</v>
      </c>
      <c r="C32058">
        <v>54302</v>
      </c>
      <c r="D32058" t="str">
        <f>"54302"</f>
        <v>54302</v>
      </c>
      <c r="E32058">
        <v>65.31</v>
      </c>
    </row>
    <row r="32059" spans="1:5" x14ac:dyDescent="0.2">
      <c r="A32059">
        <v>54303</v>
      </c>
      <c r="B32059" t="s">
        <v>55</v>
      </c>
      <c r="C32059">
        <v>54303</v>
      </c>
      <c r="D32059" t="str">
        <f>"54303"</f>
        <v>54303</v>
      </c>
      <c r="E32059">
        <v>68.48</v>
      </c>
    </row>
    <row r="32060" spans="1:5" x14ac:dyDescent="0.2">
      <c r="A32060">
        <v>54304</v>
      </c>
      <c r="B32060" t="s">
        <v>55</v>
      </c>
      <c r="C32060">
        <v>54304</v>
      </c>
      <c r="D32060" t="str">
        <f>"54304"</f>
        <v>54304</v>
      </c>
      <c r="E32060">
        <v>74.38</v>
      </c>
    </row>
    <row r="32061" spans="1:5" x14ac:dyDescent="0.2">
      <c r="A32061">
        <v>54311</v>
      </c>
      <c r="B32061" t="s">
        <v>55</v>
      </c>
      <c r="C32061">
        <v>54311</v>
      </c>
      <c r="D32061" t="str">
        <f>"54311"</f>
        <v>54311</v>
      </c>
      <c r="E32061">
        <v>79.28</v>
      </c>
    </row>
    <row r="32062" spans="1:5" x14ac:dyDescent="0.2">
      <c r="A32062">
        <v>54313</v>
      </c>
      <c r="B32062" t="s">
        <v>55</v>
      </c>
      <c r="C32062">
        <v>54313</v>
      </c>
      <c r="D32062" t="str">
        <f>"54313"</f>
        <v>54313</v>
      </c>
      <c r="E32062">
        <v>80.819999999999993</v>
      </c>
    </row>
    <row r="32063" spans="1:5" x14ac:dyDescent="0.2">
      <c r="A32063">
        <v>54401</v>
      </c>
      <c r="B32063" t="s">
        <v>55</v>
      </c>
      <c r="C32063">
        <v>54401</v>
      </c>
      <c r="D32063" t="str">
        <f>"54401"</f>
        <v>54401</v>
      </c>
      <c r="E32063">
        <v>74.540000000000006</v>
      </c>
    </row>
    <row r="32064" spans="1:5" x14ac:dyDescent="0.2">
      <c r="A32064">
        <v>54403</v>
      </c>
      <c r="B32064" t="s">
        <v>55</v>
      </c>
      <c r="C32064">
        <v>54403</v>
      </c>
      <c r="D32064" t="str">
        <f>"54403"</f>
        <v>54403</v>
      </c>
      <c r="E32064">
        <v>72.88</v>
      </c>
    </row>
    <row r="32065" spans="1:5" x14ac:dyDescent="0.2">
      <c r="A32065">
        <v>54405</v>
      </c>
      <c r="B32065" t="s">
        <v>55</v>
      </c>
      <c r="C32065">
        <v>54405</v>
      </c>
      <c r="D32065" t="str">
        <f>"54405"</f>
        <v>54405</v>
      </c>
      <c r="E32065">
        <v>66.430000000000007</v>
      </c>
    </row>
    <row r="32066" spans="1:5" x14ac:dyDescent="0.2">
      <c r="A32066">
        <v>54406</v>
      </c>
      <c r="B32066" t="s">
        <v>55</v>
      </c>
      <c r="C32066">
        <v>54406</v>
      </c>
      <c r="D32066" t="str">
        <f>"54406"</f>
        <v>54406</v>
      </c>
      <c r="E32066">
        <v>75.14</v>
      </c>
    </row>
    <row r="32067" spans="1:5" x14ac:dyDescent="0.2">
      <c r="A32067">
        <v>54407</v>
      </c>
      <c r="B32067" t="s">
        <v>55</v>
      </c>
      <c r="C32067">
        <v>54407</v>
      </c>
      <c r="D32067" t="str">
        <f>"54407"</f>
        <v>54407</v>
      </c>
      <c r="E32067">
        <v>78.75</v>
      </c>
    </row>
    <row r="32068" spans="1:5" x14ac:dyDescent="0.2">
      <c r="A32068">
        <v>54408</v>
      </c>
      <c r="B32068" t="s">
        <v>55</v>
      </c>
      <c r="C32068">
        <v>54408</v>
      </c>
      <c r="D32068" t="str">
        <f>"54408"</f>
        <v>54408</v>
      </c>
      <c r="E32068">
        <v>72</v>
      </c>
    </row>
    <row r="32069" spans="1:5" x14ac:dyDescent="0.2">
      <c r="A32069">
        <v>54409</v>
      </c>
      <c r="B32069" t="s">
        <v>55</v>
      </c>
      <c r="C32069">
        <v>54409</v>
      </c>
      <c r="D32069" t="str">
        <f>"54409"</f>
        <v>54409</v>
      </c>
      <c r="E32069">
        <v>68.44</v>
      </c>
    </row>
    <row r="32070" spans="1:5" x14ac:dyDescent="0.2">
      <c r="A32070">
        <v>54410</v>
      </c>
      <c r="B32070" t="s">
        <v>55</v>
      </c>
      <c r="C32070">
        <v>54410</v>
      </c>
      <c r="D32070" t="str">
        <f>"54410"</f>
        <v>54410</v>
      </c>
      <c r="E32070">
        <v>77.08</v>
      </c>
    </row>
    <row r="32071" spans="1:5" x14ac:dyDescent="0.2">
      <c r="A32071">
        <v>54411</v>
      </c>
      <c r="B32071" t="s">
        <v>55</v>
      </c>
      <c r="C32071">
        <v>54411</v>
      </c>
      <c r="D32071" t="str">
        <f>"54411"</f>
        <v>54411</v>
      </c>
      <c r="E32071">
        <v>73.680000000000007</v>
      </c>
    </row>
    <row r="32072" spans="1:5" x14ac:dyDescent="0.2">
      <c r="A32072">
        <v>54412</v>
      </c>
      <c r="B32072" t="s">
        <v>55</v>
      </c>
      <c r="C32072">
        <v>54412</v>
      </c>
      <c r="D32072" t="str">
        <f>"54412"</f>
        <v>54412</v>
      </c>
      <c r="E32072">
        <v>78</v>
      </c>
    </row>
    <row r="32073" spans="1:5" x14ac:dyDescent="0.2">
      <c r="A32073">
        <v>54413</v>
      </c>
      <c r="B32073" t="s">
        <v>55</v>
      </c>
      <c r="C32073">
        <v>54413</v>
      </c>
      <c r="D32073" t="str">
        <f>"54413"</f>
        <v>54413</v>
      </c>
      <c r="E32073" t="s">
        <v>6</v>
      </c>
    </row>
    <row r="32074" spans="1:5" x14ac:dyDescent="0.2">
      <c r="A32074">
        <v>54414</v>
      </c>
      <c r="B32074" t="s">
        <v>55</v>
      </c>
      <c r="C32074">
        <v>54414</v>
      </c>
      <c r="D32074" t="str">
        <f>"54414"</f>
        <v>54414</v>
      </c>
      <c r="E32074">
        <v>74.03</v>
      </c>
    </row>
    <row r="32075" spans="1:5" x14ac:dyDescent="0.2">
      <c r="A32075">
        <v>54416</v>
      </c>
      <c r="B32075" t="s">
        <v>55</v>
      </c>
      <c r="C32075">
        <v>54416</v>
      </c>
      <c r="D32075" t="str">
        <f>"54416"</f>
        <v>54416</v>
      </c>
      <c r="E32075">
        <v>67.12</v>
      </c>
    </row>
    <row r="32076" spans="1:5" x14ac:dyDescent="0.2">
      <c r="A32076">
        <v>54417</v>
      </c>
      <c r="B32076" t="s">
        <v>55</v>
      </c>
      <c r="C32076">
        <v>54417</v>
      </c>
      <c r="D32076" t="str">
        <f>"54417"</f>
        <v>54417</v>
      </c>
      <c r="E32076" t="s">
        <v>6</v>
      </c>
    </row>
    <row r="32077" spans="1:5" x14ac:dyDescent="0.2">
      <c r="A32077">
        <v>54418</v>
      </c>
      <c r="B32077" t="s">
        <v>55</v>
      </c>
      <c r="C32077">
        <v>54418</v>
      </c>
      <c r="D32077" t="str">
        <f>"54418"</f>
        <v>54418</v>
      </c>
      <c r="E32077">
        <v>77.55</v>
      </c>
    </row>
    <row r="32078" spans="1:5" x14ac:dyDescent="0.2">
      <c r="A32078">
        <v>54420</v>
      </c>
      <c r="B32078" t="s">
        <v>55</v>
      </c>
      <c r="C32078">
        <v>54420</v>
      </c>
      <c r="D32078" t="str">
        <f>"54420"</f>
        <v>54420</v>
      </c>
      <c r="E32078">
        <v>71.19</v>
      </c>
    </row>
    <row r="32079" spans="1:5" x14ac:dyDescent="0.2">
      <c r="A32079">
        <v>54421</v>
      </c>
      <c r="B32079" t="s">
        <v>55</v>
      </c>
      <c r="C32079">
        <v>54421</v>
      </c>
      <c r="D32079" t="str">
        <f>"54421"</f>
        <v>54421</v>
      </c>
      <c r="E32079">
        <v>68.709999999999994</v>
      </c>
    </row>
    <row r="32080" spans="1:5" x14ac:dyDescent="0.2">
      <c r="A32080">
        <v>54422</v>
      </c>
      <c r="B32080" t="s">
        <v>55</v>
      </c>
      <c r="C32080">
        <v>54422</v>
      </c>
      <c r="D32080" t="str">
        <f>"54422"</f>
        <v>54422</v>
      </c>
      <c r="E32080">
        <v>60</v>
      </c>
    </row>
    <row r="32081" spans="1:5" x14ac:dyDescent="0.2">
      <c r="A32081">
        <v>54423</v>
      </c>
      <c r="B32081" t="s">
        <v>55</v>
      </c>
      <c r="C32081">
        <v>54423</v>
      </c>
      <c r="D32081" t="str">
        <f>"54423"</f>
        <v>54423</v>
      </c>
      <c r="E32081">
        <v>81.58</v>
      </c>
    </row>
    <row r="32082" spans="1:5" x14ac:dyDescent="0.2">
      <c r="A32082">
        <v>54424</v>
      </c>
      <c r="B32082" t="s">
        <v>55</v>
      </c>
      <c r="C32082">
        <v>54424</v>
      </c>
      <c r="D32082" t="str">
        <f>"54424"</f>
        <v>54424</v>
      </c>
      <c r="E32082">
        <v>73.08</v>
      </c>
    </row>
    <row r="32083" spans="1:5" x14ac:dyDescent="0.2">
      <c r="A32083">
        <v>54425</v>
      </c>
      <c r="B32083" t="s">
        <v>55</v>
      </c>
      <c r="C32083">
        <v>54425</v>
      </c>
      <c r="D32083" t="str">
        <f>"54425"</f>
        <v>54425</v>
      </c>
      <c r="E32083">
        <v>72.62</v>
      </c>
    </row>
    <row r="32084" spans="1:5" x14ac:dyDescent="0.2">
      <c r="A32084">
        <v>54426</v>
      </c>
      <c r="B32084" t="s">
        <v>55</v>
      </c>
      <c r="C32084">
        <v>54426</v>
      </c>
      <c r="D32084" t="str">
        <f>"54426"</f>
        <v>54426</v>
      </c>
      <c r="E32084">
        <v>75.12</v>
      </c>
    </row>
    <row r="32085" spans="1:5" x14ac:dyDescent="0.2">
      <c r="A32085">
        <v>54427</v>
      </c>
      <c r="B32085" t="s">
        <v>55</v>
      </c>
      <c r="C32085">
        <v>54427</v>
      </c>
      <c r="D32085" t="str">
        <f>"54427"</f>
        <v>54427</v>
      </c>
      <c r="E32085">
        <v>75.510000000000005</v>
      </c>
    </row>
    <row r="32086" spans="1:5" x14ac:dyDescent="0.2">
      <c r="A32086">
        <v>54428</v>
      </c>
      <c r="B32086" t="s">
        <v>55</v>
      </c>
      <c r="C32086">
        <v>54428</v>
      </c>
      <c r="D32086" t="str">
        <f>"54428"</f>
        <v>54428</v>
      </c>
      <c r="E32086">
        <v>70.37</v>
      </c>
    </row>
    <row r="32087" spans="1:5" x14ac:dyDescent="0.2">
      <c r="A32087">
        <v>54430</v>
      </c>
      <c r="B32087" t="s">
        <v>55</v>
      </c>
      <c r="C32087">
        <v>54430</v>
      </c>
      <c r="D32087" t="str">
        <f>"54430"</f>
        <v>54430</v>
      </c>
      <c r="E32087" t="s">
        <v>6</v>
      </c>
    </row>
    <row r="32088" spans="1:5" x14ac:dyDescent="0.2">
      <c r="A32088">
        <v>54433</v>
      </c>
      <c r="B32088" t="s">
        <v>55</v>
      </c>
      <c r="C32088">
        <v>54433</v>
      </c>
      <c r="D32088" t="str">
        <f>"54433"</f>
        <v>54433</v>
      </c>
      <c r="E32088">
        <v>68.92</v>
      </c>
    </row>
    <row r="32089" spans="1:5" x14ac:dyDescent="0.2">
      <c r="A32089">
        <v>54435</v>
      </c>
      <c r="B32089" t="s">
        <v>55</v>
      </c>
      <c r="C32089">
        <v>54435</v>
      </c>
      <c r="D32089" t="str">
        <f>"54435"</f>
        <v>54435</v>
      </c>
      <c r="E32089">
        <v>74.510000000000005</v>
      </c>
    </row>
    <row r="32090" spans="1:5" x14ac:dyDescent="0.2">
      <c r="A32090">
        <v>54436</v>
      </c>
      <c r="B32090" t="s">
        <v>55</v>
      </c>
      <c r="C32090">
        <v>54436</v>
      </c>
      <c r="D32090" t="str">
        <f>"54436"</f>
        <v>54436</v>
      </c>
      <c r="E32090">
        <v>62.2</v>
      </c>
    </row>
    <row r="32091" spans="1:5" x14ac:dyDescent="0.2">
      <c r="A32091">
        <v>54437</v>
      </c>
      <c r="B32091" t="s">
        <v>55</v>
      </c>
      <c r="C32091">
        <v>54437</v>
      </c>
      <c r="D32091" t="str">
        <f>"54437"</f>
        <v>54437</v>
      </c>
      <c r="E32091">
        <v>68.290000000000006</v>
      </c>
    </row>
    <row r="32092" spans="1:5" x14ac:dyDescent="0.2">
      <c r="A32092">
        <v>54440</v>
      </c>
      <c r="B32092" t="s">
        <v>55</v>
      </c>
      <c r="C32092">
        <v>54440</v>
      </c>
      <c r="D32092" t="str">
        <f>"54440"</f>
        <v>54440</v>
      </c>
      <c r="E32092">
        <v>78.150000000000006</v>
      </c>
    </row>
    <row r="32093" spans="1:5" x14ac:dyDescent="0.2">
      <c r="A32093">
        <v>54441</v>
      </c>
      <c r="B32093" t="s">
        <v>55</v>
      </c>
      <c r="C32093">
        <v>54441</v>
      </c>
      <c r="D32093" t="str">
        <f>"54441"</f>
        <v>54441</v>
      </c>
      <c r="E32093">
        <v>80</v>
      </c>
    </row>
    <row r="32094" spans="1:5" x14ac:dyDescent="0.2">
      <c r="A32094">
        <v>54442</v>
      </c>
      <c r="B32094" t="s">
        <v>55</v>
      </c>
      <c r="C32094">
        <v>54442</v>
      </c>
      <c r="D32094" t="str">
        <f>"54442"</f>
        <v>54442</v>
      </c>
      <c r="E32094">
        <v>76.92</v>
      </c>
    </row>
    <row r="32095" spans="1:5" x14ac:dyDescent="0.2">
      <c r="A32095">
        <v>54443</v>
      </c>
      <c r="B32095" t="s">
        <v>55</v>
      </c>
      <c r="C32095">
        <v>54443</v>
      </c>
      <c r="D32095" t="str">
        <f>"54443"</f>
        <v>54443</v>
      </c>
      <c r="E32095">
        <v>77.06</v>
      </c>
    </row>
    <row r="32096" spans="1:5" x14ac:dyDescent="0.2">
      <c r="A32096">
        <v>54446</v>
      </c>
      <c r="B32096" t="s">
        <v>55</v>
      </c>
      <c r="C32096">
        <v>54446</v>
      </c>
      <c r="D32096" t="str">
        <f>"54446"</f>
        <v>54446</v>
      </c>
      <c r="E32096">
        <v>69.599999999999994</v>
      </c>
    </row>
    <row r="32097" spans="1:5" x14ac:dyDescent="0.2">
      <c r="A32097">
        <v>54447</v>
      </c>
      <c r="B32097" t="s">
        <v>55</v>
      </c>
      <c r="C32097">
        <v>54447</v>
      </c>
      <c r="D32097" t="str">
        <f>"54447"</f>
        <v>54447</v>
      </c>
      <c r="E32097">
        <v>72.73</v>
      </c>
    </row>
    <row r="32098" spans="1:5" x14ac:dyDescent="0.2">
      <c r="A32098">
        <v>54448</v>
      </c>
      <c r="B32098" t="s">
        <v>55</v>
      </c>
      <c r="C32098">
        <v>54448</v>
      </c>
      <c r="D32098" t="str">
        <f>"54448"</f>
        <v>54448</v>
      </c>
      <c r="E32098">
        <v>79.900000000000006</v>
      </c>
    </row>
    <row r="32099" spans="1:5" x14ac:dyDescent="0.2">
      <c r="A32099">
        <v>54449</v>
      </c>
      <c r="B32099" t="s">
        <v>55</v>
      </c>
      <c r="C32099">
        <v>54449</v>
      </c>
      <c r="D32099" t="str">
        <f>"54449"</f>
        <v>54449</v>
      </c>
      <c r="E32099">
        <v>75.06</v>
      </c>
    </row>
    <row r="32100" spans="1:5" x14ac:dyDescent="0.2">
      <c r="A32100">
        <v>54450</v>
      </c>
      <c r="B32100" t="s">
        <v>55</v>
      </c>
      <c r="C32100">
        <v>54450</v>
      </c>
      <c r="D32100" t="str">
        <f>"54450"</f>
        <v>54450</v>
      </c>
      <c r="E32100" t="s">
        <v>6</v>
      </c>
    </row>
    <row r="32101" spans="1:5" x14ac:dyDescent="0.2">
      <c r="A32101">
        <v>54451</v>
      </c>
      <c r="B32101" t="s">
        <v>55</v>
      </c>
      <c r="C32101">
        <v>54451</v>
      </c>
      <c r="D32101" t="str">
        <f>"54451"</f>
        <v>54451</v>
      </c>
      <c r="E32101">
        <v>74.09</v>
      </c>
    </row>
    <row r="32102" spans="1:5" x14ac:dyDescent="0.2">
      <c r="A32102">
        <v>54452</v>
      </c>
      <c r="B32102" t="s">
        <v>55</v>
      </c>
      <c r="C32102">
        <v>54452</v>
      </c>
      <c r="D32102" t="str">
        <f>"54452"</f>
        <v>54452</v>
      </c>
      <c r="E32102">
        <v>75.81</v>
      </c>
    </row>
    <row r="32103" spans="1:5" x14ac:dyDescent="0.2">
      <c r="A32103">
        <v>54454</v>
      </c>
      <c r="B32103" t="s">
        <v>55</v>
      </c>
      <c r="C32103">
        <v>54454</v>
      </c>
      <c r="D32103" t="str">
        <f>"54454"</f>
        <v>54454</v>
      </c>
      <c r="E32103">
        <v>75.44</v>
      </c>
    </row>
    <row r="32104" spans="1:5" x14ac:dyDescent="0.2">
      <c r="A32104">
        <v>54455</v>
      </c>
      <c r="B32104" t="s">
        <v>55</v>
      </c>
      <c r="C32104">
        <v>54455</v>
      </c>
      <c r="D32104" t="str">
        <f>"54455"</f>
        <v>54455</v>
      </c>
      <c r="E32104">
        <v>79.12</v>
      </c>
    </row>
    <row r="32105" spans="1:5" x14ac:dyDescent="0.2">
      <c r="A32105">
        <v>54456</v>
      </c>
      <c r="B32105" t="s">
        <v>55</v>
      </c>
      <c r="C32105">
        <v>54456</v>
      </c>
      <c r="D32105" t="str">
        <f>"54456"</f>
        <v>54456</v>
      </c>
      <c r="E32105">
        <v>72.959999999999994</v>
      </c>
    </row>
    <row r="32106" spans="1:5" x14ac:dyDescent="0.2">
      <c r="A32106">
        <v>54457</v>
      </c>
      <c r="B32106" t="s">
        <v>55</v>
      </c>
      <c r="C32106">
        <v>54457</v>
      </c>
      <c r="D32106" t="str">
        <f>"54457"</f>
        <v>54457</v>
      </c>
      <c r="E32106">
        <v>73.260000000000005</v>
      </c>
    </row>
    <row r="32107" spans="1:5" x14ac:dyDescent="0.2">
      <c r="A32107">
        <v>54458</v>
      </c>
      <c r="B32107" t="s">
        <v>55</v>
      </c>
      <c r="C32107">
        <v>54458</v>
      </c>
      <c r="D32107" t="str">
        <f>"54458"</f>
        <v>54458</v>
      </c>
      <c r="E32107" t="s">
        <v>6</v>
      </c>
    </row>
    <row r="32108" spans="1:5" x14ac:dyDescent="0.2">
      <c r="A32108">
        <v>54459</v>
      </c>
      <c r="B32108" t="s">
        <v>55</v>
      </c>
      <c r="C32108">
        <v>54459</v>
      </c>
      <c r="D32108" t="str">
        <f>"54459"</f>
        <v>54459</v>
      </c>
      <c r="E32108">
        <v>67.27</v>
      </c>
    </row>
    <row r="32109" spans="1:5" x14ac:dyDescent="0.2">
      <c r="A32109">
        <v>54460</v>
      </c>
      <c r="B32109" t="s">
        <v>55</v>
      </c>
      <c r="C32109">
        <v>54460</v>
      </c>
      <c r="D32109" t="str">
        <f>"54460"</f>
        <v>54460</v>
      </c>
      <c r="E32109">
        <v>72.22</v>
      </c>
    </row>
    <row r="32110" spans="1:5" x14ac:dyDescent="0.2">
      <c r="A32110">
        <v>54462</v>
      </c>
      <c r="B32110" t="s">
        <v>55</v>
      </c>
      <c r="C32110">
        <v>54462</v>
      </c>
      <c r="D32110" t="str">
        <f>"54462"</f>
        <v>54462</v>
      </c>
      <c r="E32110">
        <v>61.11</v>
      </c>
    </row>
    <row r="32111" spans="1:5" x14ac:dyDescent="0.2">
      <c r="A32111">
        <v>54463</v>
      </c>
      <c r="B32111" t="s">
        <v>55</v>
      </c>
      <c r="C32111">
        <v>54463</v>
      </c>
      <c r="D32111" t="str">
        <f>"54463"</f>
        <v>54463</v>
      </c>
      <c r="E32111">
        <v>75.680000000000007</v>
      </c>
    </row>
    <row r="32112" spans="1:5" x14ac:dyDescent="0.2">
      <c r="A32112">
        <v>54464</v>
      </c>
      <c r="B32112" t="s">
        <v>55</v>
      </c>
      <c r="C32112">
        <v>54464</v>
      </c>
      <c r="D32112" t="str">
        <f>"54464"</f>
        <v>54464</v>
      </c>
      <c r="E32112" t="s">
        <v>6</v>
      </c>
    </row>
    <row r="32113" spans="1:5" x14ac:dyDescent="0.2">
      <c r="A32113">
        <v>54465</v>
      </c>
      <c r="B32113" t="s">
        <v>55</v>
      </c>
      <c r="C32113">
        <v>54465</v>
      </c>
      <c r="D32113" t="str">
        <f>"54465"</f>
        <v>54465</v>
      </c>
      <c r="E32113">
        <v>70</v>
      </c>
    </row>
    <row r="32114" spans="1:5" x14ac:dyDescent="0.2">
      <c r="A32114">
        <v>54466</v>
      </c>
      <c r="B32114" t="s">
        <v>55</v>
      </c>
      <c r="C32114">
        <v>54466</v>
      </c>
      <c r="D32114" t="str">
        <f>"54466"</f>
        <v>54466</v>
      </c>
      <c r="E32114">
        <v>76.150000000000006</v>
      </c>
    </row>
    <row r="32115" spans="1:5" x14ac:dyDescent="0.2">
      <c r="A32115">
        <v>54467</v>
      </c>
      <c r="B32115" t="s">
        <v>55</v>
      </c>
      <c r="C32115">
        <v>54467</v>
      </c>
      <c r="D32115" t="str">
        <f>"54467"</f>
        <v>54467</v>
      </c>
      <c r="E32115">
        <v>76.989999999999995</v>
      </c>
    </row>
    <row r="32116" spans="1:5" x14ac:dyDescent="0.2">
      <c r="A32116">
        <v>54469</v>
      </c>
      <c r="B32116" t="s">
        <v>55</v>
      </c>
      <c r="C32116">
        <v>54469</v>
      </c>
      <c r="D32116" t="str">
        <f>"54469"</f>
        <v>54469</v>
      </c>
      <c r="E32116">
        <v>75</v>
      </c>
    </row>
    <row r="32117" spans="1:5" x14ac:dyDescent="0.2">
      <c r="A32117">
        <v>54470</v>
      </c>
      <c r="B32117" t="s">
        <v>55</v>
      </c>
      <c r="C32117">
        <v>54470</v>
      </c>
      <c r="D32117" t="str">
        <f>"54470"</f>
        <v>54470</v>
      </c>
      <c r="E32117">
        <v>70.59</v>
      </c>
    </row>
    <row r="32118" spans="1:5" x14ac:dyDescent="0.2">
      <c r="A32118">
        <v>54471</v>
      </c>
      <c r="B32118" t="s">
        <v>55</v>
      </c>
      <c r="C32118">
        <v>54471</v>
      </c>
      <c r="D32118" t="str">
        <f>"54471"</f>
        <v>54471</v>
      </c>
      <c r="E32118">
        <v>82.61</v>
      </c>
    </row>
    <row r="32119" spans="1:5" x14ac:dyDescent="0.2">
      <c r="A32119">
        <v>54473</v>
      </c>
      <c r="B32119" t="s">
        <v>55</v>
      </c>
      <c r="C32119">
        <v>54473</v>
      </c>
      <c r="D32119" t="str">
        <f>"54473"</f>
        <v>54473</v>
      </c>
      <c r="E32119">
        <v>76.98</v>
      </c>
    </row>
    <row r="32120" spans="1:5" x14ac:dyDescent="0.2">
      <c r="A32120">
        <v>54474</v>
      </c>
      <c r="B32120" t="s">
        <v>55</v>
      </c>
      <c r="C32120">
        <v>54474</v>
      </c>
      <c r="D32120" t="str">
        <f>"54474"</f>
        <v>54474</v>
      </c>
      <c r="E32120">
        <v>75.45</v>
      </c>
    </row>
    <row r="32121" spans="1:5" x14ac:dyDescent="0.2">
      <c r="A32121">
        <v>54475</v>
      </c>
      <c r="B32121" t="s">
        <v>55</v>
      </c>
      <c r="C32121">
        <v>54475</v>
      </c>
      <c r="D32121" t="str">
        <f>"54475"</f>
        <v>54475</v>
      </c>
      <c r="E32121">
        <v>76.709999999999994</v>
      </c>
    </row>
    <row r="32122" spans="1:5" x14ac:dyDescent="0.2">
      <c r="A32122">
        <v>54476</v>
      </c>
      <c r="B32122" t="s">
        <v>55</v>
      </c>
      <c r="C32122">
        <v>54476</v>
      </c>
      <c r="D32122" t="str">
        <f>"54476"</f>
        <v>54476</v>
      </c>
      <c r="E32122">
        <v>75.62</v>
      </c>
    </row>
    <row r="32123" spans="1:5" x14ac:dyDescent="0.2">
      <c r="A32123">
        <v>54479</v>
      </c>
      <c r="B32123" t="s">
        <v>55</v>
      </c>
      <c r="C32123">
        <v>54479</v>
      </c>
      <c r="D32123" t="str">
        <f>"54479"</f>
        <v>54479</v>
      </c>
      <c r="E32123">
        <v>74.73</v>
      </c>
    </row>
    <row r="32124" spans="1:5" x14ac:dyDescent="0.2">
      <c r="A32124">
        <v>54480</v>
      </c>
      <c r="B32124" t="s">
        <v>55</v>
      </c>
      <c r="C32124">
        <v>54480</v>
      </c>
      <c r="D32124" t="str">
        <f>"54480"</f>
        <v>54480</v>
      </c>
      <c r="E32124">
        <v>70.180000000000007</v>
      </c>
    </row>
    <row r="32125" spans="1:5" x14ac:dyDescent="0.2">
      <c r="A32125">
        <v>54481</v>
      </c>
      <c r="B32125" t="s">
        <v>55</v>
      </c>
      <c r="C32125">
        <v>54481</v>
      </c>
      <c r="D32125" t="str">
        <f>"54481"</f>
        <v>54481</v>
      </c>
      <c r="E32125">
        <v>73.66</v>
      </c>
    </row>
    <row r="32126" spans="1:5" x14ac:dyDescent="0.2">
      <c r="A32126">
        <v>54482</v>
      </c>
      <c r="B32126" t="s">
        <v>55</v>
      </c>
      <c r="C32126">
        <v>54482</v>
      </c>
      <c r="D32126" t="str">
        <f>"54482"</f>
        <v>54482</v>
      </c>
      <c r="E32126">
        <v>78.739999999999995</v>
      </c>
    </row>
    <row r="32127" spans="1:5" x14ac:dyDescent="0.2">
      <c r="A32127">
        <v>54484</v>
      </c>
      <c r="B32127" t="s">
        <v>55</v>
      </c>
      <c r="C32127">
        <v>54484</v>
      </c>
      <c r="D32127" t="str">
        <f>"54484"</f>
        <v>54484</v>
      </c>
      <c r="E32127">
        <v>77.25</v>
      </c>
    </row>
    <row r="32128" spans="1:5" x14ac:dyDescent="0.2">
      <c r="A32128">
        <v>54485</v>
      </c>
      <c r="B32128" t="s">
        <v>55</v>
      </c>
      <c r="C32128">
        <v>54485</v>
      </c>
      <c r="D32128" t="str">
        <f>"54485"</f>
        <v>54485</v>
      </c>
      <c r="E32128">
        <v>68.42</v>
      </c>
    </row>
    <row r="32129" spans="1:5" x14ac:dyDescent="0.2">
      <c r="A32129">
        <v>54486</v>
      </c>
      <c r="B32129" t="s">
        <v>55</v>
      </c>
      <c r="C32129">
        <v>54486</v>
      </c>
      <c r="D32129" t="str">
        <f>"54486"</f>
        <v>54486</v>
      </c>
      <c r="E32129">
        <v>71.56</v>
      </c>
    </row>
    <row r="32130" spans="1:5" x14ac:dyDescent="0.2">
      <c r="A32130">
        <v>54487</v>
      </c>
      <c r="B32130" t="s">
        <v>55</v>
      </c>
      <c r="C32130">
        <v>54487</v>
      </c>
      <c r="D32130" t="str">
        <f>"54487"</f>
        <v>54487</v>
      </c>
      <c r="E32130">
        <v>75.92</v>
      </c>
    </row>
    <row r="32131" spans="1:5" x14ac:dyDescent="0.2">
      <c r="A32131">
        <v>54488</v>
      </c>
      <c r="B32131" t="s">
        <v>55</v>
      </c>
      <c r="C32131">
        <v>54488</v>
      </c>
      <c r="D32131" t="str">
        <f>"54488"</f>
        <v>54488</v>
      </c>
      <c r="E32131">
        <v>67.86</v>
      </c>
    </row>
    <row r="32132" spans="1:5" x14ac:dyDescent="0.2">
      <c r="A32132">
        <v>54489</v>
      </c>
      <c r="B32132" t="s">
        <v>55</v>
      </c>
      <c r="C32132">
        <v>54489</v>
      </c>
      <c r="D32132" t="str">
        <f>"54489"</f>
        <v>54489</v>
      </c>
      <c r="E32132">
        <v>76.39</v>
      </c>
    </row>
    <row r="32133" spans="1:5" x14ac:dyDescent="0.2">
      <c r="A32133">
        <v>54490</v>
      </c>
      <c r="B32133" t="s">
        <v>55</v>
      </c>
      <c r="C32133">
        <v>54490</v>
      </c>
      <c r="D32133" t="str">
        <f>"54490"</f>
        <v>54490</v>
      </c>
      <c r="E32133">
        <v>75</v>
      </c>
    </row>
    <row r="32134" spans="1:5" x14ac:dyDescent="0.2">
      <c r="A32134">
        <v>54491</v>
      </c>
      <c r="B32134" t="s">
        <v>55</v>
      </c>
      <c r="C32134">
        <v>54491</v>
      </c>
      <c r="D32134" t="str">
        <f>"54491"</f>
        <v>54491</v>
      </c>
      <c r="E32134">
        <v>72.86</v>
      </c>
    </row>
    <row r="32135" spans="1:5" x14ac:dyDescent="0.2">
      <c r="A32135">
        <v>54493</v>
      </c>
      <c r="B32135" t="s">
        <v>55</v>
      </c>
      <c r="C32135">
        <v>54493</v>
      </c>
      <c r="D32135" t="str">
        <f>"54493"</f>
        <v>54493</v>
      </c>
      <c r="E32135">
        <v>70.97</v>
      </c>
    </row>
    <row r="32136" spans="1:5" x14ac:dyDescent="0.2">
      <c r="A32136">
        <v>54494</v>
      </c>
      <c r="B32136" t="s">
        <v>55</v>
      </c>
      <c r="C32136">
        <v>54494</v>
      </c>
      <c r="D32136" t="str">
        <f>"54494"</f>
        <v>54494</v>
      </c>
      <c r="E32136">
        <v>73.81</v>
      </c>
    </row>
    <row r="32137" spans="1:5" x14ac:dyDescent="0.2">
      <c r="A32137">
        <v>54495</v>
      </c>
      <c r="B32137" t="s">
        <v>55</v>
      </c>
      <c r="C32137">
        <v>54495</v>
      </c>
      <c r="D32137" t="str">
        <f>"54495"</f>
        <v>54495</v>
      </c>
      <c r="E32137">
        <v>67.36</v>
      </c>
    </row>
    <row r="32138" spans="1:5" x14ac:dyDescent="0.2">
      <c r="A32138">
        <v>54498</v>
      </c>
      <c r="B32138" t="s">
        <v>55</v>
      </c>
      <c r="C32138">
        <v>54498</v>
      </c>
      <c r="D32138" t="str">
        <f>"54498"</f>
        <v>54498</v>
      </c>
      <c r="E32138">
        <v>69.23</v>
      </c>
    </row>
    <row r="32139" spans="1:5" x14ac:dyDescent="0.2">
      <c r="A32139">
        <v>54499</v>
      </c>
      <c r="B32139" t="s">
        <v>55</v>
      </c>
      <c r="C32139">
        <v>54499</v>
      </c>
      <c r="D32139" t="str">
        <f>"54499"</f>
        <v>54499</v>
      </c>
      <c r="E32139">
        <v>72.459999999999994</v>
      </c>
    </row>
    <row r="32140" spans="1:5" x14ac:dyDescent="0.2">
      <c r="A32140">
        <v>54501</v>
      </c>
      <c r="B32140" t="s">
        <v>55</v>
      </c>
      <c r="C32140">
        <v>54501</v>
      </c>
      <c r="D32140" t="str">
        <f>"54501"</f>
        <v>54501</v>
      </c>
      <c r="E32140">
        <v>74.17</v>
      </c>
    </row>
    <row r="32141" spans="1:5" x14ac:dyDescent="0.2">
      <c r="A32141">
        <v>54511</v>
      </c>
      <c r="B32141" t="s">
        <v>55</v>
      </c>
      <c r="C32141">
        <v>54511</v>
      </c>
      <c r="D32141" t="str">
        <f>"54511"</f>
        <v>54511</v>
      </c>
      <c r="E32141">
        <v>68.849999999999994</v>
      </c>
    </row>
    <row r="32142" spans="1:5" x14ac:dyDescent="0.2">
      <c r="A32142">
        <v>54512</v>
      </c>
      <c r="B32142" t="s">
        <v>55</v>
      </c>
      <c r="C32142">
        <v>54512</v>
      </c>
      <c r="D32142" t="str">
        <f>"54512"</f>
        <v>54512</v>
      </c>
      <c r="E32142">
        <v>75.41</v>
      </c>
    </row>
    <row r="32143" spans="1:5" x14ac:dyDescent="0.2">
      <c r="A32143">
        <v>54513</v>
      </c>
      <c r="B32143" t="s">
        <v>55</v>
      </c>
      <c r="C32143">
        <v>54513</v>
      </c>
      <c r="D32143" t="str">
        <f>"54513"</f>
        <v>54513</v>
      </c>
      <c r="E32143">
        <v>72.22</v>
      </c>
    </row>
    <row r="32144" spans="1:5" x14ac:dyDescent="0.2">
      <c r="A32144">
        <v>54514</v>
      </c>
      <c r="B32144" t="s">
        <v>55</v>
      </c>
      <c r="C32144">
        <v>54514</v>
      </c>
      <c r="D32144" t="str">
        <f>"54514"</f>
        <v>54514</v>
      </c>
      <c r="E32144">
        <v>72.5</v>
      </c>
    </row>
    <row r="32145" spans="1:5" x14ac:dyDescent="0.2">
      <c r="A32145">
        <v>54515</v>
      </c>
      <c r="B32145" t="s">
        <v>55</v>
      </c>
      <c r="C32145">
        <v>54515</v>
      </c>
      <c r="D32145" t="str">
        <f>"54515"</f>
        <v>54515</v>
      </c>
      <c r="E32145">
        <v>74.069999999999993</v>
      </c>
    </row>
    <row r="32146" spans="1:5" x14ac:dyDescent="0.2">
      <c r="A32146">
        <v>54517</v>
      </c>
      <c r="B32146" t="s">
        <v>55</v>
      </c>
      <c r="C32146">
        <v>54517</v>
      </c>
      <c r="D32146" t="str">
        <f>"54517"</f>
        <v>54517</v>
      </c>
      <c r="E32146" t="s">
        <v>6</v>
      </c>
    </row>
    <row r="32147" spans="1:5" x14ac:dyDescent="0.2">
      <c r="A32147">
        <v>54519</v>
      </c>
      <c r="B32147" t="s">
        <v>55</v>
      </c>
      <c r="C32147">
        <v>54519</v>
      </c>
      <c r="D32147" t="str">
        <f>"54519"</f>
        <v>54519</v>
      </c>
      <c r="E32147">
        <v>70</v>
      </c>
    </row>
    <row r="32148" spans="1:5" x14ac:dyDescent="0.2">
      <c r="A32148">
        <v>54520</v>
      </c>
      <c r="B32148" t="s">
        <v>55</v>
      </c>
      <c r="C32148">
        <v>54520</v>
      </c>
      <c r="D32148" t="str">
        <f>"54520"</f>
        <v>54520</v>
      </c>
      <c r="E32148">
        <v>70</v>
      </c>
    </row>
    <row r="32149" spans="1:5" x14ac:dyDescent="0.2">
      <c r="A32149">
        <v>54521</v>
      </c>
      <c r="B32149" t="s">
        <v>55</v>
      </c>
      <c r="C32149">
        <v>54521</v>
      </c>
      <c r="D32149" t="str">
        <f>"54521"</f>
        <v>54521</v>
      </c>
      <c r="E32149">
        <v>71.17</v>
      </c>
    </row>
    <row r="32150" spans="1:5" x14ac:dyDescent="0.2">
      <c r="A32150">
        <v>54524</v>
      </c>
      <c r="B32150" t="s">
        <v>55</v>
      </c>
      <c r="C32150">
        <v>54524</v>
      </c>
      <c r="D32150" t="str">
        <f>"54524"</f>
        <v>54524</v>
      </c>
      <c r="E32150">
        <v>73.53</v>
      </c>
    </row>
    <row r="32151" spans="1:5" x14ac:dyDescent="0.2">
      <c r="A32151">
        <v>54525</v>
      </c>
      <c r="B32151" t="s">
        <v>55</v>
      </c>
      <c r="C32151">
        <v>54525</v>
      </c>
      <c r="D32151" t="str">
        <f>"54525"</f>
        <v>54525</v>
      </c>
      <c r="E32151">
        <v>58.33</v>
      </c>
    </row>
    <row r="32152" spans="1:5" x14ac:dyDescent="0.2">
      <c r="A32152">
        <v>54526</v>
      </c>
      <c r="B32152" t="s">
        <v>55</v>
      </c>
      <c r="C32152">
        <v>54526</v>
      </c>
      <c r="D32152" t="str">
        <f>"54526"</f>
        <v>54526</v>
      </c>
      <c r="E32152">
        <v>63.89</v>
      </c>
    </row>
    <row r="32153" spans="1:5" x14ac:dyDescent="0.2">
      <c r="A32153">
        <v>54527</v>
      </c>
      <c r="B32153" t="s">
        <v>55</v>
      </c>
      <c r="C32153">
        <v>54527</v>
      </c>
      <c r="D32153" t="str">
        <f>"54527"</f>
        <v>54527</v>
      </c>
      <c r="E32153">
        <v>65.91</v>
      </c>
    </row>
    <row r="32154" spans="1:5" x14ac:dyDescent="0.2">
      <c r="A32154">
        <v>54529</v>
      </c>
      <c r="B32154" t="s">
        <v>55</v>
      </c>
      <c r="C32154">
        <v>54529</v>
      </c>
      <c r="D32154" t="str">
        <f>"54529"</f>
        <v>54529</v>
      </c>
      <c r="E32154">
        <v>78.180000000000007</v>
      </c>
    </row>
    <row r="32155" spans="1:5" x14ac:dyDescent="0.2">
      <c r="A32155">
        <v>54530</v>
      </c>
      <c r="B32155" t="s">
        <v>55</v>
      </c>
      <c r="C32155">
        <v>54530</v>
      </c>
      <c r="D32155" t="str">
        <f>"54530"</f>
        <v>54530</v>
      </c>
      <c r="E32155">
        <v>66.67</v>
      </c>
    </row>
    <row r="32156" spans="1:5" x14ac:dyDescent="0.2">
      <c r="A32156">
        <v>54531</v>
      </c>
      <c r="B32156" t="s">
        <v>55</v>
      </c>
      <c r="C32156">
        <v>54531</v>
      </c>
      <c r="D32156" t="str">
        <f>"54531"</f>
        <v>54531</v>
      </c>
      <c r="E32156">
        <v>72.73</v>
      </c>
    </row>
    <row r="32157" spans="1:5" x14ac:dyDescent="0.2">
      <c r="A32157">
        <v>54534</v>
      </c>
      <c r="B32157" t="s">
        <v>55</v>
      </c>
      <c r="C32157">
        <v>54534</v>
      </c>
      <c r="D32157" t="str">
        <f>"54534"</f>
        <v>54534</v>
      </c>
      <c r="E32157">
        <v>70.73</v>
      </c>
    </row>
    <row r="32158" spans="1:5" x14ac:dyDescent="0.2">
      <c r="A32158">
        <v>54536</v>
      </c>
      <c r="B32158" t="s">
        <v>55</v>
      </c>
      <c r="C32158">
        <v>54536</v>
      </c>
      <c r="D32158" t="str">
        <f>"54536"</f>
        <v>54536</v>
      </c>
      <c r="E32158" t="s">
        <v>6</v>
      </c>
    </row>
    <row r="32159" spans="1:5" x14ac:dyDescent="0.2">
      <c r="A32159">
        <v>54537</v>
      </c>
      <c r="B32159" t="s">
        <v>55</v>
      </c>
      <c r="C32159">
        <v>54537</v>
      </c>
      <c r="D32159" t="str">
        <f>"54537"</f>
        <v>54537</v>
      </c>
      <c r="E32159">
        <v>69.569999999999993</v>
      </c>
    </row>
    <row r="32160" spans="1:5" x14ac:dyDescent="0.2">
      <c r="A32160">
        <v>54538</v>
      </c>
      <c r="B32160" t="s">
        <v>55</v>
      </c>
      <c r="C32160">
        <v>54538</v>
      </c>
      <c r="D32160" t="str">
        <f>"54538"</f>
        <v>54538</v>
      </c>
      <c r="E32160">
        <v>63.08</v>
      </c>
    </row>
    <row r="32161" spans="1:5" x14ac:dyDescent="0.2">
      <c r="A32161">
        <v>54539</v>
      </c>
      <c r="B32161" t="s">
        <v>55</v>
      </c>
      <c r="C32161">
        <v>54539</v>
      </c>
      <c r="D32161" t="str">
        <f>"54539"</f>
        <v>54539</v>
      </c>
      <c r="E32161">
        <v>74.290000000000006</v>
      </c>
    </row>
    <row r="32162" spans="1:5" x14ac:dyDescent="0.2">
      <c r="A32162">
        <v>54540</v>
      </c>
      <c r="B32162" t="s">
        <v>55</v>
      </c>
      <c r="C32162">
        <v>54540</v>
      </c>
      <c r="D32162" t="str">
        <f>"54540"</f>
        <v>54540</v>
      </c>
      <c r="E32162">
        <v>67.739999999999995</v>
      </c>
    </row>
    <row r="32163" spans="1:5" x14ac:dyDescent="0.2">
      <c r="A32163">
        <v>54541</v>
      </c>
      <c r="B32163" t="s">
        <v>55</v>
      </c>
      <c r="C32163">
        <v>54541</v>
      </c>
      <c r="D32163" t="str">
        <f>"54541"</f>
        <v>54541</v>
      </c>
      <c r="E32163">
        <v>67.739999999999995</v>
      </c>
    </row>
    <row r="32164" spans="1:5" x14ac:dyDescent="0.2">
      <c r="A32164">
        <v>54542</v>
      </c>
      <c r="B32164" t="s">
        <v>55</v>
      </c>
      <c r="C32164">
        <v>54542</v>
      </c>
      <c r="D32164" t="str">
        <f>"54542"</f>
        <v>54542</v>
      </c>
      <c r="E32164">
        <v>63.64</v>
      </c>
    </row>
    <row r="32165" spans="1:5" x14ac:dyDescent="0.2">
      <c r="A32165">
        <v>54545</v>
      </c>
      <c r="B32165" t="s">
        <v>55</v>
      </c>
      <c r="C32165">
        <v>54545</v>
      </c>
      <c r="D32165" t="str">
        <f>"54545"</f>
        <v>54545</v>
      </c>
      <c r="E32165">
        <v>78</v>
      </c>
    </row>
    <row r="32166" spans="1:5" x14ac:dyDescent="0.2">
      <c r="A32166">
        <v>54546</v>
      </c>
      <c r="B32166" t="s">
        <v>55</v>
      </c>
      <c r="C32166">
        <v>54546</v>
      </c>
      <c r="D32166" t="str">
        <f>"54546"</f>
        <v>54546</v>
      </c>
      <c r="E32166">
        <v>70.69</v>
      </c>
    </row>
    <row r="32167" spans="1:5" x14ac:dyDescent="0.2">
      <c r="A32167">
        <v>54547</v>
      </c>
      <c r="B32167" t="s">
        <v>55</v>
      </c>
      <c r="C32167">
        <v>54547</v>
      </c>
      <c r="D32167" t="str">
        <f>"54547"</f>
        <v>54547</v>
      </c>
      <c r="E32167">
        <v>67.53</v>
      </c>
    </row>
    <row r="32168" spans="1:5" x14ac:dyDescent="0.2">
      <c r="A32168">
        <v>54548</v>
      </c>
      <c r="B32168" t="s">
        <v>55</v>
      </c>
      <c r="C32168">
        <v>54548</v>
      </c>
      <c r="D32168" t="str">
        <f>"54548"</f>
        <v>54548</v>
      </c>
      <c r="E32168">
        <v>74.91</v>
      </c>
    </row>
    <row r="32169" spans="1:5" x14ac:dyDescent="0.2">
      <c r="A32169">
        <v>54550</v>
      </c>
      <c r="B32169" t="s">
        <v>55</v>
      </c>
      <c r="C32169">
        <v>54550</v>
      </c>
      <c r="D32169" t="str">
        <f>"54550"</f>
        <v>54550</v>
      </c>
      <c r="E32169">
        <v>75</v>
      </c>
    </row>
    <row r="32170" spans="1:5" x14ac:dyDescent="0.2">
      <c r="A32170">
        <v>54552</v>
      </c>
      <c r="B32170" t="s">
        <v>55</v>
      </c>
      <c r="C32170">
        <v>54552</v>
      </c>
      <c r="D32170" t="str">
        <f>"54552"</f>
        <v>54552</v>
      </c>
      <c r="E32170">
        <v>70.27</v>
      </c>
    </row>
    <row r="32171" spans="1:5" x14ac:dyDescent="0.2">
      <c r="A32171">
        <v>54554</v>
      </c>
      <c r="B32171" t="s">
        <v>55</v>
      </c>
      <c r="C32171">
        <v>54554</v>
      </c>
      <c r="D32171" t="str">
        <f>"54554"</f>
        <v>54554</v>
      </c>
      <c r="E32171">
        <v>69.81</v>
      </c>
    </row>
    <row r="32172" spans="1:5" x14ac:dyDescent="0.2">
      <c r="A32172">
        <v>54555</v>
      </c>
      <c r="B32172" t="s">
        <v>55</v>
      </c>
      <c r="C32172">
        <v>54555</v>
      </c>
      <c r="D32172" t="str">
        <f>"54555"</f>
        <v>54555</v>
      </c>
      <c r="E32172">
        <v>72.08</v>
      </c>
    </row>
    <row r="32173" spans="1:5" x14ac:dyDescent="0.2">
      <c r="A32173">
        <v>54556</v>
      </c>
      <c r="B32173" t="s">
        <v>55</v>
      </c>
      <c r="C32173">
        <v>54556</v>
      </c>
      <c r="D32173" t="str">
        <f>"54556"</f>
        <v>54556</v>
      </c>
      <c r="E32173">
        <v>71.430000000000007</v>
      </c>
    </row>
    <row r="32174" spans="1:5" x14ac:dyDescent="0.2">
      <c r="A32174">
        <v>54557</v>
      </c>
      <c r="B32174" t="s">
        <v>55</v>
      </c>
      <c r="C32174">
        <v>54557</v>
      </c>
      <c r="D32174" t="str">
        <f>"54557"</f>
        <v>54557</v>
      </c>
      <c r="E32174">
        <v>76.739999999999995</v>
      </c>
    </row>
    <row r="32175" spans="1:5" x14ac:dyDescent="0.2">
      <c r="A32175">
        <v>54558</v>
      </c>
      <c r="B32175" t="s">
        <v>55</v>
      </c>
      <c r="C32175">
        <v>54558</v>
      </c>
      <c r="D32175" t="str">
        <f>"54558"</f>
        <v>54558</v>
      </c>
      <c r="E32175">
        <v>74.36</v>
      </c>
    </row>
    <row r="32176" spans="1:5" x14ac:dyDescent="0.2">
      <c r="A32176">
        <v>54559</v>
      </c>
      <c r="B32176" t="s">
        <v>55</v>
      </c>
      <c r="C32176">
        <v>54559</v>
      </c>
      <c r="D32176" t="str">
        <f>"54559"</f>
        <v>54559</v>
      </c>
      <c r="E32176">
        <v>75</v>
      </c>
    </row>
    <row r="32177" spans="1:5" x14ac:dyDescent="0.2">
      <c r="A32177">
        <v>54560</v>
      </c>
      <c r="B32177" t="s">
        <v>55</v>
      </c>
      <c r="C32177">
        <v>54560</v>
      </c>
      <c r="D32177" t="str">
        <f>"54560"</f>
        <v>54560</v>
      </c>
      <c r="E32177">
        <v>73.53</v>
      </c>
    </row>
    <row r="32178" spans="1:5" x14ac:dyDescent="0.2">
      <c r="A32178">
        <v>54561</v>
      </c>
      <c r="B32178" t="s">
        <v>55</v>
      </c>
      <c r="C32178">
        <v>54561</v>
      </c>
      <c r="D32178" t="str">
        <f>"54561"</f>
        <v>54561</v>
      </c>
      <c r="E32178" t="s">
        <v>6</v>
      </c>
    </row>
    <row r="32179" spans="1:5" x14ac:dyDescent="0.2">
      <c r="A32179">
        <v>54562</v>
      </c>
      <c r="B32179" t="s">
        <v>55</v>
      </c>
      <c r="C32179">
        <v>54562</v>
      </c>
      <c r="D32179" t="str">
        <f>"54562"</f>
        <v>54562</v>
      </c>
      <c r="E32179">
        <v>71.7</v>
      </c>
    </row>
    <row r="32180" spans="1:5" x14ac:dyDescent="0.2">
      <c r="A32180">
        <v>54563</v>
      </c>
      <c r="B32180" t="s">
        <v>55</v>
      </c>
      <c r="C32180">
        <v>54563</v>
      </c>
      <c r="D32180" t="str">
        <f>"54563"</f>
        <v>54563</v>
      </c>
      <c r="E32180">
        <v>72.73</v>
      </c>
    </row>
    <row r="32181" spans="1:5" x14ac:dyDescent="0.2">
      <c r="A32181">
        <v>54564</v>
      </c>
      <c r="B32181" t="s">
        <v>55</v>
      </c>
      <c r="C32181">
        <v>54564</v>
      </c>
      <c r="D32181" t="str">
        <f>"54564"</f>
        <v>54564</v>
      </c>
      <c r="E32181">
        <v>72.73</v>
      </c>
    </row>
    <row r="32182" spans="1:5" x14ac:dyDescent="0.2">
      <c r="A32182">
        <v>54565</v>
      </c>
      <c r="B32182" t="s">
        <v>55</v>
      </c>
      <c r="C32182">
        <v>54565</v>
      </c>
      <c r="D32182" t="str">
        <f>"54565"</f>
        <v>54565</v>
      </c>
      <c r="E32182" t="s">
        <v>6</v>
      </c>
    </row>
    <row r="32183" spans="1:5" x14ac:dyDescent="0.2">
      <c r="A32183">
        <v>54566</v>
      </c>
      <c r="B32183" t="s">
        <v>55</v>
      </c>
      <c r="C32183">
        <v>54566</v>
      </c>
      <c r="D32183" t="str">
        <f>"54566"</f>
        <v>54566</v>
      </c>
      <c r="E32183">
        <v>73.239999999999995</v>
      </c>
    </row>
    <row r="32184" spans="1:5" x14ac:dyDescent="0.2">
      <c r="A32184">
        <v>54568</v>
      </c>
      <c r="B32184" t="s">
        <v>55</v>
      </c>
      <c r="C32184">
        <v>54568</v>
      </c>
      <c r="D32184" t="str">
        <f>"54568"</f>
        <v>54568</v>
      </c>
      <c r="E32184">
        <v>70.819999999999993</v>
      </c>
    </row>
    <row r="32185" spans="1:5" x14ac:dyDescent="0.2">
      <c r="A32185">
        <v>54601</v>
      </c>
      <c r="B32185" t="s">
        <v>55</v>
      </c>
      <c r="C32185">
        <v>54601</v>
      </c>
      <c r="D32185" t="str">
        <f>"54601"</f>
        <v>54601</v>
      </c>
      <c r="E32185">
        <v>75.89</v>
      </c>
    </row>
    <row r="32186" spans="1:5" x14ac:dyDescent="0.2">
      <c r="A32186">
        <v>54603</v>
      </c>
      <c r="B32186" t="s">
        <v>55</v>
      </c>
      <c r="C32186">
        <v>54603</v>
      </c>
      <c r="D32186" t="str">
        <f>"54603"</f>
        <v>54603</v>
      </c>
      <c r="E32186">
        <v>73.099999999999994</v>
      </c>
    </row>
    <row r="32187" spans="1:5" x14ac:dyDescent="0.2">
      <c r="A32187">
        <v>54610</v>
      </c>
      <c r="B32187" t="s">
        <v>55</v>
      </c>
      <c r="C32187">
        <v>54610</v>
      </c>
      <c r="D32187" t="str">
        <f>"54610"</f>
        <v>54610</v>
      </c>
      <c r="E32187">
        <v>73.33</v>
      </c>
    </row>
    <row r="32188" spans="1:5" x14ac:dyDescent="0.2">
      <c r="A32188">
        <v>54611</v>
      </c>
      <c r="B32188" t="s">
        <v>55</v>
      </c>
      <c r="C32188">
        <v>54611</v>
      </c>
      <c r="D32188" t="str">
        <f>"54611"</f>
        <v>54611</v>
      </c>
      <c r="E32188">
        <v>68.42</v>
      </c>
    </row>
    <row r="32189" spans="1:5" x14ac:dyDescent="0.2">
      <c r="A32189">
        <v>54612</v>
      </c>
      <c r="B32189" t="s">
        <v>55</v>
      </c>
      <c r="C32189">
        <v>54612</v>
      </c>
      <c r="D32189" t="str">
        <f>"54612"</f>
        <v>54612</v>
      </c>
      <c r="E32189">
        <v>64.930000000000007</v>
      </c>
    </row>
    <row r="32190" spans="1:5" x14ac:dyDescent="0.2">
      <c r="A32190">
        <v>54613</v>
      </c>
      <c r="B32190" t="s">
        <v>55</v>
      </c>
      <c r="C32190">
        <v>54613</v>
      </c>
      <c r="D32190" t="str">
        <f>"54613"</f>
        <v>54613</v>
      </c>
      <c r="E32190">
        <v>66.67</v>
      </c>
    </row>
    <row r="32191" spans="1:5" x14ac:dyDescent="0.2">
      <c r="A32191">
        <v>54614</v>
      </c>
      <c r="B32191" t="s">
        <v>55</v>
      </c>
      <c r="C32191">
        <v>54614</v>
      </c>
      <c r="D32191" t="str">
        <f>"54614"</f>
        <v>54614</v>
      </c>
      <c r="E32191">
        <v>76.430000000000007</v>
      </c>
    </row>
    <row r="32192" spans="1:5" x14ac:dyDescent="0.2">
      <c r="A32192">
        <v>54615</v>
      </c>
      <c r="B32192" t="s">
        <v>55</v>
      </c>
      <c r="C32192">
        <v>54615</v>
      </c>
      <c r="D32192" t="str">
        <f>"54615"</f>
        <v>54615</v>
      </c>
      <c r="E32192">
        <v>75.150000000000006</v>
      </c>
    </row>
    <row r="32193" spans="1:5" x14ac:dyDescent="0.2">
      <c r="A32193">
        <v>54616</v>
      </c>
      <c r="B32193" t="s">
        <v>55</v>
      </c>
      <c r="C32193">
        <v>54616</v>
      </c>
      <c r="D32193" t="str">
        <f>"54616"</f>
        <v>54616</v>
      </c>
      <c r="E32193">
        <v>71.05</v>
      </c>
    </row>
    <row r="32194" spans="1:5" x14ac:dyDescent="0.2">
      <c r="A32194">
        <v>54618</v>
      </c>
      <c r="B32194" t="s">
        <v>55</v>
      </c>
      <c r="C32194">
        <v>54618</v>
      </c>
      <c r="D32194" t="str">
        <f>"54618"</f>
        <v>54618</v>
      </c>
      <c r="E32194">
        <v>72.900000000000006</v>
      </c>
    </row>
    <row r="32195" spans="1:5" x14ac:dyDescent="0.2">
      <c r="A32195">
        <v>54619</v>
      </c>
      <c r="B32195" t="s">
        <v>55</v>
      </c>
      <c r="C32195">
        <v>54619</v>
      </c>
      <c r="D32195" t="str">
        <f>"54619"</f>
        <v>54619</v>
      </c>
      <c r="E32195">
        <v>67.11</v>
      </c>
    </row>
    <row r="32196" spans="1:5" x14ac:dyDescent="0.2">
      <c r="A32196">
        <v>54621</v>
      </c>
      <c r="B32196" t="s">
        <v>55</v>
      </c>
      <c r="C32196">
        <v>54621</v>
      </c>
      <c r="D32196" t="str">
        <f>"54621"</f>
        <v>54621</v>
      </c>
      <c r="E32196">
        <v>71.7</v>
      </c>
    </row>
    <row r="32197" spans="1:5" x14ac:dyDescent="0.2">
      <c r="A32197">
        <v>54622</v>
      </c>
      <c r="B32197" t="s">
        <v>55</v>
      </c>
      <c r="C32197">
        <v>54622</v>
      </c>
      <c r="D32197" t="str">
        <f>"54622"</f>
        <v>54622</v>
      </c>
      <c r="E32197">
        <v>76.58</v>
      </c>
    </row>
    <row r="32198" spans="1:5" x14ac:dyDescent="0.2">
      <c r="A32198">
        <v>54623</v>
      </c>
      <c r="B32198" t="s">
        <v>55</v>
      </c>
      <c r="C32198">
        <v>54623</v>
      </c>
      <c r="D32198" t="str">
        <f>"54623"</f>
        <v>54623</v>
      </c>
      <c r="E32198">
        <v>77.66</v>
      </c>
    </row>
    <row r="32199" spans="1:5" x14ac:dyDescent="0.2">
      <c r="A32199">
        <v>54624</v>
      </c>
      <c r="B32199" t="s">
        <v>55</v>
      </c>
      <c r="C32199">
        <v>54624</v>
      </c>
      <c r="D32199" t="str">
        <f>"54624"</f>
        <v>54624</v>
      </c>
      <c r="E32199">
        <v>75</v>
      </c>
    </row>
    <row r="32200" spans="1:5" x14ac:dyDescent="0.2">
      <c r="A32200">
        <v>54625</v>
      </c>
      <c r="B32200" t="s">
        <v>55</v>
      </c>
      <c r="C32200">
        <v>54625</v>
      </c>
      <c r="D32200" t="str">
        <f>"54625"</f>
        <v>54625</v>
      </c>
      <c r="E32200">
        <v>76.92</v>
      </c>
    </row>
    <row r="32201" spans="1:5" x14ac:dyDescent="0.2">
      <c r="A32201">
        <v>54626</v>
      </c>
      <c r="B32201" t="s">
        <v>55</v>
      </c>
      <c r="C32201">
        <v>54626</v>
      </c>
      <c r="D32201" t="str">
        <f>"54626"</f>
        <v>54626</v>
      </c>
      <c r="E32201">
        <v>73.33</v>
      </c>
    </row>
    <row r="32202" spans="1:5" x14ac:dyDescent="0.2">
      <c r="A32202">
        <v>54627</v>
      </c>
      <c r="B32202" t="s">
        <v>55</v>
      </c>
      <c r="C32202">
        <v>54627</v>
      </c>
      <c r="D32202" t="str">
        <f>"54627"</f>
        <v>54627</v>
      </c>
      <c r="E32202">
        <v>77</v>
      </c>
    </row>
    <row r="32203" spans="1:5" x14ac:dyDescent="0.2">
      <c r="A32203">
        <v>54628</v>
      </c>
      <c r="B32203" t="s">
        <v>55</v>
      </c>
      <c r="C32203">
        <v>54628</v>
      </c>
      <c r="D32203" t="str">
        <f>"54628"</f>
        <v>54628</v>
      </c>
      <c r="E32203">
        <v>72.73</v>
      </c>
    </row>
    <row r="32204" spans="1:5" x14ac:dyDescent="0.2">
      <c r="A32204">
        <v>54629</v>
      </c>
      <c r="B32204" t="s">
        <v>55</v>
      </c>
      <c r="C32204">
        <v>54629</v>
      </c>
      <c r="D32204" t="str">
        <f>"54629"</f>
        <v>54629</v>
      </c>
      <c r="E32204">
        <v>79.2</v>
      </c>
    </row>
    <row r="32205" spans="1:5" x14ac:dyDescent="0.2">
      <c r="A32205">
        <v>54630</v>
      </c>
      <c r="B32205" t="s">
        <v>55</v>
      </c>
      <c r="C32205">
        <v>54630</v>
      </c>
      <c r="D32205" t="str">
        <f>"54630"</f>
        <v>54630</v>
      </c>
      <c r="E32205">
        <v>77.040000000000006</v>
      </c>
    </row>
    <row r="32206" spans="1:5" x14ac:dyDescent="0.2">
      <c r="A32206">
        <v>54631</v>
      </c>
      <c r="B32206" t="s">
        <v>55</v>
      </c>
      <c r="C32206">
        <v>54631</v>
      </c>
      <c r="D32206" t="str">
        <f>"54631"</f>
        <v>54631</v>
      </c>
      <c r="E32206">
        <v>65</v>
      </c>
    </row>
    <row r="32207" spans="1:5" x14ac:dyDescent="0.2">
      <c r="A32207">
        <v>54632</v>
      </c>
      <c r="B32207" t="s">
        <v>55</v>
      </c>
      <c r="C32207">
        <v>54632</v>
      </c>
      <c r="D32207" t="str">
        <f>"54632"</f>
        <v>54632</v>
      </c>
      <c r="E32207">
        <v>75</v>
      </c>
    </row>
    <row r="32208" spans="1:5" x14ac:dyDescent="0.2">
      <c r="A32208">
        <v>54634</v>
      </c>
      <c r="B32208" t="s">
        <v>55</v>
      </c>
      <c r="C32208">
        <v>54634</v>
      </c>
      <c r="D32208" t="str">
        <f>"54634"</f>
        <v>54634</v>
      </c>
      <c r="E32208">
        <v>64.709999999999994</v>
      </c>
    </row>
    <row r="32209" spans="1:5" x14ac:dyDescent="0.2">
      <c r="A32209">
        <v>54635</v>
      </c>
      <c r="B32209" t="s">
        <v>55</v>
      </c>
      <c r="C32209">
        <v>54635</v>
      </c>
      <c r="D32209" t="str">
        <f>"54635"</f>
        <v>54635</v>
      </c>
      <c r="E32209">
        <v>72.73</v>
      </c>
    </row>
    <row r="32210" spans="1:5" x14ac:dyDescent="0.2">
      <c r="A32210">
        <v>54636</v>
      </c>
      <c r="B32210" t="s">
        <v>55</v>
      </c>
      <c r="C32210">
        <v>54636</v>
      </c>
      <c r="D32210" t="str">
        <f>"54636"</f>
        <v>54636</v>
      </c>
      <c r="E32210">
        <v>79.19</v>
      </c>
    </row>
    <row r="32211" spans="1:5" x14ac:dyDescent="0.2">
      <c r="A32211">
        <v>54637</v>
      </c>
      <c r="B32211" t="s">
        <v>55</v>
      </c>
      <c r="C32211">
        <v>54637</v>
      </c>
      <c r="D32211" t="str">
        <f>"54637"</f>
        <v>54637</v>
      </c>
      <c r="E32211" t="s">
        <v>6</v>
      </c>
    </row>
    <row r="32212" spans="1:5" x14ac:dyDescent="0.2">
      <c r="A32212">
        <v>54638</v>
      </c>
      <c r="B32212" t="s">
        <v>55</v>
      </c>
      <c r="C32212">
        <v>54638</v>
      </c>
      <c r="D32212" t="str">
        <f>"54638"</f>
        <v>54638</v>
      </c>
      <c r="E32212">
        <v>70.42</v>
      </c>
    </row>
    <row r="32213" spans="1:5" x14ac:dyDescent="0.2">
      <c r="A32213">
        <v>54639</v>
      </c>
      <c r="B32213" t="s">
        <v>55</v>
      </c>
      <c r="C32213">
        <v>54639</v>
      </c>
      <c r="D32213" t="str">
        <f>"54639"</f>
        <v>54639</v>
      </c>
      <c r="E32213">
        <v>66.319999999999993</v>
      </c>
    </row>
    <row r="32214" spans="1:5" x14ac:dyDescent="0.2">
      <c r="A32214">
        <v>54641</v>
      </c>
      <c r="B32214" t="s">
        <v>55</v>
      </c>
      <c r="C32214">
        <v>54641</v>
      </c>
      <c r="D32214" t="str">
        <f>"54641"</f>
        <v>54641</v>
      </c>
      <c r="E32214" t="s">
        <v>6</v>
      </c>
    </row>
    <row r="32215" spans="1:5" x14ac:dyDescent="0.2">
      <c r="A32215">
        <v>54642</v>
      </c>
      <c r="B32215" t="s">
        <v>55</v>
      </c>
      <c r="C32215">
        <v>54642</v>
      </c>
      <c r="D32215" t="str">
        <f>"54642"</f>
        <v>54642</v>
      </c>
      <c r="E32215">
        <v>72.92</v>
      </c>
    </row>
    <row r="32216" spans="1:5" x14ac:dyDescent="0.2">
      <c r="A32216">
        <v>54643</v>
      </c>
      <c r="B32216" t="s">
        <v>55</v>
      </c>
      <c r="C32216">
        <v>54643</v>
      </c>
      <c r="D32216" t="str">
        <f>"54643"</f>
        <v>54643</v>
      </c>
      <c r="E32216" t="s">
        <v>6</v>
      </c>
    </row>
    <row r="32217" spans="1:5" x14ac:dyDescent="0.2">
      <c r="A32217">
        <v>54644</v>
      </c>
      <c r="B32217" t="s">
        <v>55</v>
      </c>
      <c r="C32217">
        <v>54644</v>
      </c>
      <c r="D32217" t="str">
        <f>"54644"</f>
        <v>54644</v>
      </c>
      <c r="E32217">
        <v>74.650000000000006</v>
      </c>
    </row>
    <row r="32218" spans="1:5" x14ac:dyDescent="0.2">
      <c r="A32218">
        <v>54646</v>
      </c>
      <c r="B32218" t="s">
        <v>55</v>
      </c>
      <c r="C32218">
        <v>54646</v>
      </c>
      <c r="D32218" t="str">
        <f>"54646"</f>
        <v>54646</v>
      </c>
      <c r="E32218">
        <v>66.849999999999994</v>
      </c>
    </row>
    <row r="32219" spans="1:5" x14ac:dyDescent="0.2">
      <c r="A32219">
        <v>54648</v>
      </c>
      <c r="B32219" t="s">
        <v>55</v>
      </c>
      <c r="C32219">
        <v>54648</v>
      </c>
      <c r="D32219" t="str">
        <f>"54648"</f>
        <v>54648</v>
      </c>
      <c r="E32219">
        <v>67.569999999999993</v>
      </c>
    </row>
    <row r="32220" spans="1:5" x14ac:dyDescent="0.2">
      <c r="A32220">
        <v>54650</v>
      </c>
      <c r="B32220" t="s">
        <v>55</v>
      </c>
      <c r="C32220">
        <v>54650</v>
      </c>
      <c r="D32220" t="str">
        <f>"54650"</f>
        <v>54650</v>
      </c>
      <c r="E32220">
        <v>78.84</v>
      </c>
    </row>
    <row r="32221" spans="1:5" x14ac:dyDescent="0.2">
      <c r="A32221">
        <v>54651</v>
      </c>
      <c r="B32221" t="s">
        <v>55</v>
      </c>
      <c r="C32221">
        <v>54651</v>
      </c>
      <c r="D32221" t="str">
        <f>"54651"</f>
        <v>54651</v>
      </c>
      <c r="E32221">
        <v>62.75</v>
      </c>
    </row>
    <row r="32222" spans="1:5" x14ac:dyDescent="0.2">
      <c r="A32222">
        <v>54652</v>
      </c>
      <c r="B32222" t="s">
        <v>55</v>
      </c>
      <c r="C32222">
        <v>54652</v>
      </c>
      <c r="D32222" t="str">
        <f>"54652"</f>
        <v>54652</v>
      </c>
      <c r="E32222">
        <v>62.5</v>
      </c>
    </row>
    <row r="32223" spans="1:5" x14ac:dyDescent="0.2">
      <c r="A32223">
        <v>54653</v>
      </c>
      <c r="B32223" t="s">
        <v>55</v>
      </c>
      <c r="C32223">
        <v>54653</v>
      </c>
      <c r="D32223" t="str">
        <f>"54653"</f>
        <v>54653</v>
      </c>
      <c r="E32223">
        <v>72</v>
      </c>
    </row>
    <row r="32224" spans="1:5" x14ac:dyDescent="0.2">
      <c r="A32224">
        <v>54654</v>
      </c>
      <c r="B32224" t="s">
        <v>55</v>
      </c>
      <c r="C32224">
        <v>54654</v>
      </c>
      <c r="D32224" t="str">
        <f>"54654"</f>
        <v>54654</v>
      </c>
      <c r="E32224" t="s">
        <v>6</v>
      </c>
    </row>
    <row r="32225" spans="1:5" x14ac:dyDescent="0.2">
      <c r="A32225">
        <v>54655</v>
      </c>
      <c r="B32225" t="s">
        <v>55</v>
      </c>
      <c r="C32225">
        <v>54655</v>
      </c>
      <c r="D32225" t="str">
        <f>"54655"</f>
        <v>54655</v>
      </c>
      <c r="E32225">
        <v>64.47</v>
      </c>
    </row>
    <row r="32226" spans="1:5" x14ac:dyDescent="0.2">
      <c r="A32226">
        <v>54656</v>
      </c>
      <c r="B32226" t="s">
        <v>55</v>
      </c>
      <c r="C32226">
        <v>54656</v>
      </c>
      <c r="D32226" t="str">
        <f>"54656"</f>
        <v>54656</v>
      </c>
      <c r="E32226">
        <v>73.290000000000006</v>
      </c>
    </row>
    <row r="32227" spans="1:5" x14ac:dyDescent="0.2">
      <c r="A32227">
        <v>54657</v>
      </c>
      <c r="B32227" t="s">
        <v>55</v>
      </c>
      <c r="C32227">
        <v>54657</v>
      </c>
      <c r="D32227" t="str">
        <f>"54657"</f>
        <v>54657</v>
      </c>
      <c r="E32227">
        <v>58.82</v>
      </c>
    </row>
    <row r="32228" spans="1:5" x14ac:dyDescent="0.2">
      <c r="A32228">
        <v>54658</v>
      </c>
      <c r="B32228" t="s">
        <v>55</v>
      </c>
      <c r="C32228">
        <v>54658</v>
      </c>
      <c r="D32228" t="str">
        <f>"54658"</f>
        <v>54658</v>
      </c>
      <c r="E32228">
        <v>79.069999999999993</v>
      </c>
    </row>
    <row r="32229" spans="1:5" x14ac:dyDescent="0.2">
      <c r="A32229">
        <v>54659</v>
      </c>
      <c r="B32229" t="s">
        <v>55</v>
      </c>
      <c r="C32229">
        <v>54659</v>
      </c>
      <c r="D32229" t="str">
        <f>"54659"</f>
        <v>54659</v>
      </c>
      <c r="E32229">
        <v>73.08</v>
      </c>
    </row>
    <row r="32230" spans="1:5" x14ac:dyDescent="0.2">
      <c r="A32230">
        <v>54660</v>
      </c>
      <c r="B32230" t="s">
        <v>55</v>
      </c>
      <c r="C32230">
        <v>54660</v>
      </c>
      <c r="D32230" t="str">
        <f>"54660"</f>
        <v>54660</v>
      </c>
      <c r="E32230">
        <v>74.52</v>
      </c>
    </row>
    <row r="32231" spans="1:5" x14ac:dyDescent="0.2">
      <c r="A32231">
        <v>54661</v>
      </c>
      <c r="B32231" t="s">
        <v>55</v>
      </c>
      <c r="C32231">
        <v>54661</v>
      </c>
      <c r="D32231" t="str">
        <f>"54661"</f>
        <v>54661</v>
      </c>
      <c r="E32231">
        <v>80.75</v>
      </c>
    </row>
    <row r="32232" spans="1:5" x14ac:dyDescent="0.2">
      <c r="A32232">
        <v>54662</v>
      </c>
      <c r="B32232" t="s">
        <v>55</v>
      </c>
      <c r="C32232">
        <v>54662</v>
      </c>
      <c r="D32232" t="str">
        <f>"54662"</f>
        <v>54662</v>
      </c>
      <c r="E32232" t="s">
        <v>6</v>
      </c>
    </row>
    <row r="32233" spans="1:5" x14ac:dyDescent="0.2">
      <c r="A32233">
        <v>54664</v>
      </c>
      <c r="B32233" t="s">
        <v>55</v>
      </c>
      <c r="C32233">
        <v>54664</v>
      </c>
      <c r="D32233" t="str">
        <f>"54664"</f>
        <v>54664</v>
      </c>
      <c r="E32233">
        <v>67.12</v>
      </c>
    </row>
    <row r="32234" spans="1:5" x14ac:dyDescent="0.2">
      <c r="A32234">
        <v>54665</v>
      </c>
      <c r="B32234" t="s">
        <v>55</v>
      </c>
      <c r="C32234">
        <v>54665</v>
      </c>
      <c r="D32234" t="str">
        <f>"54665"</f>
        <v>54665</v>
      </c>
      <c r="E32234">
        <v>69.8</v>
      </c>
    </row>
    <row r="32235" spans="1:5" x14ac:dyDescent="0.2">
      <c r="A32235">
        <v>54666</v>
      </c>
      <c r="B32235" t="s">
        <v>55</v>
      </c>
      <c r="C32235">
        <v>54666</v>
      </c>
      <c r="D32235" t="str">
        <f>"54666"</f>
        <v>54666</v>
      </c>
      <c r="E32235">
        <v>71.77</v>
      </c>
    </row>
    <row r="32236" spans="1:5" x14ac:dyDescent="0.2">
      <c r="A32236">
        <v>54667</v>
      </c>
      <c r="B32236" t="s">
        <v>55</v>
      </c>
      <c r="C32236">
        <v>54667</v>
      </c>
      <c r="D32236" t="str">
        <f>"54667"</f>
        <v>54667</v>
      </c>
      <c r="E32236">
        <v>69.81</v>
      </c>
    </row>
    <row r="32237" spans="1:5" x14ac:dyDescent="0.2">
      <c r="A32237">
        <v>54669</v>
      </c>
      <c r="B32237" t="s">
        <v>55</v>
      </c>
      <c r="C32237">
        <v>54669</v>
      </c>
      <c r="D32237" t="str">
        <f>"54669"</f>
        <v>54669</v>
      </c>
      <c r="E32237">
        <v>77.489999999999995</v>
      </c>
    </row>
    <row r="32238" spans="1:5" x14ac:dyDescent="0.2">
      <c r="A32238">
        <v>54670</v>
      </c>
      <c r="B32238" t="s">
        <v>55</v>
      </c>
      <c r="C32238">
        <v>54670</v>
      </c>
      <c r="D32238" t="str">
        <f>"54670"</f>
        <v>54670</v>
      </c>
      <c r="E32238">
        <v>67.739999999999995</v>
      </c>
    </row>
    <row r="32239" spans="1:5" x14ac:dyDescent="0.2">
      <c r="A32239">
        <v>54701</v>
      </c>
      <c r="B32239" t="s">
        <v>55</v>
      </c>
      <c r="C32239">
        <v>54701</v>
      </c>
      <c r="D32239" t="str">
        <f>"54701"</f>
        <v>54701</v>
      </c>
      <c r="E32239">
        <v>77.19</v>
      </c>
    </row>
    <row r="32240" spans="1:5" x14ac:dyDescent="0.2">
      <c r="A32240">
        <v>54703</v>
      </c>
      <c r="B32240" t="s">
        <v>55</v>
      </c>
      <c r="C32240">
        <v>54703</v>
      </c>
      <c r="D32240" t="str">
        <f>"54703"</f>
        <v>54703</v>
      </c>
      <c r="E32240">
        <v>75.64</v>
      </c>
    </row>
    <row r="32241" spans="1:5" x14ac:dyDescent="0.2">
      <c r="A32241">
        <v>54720</v>
      </c>
      <c r="B32241" t="s">
        <v>55</v>
      </c>
      <c r="C32241">
        <v>54720</v>
      </c>
      <c r="D32241" t="str">
        <f>"54720"</f>
        <v>54720</v>
      </c>
      <c r="E32241">
        <v>74.88</v>
      </c>
    </row>
    <row r="32242" spans="1:5" x14ac:dyDescent="0.2">
      <c r="A32242">
        <v>54721</v>
      </c>
      <c r="B32242" t="s">
        <v>55</v>
      </c>
      <c r="C32242">
        <v>54721</v>
      </c>
      <c r="D32242" t="str">
        <f>"54721"</f>
        <v>54721</v>
      </c>
      <c r="E32242">
        <v>75</v>
      </c>
    </row>
    <row r="32243" spans="1:5" x14ac:dyDescent="0.2">
      <c r="A32243">
        <v>54722</v>
      </c>
      <c r="B32243" t="s">
        <v>55</v>
      </c>
      <c r="C32243">
        <v>54722</v>
      </c>
      <c r="D32243" t="str">
        <f>"54722"</f>
        <v>54722</v>
      </c>
      <c r="E32243">
        <v>67.52</v>
      </c>
    </row>
    <row r="32244" spans="1:5" x14ac:dyDescent="0.2">
      <c r="A32244">
        <v>54723</v>
      </c>
      <c r="B32244" t="s">
        <v>55</v>
      </c>
      <c r="C32244">
        <v>54723</v>
      </c>
      <c r="D32244" t="str">
        <f>"54723"</f>
        <v>54723</v>
      </c>
      <c r="E32244">
        <v>78.13</v>
      </c>
    </row>
    <row r="32245" spans="1:5" x14ac:dyDescent="0.2">
      <c r="A32245">
        <v>54724</v>
      </c>
      <c r="B32245" t="s">
        <v>55</v>
      </c>
      <c r="C32245">
        <v>54724</v>
      </c>
      <c r="D32245" t="str">
        <f>"54724"</f>
        <v>54724</v>
      </c>
      <c r="E32245">
        <v>75</v>
      </c>
    </row>
    <row r="32246" spans="1:5" x14ac:dyDescent="0.2">
      <c r="A32246">
        <v>54725</v>
      </c>
      <c r="B32246" t="s">
        <v>55</v>
      </c>
      <c r="C32246">
        <v>54725</v>
      </c>
      <c r="D32246" t="str">
        <f>"54725"</f>
        <v>54725</v>
      </c>
      <c r="E32246">
        <v>70.900000000000006</v>
      </c>
    </row>
    <row r="32247" spans="1:5" x14ac:dyDescent="0.2">
      <c r="A32247">
        <v>54726</v>
      </c>
      <c r="B32247" t="s">
        <v>55</v>
      </c>
      <c r="C32247">
        <v>54726</v>
      </c>
      <c r="D32247" t="str">
        <f>"54726"</f>
        <v>54726</v>
      </c>
      <c r="E32247">
        <v>67.44</v>
      </c>
    </row>
    <row r="32248" spans="1:5" x14ac:dyDescent="0.2">
      <c r="A32248">
        <v>54727</v>
      </c>
      <c r="B32248" t="s">
        <v>55</v>
      </c>
      <c r="C32248">
        <v>54727</v>
      </c>
      <c r="D32248" t="str">
        <f>"54727"</f>
        <v>54727</v>
      </c>
      <c r="E32248">
        <v>74.680000000000007</v>
      </c>
    </row>
    <row r="32249" spans="1:5" x14ac:dyDescent="0.2">
      <c r="A32249">
        <v>54728</v>
      </c>
      <c r="B32249" t="s">
        <v>55</v>
      </c>
      <c r="C32249">
        <v>54728</v>
      </c>
      <c r="D32249" t="str">
        <f>"54728"</f>
        <v>54728</v>
      </c>
      <c r="E32249">
        <v>71.52</v>
      </c>
    </row>
    <row r="32250" spans="1:5" x14ac:dyDescent="0.2">
      <c r="A32250">
        <v>54729</v>
      </c>
      <c r="B32250" t="s">
        <v>55</v>
      </c>
      <c r="C32250">
        <v>54729</v>
      </c>
      <c r="D32250" t="str">
        <f>"54729"</f>
        <v>54729</v>
      </c>
      <c r="E32250">
        <v>76.05</v>
      </c>
    </row>
    <row r="32251" spans="1:5" x14ac:dyDescent="0.2">
      <c r="A32251">
        <v>54730</v>
      </c>
      <c r="B32251" t="s">
        <v>55</v>
      </c>
      <c r="C32251">
        <v>54730</v>
      </c>
      <c r="D32251" t="str">
        <f>"54730"</f>
        <v>54730</v>
      </c>
      <c r="E32251">
        <v>74.489999999999995</v>
      </c>
    </row>
    <row r="32252" spans="1:5" x14ac:dyDescent="0.2">
      <c r="A32252">
        <v>54731</v>
      </c>
      <c r="B32252" t="s">
        <v>55</v>
      </c>
      <c r="C32252">
        <v>54731</v>
      </c>
      <c r="D32252" t="str">
        <f>"54731"</f>
        <v>54731</v>
      </c>
      <c r="E32252">
        <v>65.52</v>
      </c>
    </row>
    <row r="32253" spans="1:5" x14ac:dyDescent="0.2">
      <c r="A32253">
        <v>54732</v>
      </c>
      <c r="B32253" t="s">
        <v>55</v>
      </c>
      <c r="C32253">
        <v>54732</v>
      </c>
      <c r="D32253" t="str">
        <f>"54732"</f>
        <v>54732</v>
      </c>
      <c r="E32253">
        <v>68.5</v>
      </c>
    </row>
    <row r="32254" spans="1:5" x14ac:dyDescent="0.2">
      <c r="A32254">
        <v>54733</v>
      </c>
      <c r="B32254" t="s">
        <v>55</v>
      </c>
      <c r="C32254">
        <v>54733</v>
      </c>
      <c r="D32254" t="str">
        <f>"54733"</f>
        <v>54733</v>
      </c>
      <c r="E32254">
        <v>68.180000000000007</v>
      </c>
    </row>
    <row r="32255" spans="1:5" x14ac:dyDescent="0.2">
      <c r="A32255">
        <v>54734</v>
      </c>
      <c r="B32255" t="s">
        <v>55</v>
      </c>
      <c r="C32255">
        <v>54734</v>
      </c>
      <c r="D32255" t="str">
        <f>"54734"</f>
        <v>54734</v>
      </c>
      <c r="E32255">
        <v>70.27</v>
      </c>
    </row>
    <row r="32256" spans="1:5" x14ac:dyDescent="0.2">
      <c r="A32256">
        <v>54735</v>
      </c>
      <c r="B32256" t="s">
        <v>55</v>
      </c>
      <c r="C32256">
        <v>54735</v>
      </c>
      <c r="D32256" t="str">
        <f>"54735"</f>
        <v>54735</v>
      </c>
      <c r="E32256" t="s">
        <v>6</v>
      </c>
    </row>
    <row r="32257" spans="1:5" x14ac:dyDescent="0.2">
      <c r="A32257">
        <v>54736</v>
      </c>
      <c r="B32257" t="s">
        <v>55</v>
      </c>
      <c r="C32257">
        <v>54736</v>
      </c>
      <c r="D32257" t="str">
        <f>"54736"</f>
        <v>54736</v>
      </c>
      <c r="E32257">
        <v>74.349999999999994</v>
      </c>
    </row>
    <row r="32258" spans="1:5" x14ac:dyDescent="0.2">
      <c r="A32258">
        <v>54737</v>
      </c>
      <c r="B32258" t="s">
        <v>55</v>
      </c>
      <c r="C32258">
        <v>54737</v>
      </c>
      <c r="D32258" t="str">
        <f>"54737"</f>
        <v>54737</v>
      </c>
      <c r="E32258">
        <v>73.91</v>
      </c>
    </row>
    <row r="32259" spans="1:5" x14ac:dyDescent="0.2">
      <c r="A32259">
        <v>54738</v>
      </c>
      <c r="B32259" t="s">
        <v>55</v>
      </c>
      <c r="C32259">
        <v>54738</v>
      </c>
      <c r="D32259" t="str">
        <f>"54738"</f>
        <v>54738</v>
      </c>
      <c r="E32259">
        <v>76.19</v>
      </c>
    </row>
    <row r="32260" spans="1:5" x14ac:dyDescent="0.2">
      <c r="A32260">
        <v>54739</v>
      </c>
      <c r="B32260" t="s">
        <v>55</v>
      </c>
      <c r="C32260">
        <v>54739</v>
      </c>
      <c r="D32260" t="str">
        <f>"54739"</f>
        <v>54739</v>
      </c>
      <c r="E32260">
        <v>76.67</v>
      </c>
    </row>
    <row r="32261" spans="1:5" x14ac:dyDescent="0.2">
      <c r="A32261">
        <v>54740</v>
      </c>
      <c r="B32261" t="s">
        <v>55</v>
      </c>
      <c r="C32261">
        <v>54740</v>
      </c>
      <c r="D32261" t="str">
        <f>"54740"</f>
        <v>54740</v>
      </c>
      <c r="E32261">
        <v>76.92</v>
      </c>
    </row>
    <row r="32262" spans="1:5" x14ac:dyDescent="0.2">
      <c r="A32262">
        <v>54741</v>
      </c>
      <c r="B32262" t="s">
        <v>55</v>
      </c>
      <c r="C32262">
        <v>54741</v>
      </c>
      <c r="D32262" t="str">
        <f>"54741"</f>
        <v>54741</v>
      </c>
      <c r="E32262">
        <v>68.12</v>
      </c>
    </row>
    <row r="32263" spans="1:5" x14ac:dyDescent="0.2">
      <c r="A32263">
        <v>54742</v>
      </c>
      <c r="B32263" t="s">
        <v>55</v>
      </c>
      <c r="C32263">
        <v>54742</v>
      </c>
      <c r="D32263" t="str">
        <f>"54742"</f>
        <v>54742</v>
      </c>
      <c r="E32263">
        <v>76.52</v>
      </c>
    </row>
    <row r="32264" spans="1:5" x14ac:dyDescent="0.2">
      <c r="A32264">
        <v>54745</v>
      </c>
      <c r="B32264" t="s">
        <v>55</v>
      </c>
      <c r="C32264">
        <v>54745</v>
      </c>
      <c r="D32264" t="str">
        <f>"54745"</f>
        <v>54745</v>
      </c>
      <c r="E32264">
        <v>75.489999999999995</v>
      </c>
    </row>
    <row r="32265" spans="1:5" x14ac:dyDescent="0.2">
      <c r="A32265">
        <v>54746</v>
      </c>
      <c r="B32265" t="s">
        <v>55</v>
      </c>
      <c r="C32265">
        <v>54746</v>
      </c>
      <c r="D32265" t="str">
        <f>"54746"</f>
        <v>54746</v>
      </c>
      <c r="E32265">
        <v>64.52</v>
      </c>
    </row>
    <row r="32266" spans="1:5" x14ac:dyDescent="0.2">
      <c r="A32266">
        <v>54747</v>
      </c>
      <c r="B32266" t="s">
        <v>55</v>
      </c>
      <c r="C32266">
        <v>54747</v>
      </c>
      <c r="D32266" t="str">
        <f>"54747"</f>
        <v>54747</v>
      </c>
      <c r="E32266">
        <v>70.87</v>
      </c>
    </row>
    <row r="32267" spans="1:5" x14ac:dyDescent="0.2">
      <c r="A32267">
        <v>54748</v>
      </c>
      <c r="B32267" t="s">
        <v>55</v>
      </c>
      <c r="C32267">
        <v>54748</v>
      </c>
      <c r="D32267" t="str">
        <f>"54748"</f>
        <v>54748</v>
      </c>
      <c r="E32267">
        <v>77.42</v>
      </c>
    </row>
    <row r="32268" spans="1:5" x14ac:dyDescent="0.2">
      <c r="A32268">
        <v>54749</v>
      </c>
      <c r="B32268" t="s">
        <v>55</v>
      </c>
      <c r="C32268">
        <v>54749</v>
      </c>
      <c r="D32268" t="str">
        <f>"54749"</f>
        <v>54749</v>
      </c>
      <c r="E32268">
        <v>70.489999999999995</v>
      </c>
    </row>
    <row r="32269" spans="1:5" x14ac:dyDescent="0.2">
      <c r="A32269">
        <v>54750</v>
      </c>
      <c r="B32269" t="s">
        <v>55</v>
      </c>
      <c r="C32269">
        <v>54750</v>
      </c>
      <c r="D32269" t="str">
        <f>"54750"</f>
        <v>54750</v>
      </c>
      <c r="E32269">
        <v>78.849999999999994</v>
      </c>
    </row>
    <row r="32270" spans="1:5" x14ac:dyDescent="0.2">
      <c r="A32270">
        <v>54751</v>
      </c>
      <c r="B32270" t="s">
        <v>55</v>
      </c>
      <c r="C32270">
        <v>54751</v>
      </c>
      <c r="D32270" t="str">
        <f>"54751"</f>
        <v>54751</v>
      </c>
      <c r="E32270">
        <v>74.44</v>
      </c>
    </row>
    <row r="32271" spans="1:5" x14ac:dyDescent="0.2">
      <c r="A32271">
        <v>54754</v>
      </c>
      <c r="B32271" t="s">
        <v>55</v>
      </c>
      <c r="C32271">
        <v>54754</v>
      </c>
      <c r="D32271" t="str">
        <f>"54754"</f>
        <v>54754</v>
      </c>
      <c r="E32271">
        <v>74.680000000000007</v>
      </c>
    </row>
    <row r="32272" spans="1:5" x14ac:dyDescent="0.2">
      <c r="A32272">
        <v>54755</v>
      </c>
      <c r="B32272" t="s">
        <v>55</v>
      </c>
      <c r="C32272">
        <v>54755</v>
      </c>
      <c r="D32272" t="str">
        <f>"54755"</f>
        <v>54755</v>
      </c>
      <c r="E32272">
        <v>70.03</v>
      </c>
    </row>
    <row r="32273" spans="1:5" x14ac:dyDescent="0.2">
      <c r="A32273">
        <v>54756</v>
      </c>
      <c r="B32273" t="s">
        <v>55</v>
      </c>
      <c r="C32273">
        <v>54756</v>
      </c>
      <c r="D32273" t="str">
        <f>"54756"</f>
        <v>54756</v>
      </c>
      <c r="E32273">
        <v>72.34</v>
      </c>
    </row>
    <row r="32274" spans="1:5" x14ac:dyDescent="0.2">
      <c r="A32274">
        <v>54757</v>
      </c>
      <c r="B32274" t="s">
        <v>55</v>
      </c>
      <c r="C32274">
        <v>54757</v>
      </c>
      <c r="D32274" t="str">
        <f>"54757"</f>
        <v>54757</v>
      </c>
      <c r="E32274">
        <v>70.78</v>
      </c>
    </row>
    <row r="32275" spans="1:5" x14ac:dyDescent="0.2">
      <c r="A32275">
        <v>54758</v>
      </c>
      <c r="B32275" t="s">
        <v>55</v>
      </c>
      <c r="C32275">
        <v>54758</v>
      </c>
      <c r="D32275" t="str">
        <f>"54758"</f>
        <v>54758</v>
      </c>
      <c r="E32275">
        <v>73.78</v>
      </c>
    </row>
    <row r="32276" spans="1:5" x14ac:dyDescent="0.2">
      <c r="A32276">
        <v>54759</v>
      </c>
      <c r="B32276" t="s">
        <v>55</v>
      </c>
      <c r="C32276">
        <v>54759</v>
      </c>
      <c r="D32276" t="str">
        <f>"54759"</f>
        <v>54759</v>
      </c>
      <c r="E32276">
        <v>77.459999999999994</v>
      </c>
    </row>
    <row r="32277" spans="1:5" x14ac:dyDescent="0.2">
      <c r="A32277">
        <v>54761</v>
      </c>
      <c r="B32277" t="s">
        <v>55</v>
      </c>
      <c r="C32277">
        <v>54761</v>
      </c>
      <c r="D32277" t="str">
        <f>"54761"</f>
        <v>54761</v>
      </c>
      <c r="E32277">
        <v>73.58</v>
      </c>
    </row>
    <row r="32278" spans="1:5" x14ac:dyDescent="0.2">
      <c r="A32278">
        <v>54762</v>
      </c>
      <c r="B32278" t="s">
        <v>55</v>
      </c>
      <c r="C32278">
        <v>54762</v>
      </c>
      <c r="D32278" t="str">
        <f>"54762"</f>
        <v>54762</v>
      </c>
      <c r="E32278">
        <v>71.430000000000007</v>
      </c>
    </row>
    <row r="32279" spans="1:5" x14ac:dyDescent="0.2">
      <c r="A32279">
        <v>54763</v>
      </c>
      <c r="B32279" t="s">
        <v>55</v>
      </c>
      <c r="C32279">
        <v>54763</v>
      </c>
      <c r="D32279" t="str">
        <f>"54763"</f>
        <v>54763</v>
      </c>
      <c r="E32279">
        <v>70.59</v>
      </c>
    </row>
    <row r="32280" spans="1:5" x14ac:dyDescent="0.2">
      <c r="A32280">
        <v>54766</v>
      </c>
      <c r="B32280" t="s">
        <v>55</v>
      </c>
      <c r="C32280">
        <v>54766</v>
      </c>
      <c r="D32280" t="str">
        <f>"54766"</f>
        <v>54766</v>
      </c>
      <c r="E32280">
        <v>62.69</v>
      </c>
    </row>
    <row r="32281" spans="1:5" x14ac:dyDescent="0.2">
      <c r="A32281">
        <v>54767</v>
      </c>
      <c r="B32281" t="s">
        <v>55</v>
      </c>
      <c r="C32281">
        <v>54767</v>
      </c>
      <c r="D32281" t="str">
        <f>"54767"</f>
        <v>54767</v>
      </c>
      <c r="E32281">
        <v>79.08</v>
      </c>
    </row>
    <row r="32282" spans="1:5" x14ac:dyDescent="0.2">
      <c r="A32282">
        <v>54768</v>
      </c>
      <c r="B32282" t="s">
        <v>55</v>
      </c>
      <c r="C32282">
        <v>54768</v>
      </c>
      <c r="D32282" t="str">
        <f>"54768"</f>
        <v>54768</v>
      </c>
      <c r="E32282">
        <v>68.95</v>
      </c>
    </row>
    <row r="32283" spans="1:5" x14ac:dyDescent="0.2">
      <c r="A32283">
        <v>54769</v>
      </c>
      <c r="B32283" t="s">
        <v>55</v>
      </c>
      <c r="C32283">
        <v>54769</v>
      </c>
      <c r="D32283" t="str">
        <f>"54769"</f>
        <v>54769</v>
      </c>
      <c r="E32283">
        <v>73.08</v>
      </c>
    </row>
    <row r="32284" spans="1:5" x14ac:dyDescent="0.2">
      <c r="A32284">
        <v>54770</v>
      </c>
      <c r="B32284" t="s">
        <v>55</v>
      </c>
      <c r="C32284">
        <v>54770</v>
      </c>
      <c r="D32284" t="str">
        <f>"54770"</f>
        <v>54770</v>
      </c>
      <c r="E32284">
        <v>75</v>
      </c>
    </row>
    <row r="32285" spans="1:5" x14ac:dyDescent="0.2">
      <c r="A32285">
        <v>54771</v>
      </c>
      <c r="B32285" t="s">
        <v>55</v>
      </c>
      <c r="C32285">
        <v>54771</v>
      </c>
      <c r="D32285" t="str">
        <f>"54771"</f>
        <v>54771</v>
      </c>
      <c r="E32285">
        <v>68.48</v>
      </c>
    </row>
    <row r="32286" spans="1:5" x14ac:dyDescent="0.2">
      <c r="A32286">
        <v>54772</v>
      </c>
      <c r="B32286" t="s">
        <v>55</v>
      </c>
      <c r="C32286">
        <v>54772</v>
      </c>
      <c r="D32286" t="str">
        <f>"54772"</f>
        <v>54772</v>
      </c>
      <c r="E32286">
        <v>71.150000000000006</v>
      </c>
    </row>
    <row r="32287" spans="1:5" x14ac:dyDescent="0.2">
      <c r="A32287">
        <v>54773</v>
      </c>
      <c r="B32287" t="s">
        <v>55</v>
      </c>
      <c r="C32287">
        <v>54773</v>
      </c>
      <c r="D32287" t="str">
        <f>"54773"</f>
        <v>54773</v>
      </c>
      <c r="E32287">
        <v>71.900000000000006</v>
      </c>
    </row>
    <row r="32288" spans="1:5" x14ac:dyDescent="0.2">
      <c r="A32288">
        <v>54801</v>
      </c>
      <c r="B32288" t="s">
        <v>55</v>
      </c>
      <c r="C32288">
        <v>54801</v>
      </c>
      <c r="D32288" t="str">
        <f>"54801"</f>
        <v>54801</v>
      </c>
      <c r="E32288">
        <v>70.680000000000007</v>
      </c>
    </row>
    <row r="32289" spans="1:5" x14ac:dyDescent="0.2">
      <c r="A32289">
        <v>54805</v>
      </c>
      <c r="B32289" t="s">
        <v>55</v>
      </c>
      <c r="C32289">
        <v>54805</v>
      </c>
      <c r="D32289" t="str">
        <f>"54805"</f>
        <v>54805</v>
      </c>
      <c r="E32289">
        <v>69.569999999999993</v>
      </c>
    </row>
    <row r="32290" spans="1:5" x14ac:dyDescent="0.2">
      <c r="A32290">
        <v>54806</v>
      </c>
      <c r="B32290" t="s">
        <v>55</v>
      </c>
      <c r="C32290">
        <v>54806</v>
      </c>
      <c r="D32290" t="str">
        <f>"54806"</f>
        <v>54806</v>
      </c>
      <c r="E32290">
        <v>71.209999999999994</v>
      </c>
    </row>
    <row r="32291" spans="1:5" x14ac:dyDescent="0.2">
      <c r="A32291">
        <v>54810</v>
      </c>
      <c r="B32291" t="s">
        <v>55</v>
      </c>
      <c r="C32291">
        <v>54810</v>
      </c>
      <c r="D32291" t="str">
        <f>"54810"</f>
        <v>54810</v>
      </c>
      <c r="E32291">
        <v>74.36</v>
      </c>
    </row>
    <row r="32292" spans="1:5" x14ac:dyDescent="0.2">
      <c r="A32292">
        <v>54812</v>
      </c>
      <c r="B32292" t="s">
        <v>55</v>
      </c>
      <c r="C32292">
        <v>54812</v>
      </c>
      <c r="D32292" t="str">
        <f>"54812"</f>
        <v>54812</v>
      </c>
      <c r="E32292">
        <v>71.819999999999993</v>
      </c>
    </row>
    <row r="32293" spans="1:5" x14ac:dyDescent="0.2">
      <c r="A32293">
        <v>54813</v>
      </c>
      <c r="B32293" t="s">
        <v>55</v>
      </c>
      <c r="C32293">
        <v>54813</v>
      </c>
      <c r="D32293" t="str">
        <f>"54813"</f>
        <v>54813</v>
      </c>
      <c r="E32293">
        <v>70.59</v>
      </c>
    </row>
    <row r="32294" spans="1:5" x14ac:dyDescent="0.2">
      <c r="A32294">
        <v>54814</v>
      </c>
      <c r="B32294" t="s">
        <v>55</v>
      </c>
      <c r="C32294">
        <v>54814</v>
      </c>
      <c r="D32294" t="str">
        <f>"54814"</f>
        <v>54814</v>
      </c>
      <c r="E32294">
        <v>65.44</v>
      </c>
    </row>
    <row r="32295" spans="1:5" x14ac:dyDescent="0.2">
      <c r="A32295">
        <v>54817</v>
      </c>
      <c r="B32295" t="s">
        <v>55</v>
      </c>
      <c r="C32295">
        <v>54817</v>
      </c>
      <c r="D32295" t="str">
        <f>"54817"</f>
        <v>54817</v>
      </c>
      <c r="E32295">
        <v>77.31</v>
      </c>
    </row>
    <row r="32296" spans="1:5" x14ac:dyDescent="0.2">
      <c r="A32296">
        <v>54819</v>
      </c>
      <c r="B32296" t="s">
        <v>55</v>
      </c>
      <c r="C32296">
        <v>54819</v>
      </c>
      <c r="D32296" t="str">
        <f>"54819"</f>
        <v>54819</v>
      </c>
      <c r="E32296">
        <v>68.180000000000007</v>
      </c>
    </row>
    <row r="32297" spans="1:5" x14ac:dyDescent="0.2">
      <c r="A32297">
        <v>54820</v>
      </c>
      <c r="B32297" t="s">
        <v>55</v>
      </c>
      <c r="C32297">
        <v>54820</v>
      </c>
      <c r="D32297" t="str">
        <f>"54820"</f>
        <v>54820</v>
      </c>
      <c r="E32297">
        <v>71.11</v>
      </c>
    </row>
    <row r="32298" spans="1:5" x14ac:dyDescent="0.2">
      <c r="A32298">
        <v>54821</v>
      </c>
      <c r="B32298" t="s">
        <v>55</v>
      </c>
      <c r="C32298">
        <v>54821</v>
      </c>
      <c r="D32298" t="str">
        <f>"54821"</f>
        <v>54821</v>
      </c>
      <c r="E32298">
        <v>75.34</v>
      </c>
    </row>
    <row r="32299" spans="1:5" x14ac:dyDescent="0.2">
      <c r="A32299">
        <v>54822</v>
      </c>
      <c r="B32299" t="s">
        <v>55</v>
      </c>
      <c r="C32299">
        <v>54822</v>
      </c>
      <c r="D32299" t="str">
        <f>"54822"</f>
        <v>54822</v>
      </c>
      <c r="E32299">
        <v>74.55</v>
      </c>
    </row>
    <row r="32300" spans="1:5" x14ac:dyDescent="0.2">
      <c r="A32300">
        <v>54824</v>
      </c>
      <c r="B32300" t="s">
        <v>55</v>
      </c>
      <c r="C32300">
        <v>54824</v>
      </c>
      <c r="D32300" t="str">
        <f>"54824"</f>
        <v>54824</v>
      </c>
      <c r="E32300">
        <v>74.040000000000006</v>
      </c>
    </row>
    <row r="32301" spans="1:5" x14ac:dyDescent="0.2">
      <c r="A32301">
        <v>54826</v>
      </c>
      <c r="B32301" t="s">
        <v>55</v>
      </c>
      <c r="C32301">
        <v>54826</v>
      </c>
      <c r="D32301" t="str">
        <f>"54826"</f>
        <v>54826</v>
      </c>
      <c r="E32301">
        <v>73.53</v>
      </c>
    </row>
    <row r="32302" spans="1:5" x14ac:dyDescent="0.2">
      <c r="A32302">
        <v>54827</v>
      </c>
      <c r="B32302" t="s">
        <v>55</v>
      </c>
      <c r="C32302">
        <v>54827</v>
      </c>
      <c r="D32302" t="str">
        <f>"54827"</f>
        <v>54827</v>
      </c>
      <c r="E32302">
        <v>75</v>
      </c>
    </row>
    <row r="32303" spans="1:5" x14ac:dyDescent="0.2">
      <c r="A32303">
        <v>54828</v>
      </c>
      <c r="B32303" t="s">
        <v>55</v>
      </c>
      <c r="C32303">
        <v>54828</v>
      </c>
      <c r="D32303" t="str">
        <f>"54828"</f>
        <v>54828</v>
      </c>
      <c r="E32303">
        <v>58.33</v>
      </c>
    </row>
    <row r="32304" spans="1:5" x14ac:dyDescent="0.2">
      <c r="A32304">
        <v>54829</v>
      </c>
      <c r="B32304" t="s">
        <v>55</v>
      </c>
      <c r="C32304">
        <v>54829</v>
      </c>
      <c r="D32304" t="str">
        <f>"54829"</f>
        <v>54829</v>
      </c>
      <c r="E32304">
        <v>73.38</v>
      </c>
    </row>
    <row r="32305" spans="1:5" x14ac:dyDescent="0.2">
      <c r="A32305">
        <v>54830</v>
      </c>
      <c r="B32305" t="s">
        <v>55</v>
      </c>
      <c r="C32305">
        <v>54830</v>
      </c>
      <c r="D32305" t="str">
        <f>"54830"</f>
        <v>54830</v>
      </c>
      <c r="E32305">
        <v>75.84</v>
      </c>
    </row>
    <row r="32306" spans="1:5" x14ac:dyDescent="0.2">
      <c r="A32306">
        <v>54832</v>
      </c>
      <c r="B32306" t="s">
        <v>55</v>
      </c>
      <c r="C32306">
        <v>54832</v>
      </c>
      <c r="D32306" t="str">
        <f>"54832"</f>
        <v>54832</v>
      </c>
      <c r="E32306">
        <v>66.67</v>
      </c>
    </row>
    <row r="32307" spans="1:5" x14ac:dyDescent="0.2">
      <c r="A32307">
        <v>54835</v>
      </c>
      <c r="B32307" t="s">
        <v>55</v>
      </c>
      <c r="C32307">
        <v>54835</v>
      </c>
      <c r="D32307" t="str">
        <f>"54835"</f>
        <v>54835</v>
      </c>
      <c r="E32307">
        <v>71.430000000000007</v>
      </c>
    </row>
    <row r="32308" spans="1:5" x14ac:dyDescent="0.2">
      <c r="A32308">
        <v>54836</v>
      </c>
      <c r="B32308" t="s">
        <v>55</v>
      </c>
      <c r="C32308">
        <v>54836</v>
      </c>
      <c r="D32308" t="str">
        <f>"54836"</f>
        <v>54836</v>
      </c>
      <c r="E32308">
        <v>85.71</v>
      </c>
    </row>
    <row r="32309" spans="1:5" x14ac:dyDescent="0.2">
      <c r="A32309">
        <v>54837</v>
      </c>
      <c r="B32309" t="s">
        <v>55</v>
      </c>
      <c r="C32309">
        <v>54837</v>
      </c>
      <c r="D32309" t="str">
        <f>"54837"</f>
        <v>54837</v>
      </c>
      <c r="E32309">
        <v>70.33</v>
      </c>
    </row>
    <row r="32310" spans="1:5" x14ac:dyDescent="0.2">
      <c r="A32310">
        <v>54838</v>
      </c>
      <c r="B32310" t="s">
        <v>55</v>
      </c>
      <c r="C32310">
        <v>54838</v>
      </c>
      <c r="D32310" t="str">
        <f>"54838"</f>
        <v>54838</v>
      </c>
      <c r="E32310">
        <v>77.05</v>
      </c>
    </row>
    <row r="32311" spans="1:5" x14ac:dyDescent="0.2">
      <c r="A32311">
        <v>54839</v>
      </c>
      <c r="B32311" t="s">
        <v>55</v>
      </c>
      <c r="C32311">
        <v>54839</v>
      </c>
      <c r="D32311" t="str">
        <f>"54839"</f>
        <v>54839</v>
      </c>
      <c r="E32311">
        <v>69.23</v>
      </c>
    </row>
    <row r="32312" spans="1:5" x14ac:dyDescent="0.2">
      <c r="A32312">
        <v>54840</v>
      </c>
      <c r="B32312" t="s">
        <v>55</v>
      </c>
      <c r="C32312">
        <v>54840</v>
      </c>
      <c r="D32312" t="str">
        <f>"54840"</f>
        <v>54840</v>
      </c>
      <c r="E32312">
        <v>71.62</v>
      </c>
    </row>
    <row r="32313" spans="1:5" x14ac:dyDescent="0.2">
      <c r="A32313">
        <v>54841</v>
      </c>
      <c r="B32313" t="s">
        <v>55</v>
      </c>
      <c r="C32313">
        <v>54841</v>
      </c>
      <c r="D32313" t="str">
        <f>"54841"</f>
        <v>54841</v>
      </c>
      <c r="E32313">
        <v>66.67</v>
      </c>
    </row>
    <row r="32314" spans="1:5" x14ac:dyDescent="0.2">
      <c r="A32314">
        <v>54842</v>
      </c>
      <c r="B32314" t="s">
        <v>55</v>
      </c>
      <c r="C32314">
        <v>54842</v>
      </c>
      <c r="D32314" t="str">
        <f>"54842"</f>
        <v>54842</v>
      </c>
      <c r="E32314" t="s">
        <v>6</v>
      </c>
    </row>
    <row r="32315" spans="1:5" x14ac:dyDescent="0.2">
      <c r="A32315">
        <v>54843</v>
      </c>
      <c r="B32315" t="s">
        <v>55</v>
      </c>
      <c r="C32315">
        <v>54843</v>
      </c>
      <c r="D32315" t="str">
        <f>"54843"</f>
        <v>54843</v>
      </c>
      <c r="E32315">
        <v>70.680000000000007</v>
      </c>
    </row>
    <row r="32316" spans="1:5" x14ac:dyDescent="0.2">
      <c r="A32316">
        <v>54844</v>
      </c>
      <c r="B32316" t="s">
        <v>55</v>
      </c>
      <c r="C32316">
        <v>54844</v>
      </c>
      <c r="D32316" t="str">
        <f>"54844"</f>
        <v>54844</v>
      </c>
      <c r="E32316">
        <v>76.92</v>
      </c>
    </row>
    <row r="32317" spans="1:5" x14ac:dyDescent="0.2">
      <c r="A32317">
        <v>54845</v>
      </c>
      <c r="B32317" t="s">
        <v>55</v>
      </c>
      <c r="C32317">
        <v>54845</v>
      </c>
      <c r="D32317" t="str">
        <f>"54845"</f>
        <v>54845</v>
      </c>
      <c r="E32317" t="s">
        <v>6</v>
      </c>
    </row>
    <row r="32318" spans="1:5" x14ac:dyDescent="0.2">
      <c r="A32318">
        <v>54846</v>
      </c>
      <c r="B32318" t="s">
        <v>55</v>
      </c>
      <c r="C32318">
        <v>54846</v>
      </c>
      <c r="D32318" t="str">
        <f>"54846"</f>
        <v>54846</v>
      </c>
      <c r="E32318">
        <v>66.67</v>
      </c>
    </row>
    <row r="32319" spans="1:5" x14ac:dyDescent="0.2">
      <c r="A32319">
        <v>54847</v>
      </c>
      <c r="B32319" t="s">
        <v>55</v>
      </c>
      <c r="C32319">
        <v>54847</v>
      </c>
      <c r="D32319" t="str">
        <f>"54847"</f>
        <v>54847</v>
      </c>
      <c r="E32319">
        <v>72.27</v>
      </c>
    </row>
    <row r="32320" spans="1:5" x14ac:dyDescent="0.2">
      <c r="A32320">
        <v>54848</v>
      </c>
      <c r="B32320" t="s">
        <v>55</v>
      </c>
      <c r="C32320">
        <v>54848</v>
      </c>
      <c r="D32320" t="str">
        <f>"54848"</f>
        <v>54848</v>
      </c>
      <c r="E32320">
        <v>68.680000000000007</v>
      </c>
    </row>
    <row r="32321" spans="1:5" x14ac:dyDescent="0.2">
      <c r="A32321">
        <v>54849</v>
      </c>
      <c r="B32321" t="s">
        <v>55</v>
      </c>
      <c r="C32321">
        <v>54849</v>
      </c>
      <c r="D32321" t="str">
        <f>"54849"</f>
        <v>54849</v>
      </c>
      <c r="E32321">
        <v>77.319999999999993</v>
      </c>
    </row>
    <row r="32322" spans="1:5" x14ac:dyDescent="0.2">
      <c r="A32322">
        <v>54850</v>
      </c>
      <c r="B32322" t="s">
        <v>55</v>
      </c>
      <c r="C32322">
        <v>54850</v>
      </c>
      <c r="D32322" t="str">
        <f>"54850"</f>
        <v>54850</v>
      </c>
      <c r="E32322" t="s">
        <v>6</v>
      </c>
    </row>
    <row r="32323" spans="1:5" x14ac:dyDescent="0.2">
      <c r="A32323">
        <v>54853</v>
      </c>
      <c r="B32323" t="s">
        <v>55</v>
      </c>
      <c r="C32323">
        <v>54853</v>
      </c>
      <c r="D32323" t="str">
        <f>"54853"</f>
        <v>54853</v>
      </c>
      <c r="E32323">
        <v>72.38</v>
      </c>
    </row>
    <row r="32324" spans="1:5" x14ac:dyDescent="0.2">
      <c r="A32324">
        <v>54854</v>
      </c>
      <c r="B32324" t="s">
        <v>55</v>
      </c>
      <c r="C32324">
        <v>54854</v>
      </c>
      <c r="D32324" t="str">
        <f>"54854"</f>
        <v>54854</v>
      </c>
      <c r="E32324">
        <v>80.489999999999995</v>
      </c>
    </row>
    <row r="32325" spans="1:5" x14ac:dyDescent="0.2">
      <c r="A32325">
        <v>54855</v>
      </c>
      <c r="B32325" t="s">
        <v>55</v>
      </c>
      <c r="C32325">
        <v>54855</v>
      </c>
      <c r="D32325" t="str">
        <f>"54855"</f>
        <v>54855</v>
      </c>
      <c r="E32325">
        <v>70</v>
      </c>
    </row>
    <row r="32326" spans="1:5" x14ac:dyDescent="0.2">
      <c r="A32326">
        <v>54856</v>
      </c>
      <c r="B32326" t="s">
        <v>55</v>
      </c>
      <c r="C32326">
        <v>54856</v>
      </c>
      <c r="D32326" t="str">
        <f>"54856"</f>
        <v>54856</v>
      </c>
      <c r="E32326">
        <v>74.290000000000006</v>
      </c>
    </row>
    <row r="32327" spans="1:5" x14ac:dyDescent="0.2">
      <c r="A32327">
        <v>54857</v>
      </c>
      <c r="B32327" t="s">
        <v>55</v>
      </c>
      <c r="C32327">
        <v>54857</v>
      </c>
      <c r="D32327" t="str">
        <f>"54857"</f>
        <v>54857</v>
      </c>
      <c r="E32327" t="s">
        <v>6</v>
      </c>
    </row>
    <row r="32328" spans="1:5" x14ac:dyDescent="0.2">
      <c r="A32328">
        <v>54858</v>
      </c>
      <c r="B32328" t="s">
        <v>55</v>
      </c>
      <c r="C32328">
        <v>54858</v>
      </c>
      <c r="D32328" t="str">
        <f>"54858"</f>
        <v>54858</v>
      </c>
      <c r="E32328">
        <v>70.27</v>
      </c>
    </row>
    <row r="32329" spans="1:5" x14ac:dyDescent="0.2">
      <c r="A32329">
        <v>54859</v>
      </c>
      <c r="B32329" t="s">
        <v>55</v>
      </c>
      <c r="C32329">
        <v>54859</v>
      </c>
      <c r="D32329" t="str">
        <f>"54859"</f>
        <v>54859</v>
      </c>
      <c r="E32329">
        <v>71.739999999999995</v>
      </c>
    </row>
    <row r="32330" spans="1:5" x14ac:dyDescent="0.2">
      <c r="A32330">
        <v>54862</v>
      </c>
      <c r="B32330" t="s">
        <v>55</v>
      </c>
      <c r="C32330">
        <v>54862</v>
      </c>
      <c r="D32330" t="str">
        <f>"54862"</f>
        <v>54862</v>
      </c>
      <c r="E32330">
        <v>72.73</v>
      </c>
    </row>
    <row r="32331" spans="1:5" x14ac:dyDescent="0.2">
      <c r="A32331">
        <v>54864</v>
      </c>
      <c r="B32331" t="s">
        <v>55</v>
      </c>
      <c r="C32331">
        <v>54864</v>
      </c>
      <c r="D32331" t="str">
        <f>"54864"</f>
        <v>54864</v>
      </c>
      <c r="E32331">
        <v>75.709999999999994</v>
      </c>
    </row>
    <row r="32332" spans="1:5" x14ac:dyDescent="0.2">
      <c r="A32332">
        <v>54865</v>
      </c>
      <c r="B32332" t="s">
        <v>55</v>
      </c>
      <c r="C32332">
        <v>54865</v>
      </c>
      <c r="D32332" t="str">
        <f>"54865"</f>
        <v>54865</v>
      </c>
      <c r="E32332">
        <v>65.22</v>
      </c>
    </row>
    <row r="32333" spans="1:5" x14ac:dyDescent="0.2">
      <c r="A32333">
        <v>54867</v>
      </c>
      <c r="B32333" t="s">
        <v>55</v>
      </c>
      <c r="C32333">
        <v>54867</v>
      </c>
      <c r="D32333" t="str">
        <f>"54867"</f>
        <v>54867</v>
      </c>
      <c r="E32333">
        <v>72.73</v>
      </c>
    </row>
    <row r="32334" spans="1:5" x14ac:dyDescent="0.2">
      <c r="A32334">
        <v>54868</v>
      </c>
      <c r="B32334" t="s">
        <v>55</v>
      </c>
      <c r="C32334">
        <v>54868</v>
      </c>
      <c r="D32334" t="str">
        <f>"54868"</f>
        <v>54868</v>
      </c>
      <c r="E32334">
        <v>71.81</v>
      </c>
    </row>
    <row r="32335" spans="1:5" x14ac:dyDescent="0.2">
      <c r="A32335">
        <v>54870</v>
      </c>
      <c r="B32335" t="s">
        <v>55</v>
      </c>
      <c r="C32335">
        <v>54870</v>
      </c>
      <c r="D32335" t="str">
        <f>"54870"</f>
        <v>54870</v>
      </c>
      <c r="E32335">
        <v>72.84</v>
      </c>
    </row>
    <row r="32336" spans="1:5" x14ac:dyDescent="0.2">
      <c r="A32336">
        <v>54871</v>
      </c>
      <c r="B32336" t="s">
        <v>55</v>
      </c>
      <c r="C32336">
        <v>54871</v>
      </c>
      <c r="D32336" t="str">
        <f>"54871"</f>
        <v>54871</v>
      </c>
      <c r="E32336">
        <v>66.44</v>
      </c>
    </row>
    <row r="32337" spans="1:5" x14ac:dyDescent="0.2">
      <c r="A32337">
        <v>54872</v>
      </c>
      <c r="B32337" t="s">
        <v>55</v>
      </c>
      <c r="C32337">
        <v>54872</v>
      </c>
      <c r="D32337" t="str">
        <f>"54872"</f>
        <v>54872</v>
      </c>
      <c r="E32337">
        <v>69.77</v>
      </c>
    </row>
    <row r="32338" spans="1:5" x14ac:dyDescent="0.2">
      <c r="A32338">
        <v>54873</v>
      </c>
      <c r="B32338" t="s">
        <v>55</v>
      </c>
      <c r="C32338">
        <v>54873</v>
      </c>
      <c r="D32338" t="str">
        <f>"54873"</f>
        <v>54873</v>
      </c>
      <c r="E32338">
        <v>74.83</v>
      </c>
    </row>
    <row r="32339" spans="1:5" x14ac:dyDescent="0.2">
      <c r="A32339">
        <v>54874</v>
      </c>
      <c r="B32339" t="s">
        <v>55</v>
      </c>
      <c r="C32339">
        <v>54874</v>
      </c>
      <c r="D32339" t="str">
        <f>"54874"</f>
        <v>54874</v>
      </c>
      <c r="E32339">
        <v>77.44</v>
      </c>
    </row>
    <row r="32340" spans="1:5" x14ac:dyDescent="0.2">
      <c r="A32340">
        <v>54875</v>
      </c>
      <c r="B32340" t="s">
        <v>55</v>
      </c>
      <c r="C32340">
        <v>54875</v>
      </c>
      <c r="D32340" t="str">
        <f>"54875"</f>
        <v>54875</v>
      </c>
      <c r="E32340">
        <v>67.31</v>
      </c>
    </row>
    <row r="32341" spans="1:5" x14ac:dyDescent="0.2">
      <c r="A32341">
        <v>54876</v>
      </c>
      <c r="B32341" t="s">
        <v>55</v>
      </c>
      <c r="C32341">
        <v>54876</v>
      </c>
      <c r="D32341" t="str">
        <f>"54876"</f>
        <v>54876</v>
      </c>
      <c r="E32341">
        <v>65.06</v>
      </c>
    </row>
    <row r="32342" spans="1:5" x14ac:dyDescent="0.2">
      <c r="A32342">
        <v>54880</v>
      </c>
      <c r="B32342" t="s">
        <v>55</v>
      </c>
      <c r="C32342">
        <v>54880</v>
      </c>
      <c r="D32342" t="str">
        <f>"54880"</f>
        <v>54880</v>
      </c>
      <c r="E32342">
        <v>75.34</v>
      </c>
    </row>
    <row r="32343" spans="1:5" x14ac:dyDescent="0.2">
      <c r="A32343">
        <v>54888</v>
      </c>
      <c r="B32343" t="s">
        <v>55</v>
      </c>
      <c r="C32343">
        <v>54888</v>
      </c>
      <c r="D32343" t="str">
        <f>"54888"</f>
        <v>54888</v>
      </c>
      <c r="E32343">
        <v>71.010000000000005</v>
      </c>
    </row>
    <row r="32344" spans="1:5" x14ac:dyDescent="0.2">
      <c r="A32344">
        <v>54889</v>
      </c>
      <c r="B32344" t="s">
        <v>55</v>
      </c>
      <c r="C32344">
        <v>54889</v>
      </c>
      <c r="D32344" t="str">
        <f>"54889"</f>
        <v>54889</v>
      </c>
      <c r="E32344">
        <v>74.290000000000006</v>
      </c>
    </row>
    <row r="32345" spans="1:5" x14ac:dyDescent="0.2">
      <c r="A32345">
        <v>54891</v>
      </c>
      <c r="B32345" t="s">
        <v>55</v>
      </c>
      <c r="C32345">
        <v>54891</v>
      </c>
      <c r="D32345" t="str">
        <f>"54891"</f>
        <v>54891</v>
      </c>
      <c r="E32345">
        <v>72.89</v>
      </c>
    </row>
    <row r="32346" spans="1:5" x14ac:dyDescent="0.2">
      <c r="A32346">
        <v>54893</v>
      </c>
      <c r="B32346" t="s">
        <v>55</v>
      </c>
      <c r="C32346">
        <v>54893</v>
      </c>
      <c r="D32346" t="str">
        <f>"54893"</f>
        <v>54893</v>
      </c>
      <c r="E32346">
        <v>68.84</v>
      </c>
    </row>
    <row r="32347" spans="1:5" x14ac:dyDescent="0.2">
      <c r="A32347">
        <v>54895</v>
      </c>
      <c r="B32347" t="s">
        <v>55</v>
      </c>
      <c r="C32347">
        <v>54895</v>
      </c>
      <c r="D32347" t="str">
        <f>"54895"</f>
        <v>54895</v>
      </c>
      <c r="E32347">
        <v>71.11</v>
      </c>
    </row>
    <row r="32348" spans="1:5" x14ac:dyDescent="0.2">
      <c r="A32348">
        <v>54896</v>
      </c>
      <c r="B32348" t="s">
        <v>55</v>
      </c>
      <c r="C32348">
        <v>54896</v>
      </c>
      <c r="D32348" t="str">
        <f>"54896"</f>
        <v>54896</v>
      </c>
      <c r="E32348">
        <v>71.23</v>
      </c>
    </row>
    <row r="32349" spans="1:5" x14ac:dyDescent="0.2">
      <c r="A32349">
        <v>54901</v>
      </c>
      <c r="B32349" t="s">
        <v>55</v>
      </c>
      <c r="C32349">
        <v>54901</v>
      </c>
      <c r="D32349" t="str">
        <f>"54901"</f>
        <v>54901</v>
      </c>
      <c r="E32349">
        <v>71.48</v>
      </c>
    </row>
    <row r="32350" spans="1:5" x14ac:dyDescent="0.2">
      <c r="A32350">
        <v>54902</v>
      </c>
      <c r="B32350" t="s">
        <v>55</v>
      </c>
      <c r="C32350">
        <v>54902</v>
      </c>
      <c r="D32350" t="str">
        <f>"54902"</f>
        <v>54902</v>
      </c>
      <c r="E32350">
        <v>75.42</v>
      </c>
    </row>
    <row r="32351" spans="1:5" x14ac:dyDescent="0.2">
      <c r="A32351">
        <v>54904</v>
      </c>
      <c r="B32351" t="s">
        <v>55</v>
      </c>
      <c r="C32351">
        <v>54904</v>
      </c>
      <c r="D32351" t="str">
        <f>"54904"</f>
        <v>54904</v>
      </c>
      <c r="E32351">
        <v>80.05</v>
      </c>
    </row>
    <row r="32352" spans="1:5" x14ac:dyDescent="0.2">
      <c r="A32352">
        <v>54909</v>
      </c>
      <c r="B32352" t="s">
        <v>55</v>
      </c>
      <c r="C32352">
        <v>54909</v>
      </c>
      <c r="D32352" t="str">
        <f>"54909"</f>
        <v>54909</v>
      </c>
      <c r="E32352">
        <v>73.739999999999995</v>
      </c>
    </row>
    <row r="32353" spans="1:5" x14ac:dyDescent="0.2">
      <c r="A32353">
        <v>54911</v>
      </c>
      <c r="B32353" t="s">
        <v>55</v>
      </c>
      <c r="C32353">
        <v>54911</v>
      </c>
      <c r="D32353" t="str">
        <f>"54911"</f>
        <v>54911</v>
      </c>
      <c r="E32353">
        <v>74.22</v>
      </c>
    </row>
    <row r="32354" spans="1:5" x14ac:dyDescent="0.2">
      <c r="A32354">
        <v>54913</v>
      </c>
      <c r="B32354" t="s">
        <v>55</v>
      </c>
      <c r="C32354">
        <v>54913</v>
      </c>
      <c r="D32354" t="str">
        <f>"54913"</f>
        <v>54913</v>
      </c>
      <c r="E32354">
        <v>82.96</v>
      </c>
    </row>
    <row r="32355" spans="1:5" x14ac:dyDescent="0.2">
      <c r="A32355">
        <v>54914</v>
      </c>
      <c r="B32355" t="s">
        <v>55</v>
      </c>
      <c r="C32355">
        <v>54914</v>
      </c>
      <c r="D32355" t="str">
        <f>"54914"</f>
        <v>54914</v>
      </c>
      <c r="E32355">
        <v>75.38</v>
      </c>
    </row>
    <row r="32356" spans="1:5" x14ac:dyDescent="0.2">
      <c r="A32356">
        <v>54915</v>
      </c>
      <c r="B32356" t="s">
        <v>55</v>
      </c>
      <c r="C32356">
        <v>54915</v>
      </c>
      <c r="D32356" t="str">
        <f>"54915"</f>
        <v>54915</v>
      </c>
      <c r="E32356">
        <v>77.41</v>
      </c>
    </row>
    <row r="32357" spans="1:5" x14ac:dyDescent="0.2">
      <c r="A32357">
        <v>54919</v>
      </c>
      <c r="B32357" t="s">
        <v>55</v>
      </c>
      <c r="C32357">
        <v>54919</v>
      </c>
      <c r="D32357" t="str">
        <f>"54919"</f>
        <v>54919</v>
      </c>
      <c r="E32357" t="s">
        <v>6</v>
      </c>
    </row>
    <row r="32358" spans="1:5" x14ac:dyDescent="0.2">
      <c r="A32358">
        <v>54921</v>
      </c>
      <c r="B32358" t="s">
        <v>55</v>
      </c>
      <c r="C32358">
        <v>54921</v>
      </c>
      <c r="D32358" t="str">
        <f>"54921"</f>
        <v>54921</v>
      </c>
      <c r="E32358">
        <v>73.53</v>
      </c>
    </row>
    <row r="32359" spans="1:5" x14ac:dyDescent="0.2">
      <c r="A32359">
        <v>54922</v>
      </c>
      <c r="B32359" t="s">
        <v>55</v>
      </c>
      <c r="C32359">
        <v>54922</v>
      </c>
      <c r="D32359" t="str">
        <f>"54922"</f>
        <v>54922</v>
      </c>
      <c r="E32359">
        <v>73.849999999999994</v>
      </c>
    </row>
    <row r="32360" spans="1:5" x14ac:dyDescent="0.2">
      <c r="A32360">
        <v>54923</v>
      </c>
      <c r="B32360" t="s">
        <v>55</v>
      </c>
      <c r="C32360">
        <v>54923</v>
      </c>
      <c r="D32360" t="str">
        <f>"54923"</f>
        <v>54923</v>
      </c>
      <c r="E32360">
        <v>70.77</v>
      </c>
    </row>
    <row r="32361" spans="1:5" x14ac:dyDescent="0.2">
      <c r="A32361">
        <v>54926</v>
      </c>
      <c r="B32361" t="s">
        <v>55</v>
      </c>
      <c r="C32361">
        <v>54926</v>
      </c>
      <c r="D32361" t="str">
        <f>"54926"</f>
        <v>54926</v>
      </c>
      <c r="E32361" t="s">
        <v>6</v>
      </c>
    </row>
    <row r="32362" spans="1:5" x14ac:dyDescent="0.2">
      <c r="A32362">
        <v>54927</v>
      </c>
      <c r="B32362" t="s">
        <v>55</v>
      </c>
      <c r="C32362">
        <v>54927</v>
      </c>
      <c r="D32362" t="str">
        <f>"54927"</f>
        <v>54927</v>
      </c>
      <c r="E32362" t="s">
        <v>6</v>
      </c>
    </row>
    <row r="32363" spans="1:5" x14ac:dyDescent="0.2">
      <c r="A32363">
        <v>54928</v>
      </c>
      <c r="B32363" t="s">
        <v>55</v>
      </c>
      <c r="C32363">
        <v>54928</v>
      </c>
      <c r="D32363" t="str">
        <f>"54928"</f>
        <v>54928</v>
      </c>
      <c r="E32363">
        <v>66.67</v>
      </c>
    </row>
    <row r="32364" spans="1:5" x14ac:dyDescent="0.2">
      <c r="A32364">
        <v>54929</v>
      </c>
      <c r="B32364" t="s">
        <v>55</v>
      </c>
      <c r="C32364">
        <v>54929</v>
      </c>
      <c r="D32364" t="str">
        <f>"54929"</f>
        <v>54929</v>
      </c>
      <c r="E32364">
        <v>72.489999999999995</v>
      </c>
    </row>
    <row r="32365" spans="1:5" x14ac:dyDescent="0.2">
      <c r="A32365">
        <v>54930</v>
      </c>
      <c r="B32365" t="s">
        <v>55</v>
      </c>
      <c r="C32365">
        <v>54930</v>
      </c>
      <c r="D32365" t="str">
        <f>"54930"</f>
        <v>54930</v>
      </c>
      <c r="E32365">
        <v>71.25</v>
      </c>
    </row>
    <row r="32366" spans="1:5" x14ac:dyDescent="0.2">
      <c r="A32366">
        <v>54931</v>
      </c>
      <c r="B32366" t="s">
        <v>55</v>
      </c>
      <c r="C32366">
        <v>54931</v>
      </c>
      <c r="D32366" t="str">
        <f>"54931"</f>
        <v>54931</v>
      </c>
      <c r="E32366" t="s">
        <v>6</v>
      </c>
    </row>
    <row r="32367" spans="1:5" x14ac:dyDescent="0.2">
      <c r="A32367">
        <v>54932</v>
      </c>
      <c r="B32367" t="s">
        <v>55</v>
      </c>
      <c r="C32367">
        <v>54932</v>
      </c>
      <c r="D32367" t="str">
        <f>"54932"</f>
        <v>54932</v>
      </c>
      <c r="E32367">
        <v>81.13</v>
      </c>
    </row>
    <row r="32368" spans="1:5" x14ac:dyDescent="0.2">
      <c r="A32368">
        <v>54933</v>
      </c>
      <c r="B32368" t="s">
        <v>55</v>
      </c>
      <c r="C32368">
        <v>54933</v>
      </c>
      <c r="D32368" t="str">
        <f>"54933"</f>
        <v>54933</v>
      </c>
      <c r="E32368" t="s">
        <v>6</v>
      </c>
    </row>
    <row r="32369" spans="1:5" x14ac:dyDescent="0.2">
      <c r="A32369">
        <v>54935</v>
      </c>
      <c r="B32369" t="s">
        <v>55</v>
      </c>
      <c r="C32369">
        <v>54935</v>
      </c>
      <c r="D32369" t="str">
        <f>"54935"</f>
        <v>54935</v>
      </c>
      <c r="E32369">
        <v>73.64</v>
      </c>
    </row>
    <row r="32370" spans="1:5" x14ac:dyDescent="0.2">
      <c r="A32370">
        <v>54937</v>
      </c>
      <c r="B32370" t="s">
        <v>55</v>
      </c>
      <c r="C32370">
        <v>54937</v>
      </c>
      <c r="D32370" t="str">
        <f>"54937"</f>
        <v>54937</v>
      </c>
      <c r="E32370">
        <v>79.7</v>
      </c>
    </row>
    <row r="32371" spans="1:5" x14ac:dyDescent="0.2">
      <c r="A32371">
        <v>54940</v>
      </c>
      <c r="B32371" t="s">
        <v>55</v>
      </c>
      <c r="C32371">
        <v>54940</v>
      </c>
      <c r="D32371" t="str">
        <f>"54940"</f>
        <v>54940</v>
      </c>
      <c r="E32371">
        <v>80.86</v>
      </c>
    </row>
    <row r="32372" spans="1:5" x14ac:dyDescent="0.2">
      <c r="A32372">
        <v>54941</v>
      </c>
      <c r="B32372" t="s">
        <v>55</v>
      </c>
      <c r="C32372">
        <v>54941</v>
      </c>
      <c r="D32372" t="str">
        <f>"54941"</f>
        <v>54941</v>
      </c>
      <c r="E32372">
        <v>75.180000000000007</v>
      </c>
    </row>
    <row r="32373" spans="1:5" x14ac:dyDescent="0.2">
      <c r="A32373">
        <v>54942</v>
      </c>
      <c r="B32373" t="s">
        <v>55</v>
      </c>
      <c r="C32373">
        <v>54942</v>
      </c>
      <c r="D32373" t="str">
        <f>"54942"</f>
        <v>54942</v>
      </c>
      <c r="E32373">
        <v>83.93</v>
      </c>
    </row>
    <row r="32374" spans="1:5" x14ac:dyDescent="0.2">
      <c r="A32374">
        <v>54943</v>
      </c>
      <c r="B32374" t="s">
        <v>55</v>
      </c>
      <c r="C32374">
        <v>54943</v>
      </c>
      <c r="D32374" t="str">
        <f>"54943"</f>
        <v>54943</v>
      </c>
      <c r="E32374">
        <v>67.78</v>
      </c>
    </row>
    <row r="32375" spans="1:5" x14ac:dyDescent="0.2">
      <c r="A32375">
        <v>54944</v>
      </c>
      <c r="B32375" t="s">
        <v>55</v>
      </c>
      <c r="C32375">
        <v>54944</v>
      </c>
      <c r="D32375" t="str">
        <f>"54944"</f>
        <v>54944</v>
      </c>
      <c r="E32375">
        <v>81.760000000000005</v>
      </c>
    </row>
    <row r="32376" spans="1:5" x14ac:dyDescent="0.2">
      <c r="A32376">
        <v>54945</v>
      </c>
      <c r="B32376" t="s">
        <v>55</v>
      </c>
      <c r="C32376">
        <v>54945</v>
      </c>
      <c r="D32376" t="str">
        <f>"54945"</f>
        <v>54945</v>
      </c>
      <c r="E32376">
        <v>76.47</v>
      </c>
    </row>
    <row r="32377" spans="1:5" x14ac:dyDescent="0.2">
      <c r="A32377">
        <v>54946</v>
      </c>
      <c r="B32377" t="s">
        <v>55</v>
      </c>
      <c r="C32377">
        <v>54946</v>
      </c>
      <c r="D32377" t="str">
        <f>"54946"</f>
        <v>54946</v>
      </c>
      <c r="E32377" t="s">
        <v>6</v>
      </c>
    </row>
    <row r="32378" spans="1:5" x14ac:dyDescent="0.2">
      <c r="A32378">
        <v>54947</v>
      </c>
      <c r="B32378" t="s">
        <v>55</v>
      </c>
      <c r="C32378">
        <v>54947</v>
      </c>
      <c r="D32378" t="str">
        <f>"54947"</f>
        <v>54947</v>
      </c>
      <c r="E32378">
        <v>80.290000000000006</v>
      </c>
    </row>
    <row r="32379" spans="1:5" x14ac:dyDescent="0.2">
      <c r="A32379">
        <v>54948</v>
      </c>
      <c r="B32379" t="s">
        <v>55</v>
      </c>
      <c r="C32379">
        <v>54948</v>
      </c>
      <c r="D32379" t="str">
        <f>"54948"</f>
        <v>54948</v>
      </c>
      <c r="E32379">
        <v>64.290000000000006</v>
      </c>
    </row>
    <row r="32380" spans="1:5" x14ac:dyDescent="0.2">
      <c r="A32380">
        <v>54949</v>
      </c>
      <c r="B32380" t="s">
        <v>55</v>
      </c>
      <c r="C32380">
        <v>54949</v>
      </c>
      <c r="D32380" t="str">
        <f>"54949"</f>
        <v>54949</v>
      </c>
      <c r="E32380">
        <v>75.150000000000006</v>
      </c>
    </row>
    <row r="32381" spans="1:5" x14ac:dyDescent="0.2">
      <c r="A32381">
        <v>54950</v>
      </c>
      <c r="B32381" t="s">
        <v>55</v>
      </c>
      <c r="C32381">
        <v>54950</v>
      </c>
      <c r="D32381" t="str">
        <f>"54950"</f>
        <v>54950</v>
      </c>
      <c r="E32381">
        <v>70.150000000000006</v>
      </c>
    </row>
    <row r="32382" spans="1:5" x14ac:dyDescent="0.2">
      <c r="A32382">
        <v>54952</v>
      </c>
      <c r="B32382" t="s">
        <v>55</v>
      </c>
      <c r="C32382">
        <v>54952</v>
      </c>
      <c r="D32382" t="str">
        <f>"54952"</f>
        <v>54952</v>
      </c>
      <c r="E32382">
        <v>76.16</v>
      </c>
    </row>
    <row r="32383" spans="1:5" x14ac:dyDescent="0.2">
      <c r="A32383">
        <v>54956</v>
      </c>
      <c r="B32383" t="s">
        <v>55</v>
      </c>
      <c r="C32383">
        <v>54956</v>
      </c>
      <c r="D32383" t="str">
        <f>"54956"</f>
        <v>54956</v>
      </c>
      <c r="E32383">
        <v>79.08</v>
      </c>
    </row>
    <row r="32384" spans="1:5" x14ac:dyDescent="0.2">
      <c r="A32384">
        <v>54960</v>
      </c>
      <c r="B32384" t="s">
        <v>55</v>
      </c>
      <c r="C32384">
        <v>54960</v>
      </c>
      <c r="D32384" t="str">
        <f>"54960"</f>
        <v>54960</v>
      </c>
      <c r="E32384">
        <v>71.64</v>
      </c>
    </row>
    <row r="32385" spans="1:5" x14ac:dyDescent="0.2">
      <c r="A32385">
        <v>54961</v>
      </c>
      <c r="B32385" t="s">
        <v>55</v>
      </c>
      <c r="C32385">
        <v>54961</v>
      </c>
      <c r="D32385" t="str">
        <f>"54961"</f>
        <v>54961</v>
      </c>
      <c r="E32385">
        <v>77.78</v>
      </c>
    </row>
    <row r="32386" spans="1:5" x14ac:dyDescent="0.2">
      <c r="A32386">
        <v>54962</v>
      </c>
      <c r="B32386" t="s">
        <v>55</v>
      </c>
      <c r="C32386">
        <v>54962</v>
      </c>
      <c r="D32386" t="str">
        <f>"54962"</f>
        <v>54962</v>
      </c>
      <c r="E32386">
        <v>72.13</v>
      </c>
    </row>
    <row r="32387" spans="1:5" x14ac:dyDescent="0.2">
      <c r="A32387">
        <v>54963</v>
      </c>
      <c r="B32387" t="s">
        <v>55</v>
      </c>
      <c r="C32387">
        <v>54963</v>
      </c>
      <c r="D32387" t="str">
        <f>"54963"</f>
        <v>54963</v>
      </c>
      <c r="E32387">
        <v>75.27</v>
      </c>
    </row>
    <row r="32388" spans="1:5" x14ac:dyDescent="0.2">
      <c r="A32388">
        <v>54964</v>
      </c>
      <c r="B32388" t="s">
        <v>55</v>
      </c>
      <c r="C32388">
        <v>54964</v>
      </c>
      <c r="D32388" t="str">
        <f>"54964"</f>
        <v>54964</v>
      </c>
      <c r="E32388">
        <v>79.31</v>
      </c>
    </row>
    <row r="32389" spans="1:5" x14ac:dyDescent="0.2">
      <c r="A32389">
        <v>54965</v>
      </c>
      <c r="B32389" t="s">
        <v>55</v>
      </c>
      <c r="C32389">
        <v>54965</v>
      </c>
      <c r="D32389" t="str">
        <f>"54965"</f>
        <v>54965</v>
      </c>
      <c r="E32389">
        <v>75.81</v>
      </c>
    </row>
    <row r="32390" spans="1:5" x14ac:dyDescent="0.2">
      <c r="A32390">
        <v>54966</v>
      </c>
      <c r="B32390" t="s">
        <v>55</v>
      </c>
      <c r="C32390">
        <v>54966</v>
      </c>
      <c r="D32390" t="str">
        <f>"54966"</f>
        <v>54966</v>
      </c>
      <c r="E32390">
        <v>70.83</v>
      </c>
    </row>
    <row r="32391" spans="1:5" x14ac:dyDescent="0.2">
      <c r="A32391">
        <v>54967</v>
      </c>
      <c r="B32391" t="s">
        <v>55</v>
      </c>
      <c r="C32391">
        <v>54967</v>
      </c>
      <c r="D32391" t="str">
        <f>"54967"</f>
        <v>54967</v>
      </c>
      <c r="E32391">
        <v>70</v>
      </c>
    </row>
    <row r="32392" spans="1:5" x14ac:dyDescent="0.2">
      <c r="A32392">
        <v>54968</v>
      </c>
      <c r="B32392" t="s">
        <v>55</v>
      </c>
      <c r="C32392">
        <v>54968</v>
      </c>
      <c r="D32392" t="str">
        <f>"54968"</f>
        <v>54968</v>
      </c>
      <c r="E32392">
        <v>71.33</v>
      </c>
    </row>
    <row r="32393" spans="1:5" x14ac:dyDescent="0.2">
      <c r="A32393">
        <v>54970</v>
      </c>
      <c r="B32393" t="s">
        <v>55</v>
      </c>
      <c r="C32393">
        <v>54970</v>
      </c>
      <c r="D32393" t="str">
        <f>"54970"</f>
        <v>54970</v>
      </c>
      <c r="E32393">
        <v>69.12</v>
      </c>
    </row>
    <row r="32394" spans="1:5" x14ac:dyDescent="0.2">
      <c r="A32394">
        <v>54971</v>
      </c>
      <c r="B32394" t="s">
        <v>55</v>
      </c>
      <c r="C32394">
        <v>54971</v>
      </c>
      <c r="D32394" t="str">
        <f>"54971"</f>
        <v>54971</v>
      </c>
      <c r="E32394">
        <v>74</v>
      </c>
    </row>
    <row r="32395" spans="1:5" x14ac:dyDescent="0.2">
      <c r="A32395">
        <v>54974</v>
      </c>
      <c r="B32395" t="s">
        <v>55</v>
      </c>
      <c r="C32395">
        <v>54974</v>
      </c>
      <c r="D32395" t="str">
        <f>"54974"</f>
        <v>54974</v>
      </c>
      <c r="E32395">
        <v>82.05</v>
      </c>
    </row>
    <row r="32396" spans="1:5" x14ac:dyDescent="0.2">
      <c r="A32396">
        <v>54977</v>
      </c>
      <c r="B32396" t="s">
        <v>55</v>
      </c>
      <c r="C32396">
        <v>54977</v>
      </c>
      <c r="D32396" t="str">
        <f>"54977"</f>
        <v>54977</v>
      </c>
      <c r="E32396">
        <v>77.27</v>
      </c>
    </row>
    <row r="32397" spans="1:5" x14ac:dyDescent="0.2">
      <c r="A32397">
        <v>54978</v>
      </c>
      <c r="B32397" t="s">
        <v>55</v>
      </c>
      <c r="C32397">
        <v>54978</v>
      </c>
      <c r="D32397" t="str">
        <f>"54978"</f>
        <v>54978</v>
      </c>
      <c r="E32397" t="s">
        <v>6</v>
      </c>
    </row>
    <row r="32398" spans="1:5" x14ac:dyDescent="0.2">
      <c r="A32398">
        <v>54979</v>
      </c>
      <c r="B32398" t="s">
        <v>55</v>
      </c>
      <c r="C32398">
        <v>54979</v>
      </c>
      <c r="D32398" t="str">
        <f>"54979"</f>
        <v>54979</v>
      </c>
      <c r="E32398">
        <v>80.52</v>
      </c>
    </row>
    <row r="32399" spans="1:5" x14ac:dyDescent="0.2">
      <c r="A32399">
        <v>54980</v>
      </c>
      <c r="B32399" t="s">
        <v>55</v>
      </c>
      <c r="C32399">
        <v>54980</v>
      </c>
      <c r="D32399" t="str">
        <f>"54980"</f>
        <v>54980</v>
      </c>
      <c r="E32399" t="s">
        <v>6</v>
      </c>
    </row>
    <row r="32400" spans="1:5" x14ac:dyDescent="0.2">
      <c r="A32400">
        <v>54981</v>
      </c>
      <c r="B32400" t="s">
        <v>55</v>
      </c>
      <c r="C32400">
        <v>54981</v>
      </c>
      <c r="D32400" t="str">
        <f>"54981"</f>
        <v>54981</v>
      </c>
      <c r="E32400">
        <v>73.459999999999994</v>
      </c>
    </row>
    <row r="32401" spans="1:5" x14ac:dyDescent="0.2">
      <c r="A32401">
        <v>54982</v>
      </c>
      <c r="B32401" t="s">
        <v>55</v>
      </c>
      <c r="C32401">
        <v>54982</v>
      </c>
      <c r="D32401" t="str">
        <f>"54982"</f>
        <v>54982</v>
      </c>
      <c r="E32401">
        <v>69.099999999999994</v>
      </c>
    </row>
    <row r="32402" spans="1:5" x14ac:dyDescent="0.2">
      <c r="A32402">
        <v>54983</v>
      </c>
      <c r="B32402" t="s">
        <v>55</v>
      </c>
      <c r="C32402">
        <v>54983</v>
      </c>
      <c r="D32402" t="str">
        <f>"54983"</f>
        <v>54983</v>
      </c>
      <c r="E32402">
        <v>76.89</v>
      </c>
    </row>
    <row r="32403" spans="1:5" x14ac:dyDescent="0.2">
      <c r="A32403">
        <v>54984</v>
      </c>
      <c r="B32403" t="s">
        <v>55</v>
      </c>
      <c r="C32403">
        <v>54984</v>
      </c>
      <c r="D32403" t="str">
        <f>"54984"</f>
        <v>54984</v>
      </c>
      <c r="E32403">
        <v>70.39</v>
      </c>
    </row>
    <row r="32404" spans="1:5" x14ac:dyDescent="0.2">
      <c r="A32404">
        <v>54985</v>
      </c>
      <c r="B32404" t="s">
        <v>55</v>
      </c>
      <c r="C32404">
        <v>54985</v>
      </c>
      <c r="D32404" t="str">
        <f>"54985"</f>
        <v>54985</v>
      </c>
      <c r="E32404" t="s">
        <v>6</v>
      </c>
    </row>
    <row r="32405" spans="1:5" x14ac:dyDescent="0.2">
      <c r="A32405">
        <v>54986</v>
      </c>
      <c r="B32405" t="s">
        <v>55</v>
      </c>
      <c r="C32405">
        <v>54986</v>
      </c>
      <c r="D32405" t="str">
        <f>"54986"</f>
        <v>54986</v>
      </c>
      <c r="E32405">
        <v>78.849999999999994</v>
      </c>
    </row>
    <row r="32406" spans="1:5" x14ac:dyDescent="0.2">
      <c r="A32406">
        <v>24701</v>
      </c>
      <c r="B32406" t="s">
        <v>56</v>
      </c>
      <c r="C32406">
        <v>24701</v>
      </c>
      <c r="D32406" t="str">
        <f>"24701"</f>
        <v>24701</v>
      </c>
      <c r="E32406">
        <v>62.35</v>
      </c>
    </row>
    <row r="32407" spans="1:5" x14ac:dyDescent="0.2">
      <c r="A32407">
        <v>24712</v>
      </c>
      <c r="B32407" t="s">
        <v>56</v>
      </c>
      <c r="C32407">
        <v>24712</v>
      </c>
      <c r="D32407" t="str">
        <f>"24712"</f>
        <v>24712</v>
      </c>
      <c r="E32407">
        <v>66.27</v>
      </c>
    </row>
    <row r="32408" spans="1:5" x14ac:dyDescent="0.2">
      <c r="A32408">
        <v>24714</v>
      </c>
      <c r="B32408" t="s">
        <v>56</v>
      </c>
      <c r="C32408">
        <v>24714</v>
      </c>
      <c r="D32408" t="str">
        <f>"24714"</f>
        <v>24714</v>
      </c>
      <c r="E32408" t="s">
        <v>6</v>
      </c>
    </row>
    <row r="32409" spans="1:5" x14ac:dyDescent="0.2">
      <c r="A32409">
        <v>24715</v>
      </c>
      <c r="B32409" t="s">
        <v>56</v>
      </c>
      <c r="C32409">
        <v>24715</v>
      </c>
      <c r="D32409" t="str">
        <f>"24715"</f>
        <v>24715</v>
      </c>
      <c r="E32409">
        <v>60</v>
      </c>
    </row>
    <row r="32410" spans="1:5" x14ac:dyDescent="0.2">
      <c r="A32410">
        <v>24724</v>
      </c>
      <c r="B32410" t="s">
        <v>56</v>
      </c>
      <c r="C32410">
        <v>24724</v>
      </c>
      <c r="D32410" t="str">
        <f>"24724"</f>
        <v>24724</v>
      </c>
      <c r="E32410" t="s">
        <v>6</v>
      </c>
    </row>
    <row r="32411" spans="1:5" x14ac:dyDescent="0.2">
      <c r="A32411">
        <v>24726</v>
      </c>
      <c r="B32411" t="s">
        <v>56</v>
      </c>
      <c r="C32411">
        <v>24726</v>
      </c>
      <c r="D32411" t="str">
        <f>"24726"</f>
        <v>24726</v>
      </c>
      <c r="E32411">
        <v>60</v>
      </c>
    </row>
    <row r="32412" spans="1:5" x14ac:dyDescent="0.2">
      <c r="A32412">
        <v>24729</v>
      </c>
      <c r="B32412" t="s">
        <v>56</v>
      </c>
      <c r="C32412">
        <v>24729</v>
      </c>
      <c r="D32412" t="str">
        <f>"24729"</f>
        <v>24729</v>
      </c>
      <c r="E32412" t="s">
        <v>6</v>
      </c>
    </row>
    <row r="32413" spans="1:5" x14ac:dyDescent="0.2">
      <c r="A32413">
        <v>24731</v>
      </c>
      <c r="B32413" t="s">
        <v>56</v>
      </c>
      <c r="C32413">
        <v>24731</v>
      </c>
      <c r="D32413" t="str">
        <f>"24731"</f>
        <v>24731</v>
      </c>
      <c r="E32413">
        <v>66.67</v>
      </c>
    </row>
    <row r="32414" spans="1:5" x14ac:dyDescent="0.2">
      <c r="A32414">
        <v>24733</v>
      </c>
      <c r="B32414" t="s">
        <v>56</v>
      </c>
      <c r="C32414">
        <v>24733</v>
      </c>
      <c r="D32414" t="str">
        <f>"24733"</f>
        <v>24733</v>
      </c>
      <c r="E32414">
        <v>61.76</v>
      </c>
    </row>
    <row r="32415" spans="1:5" x14ac:dyDescent="0.2">
      <c r="A32415">
        <v>24736</v>
      </c>
      <c r="B32415" t="s">
        <v>56</v>
      </c>
      <c r="C32415">
        <v>24736</v>
      </c>
      <c r="D32415" t="str">
        <f>"24736"</f>
        <v>24736</v>
      </c>
      <c r="E32415">
        <v>61.9</v>
      </c>
    </row>
    <row r="32416" spans="1:5" x14ac:dyDescent="0.2">
      <c r="A32416">
        <v>24737</v>
      </c>
      <c r="B32416" t="s">
        <v>56</v>
      </c>
      <c r="C32416">
        <v>24737</v>
      </c>
      <c r="D32416" t="str">
        <f>"24737"</f>
        <v>24737</v>
      </c>
      <c r="E32416" t="s">
        <v>6</v>
      </c>
    </row>
    <row r="32417" spans="1:5" x14ac:dyDescent="0.2">
      <c r="A32417">
        <v>24739</v>
      </c>
      <c r="B32417" t="s">
        <v>56</v>
      </c>
      <c r="C32417">
        <v>24739</v>
      </c>
      <c r="D32417" t="str">
        <f>"24739"</f>
        <v>24739</v>
      </c>
      <c r="E32417" t="s">
        <v>6</v>
      </c>
    </row>
    <row r="32418" spans="1:5" x14ac:dyDescent="0.2">
      <c r="A32418">
        <v>24740</v>
      </c>
      <c r="B32418" t="s">
        <v>56</v>
      </c>
      <c r="C32418">
        <v>24740</v>
      </c>
      <c r="D32418" t="str">
        <f>"24740"</f>
        <v>24740</v>
      </c>
      <c r="E32418">
        <v>64.33</v>
      </c>
    </row>
    <row r="32419" spans="1:5" x14ac:dyDescent="0.2">
      <c r="A32419">
        <v>24747</v>
      </c>
      <c r="B32419" t="s">
        <v>56</v>
      </c>
      <c r="C32419">
        <v>24747</v>
      </c>
      <c r="D32419" t="str">
        <f>"24747"</f>
        <v>24747</v>
      </c>
      <c r="E32419">
        <v>59.3</v>
      </c>
    </row>
    <row r="32420" spans="1:5" x14ac:dyDescent="0.2">
      <c r="A32420">
        <v>24801</v>
      </c>
      <c r="B32420" t="s">
        <v>56</v>
      </c>
      <c r="C32420">
        <v>24801</v>
      </c>
      <c r="D32420" t="str">
        <f>"24801"</f>
        <v>24801</v>
      </c>
      <c r="E32420">
        <v>64.099999999999994</v>
      </c>
    </row>
    <row r="32421" spans="1:5" x14ac:dyDescent="0.2">
      <c r="A32421">
        <v>24808</v>
      </c>
      <c r="B32421" t="s">
        <v>56</v>
      </c>
      <c r="C32421">
        <v>24808</v>
      </c>
      <c r="D32421" t="str">
        <f>"24808"</f>
        <v>24808</v>
      </c>
      <c r="E32421">
        <v>57.14</v>
      </c>
    </row>
    <row r="32422" spans="1:5" x14ac:dyDescent="0.2">
      <c r="A32422">
        <v>24811</v>
      </c>
      <c r="B32422" t="s">
        <v>56</v>
      </c>
      <c r="C32422">
        <v>24811</v>
      </c>
      <c r="D32422" t="str">
        <f>"24811"</f>
        <v>24811</v>
      </c>
      <c r="E32422" t="s">
        <v>6</v>
      </c>
    </row>
    <row r="32423" spans="1:5" x14ac:dyDescent="0.2">
      <c r="A32423">
        <v>24813</v>
      </c>
      <c r="B32423" t="s">
        <v>56</v>
      </c>
      <c r="C32423">
        <v>24813</v>
      </c>
      <c r="D32423" t="str">
        <f>"24813"</f>
        <v>24813</v>
      </c>
      <c r="E32423" t="s">
        <v>6</v>
      </c>
    </row>
    <row r="32424" spans="1:5" x14ac:dyDescent="0.2">
      <c r="A32424">
        <v>24815</v>
      </c>
      <c r="B32424" t="s">
        <v>56</v>
      </c>
      <c r="C32424">
        <v>24815</v>
      </c>
      <c r="D32424" t="str">
        <f>"24815"</f>
        <v>24815</v>
      </c>
      <c r="E32424">
        <v>50</v>
      </c>
    </row>
    <row r="32425" spans="1:5" x14ac:dyDescent="0.2">
      <c r="A32425">
        <v>24816</v>
      </c>
      <c r="B32425" t="s">
        <v>56</v>
      </c>
      <c r="C32425">
        <v>24816</v>
      </c>
      <c r="D32425" t="str">
        <f>"24816"</f>
        <v>24816</v>
      </c>
      <c r="E32425" t="s">
        <v>6</v>
      </c>
    </row>
    <row r="32426" spans="1:5" x14ac:dyDescent="0.2">
      <c r="A32426">
        <v>24817</v>
      </c>
      <c r="B32426" t="s">
        <v>56</v>
      </c>
      <c r="C32426">
        <v>24817</v>
      </c>
      <c r="D32426" t="str">
        <f>"24817"</f>
        <v>24817</v>
      </c>
      <c r="E32426" t="s">
        <v>6</v>
      </c>
    </row>
    <row r="32427" spans="1:5" x14ac:dyDescent="0.2">
      <c r="A32427">
        <v>24818</v>
      </c>
      <c r="B32427" t="s">
        <v>56</v>
      </c>
      <c r="C32427">
        <v>24818</v>
      </c>
      <c r="D32427" t="str">
        <f>"24818"</f>
        <v>24818</v>
      </c>
      <c r="E32427">
        <v>59.38</v>
      </c>
    </row>
    <row r="32428" spans="1:5" x14ac:dyDescent="0.2">
      <c r="A32428">
        <v>24822</v>
      </c>
      <c r="B32428" t="s">
        <v>56</v>
      </c>
      <c r="C32428">
        <v>24822</v>
      </c>
      <c r="D32428" t="str">
        <f>"24822"</f>
        <v>24822</v>
      </c>
      <c r="E32428">
        <v>59.09</v>
      </c>
    </row>
    <row r="32429" spans="1:5" x14ac:dyDescent="0.2">
      <c r="A32429">
        <v>24823</v>
      </c>
      <c r="B32429" t="s">
        <v>56</v>
      </c>
      <c r="C32429">
        <v>24823</v>
      </c>
      <c r="D32429" t="str">
        <f>"24823"</f>
        <v>24823</v>
      </c>
      <c r="E32429">
        <v>60</v>
      </c>
    </row>
    <row r="32430" spans="1:5" x14ac:dyDescent="0.2">
      <c r="A32430">
        <v>24826</v>
      </c>
      <c r="B32430" t="s">
        <v>56</v>
      </c>
      <c r="C32430">
        <v>24826</v>
      </c>
      <c r="D32430" t="str">
        <f>"24826"</f>
        <v>24826</v>
      </c>
      <c r="E32430" t="s">
        <v>6</v>
      </c>
    </row>
    <row r="32431" spans="1:5" x14ac:dyDescent="0.2">
      <c r="A32431">
        <v>24827</v>
      </c>
      <c r="B32431" t="s">
        <v>56</v>
      </c>
      <c r="C32431">
        <v>24827</v>
      </c>
      <c r="D32431" t="str">
        <f>"24827"</f>
        <v>24827</v>
      </c>
      <c r="E32431">
        <v>57.14</v>
      </c>
    </row>
    <row r="32432" spans="1:5" x14ac:dyDescent="0.2">
      <c r="A32432">
        <v>24828</v>
      </c>
      <c r="B32432" t="s">
        <v>56</v>
      </c>
      <c r="C32432">
        <v>24828</v>
      </c>
      <c r="D32432" t="str">
        <f>"24828"</f>
        <v>24828</v>
      </c>
      <c r="E32432">
        <v>52.38</v>
      </c>
    </row>
    <row r="32433" spans="1:5" x14ac:dyDescent="0.2">
      <c r="A32433">
        <v>24829</v>
      </c>
      <c r="B32433" t="s">
        <v>56</v>
      </c>
      <c r="C32433">
        <v>24829</v>
      </c>
      <c r="D32433" t="str">
        <f>"24829"</f>
        <v>24829</v>
      </c>
      <c r="E32433" t="s">
        <v>6</v>
      </c>
    </row>
    <row r="32434" spans="1:5" x14ac:dyDescent="0.2">
      <c r="A32434">
        <v>24830</v>
      </c>
      <c r="B32434" t="s">
        <v>56</v>
      </c>
      <c r="C32434">
        <v>24830</v>
      </c>
      <c r="D32434" t="str">
        <f>"24830"</f>
        <v>24830</v>
      </c>
      <c r="E32434" t="s">
        <v>6</v>
      </c>
    </row>
    <row r="32435" spans="1:5" x14ac:dyDescent="0.2">
      <c r="A32435">
        <v>24831</v>
      </c>
      <c r="B32435" t="s">
        <v>56</v>
      </c>
      <c r="C32435">
        <v>24831</v>
      </c>
      <c r="D32435" t="str">
        <f>"24831"</f>
        <v>24831</v>
      </c>
      <c r="E32435" t="s">
        <v>6</v>
      </c>
    </row>
    <row r="32436" spans="1:5" x14ac:dyDescent="0.2">
      <c r="A32436">
        <v>24834</v>
      </c>
      <c r="B32436" t="s">
        <v>56</v>
      </c>
      <c r="C32436">
        <v>24834</v>
      </c>
      <c r="D32436" t="str">
        <f>"24834"</f>
        <v>24834</v>
      </c>
      <c r="E32436" t="s">
        <v>6</v>
      </c>
    </row>
    <row r="32437" spans="1:5" x14ac:dyDescent="0.2">
      <c r="A32437">
        <v>24836</v>
      </c>
      <c r="B32437" t="s">
        <v>56</v>
      </c>
      <c r="C32437">
        <v>24836</v>
      </c>
      <c r="D32437" t="str">
        <f>"24836"</f>
        <v>24836</v>
      </c>
      <c r="E32437" t="s">
        <v>6</v>
      </c>
    </row>
    <row r="32438" spans="1:5" x14ac:dyDescent="0.2">
      <c r="A32438">
        <v>24839</v>
      </c>
      <c r="B32438" t="s">
        <v>56</v>
      </c>
      <c r="C32438">
        <v>24839</v>
      </c>
      <c r="D32438" t="str">
        <f>"24839"</f>
        <v>24839</v>
      </c>
      <c r="E32438">
        <v>63.64</v>
      </c>
    </row>
    <row r="32439" spans="1:5" x14ac:dyDescent="0.2">
      <c r="A32439">
        <v>24843</v>
      </c>
      <c r="B32439" t="s">
        <v>56</v>
      </c>
      <c r="C32439">
        <v>24843</v>
      </c>
      <c r="D32439" t="str">
        <f>"24843"</f>
        <v>24843</v>
      </c>
      <c r="E32439" t="s">
        <v>6</v>
      </c>
    </row>
    <row r="32440" spans="1:5" x14ac:dyDescent="0.2">
      <c r="A32440">
        <v>24844</v>
      </c>
      <c r="B32440" t="s">
        <v>56</v>
      </c>
      <c r="C32440">
        <v>24844</v>
      </c>
      <c r="D32440" t="str">
        <f>"24844"</f>
        <v>24844</v>
      </c>
      <c r="E32440">
        <v>61.11</v>
      </c>
    </row>
    <row r="32441" spans="1:5" x14ac:dyDescent="0.2">
      <c r="A32441">
        <v>24845</v>
      </c>
      <c r="B32441" t="s">
        <v>56</v>
      </c>
      <c r="C32441">
        <v>24845</v>
      </c>
      <c r="D32441" t="str">
        <f>"24845"</f>
        <v>24845</v>
      </c>
      <c r="E32441" t="s">
        <v>6</v>
      </c>
    </row>
    <row r="32442" spans="1:5" x14ac:dyDescent="0.2">
      <c r="A32442">
        <v>24846</v>
      </c>
      <c r="B32442" t="s">
        <v>56</v>
      </c>
      <c r="C32442">
        <v>24846</v>
      </c>
      <c r="D32442" t="str">
        <f>"24846"</f>
        <v>24846</v>
      </c>
      <c r="E32442" t="s">
        <v>6</v>
      </c>
    </row>
    <row r="32443" spans="1:5" x14ac:dyDescent="0.2">
      <c r="A32443">
        <v>24847</v>
      </c>
      <c r="B32443" t="s">
        <v>56</v>
      </c>
      <c r="C32443">
        <v>24847</v>
      </c>
      <c r="D32443" t="str">
        <f>"24847"</f>
        <v>24847</v>
      </c>
      <c r="E32443" t="s">
        <v>6</v>
      </c>
    </row>
    <row r="32444" spans="1:5" x14ac:dyDescent="0.2">
      <c r="A32444">
        <v>24848</v>
      </c>
      <c r="B32444" t="s">
        <v>56</v>
      </c>
      <c r="C32444">
        <v>24848</v>
      </c>
      <c r="D32444" t="str">
        <f>"24848"</f>
        <v>24848</v>
      </c>
      <c r="E32444" t="s">
        <v>6</v>
      </c>
    </row>
    <row r="32445" spans="1:5" x14ac:dyDescent="0.2">
      <c r="A32445">
        <v>24849</v>
      </c>
      <c r="B32445" t="s">
        <v>56</v>
      </c>
      <c r="C32445">
        <v>24849</v>
      </c>
      <c r="D32445" t="str">
        <f>"24849"</f>
        <v>24849</v>
      </c>
      <c r="E32445" t="s">
        <v>6</v>
      </c>
    </row>
    <row r="32446" spans="1:5" x14ac:dyDescent="0.2">
      <c r="A32446">
        <v>24850</v>
      </c>
      <c r="B32446" t="s">
        <v>56</v>
      </c>
      <c r="C32446">
        <v>24850</v>
      </c>
      <c r="D32446" t="str">
        <f>"24850"</f>
        <v>24850</v>
      </c>
      <c r="E32446">
        <v>62.5</v>
      </c>
    </row>
    <row r="32447" spans="1:5" x14ac:dyDescent="0.2">
      <c r="A32447">
        <v>24851</v>
      </c>
      <c r="B32447" t="s">
        <v>56</v>
      </c>
      <c r="C32447">
        <v>24851</v>
      </c>
      <c r="D32447" t="str">
        <f>"24851"</f>
        <v>24851</v>
      </c>
      <c r="E32447" t="s">
        <v>6</v>
      </c>
    </row>
    <row r="32448" spans="1:5" x14ac:dyDescent="0.2">
      <c r="A32448">
        <v>24853</v>
      </c>
      <c r="B32448" t="s">
        <v>56</v>
      </c>
      <c r="C32448">
        <v>24853</v>
      </c>
      <c r="D32448" t="str">
        <f>"24853"</f>
        <v>24853</v>
      </c>
      <c r="E32448" t="s">
        <v>6</v>
      </c>
    </row>
    <row r="32449" spans="1:5" x14ac:dyDescent="0.2">
      <c r="A32449">
        <v>24855</v>
      </c>
      <c r="B32449" t="s">
        <v>56</v>
      </c>
      <c r="C32449">
        <v>24855</v>
      </c>
      <c r="D32449" t="str">
        <f>"24855"</f>
        <v>24855</v>
      </c>
      <c r="E32449" t="s">
        <v>6</v>
      </c>
    </row>
    <row r="32450" spans="1:5" x14ac:dyDescent="0.2">
      <c r="A32450">
        <v>24860</v>
      </c>
      <c r="B32450" t="s">
        <v>56</v>
      </c>
      <c r="C32450">
        <v>24860</v>
      </c>
      <c r="D32450" t="str">
        <f>"24860"</f>
        <v>24860</v>
      </c>
      <c r="E32450">
        <v>58.82</v>
      </c>
    </row>
    <row r="32451" spans="1:5" x14ac:dyDescent="0.2">
      <c r="A32451">
        <v>24861</v>
      </c>
      <c r="B32451" t="s">
        <v>56</v>
      </c>
      <c r="C32451">
        <v>24861</v>
      </c>
      <c r="D32451" t="str">
        <f>"24861"</f>
        <v>24861</v>
      </c>
      <c r="E32451" t="s">
        <v>6</v>
      </c>
    </row>
    <row r="32452" spans="1:5" x14ac:dyDescent="0.2">
      <c r="A32452">
        <v>24862</v>
      </c>
      <c r="B32452" t="s">
        <v>56</v>
      </c>
      <c r="C32452">
        <v>24862</v>
      </c>
      <c r="D32452" t="str">
        <f>"24862"</f>
        <v>24862</v>
      </c>
      <c r="E32452" t="s">
        <v>6</v>
      </c>
    </row>
    <row r="32453" spans="1:5" x14ac:dyDescent="0.2">
      <c r="A32453">
        <v>24866</v>
      </c>
      <c r="B32453" t="s">
        <v>56</v>
      </c>
      <c r="C32453">
        <v>24866</v>
      </c>
      <c r="D32453" t="str">
        <f>"24866"</f>
        <v>24866</v>
      </c>
      <c r="E32453" t="s">
        <v>6</v>
      </c>
    </row>
    <row r="32454" spans="1:5" x14ac:dyDescent="0.2">
      <c r="A32454">
        <v>24867</v>
      </c>
      <c r="B32454" t="s">
        <v>56</v>
      </c>
      <c r="C32454">
        <v>24867</v>
      </c>
      <c r="D32454" t="str">
        <f>"24867"</f>
        <v>24867</v>
      </c>
      <c r="E32454" t="s">
        <v>6</v>
      </c>
    </row>
    <row r="32455" spans="1:5" x14ac:dyDescent="0.2">
      <c r="A32455">
        <v>24868</v>
      </c>
      <c r="B32455" t="s">
        <v>56</v>
      </c>
      <c r="C32455">
        <v>24868</v>
      </c>
      <c r="D32455" t="str">
        <f>"24868"</f>
        <v>24868</v>
      </c>
      <c r="E32455">
        <v>53.85</v>
      </c>
    </row>
    <row r="32456" spans="1:5" x14ac:dyDescent="0.2">
      <c r="A32456">
        <v>24869</v>
      </c>
      <c r="B32456" t="s">
        <v>56</v>
      </c>
      <c r="C32456">
        <v>24869</v>
      </c>
      <c r="D32456" t="str">
        <f>"24869"</f>
        <v>24869</v>
      </c>
      <c r="E32456" t="s">
        <v>6</v>
      </c>
    </row>
    <row r="32457" spans="1:5" x14ac:dyDescent="0.2">
      <c r="A32457">
        <v>24870</v>
      </c>
      <c r="B32457" t="s">
        <v>56</v>
      </c>
      <c r="C32457">
        <v>24870</v>
      </c>
      <c r="D32457" t="str">
        <f>"24870"</f>
        <v>24870</v>
      </c>
      <c r="E32457">
        <v>62.9</v>
      </c>
    </row>
    <row r="32458" spans="1:5" x14ac:dyDescent="0.2">
      <c r="A32458">
        <v>24871</v>
      </c>
      <c r="B32458" t="s">
        <v>56</v>
      </c>
      <c r="C32458">
        <v>24871</v>
      </c>
      <c r="D32458" t="str">
        <f>"24871"</f>
        <v>24871</v>
      </c>
      <c r="E32458" t="s">
        <v>6</v>
      </c>
    </row>
    <row r="32459" spans="1:5" x14ac:dyDescent="0.2">
      <c r="A32459">
        <v>24872</v>
      </c>
      <c r="B32459" t="s">
        <v>56</v>
      </c>
      <c r="C32459">
        <v>24872</v>
      </c>
      <c r="D32459" t="str">
        <f>"24872"</f>
        <v>24872</v>
      </c>
      <c r="E32459">
        <v>52.38</v>
      </c>
    </row>
    <row r="32460" spans="1:5" x14ac:dyDescent="0.2">
      <c r="A32460">
        <v>24873</v>
      </c>
      <c r="B32460" t="s">
        <v>56</v>
      </c>
      <c r="C32460">
        <v>24873</v>
      </c>
      <c r="D32460" t="str">
        <f>"24873"</f>
        <v>24873</v>
      </c>
      <c r="E32460">
        <v>52.94</v>
      </c>
    </row>
    <row r="32461" spans="1:5" x14ac:dyDescent="0.2">
      <c r="A32461">
        <v>24874</v>
      </c>
      <c r="B32461" t="s">
        <v>56</v>
      </c>
      <c r="C32461">
        <v>24874</v>
      </c>
      <c r="D32461" t="str">
        <f>"24874"</f>
        <v>24874</v>
      </c>
      <c r="E32461">
        <v>69.16</v>
      </c>
    </row>
    <row r="32462" spans="1:5" x14ac:dyDescent="0.2">
      <c r="A32462">
        <v>24879</v>
      </c>
      <c r="B32462" t="s">
        <v>56</v>
      </c>
      <c r="C32462">
        <v>24879</v>
      </c>
      <c r="D32462" t="str">
        <f>"24879"</f>
        <v>24879</v>
      </c>
      <c r="E32462">
        <v>53.85</v>
      </c>
    </row>
    <row r="32463" spans="1:5" x14ac:dyDescent="0.2">
      <c r="A32463">
        <v>24880</v>
      </c>
      <c r="B32463" t="s">
        <v>56</v>
      </c>
      <c r="C32463">
        <v>24880</v>
      </c>
      <c r="D32463" t="str">
        <f>"24880"</f>
        <v>24880</v>
      </c>
      <c r="E32463" t="s">
        <v>6</v>
      </c>
    </row>
    <row r="32464" spans="1:5" x14ac:dyDescent="0.2">
      <c r="A32464">
        <v>24881</v>
      </c>
      <c r="B32464" t="s">
        <v>56</v>
      </c>
      <c r="C32464">
        <v>24881</v>
      </c>
      <c r="D32464" t="str">
        <f>"24881"</f>
        <v>24881</v>
      </c>
      <c r="E32464" t="s">
        <v>6</v>
      </c>
    </row>
    <row r="32465" spans="1:5" x14ac:dyDescent="0.2">
      <c r="A32465">
        <v>24882</v>
      </c>
      <c r="B32465" t="s">
        <v>56</v>
      </c>
      <c r="C32465">
        <v>24882</v>
      </c>
      <c r="D32465" t="str">
        <f>"24882"</f>
        <v>24882</v>
      </c>
      <c r="E32465">
        <v>40</v>
      </c>
    </row>
    <row r="32466" spans="1:5" x14ac:dyDescent="0.2">
      <c r="A32466">
        <v>24884</v>
      </c>
      <c r="B32466" t="s">
        <v>56</v>
      </c>
      <c r="C32466">
        <v>24884</v>
      </c>
      <c r="D32466" t="str">
        <f>"24884"</f>
        <v>24884</v>
      </c>
      <c r="E32466" t="s">
        <v>6</v>
      </c>
    </row>
    <row r="32467" spans="1:5" x14ac:dyDescent="0.2">
      <c r="A32467">
        <v>24887</v>
      </c>
      <c r="B32467" t="s">
        <v>56</v>
      </c>
      <c r="C32467">
        <v>24887</v>
      </c>
      <c r="D32467" t="str">
        <f>"24887"</f>
        <v>24887</v>
      </c>
      <c r="E32467" t="s">
        <v>6</v>
      </c>
    </row>
    <row r="32468" spans="1:5" x14ac:dyDescent="0.2">
      <c r="A32468">
        <v>24888</v>
      </c>
      <c r="B32468" t="s">
        <v>56</v>
      </c>
      <c r="C32468">
        <v>24888</v>
      </c>
      <c r="D32468" t="str">
        <f>"24888"</f>
        <v>24888</v>
      </c>
      <c r="E32468" t="s">
        <v>6</v>
      </c>
    </row>
    <row r="32469" spans="1:5" x14ac:dyDescent="0.2">
      <c r="A32469">
        <v>24892</v>
      </c>
      <c r="B32469" t="s">
        <v>56</v>
      </c>
      <c r="C32469">
        <v>24892</v>
      </c>
      <c r="D32469" t="str">
        <f>"24892"</f>
        <v>24892</v>
      </c>
      <c r="E32469">
        <v>52.78</v>
      </c>
    </row>
    <row r="32470" spans="1:5" x14ac:dyDescent="0.2">
      <c r="A32470">
        <v>24894</v>
      </c>
      <c r="B32470" t="s">
        <v>56</v>
      </c>
      <c r="C32470">
        <v>24894</v>
      </c>
      <c r="D32470" t="str">
        <f>"24894"</f>
        <v>24894</v>
      </c>
      <c r="E32470" t="s">
        <v>6</v>
      </c>
    </row>
    <row r="32471" spans="1:5" x14ac:dyDescent="0.2">
      <c r="A32471">
        <v>24895</v>
      </c>
      <c r="B32471" t="s">
        <v>56</v>
      </c>
      <c r="C32471">
        <v>24895</v>
      </c>
      <c r="D32471" t="str">
        <f>"24895"</f>
        <v>24895</v>
      </c>
      <c r="E32471" t="s">
        <v>6</v>
      </c>
    </row>
    <row r="32472" spans="1:5" x14ac:dyDescent="0.2">
      <c r="A32472">
        <v>24898</v>
      </c>
      <c r="B32472" t="s">
        <v>56</v>
      </c>
      <c r="C32472">
        <v>24898</v>
      </c>
      <c r="D32472" t="str">
        <f>"24898"</f>
        <v>24898</v>
      </c>
      <c r="E32472" t="s">
        <v>6</v>
      </c>
    </row>
    <row r="32473" spans="1:5" x14ac:dyDescent="0.2">
      <c r="A32473">
        <v>24901</v>
      </c>
      <c r="B32473" t="s">
        <v>56</v>
      </c>
      <c r="C32473">
        <v>24901</v>
      </c>
      <c r="D32473" t="str">
        <f>"24901"</f>
        <v>24901</v>
      </c>
      <c r="E32473">
        <v>72.2</v>
      </c>
    </row>
    <row r="32474" spans="1:5" x14ac:dyDescent="0.2">
      <c r="A32474">
        <v>24910</v>
      </c>
      <c r="B32474" t="s">
        <v>56</v>
      </c>
      <c r="C32474">
        <v>24910</v>
      </c>
      <c r="D32474" t="str">
        <f>"24910"</f>
        <v>24910</v>
      </c>
      <c r="E32474">
        <v>65.58</v>
      </c>
    </row>
    <row r="32475" spans="1:5" x14ac:dyDescent="0.2">
      <c r="A32475">
        <v>24915</v>
      </c>
      <c r="B32475" t="s">
        <v>56</v>
      </c>
      <c r="C32475">
        <v>24915</v>
      </c>
      <c r="D32475" t="str">
        <f>"24915"</f>
        <v>24915</v>
      </c>
      <c r="E32475">
        <v>63.16</v>
      </c>
    </row>
    <row r="32476" spans="1:5" x14ac:dyDescent="0.2">
      <c r="A32476">
        <v>24916</v>
      </c>
      <c r="B32476" t="s">
        <v>56</v>
      </c>
      <c r="C32476">
        <v>24916</v>
      </c>
      <c r="D32476" t="str">
        <f>"24916"</f>
        <v>24916</v>
      </c>
      <c r="E32476">
        <v>68.75</v>
      </c>
    </row>
    <row r="32477" spans="1:5" x14ac:dyDescent="0.2">
      <c r="A32477">
        <v>24918</v>
      </c>
      <c r="B32477" t="s">
        <v>56</v>
      </c>
      <c r="C32477">
        <v>24918</v>
      </c>
      <c r="D32477" t="str">
        <f>"24918"</f>
        <v>24918</v>
      </c>
      <c r="E32477">
        <v>65.52</v>
      </c>
    </row>
    <row r="32478" spans="1:5" x14ac:dyDescent="0.2">
      <c r="A32478">
        <v>24920</v>
      </c>
      <c r="B32478" t="s">
        <v>56</v>
      </c>
      <c r="C32478">
        <v>24920</v>
      </c>
      <c r="D32478" t="str">
        <f>"24920"</f>
        <v>24920</v>
      </c>
      <c r="E32478">
        <v>57.14</v>
      </c>
    </row>
    <row r="32479" spans="1:5" x14ac:dyDescent="0.2">
      <c r="A32479">
        <v>24924</v>
      </c>
      <c r="B32479" t="s">
        <v>56</v>
      </c>
      <c r="C32479">
        <v>24924</v>
      </c>
      <c r="D32479" t="str">
        <f>"24924"</f>
        <v>24924</v>
      </c>
      <c r="E32479">
        <v>71.430000000000007</v>
      </c>
    </row>
    <row r="32480" spans="1:5" x14ac:dyDescent="0.2">
      <c r="A32480">
        <v>24925</v>
      </c>
      <c r="B32480" t="s">
        <v>56</v>
      </c>
      <c r="C32480">
        <v>24925</v>
      </c>
      <c r="D32480" t="str">
        <f>"24925"</f>
        <v>24925</v>
      </c>
      <c r="E32480">
        <v>68.09</v>
      </c>
    </row>
    <row r="32481" spans="1:5" x14ac:dyDescent="0.2">
      <c r="A32481">
        <v>24927</v>
      </c>
      <c r="B32481" t="s">
        <v>56</v>
      </c>
      <c r="C32481">
        <v>24927</v>
      </c>
      <c r="D32481" t="str">
        <f>"24927"</f>
        <v>24927</v>
      </c>
      <c r="E32481">
        <v>68.75</v>
      </c>
    </row>
    <row r="32482" spans="1:5" x14ac:dyDescent="0.2">
      <c r="A32482">
        <v>24931</v>
      </c>
      <c r="B32482" t="s">
        <v>56</v>
      </c>
      <c r="C32482">
        <v>24931</v>
      </c>
      <c r="D32482" t="str">
        <f>"24931"</f>
        <v>24931</v>
      </c>
      <c r="E32482">
        <v>69.23</v>
      </c>
    </row>
    <row r="32483" spans="1:5" x14ac:dyDescent="0.2">
      <c r="A32483">
        <v>24934</v>
      </c>
      <c r="B32483" t="s">
        <v>56</v>
      </c>
      <c r="C32483">
        <v>24934</v>
      </c>
      <c r="D32483" t="str">
        <f>"24934"</f>
        <v>24934</v>
      </c>
      <c r="E32483">
        <v>60.87</v>
      </c>
    </row>
    <row r="32484" spans="1:5" x14ac:dyDescent="0.2">
      <c r="A32484">
        <v>24935</v>
      </c>
      <c r="B32484" t="s">
        <v>56</v>
      </c>
      <c r="C32484">
        <v>24935</v>
      </c>
      <c r="D32484" t="str">
        <f>"24935"</f>
        <v>24935</v>
      </c>
      <c r="E32484">
        <v>65</v>
      </c>
    </row>
    <row r="32485" spans="1:5" x14ac:dyDescent="0.2">
      <c r="A32485">
        <v>24938</v>
      </c>
      <c r="B32485" t="s">
        <v>56</v>
      </c>
      <c r="C32485">
        <v>24938</v>
      </c>
      <c r="D32485" t="str">
        <f>"24938"</f>
        <v>24938</v>
      </c>
      <c r="E32485">
        <v>69.569999999999993</v>
      </c>
    </row>
    <row r="32486" spans="1:5" x14ac:dyDescent="0.2">
      <c r="A32486">
        <v>24941</v>
      </c>
      <c r="B32486" t="s">
        <v>56</v>
      </c>
      <c r="C32486">
        <v>24941</v>
      </c>
      <c r="D32486" t="str">
        <f>"24941"</f>
        <v>24941</v>
      </c>
      <c r="E32486">
        <v>68.290000000000006</v>
      </c>
    </row>
    <row r="32487" spans="1:5" x14ac:dyDescent="0.2">
      <c r="A32487">
        <v>24943</v>
      </c>
      <c r="B32487" t="s">
        <v>56</v>
      </c>
      <c r="C32487">
        <v>24943</v>
      </c>
      <c r="D32487" t="str">
        <f>"24943"</f>
        <v>24943</v>
      </c>
      <c r="E32487" t="s">
        <v>6</v>
      </c>
    </row>
    <row r="32488" spans="1:5" x14ac:dyDescent="0.2">
      <c r="A32488">
        <v>24944</v>
      </c>
      <c r="B32488" t="s">
        <v>56</v>
      </c>
      <c r="C32488">
        <v>24944</v>
      </c>
      <c r="D32488" t="str">
        <f>"24944"</f>
        <v>24944</v>
      </c>
      <c r="E32488">
        <v>73.08</v>
      </c>
    </row>
    <row r="32489" spans="1:5" x14ac:dyDescent="0.2">
      <c r="A32489">
        <v>24945</v>
      </c>
      <c r="B32489" t="s">
        <v>56</v>
      </c>
      <c r="C32489">
        <v>24945</v>
      </c>
      <c r="D32489" t="str">
        <f>"24945"</f>
        <v>24945</v>
      </c>
      <c r="E32489">
        <v>66.67</v>
      </c>
    </row>
    <row r="32490" spans="1:5" x14ac:dyDescent="0.2">
      <c r="A32490">
        <v>24946</v>
      </c>
      <c r="B32490" t="s">
        <v>56</v>
      </c>
      <c r="C32490">
        <v>24946</v>
      </c>
      <c r="D32490" t="str">
        <f>"24946"</f>
        <v>24946</v>
      </c>
      <c r="E32490">
        <v>60.78</v>
      </c>
    </row>
    <row r="32491" spans="1:5" x14ac:dyDescent="0.2">
      <c r="A32491">
        <v>24951</v>
      </c>
      <c r="B32491" t="s">
        <v>56</v>
      </c>
      <c r="C32491">
        <v>24951</v>
      </c>
      <c r="D32491" t="str">
        <f>"24951"</f>
        <v>24951</v>
      </c>
      <c r="E32491">
        <v>68.25</v>
      </c>
    </row>
    <row r="32492" spans="1:5" x14ac:dyDescent="0.2">
      <c r="A32492">
        <v>24954</v>
      </c>
      <c r="B32492" t="s">
        <v>56</v>
      </c>
      <c r="C32492">
        <v>24954</v>
      </c>
      <c r="D32492" t="str">
        <f>"24954"</f>
        <v>24954</v>
      </c>
      <c r="E32492">
        <v>65.73</v>
      </c>
    </row>
    <row r="32493" spans="1:5" x14ac:dyDescent="0.2">
      <c r="A32493">
        <v>24957</v>
      </c>
      <c r="B32493" t="s">
        <v>56</v>
      </c>
      <c r="C32493">
        <v>24957</v>
      </c>
      <c r="D32493" t="str">
        <f>"24957"</f>
        <v>24957</v>
      </c>
      <c r="E32493">
        <v>69.569999999999993</v>
      </c>
    </row>
    <row r="32494" spans="1:5" x14ac:dyDescent="0.2">
      <c r="A32494">
        <v>24962</v>
      </c>
      <c r="B32494" t="s">
        <v>56</v>
      </c>
      <c r="C32494">
        <v>24962</v>
      </c>
      <c r="D32494" t="str">
        <f>"24962"</f>
        <v>24962</v>
      </c>
      <c r="E32494" t="s">
        <v>6</v>
      </c>
    </row>
    <row r="32495" spans="1:5" x14ac:dyDescent="0.2">
      <c r="A32495">
        <v>24963</v>
      </c>
      <c r="B32495" t="s">
        <v>56</v>
      </c>
      <c r="C32495">
        <v>24963</v>
      </c>
      <c r="D32495" t="str">
        <f>"24963"</f>
        <v>24963</v>
      </c>
      <c r="E32495">
        <v>67.95</v>
      </c>
    </row>
    <row r="32496" spans="1:5" x14ac:dyDescent="0.2">
      <c r="A32496">
        <v>24966</v>
      </c>
      <c r="B32496" t="s">
        <v>56</v>
      </c>
      <c r="C32496">
        <v>24966</v>
      </c>
      <c r="D32496" t="str">
        <f>"24966"</f>
        <v>24966</v>
      </c>
      <c r="E32496">
        <v>60.38</v>
      </c>
    </row>
    <row r="32497" spans="1:5" x14ac:dyDescent="0.2">
      <c r="A32497">
        <v>24970</v>
      </c>
      <c r="B32497" t="s">
        <v>56</v>
      </c>
      <c r="C32497">
        <v>24970</v>
      </c>
      <c r="D32497" t="str">
        <f>"24970"</f>
        <v>24970</v>
      </c>
      <c r="E32497">
        <v>66.67</v>
      </c>
    </row>
    <row r="32498" spans="1:5" x14ac:dyDescent="0.2">
      <c r="A32498">
        <v>24974</v>
      </c>
      <c r="B32498" t="s">
        <v>56</v>
      </c>
      <c r="C32498">
        <v>24974</v>
      </c>
      <c r="D32498" t="str">
        <f>"24974"</f>
        <v>24974</v>
      </c>
      <c r="E32498" t="s">
        <v>6</v>
      </c>
    </row>
    <row r="32499" spans="1:5" x14ac:dyDescent="0.2">
      <c r="A32499">
        <v>24976</v>
      </c>
      <c r="B32499" t="s">
        <v>56</v>
      </c>
      <c r="C32499">
        <v>24976</v>
      </c>
      <c r="D32499" t="str">
        <f>"24976"</f>
        <v>24976</v>
      </c>
      <c r="E32499">
        <v>68.75</v>
      </c>
    </row>
    <row r="32500" spans="1:5" x14ac:dyDescent="0.2">
      <c r="A32500">
        <v>24977</v>
      </c>
      <c r="B32500" t="s">
        <v>56</v>
      </c>
      <c r="C32500">
        <v>24977</v>
      </c>
      <c r="D32500" t="str">
        <f>"24977"</f>
        <v>24977</v>
      </c>
      <c r="E32500">
        <v>72.22</v>
      </c>
    </row>
    <row r="32501" spans="1:5" x14ac:dyDescent="0.2">
      <c r="A32501">
        <v>24981</v>
      </c>
      <c r="B32501" t="s">
        <v>56</v>
      </c>
      <c r="C32501">
        <v>24981</v>
      </c>
      <c r="D32501" t="str">
        <f>"24981"</f>
        <v>24981</v>
      </c>
      <c r="E32501">
        <v>66.67</v>
      </c>
    </row>
    <row r="32502" spans="1:5" x14ac:dyDescent="0.2">
      <c r="A32502">
        <v>24983</v>
      </c>
      <c r="B32502" t="s">
        <v>56</v>
      </c>
      <c r="C32502">
        <v>24983</v>
      </c>
      <c r="D32502" t="str">
        <f>"24983"</f>
        <v>24983</v>
      </c>
      <c r="E32502">
        <v>67.37</v>
      </c>
    </row>
    <row r="32503" spans="1:5" x14ac:dyDescent="0.2">
      <c r="A32503">
        <v>24984</v>
      </c>
      <c r="B32503" t="s">
        <v>56</v>
      </c>
      <c r="C32503">
        <v>24984</v>
      </c>
      <c r="D32503" t="str">
        <f>"24984"</f>
        <v>24984</v>
      </c>
      <c r="E32503" t="s">
        <v>6</v>
      </c>
    </row>
    <row r="32504" spans="1:5" x14ac:dyDescent="0.2">
      <c r="A32504">
        <v>24985</v>
      </c>
      <c r="B32504" t="s">
        <v>56</v>
      </c>
      <c r="C32504">
        <v>24985</v>
      </c>
      <c r="D32504" t="str">
        <f>"24985"</f>
        <v>24985</v>
      </c>
      <c r="E32504" t="s">
        <v>6</v>
      </c>
    </row>
    <row r="32505" spans="1:5" x14ac:dyDescent="0.2">
      <c r="A32505">
        <v>24986</v>
      </c>
      <c r="B32505" t="s">
        <v>56</v>
      </c>
      <c r="C32505">
        <v>24986</v>
      </c>
      <c r="D32505" t="str">
        <f>"24986"</f>
        <v>24986</v>
      </c>
      <c r="E32505">
        <v>67.13</v>
      </c>
    </row>
    <row r="32506" spans="1:5" x14ac:dyDescent="0.2">
      <c r="A32506">
        <v>24991</v>
      </c>
      <c r="B32506" t="s">
        <v>56</v>
      </c>
      <c r="C32506">
        <v>24991</v>
      </c>
      <c r="D32506" t="str">
        <f>"24991"</f>
        <v>24991</v>
      </c>
      <c r="E32506">
        <v>66.67</v>
      </c>
    </row>
    <row r="32507" spans="1:5" x14ac:dyDescent="0.2">
      <c r="A32507">
        <v>24993</v>
      </c>
      <c r="B32507" t="s">
        <v>56</v>
      </c>
      <c r="C32507">
        <v>24993</v>
      </c>
      <c r="D32507" t="str">
        <f>"24993"</f>
        <v>24993</v>
      </c>
      <c r="E32507" t="s">
        <v>6</v>
      </c>
    </row>
    <row r="32508" spans="1:5" x14ac:dyDescent="0.2">
      <c r="A32508">
        <v>25002</v>
      </c>
      <c r="B32508" t="s">
        <v>56</v>
      </c>
      <c r="C32508">
        <v>25002</v>
      </c>
      <c r="D32508" t="str">
        <f>"25002"</f>
        <v>25002</v>
      </c>
      <c r="E32508" t="s">
        <v>6</v>
      </c>
    </row>
    <row r="32509" spans="1:5" x14ac:dyDescent="0.2">
      <c r="A32509">
        <v>25003</v>
      </c>
      <c r="B32509" t="s">
        <v>56</v>
      </c>
      <c r="C32509">
        <v>25003</v>
      </c>
      <c r="D32509" t="str">
        <f>"25003"</f>
        <v>25003</v>
      </c>
      <c r="E32509">
        <v>67.349999999999994</v>
      </c>
    </row>
    <row r="32510" spans="1:5" x14ac:dyDescent="0.2">
      <c r="A32510">
        <v>25005</v>
      </c>
      <c r="B32510" t="s">
        <v>56</v>
      </c>
      <c r="C32510">
        <v>25005</v>
      </c>
      <c r="D32510" t="str">
        <f>"25005"</f>
        <v>25005</v>
      </c>
      <c r="E32510">
        <v>72.73</v>
      </c>
    </row>
    <row r="32511" spans="1:5" x14ac:dyDescent="0.2">
      <c r="A32511">
        <v>25007</v>
      </c>
      <c r="B32511" t="s">
        <v>56</v>
      </c>
      <c r="C32511">
        <v>25007</v>
      </c>
      <c r="D32511" t="str">
        <f>"25007"</f>
        <v>25007</v>
      </c>
      <c r="E32511">
        <v>64.709999999999994</v>
      </c>
    </row>
    <row r="32512" spans="1:5" x14ac:dyDescent="0.2">
      <c r="A32512">
        <v>25008</v>
      </c>
      <c r="B32512" t="s">
        <v>56</v>
      </c>
      <c r="C32512">
        <v>25008</v>
      </c>
      <c r="D32512" t="str">
        <f>"25008"</f>
        <v>25008</v>
      </c>
      <c r="E32512" t="s">
        <v>6</v>
      </c>
    </row>
    <row r="32513" spans="1:5" x14ac:dyDescent="0.2">
      <c r="A32513">
        <v>25009</v>
      </c>
      <c r="B32513" t="s">
        <v>56</v>
      </c>
      <c r="C32513">
        <v>25009</v>
      </c>
      <c r="D32513" t="str">
        <f>"25009"</f>
        <v>25009</v>
      </c>
      <c r="E32513">
        <v>69.44</v>
      </c>
    </row>
    <row r="32514" spans="1:5" x14ac:dyDescent="0.2">
      <c r="A32514">
        <v>25011</v>
      </c>
      <c r="B32514" t="s">
        <v>56</v>
      </c>
      <c r="C32514">
        <v>25011</v>
      </c>
      <c r="D32514" t="str">
        <f>"25011"</f>
        <v>25011</v>
      </c>
      <c r="E32514" t="s">
        <v>6</v>
      </c>
    </row>
    <row r="32515" spans="1:5" x14ac:dyDescent="0.2">
      <c r="A32515">
        <v>25015</v>
      </c>
      <c r="B32515" t="s">
        <v>56</v>
      </c>
      <c r="C32515">
        <v>25015</v>
      </c>
      <c r="D32515" t="str">
        <f>"25015"</f>
        <v>25015</v>
      </c>
      <c r="E32515">
        <v>70.86</v>
      </c>
    </row>
    <row r="32516" spans="1:5" x14ac:dyDescent="0.2">
      <c r="A32516">
        <v>25019</v>
      </c>
      <c r="B32516" t="s">
        <v>56</v>
      </c>
      <c r="C32516">
        <v>25019</v>
      </c>
      <c r="D32516" t="str">
        <f>"25019"</f>
        <v>25019</v>
      </c>
      <c r="E32516">
        <v>57.89</v>
      </c>
    </row>
    <row r="32517" spans="1:5" x14ac:dyDescent="0.2">
      <c r="A32517">
        <v>25021</v>
      </c>
      <c r="B32517" t="s">
        <v>56</v>
      </c>
      <c r="C32517">
        <v>25021</v>
      </c>
      <c r="D32517" t="str">
        <f>"25021"</f>
        <v>25021</v>
      </c>
      <c r="E32517" t="s">
        <v>6</v>
      </c>
    </row>
    <row r="32518" spans="1:5" x14ac:dyDescent="0.2">
      <c r="A32518">
        <v>25022</v>
      </c>
      <c r="B32518" t="s">
        <v>56</v>
      </c>
      <c r="C32518">
        <v>25022</v>
      </c>
      <c r="D32518" t="str">
        <f>"25022"</f>
        <v>25022</v>
      </c>
      <c r="E32518" t="s">
        <v>6</v>
      </c>
    </row>
    <row r="32519" spans="1:5" x14ac:dyDescent="0.2">
      <c r="A32519">
        <v>25024</v>
      </c>
      <c r="B32519" t="s">
        <v>56</v>
      </c>
      <c r="C32519">
        <v>25024</v>
      </c>
      <c r="D32519" t="str">
        <f>"25024"</f>
        <v>25024</v>
      </c>
      <c r="E32519">
        <v>75</v>
      </c>
    </row>
    <row r="32520" spans="1:5" x14ac:dyDescent="0.2">
      <c r="A32520">
        <v>25025</v>
      </c>
      <c r="B32520" t="s">
        <v>56</v>
      </c>
      <c r="C32520">
        <v>25025</v>
      </c>
      <c r="D32520" t="str">
        <f>"25025"</f>
        <v>25025</v>
      </c>
      <c r="E32520" t="s">
        <v>6</v>
      </c>
    </row>
    <row r="32521" spans="1:5" x14ac:dyDescent="0.2">
      <c r="A32521">
        <v>25028</v>
      </c>
      <c r="B32521" t="s">
        <v>56</v>
      </c>
      <c r="C32521">
        <v>25028</v>
      </c>
      <c r="D32521" t="str">
        <f>"25028"</f>
        <v>25028</v>
      </c>
      <c r="E32521" t="s">
        <v>6</v>
      </c>
    </row>
    <row r="32522" spans="1:5" x14ac:dyDescent="0.2">
      <c r="A32522">
        <v>25030</v>
      </c>
      <c r="B32522" t="s">
        <v>56</v>
      </c>
      <c r="C32522">
        <v>25030</v>
      </c>
      <c r="D32522" t="str">
        <f>"25030"</f>
        <v>25030</v>
      </c>
      <c r="E32522">
        <v>64.709999999999994</v>
      </c>
    </row>
    <row r="32523" spans="1:5" x14ac:dyDescent="0.2">
      <c r="A32523">
        <v>25031</v>
      </c>
      <c r="B32523" t="s">
        <v>56</v>
      </c>
      <c r="C32523">
        <v>25031</v>
      </c>
      <c r="D32523" t="str">
        <f>"25031"</f>
        <v>25031</v>
      </c>
      <c r="E32523" t="s">
        <v>6</v>
      </c>
    </row>
    <row r="32524" spans="1:5" x14ac:dyDescent="0.2">
      <c r="A32524">
        <v>25033</v>
      </c>
      <c r="B32524" t="s">
        <v>56</v>
      </c>
      <c r="C32524">
        <v>25033</v>
      </c>
      <c r="D32524" t="str">
        <f>"25033"</f>
        <v>25033</v>
      </c>
      <c r="E32524">
        <v>70.97</v>
      </c>
    </row>
    <row r="32525" spans="1:5" x14ac:dyDescent="0.2">
      <c r="A32525">
        <v>25035</v>
      </c>
      <c r="B32525" t="s">
        <v>56</v>
      </c>
      <c r="C32525">
        <v>25035</v>
      </c>
      <c r="D32525" t="str">
        <f>"25035"</f>
        <v>25035</v>
      </c>
      <c r="E32525">
        <v>71.11</v>
      </c>
    </row>
    <row r="32526" spans="1:5" x14ac:dyDescent="0.2">
      <c r="A32526">
        <v>25036</v>
      </c>
      <c r="B32526" t="s">
        <v>56</v>
      </c>
      <c r="C32526">
        <v>25036</v>
      </c>
      <c r="D32526" t="str">
        <f>"25036"</f>
        <v>25036</v>
      </c>
      <c r="E32526" t="s">
        <v>6</v>
      </c>
    </row>
    <row r="32527" spans="1:5" x14ac:dyDescent="0.2">
      <c r="A32527">
        <v>25039</v>
      </c>
      <c r="B32527" t="s">
        <v>56</v>
      </c>
      <c r="C32527">
        <v>25039</v>
      </c>
      <c r="D32527" t="str">
        <f>"25039"</f>
        <v>25039</v>
      </c>
      <c r="E32527">
        <v>63.64</v>
      </c>
    </row>
    <row r="32528" spans="1:5" x14ac:dyDescent="0.2">
      <c r="A32528">
        <v>25040</v>
      </c>
      <c r="B32528" t="s">
        <v>56</v>
      </c>
      <c r="C32528">
        <v>25040</v>
      </c>
      <c r="D32528" t="str">
        <f>"25040"</f>
        <v>25040</v>
      </c>
      <c r="E32528" t="s">
        <v>6</v>
      </c>
    </row>
    <row r="32529" spans="1:5" x14ac:dyDescent="0.2">
      <c r="A32529">
        <v>25043</v>
      </c>
      <c r="B32529" t="s">
        <v>56</v>
      </c>
      <c r="C32529">
        <v>25043</v>
      </c>
      <c r="D32529" t="str">
        <f>"25043"</f>
        <v>25043</v>
      </c>
      <c r="E32529">
        <v>64.290000000000006</v>
      </c>
    </row>
    <row r="32530" spans="1:5" x14ac:dyDescent="0.2">
      <c r="A32530">
        <v>25044</v>
      </c>
      <c r="B32530" t="s">
        <v>56</v>
      </c>
      <c r="C32530">
        <v>25044</v>
      </c>
      <c r="D32530" t="str">
        <f>"25044"</f>
        <v>25044</v>
      </c>
      <c r="E32530">
        <v>63.64</v>
      </c>
    </row>
    <row r="32531" spans="1:5" x14ac:dyDescent="0.2">
      <c r="A32531">
        <v>25045</v>
      </c>
      <c r="B32531" t="s">
        <v>56</v>
      </c>
      <c r="C32531">
        <v>25045</v>
      </c>
      <c r="D32531" t="str">
        <f>"25045"</f>
        <v>25045</v>
      </c>
      <c r="E32531">
        <v>64.52</v>
      </c>
    </row>
    <row r="32532" spans="1:5" x14ac:dyDescent="0.2">
      <c r="A32532">
        <v>25047</v>
      </c>
      <c r="B32532" t="s">
        <v>56</v>
      </c>
      <c r="C32532">
        <v>25047</v>
      </c>
      <c r="D32532" t="str">
        <f>"25047"</f>
        <v>25047</v>
      </c>
      <c r="E32532" t="s">
        <v>6</v>
      </c>
    </row>
    <row r="32533" spans="1:5" x14ac:dyDescent="0.2">
      <c r="A32533">
        <v>25048</v>
      </c>
      <c r="B32533" t="s">
        <v>56</v>
      </c>
      <c r="C32533">
        <v>25048</v>
      </c>
      <c r="D32533" t="str">
        <f>"25048"</f>
        <v>25048</v>
      </c>
      <c r="E32533" t="s">
        <v>6</v>
      </c>
    </row>
    <row r="32534" spans="1:5" x14ac:dyDescent="0.2">
      <c r="A32534">
        <v>25049</v>
      </c>
      <c r="B32534" t="s">
        <v>56</v>
      </c>
      <c r="C32534">
        <v>25049</v>
      </c>
      <c r="D32534" t="str">
        <f>"25049"</f>
        <v>25049</v>
      </c>
      <c r="E32534">
        <v>69.23</v>
      </c>
    </row>
    <row r="32535" spans="1:5" x14ac:dyDescent="0.2">
      <c r="A32535">
        <v>25051</v>
      </c>
      <c r="B32535" t="s">
        <v>56</v>
      </c>
      <c r="C32535">
        <v>25051</v>
      </c>
      <c r="D32535" t="str">
        <f>"25051"</f>
        <v>25051</v>
      </c>
      <c r="E32535" t="s">
        <v>6</v>
      </c>
    </row>
    <row r="32536" spans="1:5" x14ac:dyDescent="0.2">
      <c r="A32536">
        <v>25053</v>
      </c>
      <c r="B32536" t="s">
        <v>56</v>
      </c>
      <c r="C32536">
        <v>25053</v>
      </c>
      <c r="D32536" t="str">
        <f>"25053"</f>
        <v>25053</v>
      </c>
      <c r="E32536">
        <v>63.01</v>
      </c>
    </row>
    <row r="32537" spans="1:5" x14ac:dyDescent="0.2">
      <c r="A32537">
        <v>25054</v>
      </c>
      <c r="B32537" t="s">
        <v>56</v>
      </c>
      <c r="C32537">
        <v>25054</v>
      </c>
      <c r="D32537" t="str">
        <f>"25054"</f>
        <v>25054</v>
      </c>
      <c r="E32537" t="s">
        <v>6</v>
      </c>
    </row>
    <row r="32538" spans="1:5" x14ac:dyDescent="0.2">
      <c r="A32538">
        <v>25057</v>
      </c>
      <c r="B32538" t="s">
        <v>56</v>
      </c>
      <c r="C32538">
        <v>25057</v>
      </c>
      <c r="D32538" t="str">
        <f>"25057"</f>
        <v>25057</v>
      </c>
      <c r="E32538" t="s">
        <v>6</v>
      </c>
    </row>
    <row r="32539" spans="1:5" x14ac:dyDescent="0.2">
      <c r="A32539">
        <v>25059</v>
      </c>
      <c r="B32539" t="s">
        <v>56</v>
      </c>
      <c r="C32539">
        <v>25059</v>
      </c>
      <c r="D32539" t="str">
        <f>"25059"</f>
        <v>25059</v>
      </c>
      <c r="E32539">
        <v>71.430000000000007</v>
      </c>
    </row>
    <row r="32540" spans="1:5" x14ac:dyDescent="0.2">
      <c r="A32540">
        <v>25060</v>
      </c>
      <c r="B32540" t="s">
        <v>56</v>
      </c>
      <c r="C32540">
        <v>25060</v>
      </c>
      <c r="D32540" t="str">
        <f>"25060"</f>
        <v>25060</v>
      </c>
      <c r="E32540">
        <v>66.67</v>
      </c>
    </row>
    <row r="32541" spans="1:5" x14ac:dyDescent="0.2">
      <c r="A32541">
        <v>25061</v>
      </c>
      <c r="B32541" t="s">
        <v>56</v>
      </c>
      <c r="C32541">
        <v>25061</v>
      </c>
      <c r="D32541" t="str">
        <f>"25061"</f>
        <v>25061</v>
      </c>
      <c r="E32541" t="s">
        <v>6</v>
      </c>
    </row>
    <row r="32542" spans="1:5" x14ac:dyDescent="0.2">
      <c r="A32542">
        <v>25062</v>
      </c>
      <c r="B32542" t="s">
        <v>56</v>
      </c>
      <c r="C32542">
        <v>25062</v>
      </c>
      <c r="D32542" t="str">
        <f>"25062"</f>
        <v>25062</v>
      </c>
      <c r="E32542" t="s">
        <v>6</v>
      </c>
    </row>
    <row r="32543" spans="1:5" x14ac:dyDescent="0.2">
      <c r="A32543">
        <v>25063</v>
      </c>
      <c r="B32543" t="s">
        <v>56</v>
      </c>
      <c r="C32543">
        <v>25063</v>
      </c>
      <c r="D32543" t="str">
        <f>"25063"</f>
        <v>25063</v>
      </c>
      <c r="E32543">
        <v>62</v>
      </c>
    </row>
    <row r="32544" spans="1:5" x14ac:dyDescent="0.2">
      <c r="A32544">
        <v>25064</v>
      </c>
      <c r="B32544" t="s">
        <v>56</v>
      </c>
      <c r="C32544">
        <v>25064</v>
      </c>
      <c r="D32544" t="str">
        <f>"25064"</f>
        <v>25064</v>
      </c>
      <c r="E32544">
        <v>68.760000000000005</v>
      </c>
    </row>
    <row r="32545" spans="1:5" x14ac:dyDescent="0.2">
      <c r="A32545">
        <v>25067</v>
      </c>
      <c r="B32545" t="s">
        <v>56</v>
      </c>
      <c r="C32545">
        <v>25067</v>
      </c>
      <c r="D32545" t="str">
        <f>"25067"</f>
        <v>25067</v>
      </c>
      <c r="E32545">
        <v>70.73</v>
      </c>
    </row>
    <row r="32546" spans="1:5" x14ac:dyDescent="0.2">
      <c r="A32546">
        <v>25070</v>
      </c>
      <c r="B32546" t="s">
        <v>56</v>
      </c>
      <c r="C32546">
        <v>25070</v>
      </c>
      <c r="D32546" t="str">
        <f>"25070"</f>
        <v>25070</v>
      </c>
      <c r="E32546" t="s">
        <v>6</v>
      </c>
    </row>
    <row r="32547" spans="1:5" x14ac:dyDescent="0.2">
      <c r="A32547">
        <v>25071</v>
      </c>
      <c r="B32547" t="s">
        <v>56</v>
      </c>
      <c r="C32547">
        <v>25071</v>
      </c>
      <c r="D32547" t="str">
        <f>"25071"</f>
        <v>25071</v>
      </c>
      <c r="E32547">
        <v>72.709999999999994</v>
      </c>
    </row>
    <row r="32548" spans="1:5" x14ac:dyDescent="0.2">
      <c r="A32548">
        <v>25075</v>
      </c>
      <c r="B32548" t="s">
        <v>56</v>
      </c>
      <c r="C32548">
        <v>25075</v>
      </c>
      <c r="D32548" t="str">
        <f>"25075"</f>
        <v>25075</v>
      </c>
      <c r="E32548">
        <v>54.55</v>
      </c>
    </row>
    <row r="32549" spans="1:5" x14ac:dyDescent="0.2">
      <c r="A32549">
        <v>25076</v>
      </c>
      <c r="B32549" t="s">
        <v>56</v>
      </c>
      <c r="C32549">
        <v>25076</v>
      </c>
      <c r="D32549" t="str">
        <f>"25076"</f>
        <v>25076</v>
      </c>
      <c r="E32549" t="s">
        <v>6</v>
      </c>
    </row>
    <row r="32550" spans="1:5" x14ac:dyDescent="0.2">
      <c r="A32550">
        <v>25081</v>
      </c>
      <c r="B32550" t="s">
        <v>56</v>
      </c>
      <c r="C32550">
        <v>25081</v>
      </c>
      <c r="D32550" t="str">
        <f>"25081"</f>
        <v>25081</v>
      </c>
      <c r="E32550">
        <v>70.45</v>
      </c>
    </row>
    <row r="32551" spans="1:5" x14ac:dyDescent="0.2">
      <c r="A32551">
        <v>25082</v>
      </c>
      <c r="B32551" t="s">
        <v>56</v>
      </c>
      <c r="C32551">
        <v>25082</v>
      </c>
      <c r="D32551" t="str">
        <f>"25082"</f>
        <v>25082</v>
      </c>
      <c r="E32551">
        <v>74.069999999999993</v>
      </c>
    </row>
    <row r="32552" spans="1:5" x14ac:dyDescent="0.2">
      <c r="A32552">
        <v>25083</v>
      </c>
      <c r="B32552" t="s">
        <v>56</v>
      </c>
      <c r="C32552">
        <v>25083</v>
      </c>
      <c r="D32552" t="str">
        <f>"25083"</f>
        <v>25083</v>
      </c>
      <c r="E32552">
        <v>61.11</v>
      </c>
    </row>
    <row r="32553" spans="1:5" x14ac:dyDescent="0.2">
      <c r="A32553">
        <v>25085</v>
      </c>
      <c r="B32553" t="s">
        <v>56</v>
      </c>
      <c r="C32553">
        <v>25085</v>
      </c>
      <c r="D32553" t="str">
        <f>"25085"</f>
        <v>25085</v>
      </c>
      <c r="E32553">
        <v>61.76</v>
      </c>
    </row>
    <row r="32554" spans="1:5" x14ac:dyDescent="0.2">
      <c r="A32554">
        <v>25086</v>
      </c>
      <c r="B32554" t="s">
        <v>56</v>
      </c>
      <c r="C32554">
        <v>25086</v>
      </c>
      <c r="D32554" t="str">
        <f>"25086"</f>
        <v>25086</v>
      </c>
      <c r="E32554" t="s">
        <v>6</v>
      </c>
    </row>
    <row r="32555" spans="1:5" x14ac:dyDescent="0.2">
      <c r="A32555">
        <v>25088</v>
      </c>
      <c r="B32555" t="s">
        <v>56</v>
      </c>
      <c r="C32555">
        <v>25088</v>
      </c>
      <c r="D32555" t="str">
        <f>"25088"</f>
        <v>25088</v>
      </c>
      <c r="E32555" t="s">
        <v>6</v>
      </c>
    </row>
    <row r="32556" spans="1:5" x14ac:dyDescent="0.2">
      <c r="A32556">
        <v>25090</v>
      </c>
      <c r="B32556" t="s">
        <v>56</v>
      </c>
      <c r="C32556">
        <v>25090</v>
      </c>
      <c r="D32556" t="str">
        <f>"25090"</f>
        <v>25090</v>
      </c>
      <c r="E32556" t="s">
        <v>6</v>
      </c>
    </row>
    <row r="32557" spans="1:5" x14ac:dyDescent="0.2">
      <c r="A32557">
        <v>25093</v>
      </c>
      <c r="B32557" t="s">
        <v>56</v>
      </c>
      <c r="C32557">
        <v>25093</v>
      </c>
      <c r="D32557" t="str">
        <f>"25093"</f>
        <v>25093</v>
      </c>
      <c r="E32557" t="s">
        <v>6</v>
      </c>
    </row>
    <row r="32558" spans="1:5" x14ac:dyDescent="0.2">
      <c r="A32558">
        <v>25102</v>
      </c>
      <c r="B32558" t="s">
        <v>56</v>
      </c>
      <c r="C32558">
        <v>25102</v>
      </c>
      <c r="D32558" t="str">
        <f>"25102"</f>
        <v>25102</v>
      </c>
      <c r="E32558" t="s">
        <v>6</v>
      </c>
    </row>
    <row r="32559" spans="1:5" x14ac:dyDescent="0.2">
      <c r="A32559">
        <v>25103</v>
      </c>
      <c r="B32559" t="s">
        <v>56</v>
      </c>
      <c r="C32559">
        <v>25103</v>
      </c>
      <c r="D32559" t="str">
        <f>"25103"</f>
        <v>25103</v>
      </c>
      <c r="E32559">
        <v>69.23</v>
      </c>
    </row>
    <row r="32560" spans="1:5" x14ac:dyDescent="0.2">
      <c r="A32560">
        <v>25106</v>
      </c>
      <c r="B32560" t="s">
        <v>56</v>
      </c>
      <c r="C32560">
        <v>25106</v>
      </c>
      <c r="D32560" t="str">
        <f>"25106"</f>
        <v>25106</v>
      </c>
      <c r="E32560">
        <v>65.22</v>
      </c>
    </row>
    <row r="32561" spans="1:5" x14ac:dyDescent="0.2">
      <c r="A32561">
        <v>25107</v>
      </c>
      <c r="B32561" t="s">
        <v>56</v>
      </c>
      <c r="C32561">
        <v>25107</v>
      </c>
      <c r="D32561" t="str">
        <f>"25107"</f>
        <v>25107</v>
      </c>
      <c r="E32561">
        <v>60.87</v>
      </c>
    </row>
    <row r="32562" spans="1:5" x14ac:dyDescent="0.2">
      <c r="A32562">
        <v>25108</v>
      </c>
      <c r="B32562" t="s">
        <v>56</v>
      </c>
      <c r="C32562">
        <v>25108</v>
      </c>
      <c r="D32562" t="str">
        <f>"25108"</f>
        <v>25108</v>
      </c>
      <c r="E32562">
        <v>60.87</v>
      </c>
    </row>
    <row r="32563" spans="1:5" x14ac:dyDescent="0.2">
      <c r="A32563">
        <v>25109</v>
      </c>
      <c r="B32563" t="s">
        <v>56</v>
      </c>
      <c r="C32563">
        <v>25109</v>
      </c>
      <c r="D32563" t="str">
        <f>"25109"</f>
        <v>25109</v>
      </c>
      <c r="E32563" t="s">
        <v>6</v>
      </c>
    </row>
    <row r="32564" spans="1:5" x14ac:dyDescent="0.2">
      <c r="A32564">
        <v>25110</v>
      </c>
      <c r="B32564" t="s">
        <v>56</v>
      </c>
      <c r="C32564">
        <v>25110</v>
      </c>
      <c r="D32564" t="str">
        <f>"25110"</f>
        <v>25110</v>
      </c>
      <c r="E32564" t="s">
        <v>6</v>
      </c>
    </row>
    <row r="32565" spans="1:5" x14ac:dyDescent="0.2">
      <c r="A32565">
        <v>25111</v>
      </c>
      <c r="B32565" t="s">
        <v>56</v>
      </c>
      <c r="C32565">
        <v>25111</v>
      </c>
      <c r="D32565" t="str">
        <f>"25111"</f>
        <v>25111</v>
      </c>
      <c r="E32565">
        <v>44.44</v>
      </c>
    </row>
    <row r="32566" spans="1:5" x14ac:dyDescent="0.2">
      <c r="A32566">
        <v>25113</v>
      </c>
      <c r="B32566" t="s">
        <v>56</v>
      </c>
      <c r="C32566">
        <v>25113</v>
      </c>
      <c r="D32566" t="str">
        <f>"25113"</f>
        <v>25113</v>
      </c>
      <c r="E32566">
        <v>61.54</v>
      </c>
    </row>
    <row r="32567" spans="1:5" x14ac:dyDescent="0.2">
      <c r="A32567">
        <v>25114</v>
      </c>
      <c r="B32567" t="s">
        <v>56</v>
      </c>
      <c r="C32567">
        <v>25114</v>
      </c>
      <c r="D32567" t="str">
        <f>"25114"</f>
        <v>25114</v>
      </c>
      <c r="E32567">
        <v>53.85</v>
      </c>
    </row>
    <row r="32568" spans="1:5" x14ac:dyDescent="0.2">
      <c r="A32568">
        <v>25115</v>
      </c>
      <c r="B32568" t="s">
        <v>56</v>
      </c>
      <c r="C32568">
        <v>25115</v>
      </c>
      <c r="D32568" t="str">
        <f>"25115"</f>
        <v>25115</v>
      </c>
      <c r="E32568" t="s">
        <v>6</v>
      </c>
    </row>
    <row r="32569" spans="1:5" x14ac:dyDescent="0.2">
      <c r="A32569">
        <v>25118</v>
      </c>
      <c r="B32569" t="s">
        <v>56</v>
      </c>
      <c r="C32569">
        <v>25118</v>
      </c>
      <c r="D32569" t="str">
        <f>"25118"</f>
        <v>25118</v>
      </c>
      <c r="E32569">
        <v>60</v>
      </c>
    </row>
    <row r="32570" spans="1:5" x14ac:dyDescent="0.2">
      <c r="A32570">
        <v>25119</v>
      </c>
      <c r="B32570" t="s">
        <v>56</v>
      </c>
      <c r="C32570">
        <v>25119</v>
      </c>
      <c r="D32570" t="str">
        <f>"25119"</f>
        <v>25119</v>
      </c>
      <c r="E32570">
        <v>55.56</v>
      </c>
    </row>
    <row r="32571" spans="1:5" x14ac:dyDescent="0.2">
      <c r="A32571">
        <v>25121</v>
      </c>
      <c r="B32571" t="s">
        <v>56</v>
      </c>
      <c r="C32571">
        <v>25121</v>
      </c>
      <c r="D32571" t="str">
        <f>"25121"</f>
        <v>25121</v>
      </c>
      <c r="E32571">
        <v>58.33</v>
      </c>
    </row>
    <row r="32572" spans="1:5" x14ac:dyDescent="0.2">
      <c r="A32572">
        <v>25123</v>
      </c>
      <c r="B32572" t="s">
        <v>56</v>
      </c>
      <c r="C32572">
        <v>25123</v>
      </c>
      <c r="D32572" t="str">
        <f>"25123"</f>
        <v>25123</v>
      </c>
      <c r="E32572">
        <v>68</v>
      </c>
    </row>
    <row r="32573" spans="1:5" x14ac:dyDescent="0.2">
      <c r="A32573">
        <v>25124</v>
      </c>
      <c r="B32573" t="s">
        <v>56</v>
      </c>
      <c r="C32573">
        <v>25124</v>
      </c>
      <c r="D32573" t="str">
        <f>"25124"</f>
        <v>25124</v>
      </c>
      <c r="E32573">
        <v>76</v>
      </c>
    </row>
    <row r="32574" spans="1:5" x14ac:dyDescent="0.2">
      <c r="A32574">
        <v>25125</v>
      </c>
      <c r="B32574" t="s">
        <v>56</v>
      </c>
      <c r="C32574">
        <v>25125</v>
      </c>
      <c r="D32574" t="str">
        <f>"25125"</f>
        <v>25125</v>
      </c>
      <c r="E32574">
        <v>64</v>
      </c>
    </row>
    <row r="32575" spans="1:5" x14ac:dyDescent="0.2">
      <c r="A32575">
        <v>25126</v>
      </c>
      <c r="B32575" t="s">
        <v>56</v>
      </c>
      <c r="C32575">
        <v>25126</v>
      </c>
      <c r="D32575" t="str">
        <f>"25126"</f>
        <v>25126</v>
      </c>
      <c r="E32575" t="s">
        <v>6</v>
      </c>
    </row>
    <row r="32576" spans="1:5" x14ac:dyDescent="0.2">
      <c r="A32576">
        <v>25130</v>
      </c>
      <c r="B32576" t="s">
        <v>56</v>
      </c>
      <c r="C32576">
        <v>25130</v>
      </c>
      <c r="D32576" t="str">
        <f>"25130"</f>
        <v>25130</v>
      </c>
      <c r="E32576">
        <v>69.12</v>
      </c>
    </row>
    <row r="32577" spans="1:5" x14ac:dyDescent="0.2">
      <c r="A32577">
        <v>25132</v>
      </c>
      <c r="B32577" t="s">
        <v>56</v>
      </c>
      <c r="C32577">
        <v>25132</v>
      </c>
      <c r="D32577" t="str">
        <f>"25132"</f>
        <v>25132</v>
      </c>
      <c r="E32577" t="s">
        <v>6</v>
      </c>
    </row>
    <row r="32578" spans="1:5" x14ac:dyDescent="0.2">
      <c r="A32578">
        <v>25133</v>
      </c>
      <c r="B32578" t="s">
        <v>56</v>
      </c>
      <c r="C32578">
        <v>25133</v>
      </c>
      <c r="D32578" t="str">
        <f>"25133"</f>
        <v>25133</v>
      </c>
      <c r="E32578">
        <v>65.22</v>
      </c>
    </row>
    <row r="32579" spans="1:5" x14ac:dyDescent="0.2">
      <c r="A32579">
        <v>25136</v>
      </c>
      <c r="B32579" t="s">
        <v>56</v>
      </c>
      <c r="C32579">
        <v>25136</v>
      </c>
      <c r="D32579" t="str">
        <f>"25136"</f>
        <v>25136</v>
      </c>
      <c r="E32579">
        <v>65.38</v>
      </c>
    </row>
    <row r="32580" spans="1:5" x14ac:dyDescent="0.2">
      <c r="A32580">
        <v>25139</v>
      </c>
      <c r="B32580" t="s">
        <v>56</v>
      </c>
      <c r="C32580">
        <v>25139</v>
      </c>
      <c r="D32580" t="str">
        <f>"25139"</f>
        <v>25139</v>
      </c>
      <c r="E32580">
        <v>68.180000000000007</v>
      </c>
    </row>
    <row r="32581" spans="1:5" x14ac:dyDescent="0.2">
      <c r="A32581">
        <v>25140</v>
      </c>
      <c r="B32581" t="s">
        <v>56</v>
      </c>
      <c r="C32581">
        <v>25140</v>
      </c>
      <c r="D32581" t="str">
        <f>"25140"</f>
        <v>25140</v>
      </c>
      <c r="E32581">
        <v>62.5</v>
      </c>
    </row>
    <row r="32582" spans="1:5" x14ac:dyDescent="0.2">
      <c r="A32582">
        <v>25141</v>
      </c>
      <c r="B32582" t="s">
        <v>56</v>
      </c>
      <c r="C32582">
        <v>25141</v>
      </c>
      <c r="D32582" t="str">
        <f>"25141"</f>
        <v>25141</v>
      </c>
      <c r="E32582" t="s">
        <v>6</v>
      </c>
    </row>
    <row r="32583" spans="1:5" x14ac:dyDescent="0.2">
      <c r="A32583">
        <v>25142</v>
      </c>
      <c r="B32583" t="s">
        <v>56</v>
      </c>
      <c r="C32583">
        <v>25142</v>
      </c>
      <c r="D32583" t="str">
        <f>"25142"</f>
        <v>25142</v>
      </c>
      <c r="E32583">
        <v>58.33</v>
      </c>
    </row>
    <row r="32584" spans="1:5" x14ac:dyDescent="0.2">
      <c r="A32584">
        <v>25143</v>
      </c>
      <c r="B32584" t="s">
        <v>56</v>
      </c>
      <c r="C32584">
        <v>25143</v>
      </c>
      <c r="D32584" t="str">
        <f>"25143"</f>
        <v>25143</v>
      </c>
      <c r="E32584">
        <v>70.13</v>
      </c>
    </row>
    <row r="32585" spans="1:5" x14ac:dyDescent="0.2">
      <c r="A32585">
        <v>25148</v>
      </c>
      <c r="B32585" t="s">
        <v>56</v>
      </c>
      <c r="C32585">
        <v>25148</v>
      </c>
      <c r="D32585" t="str">
        <f>"25148"</f>
        <v>25148</v>
      </c>
      <c r="E32585">
        <v>58.33</v>
      </c>
    </row>
    <row r="32586" spans="1:5" x14ac:dyDescent="0.2">
      <c r="A32586">
        <v>25149</v>
      </c>
      <c r="B32586" t="s">
        <v>56</v>
      </c>
      <c r="C32586">
        <v>25149</v>
      </c>
      <c r="D32586" t="str">
        <f>"25149"</f>
        <v>25149</v>
      </c>
      <c r="E32586" t="s">
        <v>6</v>
      </c>
    </row>
    <row r="32587" spans="1:5" x14ac:dyDescent="0.2">
      <c r="A32587">
        <v>25152</v>
      </c>
      <c r="B32587" t="s">
        <v>56</v>
      </c>
      <c r="C32587">
        <v>25152</v>
      </c>
      <c r="D32587" t="str">
        <f>"25152"</f>
        <v>25152</v>
      </c>
      <c r="E32587" t="s">
        <v>6</v>
      </c>
    </row>
    <row r="32588" spans="1:5" x14ac:dyDescent="0.2">
      <c r="A32588">
        <v>25154</v>
      </c>
      <c r="B32588" t="s">
        <v>56</v>
      </c>
      <c r="C32588">
        <v>25154</v>
      </c>
      <c r="D32588" t="str">
        <f>"25154"</f>
        <v>25154</v>
      </c>
      <c r="E32588">
        <v>73.33</v>
      </c>
    </row>
    <row r="32589" spans="1:5" x14ac:dyDescent="0.2">
      <c r="A32589">
        <v>25159</v>
      </c>
      <c r="B32589" t="s">
        <v>56</v>
      </c>
      <c r="C32589">
        <v>25159</v>
      </c>
      <c r="D32589" t="str">
        <f>"25159"</f>
        <v>25159</v>
      </c>
      <c r="E32589">
        <v>71.930000000000007</v>
      </c>
    </row>
    <row r="32590" spans="1:5" x14ac:dyDescent="0.2">
      <c r="A32590">
        <v>25160</v>
      </c>
      <c r="B32590" t="s">
        <v>56</v>
      </c>
      <c r="C32590">
        <v>25160</v>
      </c>
      <c r="D32590" t="str">
        <f>"25160"</f>
        <v>25160</v>
      </c>
      <c r="E32590" t="s">
        <v>6</v>
      </c>
    </row>
    <row r="32591" spans="1:5" x14ac:dyDescent="0.2">
      <c r="A32591">
        <v>25161</v>
      </c>
      <c r="B32591" t="s">
        <v>56</v>
      </c>
      <c r="C32591">
        <v>25161</v>
      </c>
      <c r="D32591" t="str">
        <f>"25161"</f>
        <v>25161</v>
      </c>
      <c r="E32591">
        <v>47.06</v>
      </c>
    </row>
    <row r="32592" spans="1:5" x14ac:dyDescent="0.2">
      <c r="A32592">
        <v>25162</v>
      </c>
      <c r="B32592" t="s">
        <v>56</v>
      </c>
      <c r="C32592">
        <v>25162</v>
      </c>
      <c r="D32592" t="str">
        <f>"25162"</f>
        <v>25162</v>
      </c>
      <c r="E32592" t="s">
        <v>6</v>
      </c>
    </row>
    <row r="32593" spans="1:5" x14ac:dyDescent="0.2">
      <c r="A32593">
        <v>25164</v>
      </c>
      <c r="B32593" t="s">
        <v>56</v>
      </c>
      <c r="C32593">
        <v>25164</v>
      </c>
      <c r="D32593" t="str">
        <f>"25164"</f>
        <v>25164</v>
      </c>
      <c r="E32593">
        <v>60.53</v>
      </c>
    </row>
    <row r="32594" spans="1:5" x14ac:dyDescent="0.2">
      <c r="A32594">
        <v>25165</v>
      </c>
      <c r="B32594" t="s">
        <v>56</v>
      </c>
      <c r="C32594">
        <v>25165</v>
      </c>
      <c r="D32594" t="str">
        <f>"25165"</f>
        <v>25165</v>
      </c>
      <c r="E32594">
        <v>63.64</v>
      </c>
    </row>
    <row r="32595" spans="1:5" x14ac:dyDescent="0.2">
      <c r="A32595">
        <v>25168</v>
      </c>
      <c r="B32595" t="s">
        <v>56</v>
      </c>
      <c r="C32595">
        <v>25168</v>
      </c>
      <c r="D32595" t="str">
        <f>"25168"</f>
        <v>25168</v>
      </c>
      <c r="E32595">
        <v>69.75</v>
      </c>
    </row>
    <row r="32596" spans="1:5" x14ac:dyDescent="0.2">
      <c r="A32596">
        <v>25169</v>
      </c>
      <c r="B32596" t="s">
        <v>56</v>
      </c>
      <c r="C32596">
        <v>25169</v>
      </c>
      <c r="D32596" t="str">
        <f>"25169"</f>
        <v>25169</v>
      </c>
      <c r="E32596">
        <v>66.67</v>
      </c>
    </row>
    <row r="32597" spans="1:5" x14ac:dyDescent="0.2">
      <c r="A32597">
        <v>25173</v>
      </c>
      <c r="B32597" t="s">
        <v>56</v>
      </c>
      <c r="C32597">
        <v>25173</v>
      </c>
      <c r="D32597" t="str">
        <f>"25173"</f>
        <v>25173</v>
      </c>
      <c r="E32597">
        <v>60</v>
      </c>
    </row>
    <row r="32598" spans="1:5" x14ac:dyDescent="0.2">
      <c r="A32598">
        <v>25174</v>
      </c>
      <c r="B32598" t="s">
        <v>56</v>
      </c>
      <c r="C32598">
        <v>25174</v>
      </c>
      <c r="D32598" t="str">
        <f>"25174"</f>
        <v>25174</v>
      </c>
      <c r="E32598">
        <v>64.290000000000006</v>
      </c>
    </row>
    <row r="32599" spans="1:5" x14ac:dyDescent="0.2">
      <c r="A32599">
        <v>25177</v>
      </c>
      <c r="B32599" t="s">
        <v>56</v>
      </c>
      <c r="C32599">
        <v>25177</v>
      </c>
      <c r="D32599" t="str">
        <f>"25177"</f>
        <v>25177</v>
      </c>
      <c r="E32599">
        <v>69.8</v>
      </c>
    </row>
    <row r="32600" spans="1:5" x14ac:dyDescent="0.2">
      <c r="A32600">
        <v>25180</v>
      </c>
      <c r="B32600" t="s">
        <v>56</v>
      </c>
      <c r="C32600">
        <v>25180</v>
      </c>
      <c r="D32600" t="str">
        <f>"25180"</f>
        <v>25180</v>
      </c>
      <c r="E32600" t="s">
        <v>6</v>
      </c>
    </row>
    <row r="32601" spans="1:5" x14ac:dyDescent="0.2">
      <c r="A32601">
        <v>25181</v>
      </c>
      <c r="B32601" t="s">
        <v>56</v>
      </c>
      <c r="C32601">
        <v>25181</v>
      </c>
      <c r="D32601" t="str">
        <f>"25181"</f>
        <v>25181</v>
      </c>
      <c r="E32601">
        <v>64.709999999999994</v>
      </c>
    </row>
    <row r="32602" spans="1:5" x14ac:dyDescent="0.2">
      <c r="A32602">
        <v>25183</v>
      </c>
      <c r="B32602" t="s">
        <v>56</v>
      </c>
      <c r="C32602">
        <v>25183</v>
      </c>
      <c r="D32602" t="str">
        <f>"25183"</f>
        <v>25183</v>
      </c>
      <c r="E32602" t="s">
        <v>6</v>
      </c>
    </row>
    <row r="32603" spans="1:5" x14ac:dyDescent="0.2">
      <c r="A32603">
        <v>25186</v>
      </c>
      <c r="B32603" t="s">
        <v>56</v>
      </c>
      <c r="C32603">
        <v>25186</v>
      </c>
      <c r="D32603" t="str">
        <f>"25186"</f>
        <v>25186</v>
      </c>
      <c r="E32603" t="s">
        <v>6</v>
      </c>
    </row>
    <row r="32604" spans="1:5" x14ac:dyDescent="0.2">
      <c r="A32604">
        <v>25187</v>
      </c>
      <c r="B32604" t="s">
        <v>56</v>
      </c>
      <c r="C32604">
        <v>25187</v>
      </c>
      <c r="D32604" t="str">
        <f>"25187"</f>
        <v>25187</v>
      </c>
      <c r="E32604">
        <v>64</v>
      </c>
    </row>
    <row r="32605" spans="1:5" x14ac:dyDescent="0.2">
      <c r="A32605">
        <v>25193</v>
      </c>
      <c r="B32605" t="s">
        <v>56</v>
      </c>
      <c r="C32605">
        <v>25193</v>
      </c>
      <c r="D32605" t="str">
        <f>"25193"</f>
        <v>25193</v>
      </c>
      <c r="E32605">
        <v>72.73</v>
      </c>
    </row>
    <row r="32606" spans="1:5" x14ac:dyDescent="0.2">
      <c r="A32606">
        <v>25201</v>
      </c>
      <c r="B32606" t="s">
        <v>56</v>
      </c>
      <c r="C32606">
        <v>25201</v>
      </c>
      <c r="D32606" t="str">
        <f>"25201"</f>
        <v>25201</v>
      </c>
      <c r="E32606" t="s">
        <v>6</v>
      </c>
    </row>
    <row r="32607" spans="1:5" x14ac:dyDescent="0.2">
      <c r="A32607">
        <v>25202</v>
      </c>
      <c r="B32607" t="s">
        <v>56</v>
      </c>
      <c r="C32607">
        <v>25202</v>
      </c>
      <c r="D32607" t="str">
        <f>"25202"</f>
        <v>25202</v>
      </c>
      <c r="E32607">
        <v>72.13</v>
      </c>
    </row>
    <row r="32608" spans="1:5" x14ac:dyDescent="0.2">
      <c r="A32608">
        <v>25203</v>
      </c>
      <c r="B32608" t="s">
        <v>56</v>
      </c>
      <c r="C32608">
        <v>25203</v>
      </c>
      <c r="D32608" t="str">
        <f>"25203"</f>
        <v>25203</v>
      </c>
      <c r="E32608" t="s">
        <v>6</v>
      </c>
    </row>
    <row r="32609" spans="1:5" x14ac:dyDescent="0.2">
      <c r="A32609">
        <v>25204</v>
      </c>
      <c r="B32609" t="s">
        <v>56</v>
      </c>
      <c r="C32609">
        <v>25204</v>
      </c>
      <c r="D32609" t="str">
        <f>"25204"</f>
        <v>25204</v>
      </c>
      <c r="E32609" t="s">
        <v>6</v>
      </c>
    </row>
    <row r="32610" spans="1:5" x14ac:dyDescent="0.2">
      <c r="A32610">
        <v>25206</v>
      </c>
      <c r="B32610" t="s">
        <v>56</v>
      </c>
      <c r="C32610">
        <v>25206</v>
      </c>
      <c r="D32610" t="str">
        <f>"25206"</f>
        <v>25206</v>
      </c>
      <c r="E32610">
        <v>61.11</v>
      </c>
    </row>
    <row r="32611" spans="1:5" x14ac:dyDescent="0.2">
      <c r="A32611">
        <v>25208</v>
      </c>
      <c r="B32611" t="s">
        <v>56</v>
      </c>
      <c r="C32611">
        <v>25208</v>
      </c>
      <c r="D32611" t="str">
        <f>"25208"</f>
        <v>25208</v>
      </c>
      <c r="E32611">
        <v>64.52</v>
      </c>
    </row>
    <row r="32612" spans="1:5" x14ac:dyDescent="0.2">
      <c r="A32612">
        <v>25209</v>
      </c>
      <c r="B32612" t="s">
        <v>56</v>
      </c>
      <c r="C32612">
        <v>25209</v>
      </c>
      <c r="D32612" t="str">
        <f>"25209"</f>
        <v>25209</v>
      </c>
      <c r="E32612">
        <v>66.67</v>
      </c>
    </row>
    <row r="32613" spans="1:5" x14ac:dyDescent="0.2">
      <c r="A32613">
        <v>25211</v>
      </c>
      <c r="B32613" t="s">
        <v>56</v>
      </c>
      <c r="C32613">
        <v>25211</v>
      </c>
      <c r="D32613" t="str">
        <f>"25211"</f>
        <v>25211</v>
      </c>
      <c r="E32613" t="s">
        <v>6</v>
      </c>
    </row>
    <row r="32614" spans="1:5" x14ac:dyDescent="0.2">
      <c r="A32614">
        <v>25213</v>
      </c>
      <c r="B32614" t="s">
        <v>56</v>
      </c>
      <c r="C32614">
        <v>25213</v>
      </c>
      <c r="D32614" t="str">
        <f>"25213"</f>
        <v>25213</v>
      </c>
      <c r="E32614">
        <v>76.81</v>
      </c>
    </row>
    <row r="32615" spans="1:5" x14ac:dyDescent="0.2">
      <c r="A32615">
        <v>25214</v>
      </c>
      <c r="B32615" t="s">
        <v>56</v>
      </c>
      <c r="C32615">
        <v>25214</v>
      </c>
      <c r="D32615" t="str">
        <f>"25214"</f>
        <v>25214</v>
      </c>
      <c r="E32615">
        <v>66.67</v>
      </c>
    </row>
    <row r="32616" spans="1:5" x14ac:dyDescent="0.2">
      <c r="A32616">
        <v>25231</v>
      </c>
      <c r="B32616" t="s">
        <v>56</v>
      </c>
      <c r="C32616">
        <v>25231</v>
      </c>
      <c r="D32616" t="str">
        <f>"25231"</f>
        <v>25231</v>
      </c>
      <c r="E32616" t="s">
        <v>6</v>
      </c>
    </row>
    <row r="32617" spans="1:5" x14ac:dyDescent="0.2">
      <c r="A32617">
        <v>25234</v>
      </c>
      <c r="B32617" t="s">
        <v>56</v>
      </c>
      <c r="C32617">
        <v>25234</v>
      </c>
      <c r="D32617" t="str">
        <f>"25234"</f>
        <v>25234</v>
      </c>
      <c r="E32617">
        <v>70.59</v>
      </c>
    </row>
    <row r="32618" spans="1:5" x14ac:dyDescent="0.2">
      <c r="A32618">
        <v>25235</v>
      </c>
      <c r="B32618" t="s">
        <v>56</v>
      </c>
      <c r="C32618">
        <v>25235</v>
      </c>
      <c r="D32618" t="str">
        <f>"25235"</f>
        <v>25235</v>
      </c>
      <c r="E32618">
        <v>63.64</v>
      </c>
    </row>
    <row r="32619" spans="1:5" x14ac:dyDescent="0.2">
      <c r="A32619">
        <v>25239</v>
      </c>
      <c r="B32619" t="s">
        <v>56</v>
      </c>
      <c r="C32619">
        <v>25239</v>
      </c>
      <c r="D32619" t="str">
        <f>"25239"</f>
        <v>25239</v>
      </c>
      <c r="E32619">
        <v>65.150000000000006</v>
      </c>
    </row>
    <row r="32620" spans="1:5" x14ac:dyDescent="0.2">
      <c r="A32620">
        <v>25241</v>
      </c>
      <c r="B32620" t="s">
        <v>56</v>
      </c>
      <c r="C32620">
        <v>25241</v>
      </c>
      <c r="D32620" t="str">
        <f>"25241"</f>
        <v>25241</v>
      </c>
      <c r="E32620">
        <v>76</v>
      </c>
    </row>
    <row r="32621" spans="1:5" x14ac:dyDescent="0.2">
      <c r="A32621">
        <v>25243</v>
      </c>
      <c r="B32621" t="s">
        <v>56</v>
      </c>
      <c r="C32621">
        <v>25243</v>
      </c>
      <c r="D32621" t="str">
        <f>"25243"</f>
        <v>25243</v>
      </c>
      <c r="E32621">
        <v>65.790000000000006</v>
      </c>
    </row>
    <row r="32622" spans="1:5" x14ac:dyDescent="0.2">
      <c r="A32622">
        <v>25244</v>
      </c>
      <c r="B32622" t="s">
        <v>56</v>
      </c>
      <c r="C32622">
        <v>25244</v>
      </c>
      <c r="D32622" t="str">
        <f>"25244"</f>
        <v>25244</v>
      </c>
      <c r="E32622">
        <v>55.17</v>
      </c>
    </row>
    <row r="32623" spans="1:5" x14ac:dyDescent="0.2">
      <c r="A32623">
        <v>25245</v>
      </c>
      <c r="B32623" t="s">
        <v>56</v>
      </c>
      <c r="C32623">
        <v>25245</v>
      </c>
      <c r="D32623" t="str">
        <f>"25245"</f>
        <v>25245</v>
      </c>
      <c r="E32623">
        <v>71.11</v>
      </c>
    </row>
    <row r="32624" spans="1:5" x14ac:dyDescent="0.2">
      <c r="A32624">
        <v>25247</v>
      </c>
      <c r="B32624" t="s">
        <v>56</v>
      </c>
      <c r="C32624">
        <v>25247</v>
      </c>
      <c r="D32624" t="str">
        <f>"25247"</f>
        <v>25247</v>
      </c>
      <c r="E32624" t="s">
        <v>6</v>
      </c>
    </row>
    <row r="32625" spans="1:5" x14ac:dyDescent="0.2">
      <c r="A32625">
        <v>25248</v>
      </c>
      <c r="B32625" t="s">
        <v>56</v>
      </c>
      <c r="C32625">
        <v>25248</v>
      </c>
      <c r="D32625" t="str">
        <f>"25248"</f>
        <v>25248</v>
      </c>
      <c r="E32625">
        <v>68.55</v>
      </c>
    </row>
    <row r="32626" spans="1:5" x14ac:dyDescent="0.2">
      <c r="A32626">
        <v>25251</v>
      </c>
      <c r="B32626" t="s">
        <v>56</v>
      </c>
      <c r="C32626">
        <v>25251</v>
      </c>
      <c r="D32626" t="str">
        <f>"25251"</f>
        <v>25251</v>
      </c>
      <c r="E32626">
        <v>75</v>
      </c>
    </row>
    <row r="32627" spans="1:5" x14ac:dyDescent="0.2">
      <c r="A32627">
        <v>25252</v>
      </c>
      <c r="B32627" t="s">
        <v>56</v>
      </c>
      <c r="C32627">
        <v>25252</v>
      </c>
      <c r="D32627" t="str">
        <f>"25252"</f>
        <v>25252</v>
      </c>
      <c r="E32627">
        <v>68.290000000000006</v>
      </c>
    </row>
    <row r="32628" spans="1:5" x14ac:dyDescent="0.2">
      <c r="A32628">
        <v>25253</v>
      </c>
      <c r="B32628" t="s">
        <v>56</v>
      </c>
      <c r="C32628">
        <v>25253</v>
      </c>
      <c r="D32628" t="str">
        <f>"25253"</f>
        <v>25253</v>
      </c>
      <c r="E32628">
        <v>70.67</v>
      </c>
    </row>
    <row r="32629" spans="1:5" x14ac:dyDescent="0.2">
      <c r="A32629">
        <v>25259</v>
      </c>
      <c r="B32629" t="s">
        <v>56</v>
      </c>
      <c r="C32629">
        <v>25259</v>
      </c>
      <c r="D32629" t="str">
        <f>"25259"</f>
        <v>25259</v>
      </c>
      <c r="E32629">
        <v>64.290000000000006</v>
      </c>
    </row>
    <row r="32630" spans="1:5" x14ac:dyDescent="0.2">
      <c r="A32630">
        <v>25260</v>
      </c>
      <c r="B32630" t="s">
        <v>56</v>
      </c>
      <c r="C32630">
        <v>25260</v>
      </c>
      <c r="D32630" t="str">
        <f>"25260"</f>
        <v>25260</v>
      </c>
      <c r="E32630">
        <v>65.709999999999994</v>
      </c>
    </row>
    <row r="32631" spans="1:5" x14ac:dyDescent="0.2">
      <c r="A32631">
        <v>25261</v>
      </c>
      <c r="B32631" t="s">
        <v>56</v>
      </c>
      <c r="C32631">
        <v>25261</v>
      </c>
      <c r="D32631" t="str">
        <f>"25261"</f>
        <v>25261</v>
      </c>
      <c r="E32631">
        <v>69.23</v>
      </c>
    </row>
    <row r="32632" spans="1:5" x14ac:dyDescent="0.2">
      <c r="A32632">
        <v>25262</v>
      </c>
      <c r="B32632" t="s">
        <v>56</v>
      </c>
      <c r="C32632">
        <v>25262</v>
      </c>
      <c r="D32632" t="str">
        <f>"25262"</f>
        <v>25262</v>
      </c>
      <c r="E32632">
        <v>72.09</v>
      </c>
    </row>
    <row r="32633" spans="1:5" x14ac:dyDescent="0.2">
      <c r="A32633">
        <v>25264</v>
      </c>
      <c r="B32633" t="s">
        <v>56</v>
      </c>
      <c r="C32633">
        <v>25264</v>
      </c>
      <c r="D32633" t="str">
        <f>"25264"</f>
        <v>25264</v>
      </c>
      <c r="E32633">
        <v>60</v>
      </c>
    </row>
    <row r="32634" spans="1:5" x14ac:dyDescent="0.2">
      <c r="A32634">
        <v>25265</v>
      </c>
      <c r="B32634" t="s">
        <v>56</v>
      </c>
      <c r="C32634">
        <v>25265</v>
      </c>
      <c r="D32634" t="str">
        <f>"25265"</f>
        <v>25265</v>
      </c>
      <c r="E32634" t="s">
        <v>6</v>
      </c>
    </row>
    <row r="32635" spans="1:5" x14ac:dyDescent="0.2">
      <c r="A32635">
        <v>25266</v>
      </c>
      <c r="B32635" t="s">
        <v>56</v>
      </c>
      <c r="C32635">
        <v>25266</v>
      </c>
      <c r="D32635" t="str">
        <f>"25266"</f>
        <v>25266</v>
      </c>
      <c r="E32635">
        <v>62.07</v>
      </c>
    </row>
    <row r="32636" spans="1:5" x14ac:dyDescent="0.2">
      <c r="A32636">
        <v>25267</v>
      </c>
      <c r="B32636" t="s">
        <v>56</v>
      </c>
      <c r="C32636">
        <v>25267</v>
      </c>
      <c r="D32636" t="str">
        <f>"25267"</f>
        <v>25267</v>
      </c>
      <c r="E32636">
        <v>65.52</v>
      </c>
    </row>
    <row r="32637" spans="1:5" x14ac:dyDescent="0.2">
      <c r="A32637">
        <v>25268</v>
      </c>
      <c r="B32637" t="s">
        <v>56</v>
      </c>
      <c r="C32637">
        <v>25268</v>
      </c>
      <c r="D32637" t="str">
        <f>"25268"</f>
        <v>25268</v>
      </c>
      <c r="E32637">
        <v>71.430000000000007</v>
      </c>
    </row>
    <row r="32638" spans="1:5" x14ac:dyDescent="0.2">
      <c r="A32638">
        <v>25270</v>
      </c>
      <c r="B32638" t="s">
        <v>56</v>
      </c>
      <c r="C32638">
        <v>25270</v>
      </c>
      <c r="D32638" t="str">
        <f>"25270"</f>
        <v>25270</v>
      </c>
      <c r="E32638">
        <v>58.82</v>
      </c>
    </row>
    <row r="32639" spans="1:5" x14ac:dyDescent="0.2">
      <c r="A32639">
        <v>25271</v>
      </c>
      <c r="B32639" t="s">
        <v>56</v>
      </c>
      <c r="C32639">
        <v>25271</v>
      </c>
      <c r="D32639" t="str">
        <f>"25271"</f>
        <v>25271</v>
      </c>
      <c r="E32639">
        <v>69.03</v>
      </c>
    </row>
    <row r="32640" spans="1:5" x14ac:dyDescent="0.2">
      <c r="A32640">
        <v>25275</v>
      </c>
      <c r="B32640" t="s">
        <v>56</v>
      </c>
      <c r="C32640">
        <v>25275</v>
      </c>
      <c r="D32640" t="str">
        <f>"25275"</f>
        <v>25275</v>
      </c>
      <c r="E32640">
        <v>67.05</v>
      </c>
    </row>
    <row r="32641" spans="1:5" x14ac:dyDescent="0.2">
      <c r="A32641">
        <v>25276</v>
      </c>
      <c r="B32641" t="s">
        <v>56</v>
      </c>
      <c r="C32641">
        <v>25276</v>
      </c>
      <c r="D32641" t="str">
        <f>"25276"</f>
        <v>25276</v>
      </c>
      <c r="E32641">
        <v>61.17</v>
      </c>
    </row>
    <row r="32642" spans="1:5" x14ac:dyDescent="0.2">
      <c r="A32642">
        <v>25285</v>
      </c>
      <c r="B32642" t="s">
        <v>56</v>
      </c>
      <c r="C32642">
        <v>25285</v>
      </c>
      <c r="D32642" t="str">
        <f>"25285"</f>
        <v>25285</v>
      </c>
      <c r="E32642">
        <v>64</v>
      </c>
    </row>
    <row r="32643" spans="1:5" x14ac:dyDescent="0.2">
      <c r="A32643">
        <v>25286</v>
      </c>
      <c r="B32643" t="s">
        <v>56</v>
      </c>
      <c r="C32643">
        <v>25286</v>
      </c>
      <c r="D32643" t="str">
        <f>"25286"</f>
        <v>25286</v>
      </c>
      <c r="E32643">
        <v>64</v>
      </c>
    </row>
    <row r="32644" spans="1:5" x14ac:dyDescent="0.2">
      <c r="A32644">
        <v>25287</v>
      </c>
      <c r="B32644" t="s">
        <v>56</v>
      </c>
      <c r="C32644">
        <v>25287</v>
      </c>
      <c r="D32644" t="str">
        <f>"25287"</f>
        <v>25287</v>
      </c>
      <c r="E32644">
        <v>70.37</v>
      </c>
    </row>
    <row r="32645" spans="1:5" x14ac:dyDescent="0.2">
      <c r="A32645">
        <v>25301</v>
      </c>
      <c r="B32645" t="s">
        <v>56</v>
      </c>
      <c r="C32645">
        <v>25301</v>
      </c>
      <c r="D32645" t="str">
        <f>"25301"</f>
        <v>25301</v>
      </c>
      <c r="E32645">
        <v>68.599999999999994</v>
      </c>
    </row>
    <row r="32646" spans="1:5" x14ac:dyDescent="0.2">
      <c r="A32646">
        <v>25302</v>
      </c>
      <c r="B32646" t="s">
        <v>56</v>
      </c>
      <c r="C32646">
        <v>25302</v>
      </c>
      <c r="D32646" t="str">
        <f>"25302"</f>
        <v>25302</v>
      </c>
      <c r="E32646">
        <v>68.89</v>
      </c>
    </row>
    <row r="32647" spans="1:5" x14ac:dyDescent="0.2">
      <c r="A32647">
        <v>25303</v>
      </c>
      <c r="B32647" t="s">
        <v>56</v>
      </c>
      <c r="C32647">
        <v>25303</v>
      </c>
      <c r="D32647" t="str">
        <f>"25303"</f>
        <v>25303</v>
      </c>
      <c r="E32647">
        <v>75.91</v>
      </c>
    </row>
    <row r="32648" spans="1:5" x14ac:dyDescent="0.2">
      <c r="A32648">
        <v>25304</v>
      </c>
      <c r="B32648" t="s">
        <v>56</v>
      </c>
      <c r="C32648">
        <v>25304</v>
      </c>
      <c r="D32648" t="str">
        <f>"25304"</f>
        <v>25304</v>
      </c>
      <c r="E32648">
        <v>76.28</v>
      </c>
    </row>
    <row r="32649" spans="1:5" x14ac:dyDescent="0.2">
      <c r="A32649">
        <v>25305</v>
      </c>
      <c r="B32649" t="s">
        <v>56</v>
      </c>
      <c r="C32649">
        <v>25305</v>
      </c>
      <c r="D32649" t="str">
        <f>"25305"</f>
        <v>25305</v>
      </c>
      <c r="E32649" t="s">
        <v>6</v>
      </c>
    </row>
    <row r="32650" spans="1:5" x14ac:dyDescent="0.2">
      <c r="A32650">
        <v>25306</v>
      </c>
      <c r="B32650" t="s">
        <v>56</v>
      </c>
      <c r="C32650">
        <v>25306</v>
      </c>
      <c r="D32650" t="str">
        <f>"25306"</f>
        <v>25306</v>
      </c>
      <c r="E32650">
        <v>67.599999999999994</v>
      </c>
    </row>
    <row r="32651" spans="1:5" x14ac:dyDescent="0.2">
      <c r="A32651">
        <v>25309</v>
      </c>
      <c r="B32651" t="s">
        <v>56</v>
      </c>
      <c r="C32651">
        <v>25309</v>
      </c>
      <c r="D32651" t="str">
        <f>"25309"</f>
        <v>25309</v>
      </c>
      <c r="E32651">
        <v>71.38</v>
      </c>
    </row>
    <row r="32652" spans="1:5" x14ac:dyDescent="0.2">
      <c r="A32652">
        <v>25311</v>
      </c>
      <c r="B32652" t="s">
        <v>56</v>
      </c>
      <c r="C32652">
        <v>25311</v>
      </c>
      <c r="D32652" t="str">
        <f>"25311"</f>
        <v>25311</v>
      </c>
      <c r="E32652">
        <v>69.209999999999994</v>
      </c>
    </row>
    <row r="32653" spans="1:5" x14ac:dyDescent="0.2">
      <c r="A32653">
        <v>25312</v>
      </c>
      <c r="B32653" t="s">
        <v>56</v>
      </c>
      <c r="C32653">
        <v>25312</v>
      </c>
      <c r="D32653" t="str">
        <f>"25312"</f>
        <v>25312</v>
      </c>
      <c r="E32653">
        <v>71.62</v>
      </c>
    </row>
    <row r="32654" spans="1:5" x14ac:dyDescent="0.2">
      <c r="A32654">
        <v>25313</v>
      </c>
      <c r="B32654" t="s">
        <v>56</v>
      </c>
      <c r="C32654">
        <v>25313</v>
      </c>
      <c r="D32654" t="str">
        <f>"25313"</f>
        <v>25313</v>
      </c>
      <c r="E32654">
        <v>74.069999999999993</v>
      </c>
    </row>
    <row r="32655" spans="1:5" x14ac:dyDescent="0.2">
      <c r="A32655">
        <v>25314</v>
      </c>
      <c r="B32655" t="s">
        <v>56</v>
      </c>
      <c r="C32655">
        <v>25314</v>
      </c>
      <c r="D32655" t="str">
        <f>"25314"</f>
        <v>25314</v>
      </c>
      <c r="E32655">
        <v>79.22</v>
      </c>
    </row>
    <row r="32656" spans="1:5" x14ac:dyDescent="0.2">
      <c r="A32656">
        <v>25315</v>
      </c>
      <c r="B32656" t="s">
        <v>56</v>
      </c>
      <c r="C32656">
        <v>25315</v>
      </c>
      <c r="D32656" t="str">
        <f>"25315"</f>
        <v>25315</v>
      </c>
      <c r="E32656">
        <v>65.319999999999993</v>
      </c>
    </row>
    <row r="32657" spans="1:5" x14ac:dyDescent="0.2">
      <c r="A32657">
        <v>25320</v>
      </c>
      <c r="B32657" t="s">
        <v>56</v>
      </c>
      <c r="C32657">
        <v>25320</v>
      </c>
      <c r="D32657" t="str">
        <f>"25320"</f>
        <v>25320</v>
      </c>
      <c r="E32657">
        <v>70.95</v>
      </c>
    </row>
    <row r="32658" spans="1:5" x14ac:dyDescent="0.2">
      <c r="A32658">
        <v>25387</v>
      </c>
      <c r="B32658" t="s">
        <v>56</v>
      </c>
      <c r="C32658">
        <v>25387</v>
      </c>
      <c r="D32658" t="str">
        <f>"25387"</f>
        <v>25387</v>
      </c>
      <c r="E32658" t="s">
        <v>6</v>
      </c>
    </row>
    <row r="32659" spans="1:5" x14ac:dyDescent="0.2">
      <c r="A32659">
        <v>25389</v>
      </c>
      <c r="B32659" t="s">
        <v>56</v>
      </c>
      <c r="C32659">
        <v>25389</v>
      </c>
      <c r="D32659" t="str">
        <f>"25389"</f>
        <v>25389</v>
      </c>
      <c r="E32659" t="s">
        <v>6</v>
      </c>
    </row>
    <row r="32660" spans="1:5" x14ac:dyDescent="0.2">
      <c r="A32660">
        <v>25396</v>
      </c>
      <c r="B32660" t="s">
        <v>56</v>
      </c>
      <c r="C32660">
        <v>25396</v>
      </c>
      <c r="D32660" t="str">
        <f>"25396"</f>
        <v>25396</v>
      </c>
      <c r="E32660" t="s">
        <v>6</v>
      </c>
    </row>
    <row r="32661" spans="1:5" x14ac:dyDescent="0.2">
      <c r="A32661">
        <v>25401</v>
      </c>
      <c r="B32661" t="s">
        <v>56</v>
      </c>
      <c r="C32661">
        <v>25401</v>
      </c>
      <c r="D32661" t="str">
        <f>"25401"</f>
        <v>25401</v>
      </c>
      <c r="E32661">
        <v>64.069999999999993</v>
      </c>
    </row>
    <row r="32662" spans="1:5" x14ac:dyDescent="0.2">
      <c r="A32662">
        <v>25403</v>
      </c>
      <c r="B32662" t="s">
        <v>56</v>
      </c>
      <c r="C32662">
        <v>25403</v>
      </c>
      <c r="D32662" t="str">
        <f>"25403"</f>
        <v>25403</v>
      </c>
      <c r="E32662">
        <v>77.849999999999994</v>
      </c>
    </row>
    <row r="32663" spans="1:5" x14ac:dyDescent="0.2">
      <c r="A32663">
        <v>25404</v>
      </c>
      <c r="B32663" t="s">
        <v>56</v>
      </c>
      <c r="C32663">
        <v>25404</v>
      </c>
      <c r="D32663" t="str">
        <f>"25404"</f>
        <v>25404</v>
      </c>
      <c r="E32663">
        <v>70.19</v>
      </c>
    </row>
    <row r="32664" spans="1:5" x14ac:dyDescent="0.2">
      <c r="A32664">
        <v>25405</v>
      </c>
      <c r="B32664" t="s">
        <v>56</v>
      </c>
      <c r="C32664">
        <v>25405</v>
      </c>
      <c r="D32664" t="str">
        <f>"25405"</f>
        <v>25405</v>
      </c>
      <c r="E32664">
        <v>73.17</v>
      </c>
    </row>
    <row r="32665" spans="1:5" x14ac:dyDescent="0.2">
      <c r="A32665">
        <v>25411</v>
      </c>
      <c r="B32665" t="s">
        <v>56</v>
      </c>
      <c r="C32665">
        <v>25411</v>
      </c>
      <c r="D32665" t="str">
        <f>"25411"</f>
        <v>25411</v>
      </c>
      <c r="E32665">
        <v>69.400000000000006</v>
      </c>
    </row>
    <row r="32666" spans="1:5" x14ac:dyDescent="0.2">
      <c r="A32666">
        <v>25413</v>
      </c>
      <c r="B32666" t="s">
        <v>56</v>
      </c>
      <c r="C32666">
        <v>25413</v>
      </c>
      <c r="D32666" t="str">
        <f>"25413"</f>
        <v>25413</v>
      </c>
      <c r="E32666">
        <v>73.25</v>
      </c>
    </row>
    <row r="32667" spans="1:5" x14ac:dyDescent="0.2">
      <c r="A32667">
        <v>25414</v>
      </c>
      <c r="B32667" t="s">
        <v>56</v>
      </c>
      <c r="C32667">
        <v>25414</v>
      </c>
      <c r="D32667" t="str">
        <f>"25414"</f>
        <v>25414</v>
      </c>
      <c r="E32667">
        <v>78.37</v>
      </c>
    </row>
    <row r="32668" spans="1:5" x14ac:dyDescent="0.2">
      <c r="A32668">
        <v>25419</v>
      </c>
      <c r="B32668" t="s">
        <v>56</v>
      </c>
      <c r="C32668">
        <v>25419</v>
      </c>
      <c r="D32668" t="str">
        <f>"25419"</f>
        <v>25419</v>
      </c>
      <c r="E32668">
        <v>76.52</v>
      </c>
    </row>
    <row r="32669" spans="1:5" x14ac:dyDescent="0.2">
      <c r="A32669">
        <v>25420</v>
      </c>
      <c r="B32669" t="s">
        <v>56</v>
      </c>
      <c r="C32669">
        <v>25420</v>
      </c>
      <c r="D32669" t="str">
        <f>"25420"</f>
        <v>25420</v>
      </c>
      <c r="E32669">
        <v>74.260000000000005</v>
      </c>
    </row>
    <row r="32670" spans="1:5" x14ac:dyDescent="0.2">
      <c r="A32670">
        <v>25421</v>
      </c>
      <c r="B32670" t="s">
        <v>56</v>
      </c>
      <c r="C32670">
        <v>25421</v>
      </c>
      <c r="D32670" t="str">
        <f>"25421"</f>
        <v>25421</v>
      </c>
      <c r="E32670" t="s">
        <v>6</v>
      </c>
    </row>
    <row r="32671" spans="1:5" x14ac:dyDescent="0.2">
      <c r="A32671">
        <v>25422</v>
      </c>
      <c r="B32671" t="s">
        <v>56</v>
      </c>
      <c r="C32671">
        <v>25422</v>
      </c>
      <c r="D32671" t="str">
        <f>"25422"</f>
        <v>25422</v>
      </c>
      <c r="E32671">
        <v>67.650000000000006</v>
      </c>
    </row>
    <row r="32672" spans="1:5" x14ac:dyDescent="0.2">
      <c r="A32672">
        <v>25425</v>
      </c>
      <c r="B32672" t="s">
        <v>56</v>
      </c>
      <c r="C32672">
        <v>25425</v>
      </c>
      <c r="D32672" t="str">
        <f>"25425"</f>
        <v>25425</v>
      </c>
      <c r="E32672">
        <v>78.13</v>
      </c>
    </row>
    <row r="32673" spans="1:5" x14ac:dyDescent="0.2">
      <c r="A32673">
        <v>25427</v>
      </c>
      <c r="B32673" t="s">
        <v>56</v>
      </c>
      <c r="C32673">
        <v>25427</v>
      </c>
      <c r="D32673" t="str">
        <f>"25427"</f>
        <v>25427</v>
      </c>
      <c r="E32673">
        <v>74.13</v>
      </c>
    </row>
    <row r="32674" spans="1:5" x14ac:dyDescent="0.2">
      <c r="A32674">
        <v>25428</v>
      </c>
      <c r="B32674" t="s">
        <v>56</v>
      </c>
      <c r="C32674">
        <v>25428</v>
      </c>
      <c r="D32674" t="str">
        <f>"25428"</f>
        <v>25428</v>
      </c>
      <c r="E32674">
        <v>73.680000000000007</v>
      </c>
    </row>
    <row r="32675" spans="1:5" x14ac:dyDescent="0.2">
      <c r="A32675">
        <v>25430</v>
      </c>
      <c r="B32675" t="s">
        <v>56</v>
      </c>
      <c r="C32675">
        <v>25430</v>
      </c>
      <c r="D32675" t="str">
        <f>"25430"</f>
        <v>25430</v>
      </c>
      <c r="E32675">
        <v>73.819999999999993</v>
      </c>
    </row>
    <row r="32676" spans="1:5" x14ac:dyDescent="0.2">
      <c r="A32676">
        <v>25431</v>
      </c>
      <c r="B32676" t="s">
        <v>56</v>
      </c>
      <c r="C32676">
        <v>25431</v>
      </c>
      <c r="D32676" t="str">
        <f>"25431"</f>
        <v>25431</v>
      </c>
      <c r="E32676">
        <v>75</v>
      </c>
    </row>
    <row r="32677" spans="1:5" x14ac:dyDescent="0.2">
      <c r="A32677">
        <v>25432</v>
      </c>
      <c r="B32677" t="s">
        <v>56</v>
      </c>
      <c r="C32677">
        <v>25432</v>
      </c>
      <c r="D32677" t="str">
        <f>"25432"</f>
        <v>25432</v>
      </c>
      <c r="E32677" t="s">
        <v>6</v>
      </c>
    </row>
    <row r="32678" spans="1:5" x14ac:dyDescent="0.2">
      <c r="A32678">
        <v>25434</v>
      </c>
      <c r="B32678" t="s">
        <v>56</v>
      </c>
      <c r="C32678">
        <v>25434</v>
      </c>
      <c r="D32678" t="str">
        <f>"25434"</f>
        <v>25434</v>
      </c>
      <c r="E32678">
        <v>67.78</v>
      </c>
    </row>
    <row r="32679" spans="1:5" x14ac:dyDescent="0.2">
      <c r="A32679">
        <v>25437</v>
      </c>
      <c r="B32679" t="s">
        <v>56</v>
      </c>
      <c r="C32679">
        <v>25437</v>
      </c>
      <c r="D32679" t="str">
        <f>"25437"</f>
        <v>25437</v>
      </c>
      <c r="E32679">
        <v>73.680000000000007</v>
      </c>
    </row>
    <row r="32680" spans="1:5" x14ac:dyDescent="0.2">
      <c r="A32680">
        <v>25438</v>
      </c>
      <c r="B32680" t="s">
        <v>56</v>
      </c>
      <c r="C32680">
        <v>25438</v>
      </c>
      <c r="D32680" t="str">
        <f>"25438"</f>
        <v>25438</v>
      </c>
      <c r="E32680">
        <v>70.36</v>
      </c>
    </row>
    <row r="32681" spans="1:5" x14ac:dyDescent="0.2">
      <c r="A32681">
        <v>25442</v>
      </c>
      <c r="B32681" t="s">
        <v>56</v>
      </c>
      <c r="C32681">
        <v>25442</v>
      </c>
      <c r="D32681" t="str">
        <f>"25442"</f>
        <v>25442</v>
      </c>
      <c r="E32681">
        <v>76.67</v>
      </c>
    </row>
    <row r="32682" spans="1:5" x14ac:dyDescent="0.2">
      <c r="A32682">
        <v>25443</v>
      </c>
      <c r="B32682" t="s">
        <v>56</v>
      </c>
      <c r="C32682">
        <v>25443</v>
      </c>
      <c r="D32682" t="str">
        <f>"25443"</f>
        <v>25443</v>
      </c>
      <c r="E32682">
        <v>79.89</v>
      </c>
    </row>
    <row r="32683" spans="1:5" x14ac:dyDescent="0.2">
      <c r="A32683">
        <v>25444</v>
      </c>
      <c r="B32683" t="s">
        <v>56</v>
      </c>
      <c r="C32683">
        <v>25444</v>
      </c>
      <c r="D32683" t="str">
        <f>"25444"</f>
        <v>25444</v>
      </c>
      <c r="E32683">
        <v>68.42</v>
      </c>
    </row>
    <row r="32684" spans="1:5" x14ac:dyDescent="0.2">
      <c r="A32684">
        <v>25446</v>
      </c>
      <c r="B32684" t="s">
        <v>56</v>
      </c>
      <c r="C32684">
        <v>25446</v>
      </c>
      <c r="D32684" t="str">
        <f>"25446"</f>
        <v>25446</v>
      </c>
      <c r="E32684">
        <v>72.73</v>
      </c>
    </row>
    <row r="32685" spans="1:5" x14ac:dyDescent="0.2">
      <c r="A32685">
        <v>25501</v>
      </c>
      <c r="B32685" t="s">
        <v>56</v>
      </c>
      <c r="C32685">
        <v>25501</v>
      </c>
      <c r="D32685" t="str">
        <f>"25501"</f>
        <v>25501</v>
      </c>
      <c r="E32685">
        <v>58.14</v>
      </c>
    </row>
    <row r="32686" spans="1:5" x14ac:dyDescent="0.2">
      <c r="A32686">
        <v>25502</v>
      </c>
      <c r="B32686" t="s">
        <v>56</v>
      </c>
      <c r="C32686">
        <v>25502</v>
      </c>
      <c r="D32686" t="str">
        <f>"25502"</f>
        <v>25502</v>
      </c>
      <c r="E32686">
        <v>66.67</v>
      </c>
    </row>
    <row r="32687" spans="1:5" x14ac:dyDescent="0.2">
      <c r="A32687">
        <v>25503</v>
      </c>
      <c r="B32687" t="s">
        <v>56</v>
      </c>
      <c r="C32687">
        <v>25503</v>
      </c>
      <c r="D32687" t="str">
        <f>"25503"</f>
        <v>25503</v>
      </c>
      <c r="E32687">
        <v>63.33</v>
      </c>
    </row>
    <row r="32688" spans="1:5" x14ac:dyDescent="0.2">
      <c r="A32688">
        <v>25504</v>
      </c>
      <c r="B32688" t="s">
        <v>56</v>
      </c>
      <c r="C32688">
        <v>25504</v>
      </c>
      <c r="D32688" t="str">
        <f>"25504"</f>
        <v>25504</v>
      </c>
      <c r="E32688">
        <v>71.87</v>
      </c>
    </row>
    <row r="32689" spans="1:5" x14ac:dyDescent="0.2">
      <c r="A32689">
        <v>25505</v>
      </c>
      <c r="B32689" t="s">
        <v>56</v>
      </c>
      <c r="C32689">
        <v>25505</v>
      </c>
      <c r="D32689" t="str">
        <f>"25505"</f>
        <v>25505</v>
      </c>
      <c r="E32689">
        <v>50</v>
      </c>
    </row>
    <row r="32690" spans="1:5" x14ac:dyDescent="0.2">
      <c r="A32690">
        <v>25506</v>
      </c>
      <c r="B32690" t="s">
        <v>56</v>
      </c>
      <c r="C32690">
        <v>25506</v>
      </c>
      <c r="D32690" t="str">
        <f>"25506"</f>
        <v>25506</v>
      </c>
      <c r="E32690">
        <v>60</v>
      </c>
    </row>
    <row r="32691" spans="1:5" x14ac:dyDescent="0.2">
      <c r="A32691">
        <v>25507</v>
      </c>
      <c r="B32691" t="s">
        <v>56</v>
      </c>
      <c r="C32691">
        <v>25507</v>
      </c>
      <c r="D32691" t="str">
        <f>"25507"</f>
        <v>25507</v>
      </c>
      <c r="E32691" t="s">
        <v>6</v>
      </c>
    </row>
    <row r="32692" spans="1:5" x14ac:dyDescent="0.2">
      <c r="A32692">
        <v>25508</v>
      </c>
      <c r="B32692" t="s">
        <v>56</v>
      </c>
      <c r="C32692">
        <v>25508</v>
      </c>
      <c r="D32692" t="str">
        <f>"25508"</f>
        <v>25508</v>
      </c>
      <c r="E32692">
        <v>67.23</v>
      </c>
    </row>
    <row r="32693" spans="1:5" x14ac:dyDescent="0.2">
      <c r="A32693">
        <v>25510</v>
      </c>
      <c r="B32693" t="s">
        <v>56</v>
      </c>
      <c r="C32693">
        <v>25510</v>
      </c>
      <c r="D32693" t="str">
        <f>"25510"</f>
        <v>25510</v>
      </c>
      <c r="E32693">
        <v>72.069999999999993</v>
      </c>
    </row>
    <row r="32694" spans="1:5" x14ac:dyDescent="0.2">
      <c r="A32694">
        <v>25511</v>
      </c>
      <c r="B32694" t="s">
        <v>56</v>
      </c>
      <c r="C32694">
        <v>25511</v>
      </c>
      <c r="D32694" t="str">
        <f>"25511"</f>
        <v>25511</v>
      </c>
      <c r="E32694">
        <v>60</v>
      </c>
    </row>
    <row r="32695" spans="1:5" x14ac:dyDescent="0.2">
      <c r="A32695">
        <v>25512</v>
      </c>
      <c r="B32695" t="s">
        <v>56</v>
      </c>
      <c r="C32695">
        <v>25512</v>
      </c>
      <c r="D32695" t="str">
        <f>"25512"</f>
        <v>25512</v>
      </c>
      <c r="E32695">
        <v>58.82</v>
      </c>
    </row>
    <row r="32696" spans="1:5" x14ac:dyDescent="0.2">
      <c r="A32696">
        <v>25514</v>
      </c>
      <c r="B32696" t="s">
        <v>56</v>
      </c>
      <c r="C32696">
        <v>25514</v>
      </c>
      <c r="D32696" t="str">
        <f>"25514"</f>
        <v>25514</v>
      </c>
      <c r="E32696">
        <v>58.91</v>
      </c>
    </row>
    <row r="32697" spans="1:5" x14ac:dyDescent="0.2">
      <c r="A32697">
        <v>25515</v>
      </c>
      <c r="B32697" t="s">
        <v>56</v>
      </c>
      <c r="C32697">
        <v>25515</v>
      </c>
      <c r="D32697" t="str">
        <f>"25515"</f>
        <v>25515</v>
      </c>
      <c r="E32697">
        <v>66.25</v>
      </c>
    </row>
    <row r="32698" spans="1:5" x14ac:dyDescent="0.2">
      <c r="A32698">
        <v>25517</v>
      </c>
      <c r="B32698" t="s">
        <v>56</v>
      </c>
      <c r="C32698">
        <v>25517</v>
      </c>
      <c r="D32698" t="str">
        <f>"25517"</f>
        <v>25517</v>
      </c>
      <c r="E32698">
        <v>58.18</v>
      </c>
    </row>
    <row r="32699" spans="1:5" x14ac:dyDescent="0.2">
      <c r="A32699">
        <v>25520</v>
      </c>
      <c r="B32699" t="s">
        <v>56</v>
      </c>
      <c r="C32699">
        <v>25520</v>
      </c>
      <c r="D32699" t="str">
        <f>"25520"</f>
        <v>25520</v>
      </c>
      <c r="E32699">
        <v>58.82</v>
      </c>
    </row>
    <row r="32700" spans="1:5" x14ac:dyDescent="0.2">
      <c r="A32700">
        <v>25521</v>
      </c>
      <c r="B32700" t="s">
        <v>56</v>
      </c>
      <c r="C32700">
        <v>25521</v>
      </c>
      <c r="D32700" t="str">
        <f>"25521"</f>
        <v>25521</v>
      </c>
      <c r="E32700">
        <v>60.53</v>
      </c>
    </row>
    <row r="32701" spans="1:5" x14ac:dyDescent="0.2">
      <c r="A32701">
        <v>25523</v>
      </c>
      <c r="B32701" t="s">
        <v>56</v>
      </c>
      <c r="C32701">
        <v>25523</v>
      </c>
      <c r="D32701" t="str">
        <f>"25523"</f>
        <v>25523</v>
      </c>
      <c r="E32701">
        <v>67.349999999999994</v>
      </c>
    </row>
    <row r="32702" spans="1:5" x14ac:dyDescent="0.2">
      <c r="A32702">
        <v>25524</v>
      </c>
      <c r="B32702" t="s">
        <v>56</v>
      </c>
      <c r="C32702">
        <v>25524</v>
      </c>
      <c r="D32702" t="str">
        <f>"25524"</f>
        <v>25524</v>
      </c>
      <c r="E32702">
        <v>65.09</v>
      </c>
    </row>
    <row r="32703" spans="1:5" x14ac:dyDescent="0.2">
      <c r="A32703">
        <v>25526</v>
      </c>
      <c r="B32703" t="s">
        <v>56</v>
      </c>
      <c r="C32703">
        <v>25526</v>
      </c>
      <c r="D32703" t="str">
        <f>"25526"</f>
        <v>25526</v>
      </c>
      <c r="E32703">
        <v>75.84</v>
      </c>
    </row>
    <row r="32704" spans="1:5" x14ac:dyDescent="0.2">
      <c r="A32704">
        <v>25529</v>
      </c>
      <c r="B32704" t="s">
        <v>56</v>
      </c>
      <c r="C32704">
        <v>25529</v>
      </c>
      <c r="D32704" t="str">
        <f>"25529"</f>
        <v>25529</v>
      </c>
      <c r="E32704">
        <v>68.97</v>
      </c>
    </row>
    <row r="32705" spans="1:5" x14ac:dyDescent="0.2">
      <c r="A32705">
        <v>25530</v>
      </c>
      <c r="B32705" t="s">
        <v>56</v>
      </c>
      <c r="C32705">
        <v>25530</v>
      </c>
      <c r="D32705" t="str">
        <f>"25530"</f>
        <v>25530</v>
      </c>
      <c r="E32705">
        <v>66.12</v>
      </c>
    </row>
    <row r="32706" spans="1:5" x14ac:dyDescent="0.2">
      <c r="A32706">
        <v>25534</v>
      </c>
      <c r="B32706" t="s">
        <v>56</v>
      </c>
      <c r="C32706">
        <v>25534</v>
      </c>
      <c r="D32706" t="str">
        <f>"25534"</f>
        <v>25534</v>
      </c>
      <c r="E32706" t="s">
        <v>6</v>
      </c>
    </row>
    <row r="32707" spans="1:5" x14ac:dyDescent="0.2">
      <c r="A32707">
        <v>25535</v>
      </c>
      <c r="B32707" t="s">
        <v>56</v>
      </c>
      <c r="C32707">
        <v>25535</v>
      </c>
      <c r="D32707" t="str">
        <f>"25535"</f>
        <v>25535</v>
      </c>
      <c r="E32707">
        <v>72.900000000000006</v>
      </c>
    </row>
    <row r="32708" spans="1:5" x14ac:dyDescent="0.2">
      <c r="A32708">
        <v>25537</v>
      </c>
      <c r="B32708" t="s">
        <v>56</v>
      </c>
      <c r="C32708">
        <v>25537</v>
      </c>
      <c r="D32708" t="str">
        <f>"25537"</f>
        <v>25537</v>
      </c>
      <c r="E32708">
        <v>68.09</v>
      </c>
    </row>
    <row r="32709" spans="1:5" x14ac:dyDescent="0.2">
      <c r="A32709">
        <v>25540</v>
      </c>
      <c r="B32709" t="s">
        <v>56</v>
      </c>
      <c r="C32709">
        <v>25540</v>
      </c>
      <c r="D32709" t="str">
        <f>"25540"</f>
        <v>25540</v>
      </c>
      <c r="E32709">
        <v>54.55</v>
      </c>
    </row>
    <row r="32710" spans="1:5" x14ac:dyDescent="0.2">
      <c r="A32710">
        <v>25541</v>
      </c>
      <c r="B32710" t="s">
        <v>56</v>
      </c>
      <c r="C32710">
        <v>25541</v>
      </c>
      <c r="D32710" t="str">
        <f>"25541"</f>
        <v>25541</v>
      </c>
      <c r="E32710">
        <v>72.42</v>
      </c>
    </row>
    <row r="32711" spans="1:5" x14ac:dyDescent="0.2">
      <c r="A32711">
        <v>25544</v>
      </c>
      <c r="B32711" t="s">
        <v>56</v>
      </c>
      <c r="C32711">
        <v>25544</v>
      </c>
      <c r="D32711" t="str">
        <f>"25544"</f>
        <v>25544</v>
      </c>
      <c r="E32711" t="s">
        <v>6</v>
      </c>
    </row>
    <row r="32712" spans="1:5" x14ac:dyDescent="0.2">
      <c r="A32712">
        <v>25545</v>
      </c>
      <c r="B32712" t="s">
        <v>56</v>
      </c>
      <c r="C32712">
        <v>25545</v>
      </c>
      <c r="D32712" t="str">
        <f>"25545"</f>
        <v>25545</v>
      </c>
      <c r="E32712">
        <v>72.91</v>
      </c>
    </row>
    <row r="32713" spans="1:5" x14ac:dyDescent="0.2">
      <c r="A32713">
        <v>25547</v>
      </c>
      <c r="B32713" t="s">
        <v>56</v>
      </c>
      <c r="C32713">
        <v>25547</v>
      </c>
      <c r="D32713" t="str">
        <f>"25547"</f>
        <v>25547</v>
      </c>
      <c r="E32713">
        <v>65.790000000000006</v>
      </c>
    </row>
    <row r="32714" spans="1:5" x14ac:dyDescent="0.2">
      <c r="A32714">
        <v>25550</v>
      </c>
      <c r="B32714" t="s">
        <v>56</v>
      </c>
      <c r="C32714">
        <v>25550</v>
      </c>
      <c r="D32714" t="str">
        <f>"25550"</f>
        <v>25550</v>
      </c>
      <c r="E32714">
        <v>68.39</v>
      </c>
    </row>
    <row r="32715" spans="1:5" x14ac:dyDescent="0.2">
      <c r="A32715">
        <v>25555</v>
      </c>
      <c r="B32715" t="s">
        <v>56</v>
      </c>
      <c r="C32715">
        <v>25555</v>
      </c>
      <c r="D32715" t="str">
        <f>"25555"</f>
        <v>25555</v>
      </c>
      <c r="E32715">
        <v>67.069999999999993</v>
      </c>
    </row>
    <row r="32716" spans="1:5" x14ac:dyDescent="0.2">
      <c r="A32716">
        <v>25557</v>
      </c>
      <c r="B32716" t="s">
        <v>56</v>
      </c>
      <c r="C32716">
        <v>25557</v>
      </c>
      <c r="D32716" t="str">
        <f>"25557"</f>
        <v>25557</v>
      </c>
      <c r="E32716">
        <v>59.52</v>
      </c>
    </row>
    <row r="32717" spans="1:5" x14ac:dyDescent="0.2">
      <c r="A32717">
        <v>25559</v>
      </c>
      <c r="B32717" t="s">
        <v>56</v>
      </c>
      <c r="C32717">
        <v>25559</v>
      </c>
      <c r="D32717" t="str">
        <f>"25559"</f>
        <v>25559</v>
      </c>
      <c r="E32717">
        <v>72.41</v>
      </c>
    </row>
    <row r="32718" spans="1:5" x14ac:dyDescent="0.2">
      <c r="A32718">
        <v>25560</v>
      </c>
      <c r="B32718" t="s">
        <v>56</v>
      </c>
      <c r="C32718">
        <v>25560</v>
      </c>
      <c r="D32718" t="str">
        <f>"25560"</f>
        <v>25560</v>
      </c>
      <c r="E32718">
        <v>78.739999999999995</v>
      </c>
    </row>
    <row r="32719" spans="1:5" x14ac:dyDescent="0.2">
      <c r="A32719">
        <v>25564</v>
      </c>
      <c r="B32719" t="s">
        <v>56</v>
      </c>
      <c r="C32719">
        <v>25564</v>
      </c>
      <c r="D32719" t="str">
        <f>"25564"</f>
        <v>25564</v>
      </c>
      <c r="E32719">
        <v>64.58</v>
      </c>
    </row>
    <row r="32720" spans="1:5" x14ac:dyDescent="0.2">
      <c r="A32720">
        <v>25565</v>
      </c>
      <c r="B32720" t="s">
        <v>56</v>
      </c>
      <c r="C32720">
        <v>25565</v>
      </c>
      <c r="D32720" t="str">
        <f>"25565"</f>
        <v>25565</v>
      </c>
      <c r="E32720">
        <v>54.55</v>
      </c>
    </row>
    <row r="32721" spans="1:5" x14ac:dyDescent="0.2">
      <c r="A32721">
        <v>25567</v>
      </c>
      <c r="B32721" t="s">
        <v>56</v>
      </c>
      <c r="C32721">
        <v>25567</v>
      </c>
      <c r="D32721" t="str">
        <f>"25567"</f>
        <v>25567</v>
      </c>
      <c r="E32721">
        <v>64.52</v>
      </c>
    </row>
    <row r="32722" spans="1:5" x14ac:dyDescent="0.2">
      <c r="A32722">
        <v>25570</v>
      </c>
      <c r="B32722" t="s">
        <v>56</v>
      </c>
      <c r="C32722">
        <v>25570</v>
      </c>
      <c r="D32722" t="str">
        <f>"25570"</f>
        <v>25570</v>
      </c>
      <c r="E32722">
        <v>64.98</v>
      </c>
    </row>
    <row r="32723" spans="1:5" x14ac:dyDescent="0.2">
      <c r="A32723">
        <v>25571</v>
      </c>
      <c r="B32723" t="s">
        <v>56</v>
      </c>
      <c r="C32723">
        <v>25571</v>
      </c>
      <c r="D32723" t="str">
        <f>"25571"</f>
        <v>25571</v>
      </c>
      <c r="E32723">
        <v>65.260000000000005</v>
      </c>
    </row>
    <row r="32724" spans="1:5" x14ac:dyDescent="0.2">
      <c r="A32724">
        <v>25573</v>
      </c>
      <c r="B32724" t="s">
        <v>56</v>
      </c>
      <c r="C32724">
        <v>25573</v>
      </c>
      <c r="D32724" t="str">
        <f>"25573"</f>
        <v>25573</v>
      </c>
      <c r="E32724">
        <v>67.739999999999995</v>
      </c>
    </row>
    <row r="32725" spans="1:5" x14ac:dyDescent="0.2">
      <c r="A32725">
        <v>25601</v>
      </c>
      <c r="B32725" t="s">
        <v>56</v>
      </c>
      <c r="C32725">
        <v>25601</v>
      </c>
      <c r="D32725" t="str">
        <f>"25601"</f>
        <v>25601</v>
      </c>
      <c r="E32725">
        <v>65</v>
      </c>
    </row>
    <row r="32726" spans="1:5" x14ac:dyDescent="0.2">
      <c r="A32726">
        <v>25606</v>
      </c>
      <c r="B32726" t="s">
        <v>56</v>
      </c>
      <c r="C32726">
        <v>25606</v>
      </c>
      <c r="D32726" t="str">
        <f>"25606"</f>
        <v>25606</v>
      </c>
      <c r="E32726" t="s">
        <v>6</v>
      </c>
    </row>
    <row r="32727" spans="1:5" x14ac:dyDescent="0.2">
      <c r="A32727">
        <v>25607</v>
      </c>
      <c r="B32727" t="s">
        <v>56</v>
      </c>
      <c r="C32727">
        <v>25607</v>
      </c>
      <c r="D32727" t="str">
        <f>"25607"</f>
        <v>25607</v>
      </c>
      <c r="E32727">
        <v>55.17</v>
      </c>
    </row>
    <row r="32728" spans="1:5" x14ac:dyDescent="0.2">
      <c r="A32728">
        <v>25608</v>
      </c>
      <c r="B32728" t="s">
        <v>56</v>
      </c>
      <c r="C32728">
        <v>25608</v>
      </c>
      <c r="D32728" t="str">
        <f>"25608"</f>
        <v>25608</v>
      </c>
      <c r="E32728">
        <v>55</v>
      </c>
    </row>
    <row r="32729" spans="1:5" x14ac:dyDescent="0.2">
      <c r="A32729">
        <v>25611</v>
      </c>
      <c r="B32729" t="s">
        <v>56</v>
      </c>
      <c r="C32729">
        <v>25611</v>
      </c>
      <c r="D32729" t="str">
        <f>"25611"</f>
        <v>25611</v>
      </c>
      <c r="E32729" t="s">
        <v>6</v>
      </c>
    </row>
    <row r="32730" spans="1:5" x14ac:dyDescent="0.2">
      <c r="A32730">
        <v>25612</v>
      </c>
      <c r="B32730" t="s">
        <v>56</v>
      </c>
      <c r="C32730">
        <v>25612</v>
      </c>
      <c r="D32730" t="str">
        <f>"25612"</f>
        <v>25612</v>
      </c>
      <c r="E32730" t="s">
        <v>6</v>
      </c>
    </row>
    <row r="32731" spans="1:5" x14ac:dyDescent="0.2">
      <c r="A32731">
        <v>25614</v>
      </c>
      <c r="B32731" t="s">
        <v>56</v>
      </c>
      <c r="C32731">
        <v>25614</v>
      </c>
      <c r="D32731" t="str">
        <f>"25614"</f>
        <v>25614</v>
      </c>
      <c r="E32731" t="s">
        <v>6</v>
      </c>
    </row>
    <row r="32732" spans="1:5" x14ac:dyDescent="0.2">
      <c r="A32732">
        <v>25617</v>
      </c>
      <c r="B32732" t="s">
        <v>56</v>
      </c>
      <c r="C32732">
        <v>25617</v>
      </c>
      <c r="D32732" t="str">
        <f>"25617"</f>
        <v>25617</v>
      </c>
      <c r="E32732">
        <v>64.290000000000006</v>
      </c>
    </row>
    <row r="32733" spans="1:5" x14ac:dyDescent="0.2">
      <c r="A32733">
        <v>25621</v>
      </c>
      <c r="B32733" t="s">
        <v>56</v>
      </c>
      <c r="C32733">
        <v>25621</v>
      </c>
      <c r="D32733" t="str">
        <f>"25621"</f>
        <v>25621</v>
      </c>
      <c r="E32733">
        <v>66.67</v>
      </c>
    </row>
    <row r="32734" spans="1:5" x14ac:dyDescent="0.2">
      <c r="A32734">
        <v>25625</v>
      </c>
      <c r="B32734" t="s">
        <v>56</v>
      </c>
      <c r="C32734">
        <v>25625</v>
      </c>
      <c r="D32734" t="str">
        <f>"25625"</f>
        <v>25625</v>
      </c>
      <c r="E32734">
        <v>62.5</v>
      </c>
    </row>
    <row r="32735" spans="1:5" x14ac:dyDescent="0.2">
      <c r="A32735">
        <v>25628</v>
      </c>
      <c r="B32735" t="s">
        <v>56</v>
      </c>
      <c r="C32735">
        <v>25628</v>
      </c>
      <c r="D32735" t="str">
        <f>"25628"</f>
        <v>25628</v>
      </c>
      <c r="E32735" t="s">
        <v>6</v>
      </c>
    </row>
    <row r="32736" spans="1:5" x14ac:dyDescent="0.2">
      <c r="A32736">
        <v>25630</v>
      </c>
      <c r="B32736" t="s">
        <v>56</v>
      </c>
      <c r="C32736">
        <v>25630</v>
      </c>
      <c r="D32736" t="str">
        <f>"25630"</f>
        <v>25630</v>
      </c>
      <c r="E32736" t="s">
        <v>6</v>
      </c>
    </row>
    <row r="32737" spans="1:5" x14ac:dyDescent="0.2">
      <c r="A32737">
        <v>25632</v>
      </c>
      <c r="B32737" t="s">
        <v>56</v>
      </c>
      <c r="C32737">
        <v>25632</v>
      </c>
      <c r="D32737" t="str">
        <f>"25632"</f>
        <v>25632</v>
      </c>
      <c r="E32737">
        <v>53.33</v>
      </c>
    </row>
    <row r="32738" spans="1:5" x14ac:dyDescent="0.2">
      <c r="A32738">
        <v>25634</v>
      </c>
      <c r="B32738" t="s">
        <v>56</v>
      </c>
      <c r="C32738">
        <v>25634</v>
      </c>
      <c r="D32738" t="str">
        <f>"25634"</f>
        <v>25634</v>
      </c>
      <c r="E32738" t="s">
        <v>6</v>
      </c>
    </row>
    <row r="32739" spans="1:5" x14ac:dyDescent="0.2">
      <c r="A32739">
        <v>25635</v>
      </c>
      <c r="B32739" t="s">
        <v>56</v>
      </c>
      <c r="C32739">
        <v>25635</v>
      </c>
      <c r="D32739" t="str">
        <f>"25635"</f>
        <v>25635</v>
      </c>
      <c r="E32739">
        <v>67.19</v>
      </c>
    </row>
    <row r="32740" spans="1:5" x14ac:dyDescent="0.2">
      <c r="A32740">
        <v>25637</v>
      </c>
      <c r="B32740" t="s">
        <v>56</v>
      </c>
      <c r="C32740">
        <v>25637</v>
      </c>
      <c r="D32740" t="str">
        <f>"25637"</f>
        <v>25637</v>
      </c>
      <c r="E32740" t="s">
        <v>6</v>
      </c>
    </row>
    <row r="32741" spans="1:5" x14ac:dyDescent="0.2">
      <c r="A32741">
        <v>25638</v>
      </c>
      <c r="B32741" t="s">
        <v>56</v>
      </c>
      <c r="C32741">
        <v>25638</v>
      </c>
      <c r="D32741" t="str">
        <f>"25638"</f>
        <v>25638</v>
      </c>
      <c r="E32741">
        <v>58.82</v>
      </c>
    </row>
    <row r="32742" spans="1:5" x14ac:dyDescent="0.2">
      <c r="A32742">
        <v>25639</v>
      </c>
      <c r="B32742" t="s">
        <v>56</v>
      </c>
      <c r="C32742">
        <v>25639</v>
      </c>
      <c r="D32742" t="str">
        <f>"25639"</f>
        <v>25639</v>
      </c>
      <c r="E32742" t="s">
        <v>6</v>
      </c>
    </row>
    <row r="32743" spans="1:5" x14ac:dyDescent="0.2">
      <c r="A32743">
        <v>25644</v>
      </c>
      <c r="B32743" t="s">
        <v>56</v>
      </c>
      <c r="C32743">
        <v>25644</v>
      </c>
      <c r="D32743" t="str">
        <f>"25644"</f>
        <v>25644</v>
      </c>
      <c r="E32743" t="s">
        <v>6</v>
      </c>
    </row>
    <row r="32744" spans="1:5" x14ac:dyDescent="0.2">
      <c r="A32744">
        <v>25646</v>
      </c>
      <c r="B32744" t="s">
        <v>56</v>
      </c>
      <c r="C32744">
        <v>25646</v>
      </c>
      <c r="D32744" t="str">
        <f>"25646"</f>
        <v>25646</v>
      </c>
      <c r="E32744" t="s">
        <v>6</v>
      </c>
    </row>
    <row r="32745" spans="1:5" x14ac:dyDescent="0.2">
      <c r="A32745">
        <v>25647</v>
      </c>
      <c r="B32745" t="s">
        <v>56</v>
      </c>
      <c r="C32745">
        <v>25647</v>
      </c>
      <c r="D32745" t="str">
        <f>"25647"</f>
        <v>25647</v>
      </c>
      <c r="E32745" t="s">
        <v>6</v>
      </c>
    </row>
    <row r="32746" spans="1:5" x14ac:dyDescent="0.2">
      <c r="A32746">
        <v>25649</v>
      </c>
      <c r="B32746" t="s">
        <v>56</v>
      </c>
      <c r="C32746">
        <v>25649</v>
      </c>
      <c r="D32746" t="str">
        <f>"25649"</f>
        <v>25649</v>
      </c>
      <c r="E32746" t="s">
        <v>6</v>
      </c>
    </row>
    <row r="32747" spans="1:5" x14ac:dyDescent="0.2">
      <c r="A32747">
        <v>25650</v>
      </c>
      <c r="B32747" t="s">
        <v>56</v>
      </c>
      <c r="C32747">
        <v>25650</v>
      </c>
      <c r="D32747" t="str">
        <f>"25650"</f>
        <v>25650</v>
      </c>
      <c r="E32747">
        <v>70</v>
      </c>
    </row>
    <row r="32748" spans="1:5" x14ac:dyDescent="0.2">
      <c r="A32748">
        <v>25651</v>
      </c>
      <c r="B32748" t="s">
        <v>56</v>
      </c>
      <c r="C32748">
        <v>25651</v>
      </c>
      <c r="D32748" t="str">
        <f>"25651"</f>
        <v>25651</v>
      </c>
      <c r="E32748">
        <v>73.680000000000007</v>
      </c>
    </row>
    <row r="32749" spans="1:5" x14ac:dyDescent="0.2">
      <c r="A32749">
        <v>25653</v>
      </c>
      <c r="B32749" t="s">
        <v>56</v>
      </c>
      <c r="C32749">
        <v>25653</v>
      </c>
      <c r="D32749" t="str">
        <f>"25653"</f>
        <v>25653</v>
      </c>
      <c r="E32749" t="s">
        <v>6</v>
      </c>
    </row>
    <row r="32750" spans="1:5" x14ac:dyDescent="0.2">
      <c r="A32750">
        <v>25654</v>
      </c>
      <c r="B32750" t="s">
        <v>56</v>
      </c>
      <c r="C32750">
        <v>25654</v>
      </c>
      <c r="D32750" t="str">
        <f>"25654"</f>
        <v>25654</v>
      </c>
      <c r="E32750" t="s">
        <v>6</v>
      </c>
    </row>
    <row r="32751" spans="1:5" x14ac:dyDescent="0.2">
      <c r="A32751">
        <v>25661</v>
      </c>
      <c r="B32751" t="s">
        <v>56</v>
      </c>
      <c r="C32751">
        <v>25661</v>
      </c>
      <c r="D32751" t="str">
        <f>"25661"</f>
        <v>25661</v>
      </c>
      <c r="E32751">
        <v>60.53</v>
      </c>
    </row>
    <row r="32752" spans="1:5" x14ac:dyDescent="0.2">
      <c r="A32752">
        <v>25666</v>
      </c>
      <c r="B32752" t="s">
        <v>56</v>
      </c>
      <c r="C32752">
        <v>25666</v>
      </c>
      <c r="D32752" t="str">
        <f>"25666"</f>
        <v>25666</v>
      </c>
      <c r="E32752" t="s">
        <v>6</v>
      </c>
    </row>
    <row r="32753" spans="1:5" x14ac:dyDescent="0.2">
      <c r="A32753">
        <v>25667</v>
      </c>
      <c r="B32753" t="s">
        <v>56</v>
      </c>
      <c r="C32753">
        <v>25667</v>
      </c>
      <c r="D32753" t="str">
        <f>"25667"</f>
        <v>25667</v>
      </c>
      <c r="E32753" t="s">
        <v>6</v>
      </c>
    </row>
    <row r="32754" spans="1:5" x14ac:dyDescent="0.2">
      <c r="A32754">
        <v>25669</v>
      </c>
      <c r="B32754" t="s">
        <v>56</v>
      </c>
      <c r="C32754">
        <v>25669</v>
      </c>
      <c r="D32754" t="str">
        <f>"25669"</f>
        <v>25669</v>
      </c>
      <c r="E32754">
        <v>51.61</v>
      </c>
    </row>
    <row r="32755" spans="1:5" x14ac:dyDescent="0.2">
      <c r="A32755">
        <v>25670</v>
      </c>
      <c r="B32755" t="s">
        <v>56</v>
      </c>
      <c r="C32755">
        <v>25670</v>
      </c>
      <c r="D32755" t="str">
        <f>"25670"</f>
        <v>25670</v>
      </c>
      <c r="E32755">
        <v>58.33</v>
      </c>
    </row>
    <row r="32756" spans="1:5" x14ac:dyDescent="0.2">
      <c r="A32756">
        <v>25671</v>
      </c>
      <c r="B32756" t="s">
        <v>56</v>
      </c>
      <c r="C32756">
        <v>25671</v>
      </c>
      <c r="D32756" t="str">
        <f>"25671"</f>
        <v>25671</v>
      </c>
      <c r="E32756">
        <v>52.78</v>
      </c>
    </row>
    <row r="32757" spans="1:5" x14ac:dyDescent="0.2">
      <c r="A32757">
        <v>25672</v>
      </c>
      <c r="B32757" t="s">
        <v>56</v>
      </c>
      <c r="C32757">
        <v>25672</v>
      </c>
      <c r="D32757" t="str">
        <f>"25672"</f>
        <v>25672</v>
      </c>
      <c r="E32757" t="s">
        <v>6</v>
      </c>
    </row>
    <row r="32758" spans="1:5" x14ac:dyDescent="0.2">
      <c r="A32758">
        <v>25674</v>
      </c>
      <c r="B32758" t="s">
        <v>56</v>
      </c>
      <c r="C32758">
        <v>25674</v>
      </c>
      <c r="D32758" t="str">
        <f>"25674"</f>
        <v>25674</v>
      </c>
      <c r="E32758">
        <v>56.58</v>
      </c>
    </row>
    <row r="32759" spans="1:5" x14ac:dyDescent="0.2">
      <c r="A32759">
        <v>25676</v>
      </c>
      <c r="B32759" t="s">
        <v>56</v>
      </c>
      <c r="C32759">
        <v>25676</v>
      </c>
      <c r="D32759" t="str">
        <f>"25676"</f>
        <v>25676</v>
      </c>
      <c r="E32759">
        <v>63.83</v>
      </c>
    </row>
    <row r="32760" spans="1:5" x14ac:dyDescent="0.2">
      <c r="A32760">
        <v>25678</v>
      </c>
      <c r="B32760" t="s">
        <v>56</v>
      </c>
      <c r="C32760">
        <v>25678</v>
      </c>
      <c r="D32760" t="str">
        <f>"25678"</f>
        <v>25678</v>
      </c>
      <c r="E32760">
        <v>52.73</v>
      </c>
    </row>
    <row r="32761" spans="1:5" x14ac:dyDescent="0.2">
      <c r="A32761">
        <v>25685</v>
      </c>
      <c r="B32761" t="s">
        <v>56</v>
      </c>
      <c r="C32761">
        <v>25685</v>
      </c>
      <c r="D32761" t="str">
        <f>"25685"</f>
        <v>25685</v>
      </c>
      <c r="E32761" t="s">
        <v>6</v>
      </c>
    </row>
    <row r="32762" spans="1:5" x14ac:dyDescent="0.2">
      <c r="A32762">
        <v>25688</v>
      </c>
      <c r="B32762" t="s">
        <v>56</v>
      </c>
      <c r="C32762">
        <v>25688</v>
      </c>
      <c r="D32762" t="str">
        <f>"25688"</f>
        <v>25688</v>
      </c>
      <c r="E32762" t="s">
        <v>6</v>
      </c>
    </row>
    <row r="32763" spans="1:5" x14ac:dyDescent="0.2">
      <c r="A32763">
        <v>25692</v>
      </c>
      <c r="B32763" t="s">
        <v>56</v>
      </c>
      <c r="C32763">
        <v>25692</v>
      </c>
      <c r="D32763" t="str">
        <f>"25692"</f>
        <v>25692</v>
      </c>
      <c r="E32763" t="s">
        <v>6</v>
      </c>
    </row>
    <row r="32764" spans="1:5" x14ac:dyDescent="0.2">
      <c r="A32764">
        <v>25696</v>
      </c>
      <c r="B32764" t="s">
        <v>56</v>
      </c>
      <c r="C32764">
        <v>25696</v>
      </c>
      <c r="D32764" t="str">
        <f>"25696"</f>
        <v>25696</v>
      </c>
      <c r="E32764" t="s">
        <v>6</v>
      </c>
    </row>
    <row r="32765" spans="1:5" x14ac:dyDescent="0.2">
      <c r="A32765">
        <v>25699</v>
      </c>
      <c r="B32765" t="s">
        <v>56</v>
      </c>
      <c r="C32765">
        <v>25699</v>
      </c>
      <c r="D32765" t="str">
        <f>"25699"</f>
        <v>25699</v>
      </c>
      <c r="E32765" t="s">
        <v>6</v>
      </c>
    </row>
    <row r="32766" spans="1:5" x14ac:dyDescent="0.2">
      <c r="A32766">
        <v>25701</v>
      </c>
      <c r="B32766" t="s">
        <v>56</v>
      </c>
      <c r="C32766">
        <v>25701</v>
      </c>
      <c r="D32766" t="str">
        <f>"25701"</f>
        <v>25701</v>
      </c>
      <c r="E32766">
        <v>68.77</v>
      </c>
    </row>
    <row r="32767" spans="1:5" x14ac:dyDescent="0.2">
      <c r="A32767">
        <v>25702</v>
      </c>
      <c r="B32767" t="s">
        <v>56</v>
      </c>
      <c r="C32767">
        <v>25702</v>
      </c>
      <c r="D32767" t="str">
        <f>"25702"</f>
        <v>25702</v>
      </c>
      <c r="E32767">
        <v>60.74</v>
      </c>
    </row>
    <row r="32768" spans="1:5" x14ac:dyDescent="0.2">
      <c r="A32768">
        <v>25703</v>
      </c>
      <c r="B32768" t="s">
        <v>56</v>
      </c>
      <c r="C32768">
        <v>25703</v>
      </c>
      <c r="D32768" t="str">
        <f>"25703"</f>
        <v>25703</v>
      </c>
      <c r="E32768">
        <v>46.97</v>
      </c>
    </row>
    <row r="32769" spans="1:5" x14ac:dyDescent="0.2">
      <c r="A32769">
        <v>25704</v>
      </c>
      <c r="B32769" t="s">
        <v>56</v>
      </c>
      <c r="C32769">
        <v>25704</v>
      </c>
      <c r="D32769" t="str">
        <f>"25704"</f>
        <v>25704</v>
      </c>
      <c r="E32769">
        <v>65.47</v>
      </c>
    </row>
    <row r="32770" spans="1:5" x14ac:dyDescent="0.2">
      <c r="A32770">
        <v>25705</v>
      </c>
      <c r="B32770" t="s">
        <v>56</v>
      </c>
      <c r="C32770">
        <v>25705</v>
      </c>
      <c r="D32770" t="str">
        <f>"25705"</f>
        <v>25705</v>
      </c>
      <c r="E32770">
        <v>70.459999999999994</v>
      </c>
    </row>
    <row r="32771" spans="1:5" x14ac:dyDescent="0.2">
      <c r="A32771">
        <v>25755</v>
      </c>
      <c r="B32771" t="s">
        <v>56</v>
      </c>
      <c r="C32771">
        <v>25755</v>
      </c>
      <c r="D32771" t="str">
        <f>"25755"</f>
        <v>25755</v>
      </c>
      <c r="E32771" t="s">
        <v>6</v>
      </c>
    </row>
    <row r="32772" spans="1:5" x14ac:dyDescent="0.2">
      <c r="A32772">
        <v>25801</v>
      </c>
      <c r="B32772" t="s">
        <v>56</v>
      </c>
      <c r="C32772">
        <v>25801</v>
      </c>
      <c r="D32772" t="str">
        <f>"25801"</f>
        <v>25801</v>
      </c>
      <c r="E32772">
        <v>65.45</v>
      </c>
    </row>
    <row r="32773" spans="1:5" x14ac:dyDescent="0.2">
      <c r="A32773">
        <v>25810</v>
      </c>
      <c r="B32773" t="s">
        <v>56</v>
      </c>
      <c r="C32773">
        <v>25810</v>
      </c>
      <c r="D32773" t="str">
        <f>"25810"</f>
        <v>25810</v>
      </c>
      <c r="E32773" t="s">
        <v>6</v>
      </c>
    </row>
    <row r="32774" spans="1:5" x14ac:dyDescent="0.2">
      <c r="A32774">
        <v>25811</v>
      </c>
      <c r="B32774" t="s">
        <v>56</v>
      </c>
      <c r="C32774">
        <v>25811</v>
      </c>
      <c r="D32774" t="str">
        <f>"25811"</f>
        <v>25811</v>
      </c>
      <c r="E32774" t="s">
        <v>6</v>
      </c>
    </row>
    <row r="32775" spans="1:5" x14ac:dyDescent="0.2">
      <c r="A32775">
        <v>25812</v>
      </c>
      <c r="B32775" t="s">
        <v>56</v>
      </c>
      <c r="C32775">
        <v>25812</v>
      </c>
      <c r="D32775" t="str">
        <f>"25812"</f>
        <v>25812</v>
      </c>
      <c r="E32775">
        <v>60.94</v>
      </c>
    </row>
    <row r="32776" spans="1:5" x14ac:dyDescent="0.2">
      <c r="A32776">
        <v>25813</v>
      </c>
      <c r="B32776" t="s">
        <v>56</v>
      </c>
      <c r="C32776">
        <v>25813</v>
      </c>
      <c r="D32776" t="str">
        <f>"25813"</f>
        <v>25813</v>
      </c>
      <c r="E32776">
        <v>70.75</v>
      </c>
    </row>
    <row r="32777" spans="1:5" x14ac:dyDescent="0.2">
      <c r="A32777">
        <v>25817</v>
      </c>
      <c r="B32777" t="s">
        <v>56</v>
      </c>
      <c r="C32777">
        <v>25817</v>
      </c>
      <c r="D32777" t="str">
        <f>"25817"</f>
        <v>25817</v>
      </c>
      <c r="E32777">
        <v>70.37</v>
      </c>
    </row>
    <row r="32778" spans="1:5" x14ac:dyDescent="0.2">
      <c r="A32778">
        <v>25820</v>
      </c>
      <c r="B32778" t="s">
        <v>56</v>
      </c>
      <c r="C32778">
        <v>25820</v>
      </c>
      <c r="D32778" t="str">
        <f>"25820"</f>
        <v>25820</v>
      </c>
      <c r="E32778">
        <v>66.67</v>
      </c>
    </row>
    <row r="32779" spans="1:5" x14ac:dyDescent="0.2">
      <c r="A32779">
        <v>25823</v>
      </c>
      <c r="B32779" t="s">
        <v>56</v>
      </c>
      <c r="C32779">
        <v>25823</v>
      </c>
      <c r="D32779" t="str">
        <f>"25823"</f>
        <v>25823</v>
      </c>
      <c r="E32779">
        <v>64.47</v>
      </c>
    </row>
    <row r="32780" spans="1:5" x14ac:dyDescent="0.2">
      <c r="A32780">
        <v>25825</v>
      </c>
      <c r="B32780" t="s">
        <v>56</v>
      </c>
      <c r="C32780">
        <v>25825</v>
      </c>
      <c r="D32780" t="str">
        <f>"25825"</f>
        <v>25825</v>
      </c>
      <c r="E32780">
        <v>71.11</v>
      </c>
    </row>
    <row r="32781" spans="1:5" x14ac:dyDescent="0.2">
      <c r="A32781">
        <v>25826</v>
      </c>
      <c r="B32781" t="s">
        <v>56</v>
      </c>
      <c r="C32781">
        <v>25826</v>
      </c>
      <c r="D32781" t="str">
        <f>"25826"</f>
        <v>25826</v>
      </c>
      <c r="E32781" t="s">
        <v>6</v>
      </c>
    </row>
    <row r="32782" spans="1:5" x14ac:dyDescent="0.2">
      <c r="A32782">
        <v>25827</v>
      </c>
      <c r="B32782" t="s">
        <v>56</v>
      </c>
      <c r="C32782">
        <v>25827</v>
      </c>
      <c r="D32782" t="str">
        <f>"25827"</f>
        <v>25827</v>
      </c>
      <c r="E32782">
        <v>68.5</v>
      </c>
    </row>
    <row r="32783" spans="1:5" x14ac:dyDescent="0.2">
      <c r="A32783">
        <v>25831</v>
      </c>
      <c r="B32783" t="s">
        <v>56</v>
      </c>
      <c r="C32783">
        <v>25831</v>
      </c>
      <c r="D32783" t="str">
        <f>"25831"</f>
        <v>25831</v>
      </c>
      <c r="E32783">
        <v>64.44</v>
      </c>
    </row>
    <row r="32784" spans="1:5" x14ac:dyDescent="0.2">
      <c r="A32784">
        <v>25832</v>
      </c>
      <c r="B32784" t="s">
        <v>56</v>
      </c>
      <c r="C32784">
        <v>25832</v>
      </c>
      <c r="D32784" t="str">
        <f>"25832"</f>
        <v>25832</v>
      </c>
      <c r="E32784">
        <v>75</v>
      </c>
    </row>
    <row r="32785" spans="1:5" x14ac:dyDescent="0.2">
      <c r="A32785">
        <v>25836</v>
      </c>
      <c r="B32785" t="s">
        <v>56</v>
      </c>
      <c r="C32785">
        <v>25836</v>
      </c>
      <c r="D32785" t="str">
        <f>"25836"</f>
        <v>25836</v>
      </c>
      <c r="E32785" t="s">
        <v>6</v>
      </c>
    </row>
    <row r="32786" spans="1:5" x14ac:dyDescent="0.2">
      <c r="A32786">
        <v>25837</v>
      </c>
      <c r="B32786" t="s">
        <v>56</v>
      </c>
      <c r="C32786">
        <v>25837</v>
      </c>
      <c r="D32786" t="str">
        <f>"25837"</f>
        <v>25837</v>
      </c>
      <c r="E32786">
        <v>58.33</v>
      </c>
    </row>
    <row r="32787" spans="1:5" x14ac:dyDescent="0.2">
      <c r="A32787">
        <v>25839</v>
      </c>
      <c r="B32787" t="s">
        <v>56</v>
      </c>
      <c r="C32787">
        <v>25839</v>
      </c>
      <c r="D32787" t="str">
        <f>"25839"</f>
        <v>25839</v>
      </c>
      <c r="E32787">
        <v>68.09</v>
      </c>
    </row>
    <row r="32788" spans="1:5" x14ac:dyDescent="0.2">
      <c r="A32788">
        <v>25840</v>
      </c>
      <c r="B32788" t="s">
        <v>56</v>
      </c>
      <c r="C32788">
        <v>25840</v>
      </c>
      <c r="D32788" t="str">
        <f>"25840"</f>
        <v>25840</v>
      </c>
      <c r="E32788">
        <v>69.459999999999994</v>
      </c>
    </row>
    <row r="32789" spans="1:5" x14ac:dyDescent="0.2">
      <c r="A32789">
        <v>25841</v>
      </c>
      <c r="B32789" t="s">
        <v>56</v>
      </c>
      <c r="C32789">
        <v>25841</v>
      </c>
      <c r="D32789" t="str">
        <f>"25841"</f>
        <v>25841</v>
      </c>
      <c r="E32789">
        <v>61.9</v>
      </c>
    </row>
    <row r="32790" spans="1:5" x14ac:dyDescent="0.2">
      <c r="A32790">
        <v>25843</v>
      </c>
      <c r="B32790" t="s">
        <v>56</v>
      </c>
      <c r="C32790">
        <v>25843</v>
      </c>
      <c r="D32790" t="str">
        <f>"25843"</f>
        <v>25843</v>
      </c>
      <c r="E32790">
        <v>73.81</v>
      </c>
    </row>
    <row r="32791" spans="1:5" x14ac:dyDescent="0.2">
      <c r="A32791">
        <v>25844</v>
      </c>
      <c r="B32791" t="s">
        <v>56</v>
      </c>
      <c r="C32791">
        <v>25844</v>
      </c>
      <c r="D32791" t="str">
        <f>"25844"</f>
        <v>25844</v>
      </c>
      <c r="E32791">
        <v>64</v>
      </c>
    </row>
    <row r="32792" spans="1:5" x14ac:dyDescent="0.2">
      <c r="A32792">
        <v>25845</v>
      </c>
      <c r="B32792" t="s">
        <v>56</v>
      </c>
      <c r="C32792">
        <v>25845</v>
      </c>
      <c r="D32792" t="str">
        <f>"25845"</f>
        <v>25845</v>
      </c>
      <c r="E32792">
        <v>58.33</v>
      </c>
    </row>
    <row r="32793" spans="1:5" x14ac:dyDescent="0.2">
      <c r="A32793">
        <v>25846</v>
      </c>
      <c r="B32793" t="s">
        <v>56</v>
      </c>
      <c r="C32793">
        <v>25846</v>
      </c>
      <c r="D32793" t="str">
        <f>"25846"</f>
        <v>25846</v>
      </c>
      <c r="E32793">
        <v>57.14</v>
      </c>
    </row>
    <row r="32794" spans="1:5" x14ac:dyDescent="0.2">
      <c r="A32794">
        <v>25848</v>
      </c>
      <c r="B32794" t="s">
        <v>56</v>
      </c>
      <c r="C32794">
        <v>25848</v>
      </c>
      <c r="D32794" t="str">
        <f>"25848"</f>
        <v>25848</v>
      </c>
      <c r="E32794" t="s">
        <v>6</v>
      </c>
    </row>
    <row r="32795" spans="1:5" x14ac:dyDescent="0.2">
      <c r="A32795">
        <v>25849</v>
      </c>
      <c r="B32795" t="s">
        <v>56</v>
      </c>
      <c r="C32795">
        <v>25849</v>
      </c>
      <c r="D32795" t="str">
        <f>"25849"</f>
        <v>25849</v>
      </c>
      <c r="E32795" t="s">
        <v>6</v>
      </c>
    </row>
    <row r="32796" spans="1:5" x14ac:dyDescent="0.2">
      <c r="A32796">
        <v>25853</v>
      </c>
      <c r="B32796" t="s">
        <v>56</v>
      </c>
      <c r="C32796">
        <v>25853</v>
      </c>
      <c r="D32796" t="str">
        <f>"25853"</f>
        <v>25853</v>
      </c>
      <c r="E32796" t="s">
        <v>6</v>
      </c>
    </row>
    <row r="32797" spans="1:5" x14ac:dyDescent="0.2">
      <c r="A32797">
        <v>25854</v>
      </c>
      <c r="B32797" t="s">
        <v>56</v>
      </c>
      <c r="C32797">
        <v>25854</v>
      </c>
      <c r="D32797" t="str">
        <f>"25854"</f>
        <v>25854</v>
      </c>
      <c r="E32797">
        <v>67.39</v>
      </c>
    </row>
    <row r="32798" spans="1:5" x14ac:dyDescent="0.2">
      <c r="A32798">
        <v>25855</v>
      </c>
      <c r="B32798" t="s">
        <v>56</v>
      </c>
      <c r="C32798">
        <v>25855</v>
      </c>
      <c r="D32798" t="str">
        <f>"25855"</f>
        <v>25855</v>
      </c>
      <c r="E32798" t="s">
        <v>6</v>
      </c>
    </row>
    <row r="32799" spans="1:5" x14ac:dyDescent="0.2">
      <c r="A32799">
        <v>25857</v>
      </c>
      <c r="B32799" t="s">
        <v>56</v>
      </c>
      <c r="C32799">
        <v>25857</v>
      </c>
      <c r="D32799" t="str">
        <f>"25857"</f>
        <v>25857</v>
      </c>
      <c r="E32799" t="s">
        <v>6</v>
      </c>
    </row>
    <row r="32800" spans="1:5" x14ac:dyDescent="0.2">
      <c r="A32800">
        <v>25862</v>
      </c>
      <c r="B32800" t="s">
        <v>56</v>
      </c>
      <c r="C32800">
        <v>25862</v>
      </c>
      <c r="D32800" t="str">
        <f>"25862"</f>
        <v>25862</v>
      </c>
      <c r="E32800">
        <v>53.85</v>
      </c>
    </row>
    <row r="32801" spans="1:5" x14ac:dyDescent="0.2">
      <c r="A32801">
        <v>25864</v>
      </c>
      <c r="B32801" t="s">
        <v>56</v>
      </c>
      <c r="C32801">
        <v>25864</v>
      </c>
      <c r="D32801" t="str">
        <f>"25864"</f>
        <v>25864</v>
      </c>
      <c r="E32801">
        <v>63.64</v>
      </c>
    </row>
    <row r="32802" spans="1:5" x14ac:dyDescent="0.2">
      <c r="A32802">
        <v>25865</v>
      </c>
      <c r="B32802" t="s">
        <v>56</v>
      </c>
      <c r="C32802">
        <v>25865</v>
      </c>
      <c r="D32802" t="str">
        <f>"25865"</f>
        <v>25865</v>
      </c>
      <c r="E32802">
        <v>67.349999999999994</v>
      </c>
    </row>
    <row r="32803" spans="1:5" x14ac:dyDescent="0.2">
      <c r="A32803">
        <v>25866</v>
      </c>
      <c r="B32803" t="s">
        <v>56</v>
      </c>
      <c r="C32803">
        <v>25866</v>
      </c>
      <c r="D32803" t="str">
        <f>"25866"</f>
        <v>25866</v>
      </c>
      <c r="E32803" t="s">
        <v>6</v>
      </c>
    </row>
    <row r="32804" spans="1:5" x14ac:dyDescent="0.2">
      <c r="A32804">
        <v>25868</v>
      </c>
      <c r="B32804" t="s">
        <v>56</v>
      </c>
      <c r="C32804">
        <v>25868</v>
      </c>
      <c r="D32804" t="str">
        <f>"25868"</f>
        <v>25868</v>
      </c>
      <c r="E32804">
        <v>62.5</v>
      </c>
    </row>
    <row r="32805" spans="1:5" x14ac:dyDescent="0.2">
      <c r="A32805">
        <v>25870</v>
      </c>
      <c r="B32805" t="s">
        <v>56</v>
      </c>
      <c r="C32805">
        <v>25870</v>
      </c>
      <c r="D32805" t="str">
        <f>"25870"</f>
        <v>25870</v>
      </c>
      <c r="E32805" t="s">
        <v>6</v>
      </c>
    </row>
    <row r="32806" spans="1:5" x14ac:dyDescent="0.2">
      <c r="A32806">
        <v>25871</v>
      </c>
      <c r="B32806" t="s">
        <v>56</v>
      </c>
      <c r="C32806">
        <v>25871</v>
      </c>
      <c r="D32806" t="str">
        <f>"25871"</f>
        <v>25871</v>
      </c>
      <c r="E32806" t="s">
        <v>6</v>
      </c>
    </row>
    <row r="32807" spans="1:5" x14ac:dyDescent="0.2">
      <c r="A32807">
        <v>25875</v>
      </c>
      <c r="B32807" t="s">
        <v>56</v>
      </c>
      <c r="C32807">
        <v>25875</v>
      </c>
      <c r="D32807" t="str">
        <f>"25875"</f>
        <v>25875</v>
      </c>
      <c r="E32807" t="s">
        <v>6</v>
      </c>
    </row>
    <row r="32808" spans="1:5" x14ac:dyDescent="0.2">
      <c r="A32808">
        <v>25876</v>
      </c>
      <c r="B32808" t="s">
        <v>56</v>
      </c>
      <c r="C32808">
        <v>25876</v>
      </c>
      <c r="D32808" t="str">
        <f>"25876"</f>
        <v>25876</v>
      </c>
      <c r="E32808" t="s">
        <v>6</v>
      </c>
    </row>
    <row r="32809" spans="1:5" x14ac:dyDescent="0.2">
      <c r="A32809">
        <v>25878</v>
      </c>
      <c r="B32809" t="s">
        <v>56</v>
      </c>
      <c r="C32809">
        <v>25878</v>
      </c>
      <c r="D32809" t="str">
        <f>"25878"</f>
        <v>25878</v>
      </c>
      <c r="E32809" t="s">
        <v>6</v>
      </c>
    </row>
    <row r="32810" spans="1:5" x14ac:dyDescent="0.2">
      <c r="A32810">
        <v>25880</v>
      </c>
      <c r="B32810" t="s">
        <v>56</v>
      </c>
      <c r="C32810">
        <v>25880</v>
      </c>
      <c r="D32810" t="str">
        <f>"25880"</f>
        <v>25880</v>
      </c>
      <c r="E32810">
        <v>62.02</v>
      </c>
    </row>
    <row r="32811" spans="1:5" x14ac:dyDescent="0.2">
      <c r="A32811">
        <v>25882</v>
      </c>
      <c r="B32811" t="s">
        <v>56</v>
      </c>
      <c r="C32811">
        <v>25882</v>
      </c>
      <c r="D32811" t="str">
        <f>"25882"</f>
        <v>25882</v>
      </c>
      <c r="E32811">
        <v>64.47</v>
      </c>
    </row>
    <row r="32812" spans="1:5" x14ac:dyDescent="0.2">
      <c r="A32812">
        <v>25901</v>
      </c>
      <c r="B32812" t="s">
        <v>56</v>
      </c>
      <c r="C32812">
        <v>25901</v>
      </c>
      <c r="D32812" t="str">
        <f>"25901"</f>
        <v>25901</v>
      </c>
      <c r="E32812">
        <v>64.709999999999994</v>
      </c>
    </row>
    <row r="32813" spans="1:5" x14ac:dyDescent="0.2">
      <c r="A32813">
        <v>25902</v>
      </c>
      <c r="B32813" t="s">
        <v>56</v>
      </c>
      <c r="C32813">
        <v>25902</v>
      </c>
      <c r="D32813" t="str">
        <f>"25902"</f>
        <v>25902</v>
      </c>
      <c r="E32813">
        <v>63.64</v>
      </c>
    </row>
    <row r="32814" spans="1:5" x14ac:dyDescent="0.2">
      <c r="A32814">
        <v>25904</v>
      </c>
      <c r="B32814" t="s">
        <v>56</v>
      </c>
      <c r="C32814">
        <v>25904</v>
      </c>
      <c r="D32814" t="str">
        <f>"25904"</f>
        <v>25904</v>
      </c>
      <c r="E32814" t="s">
        <v>6</v>
      </c>
    </row>
    <row r="32815" spans="1:5" x14ac:dyDescent="0.2">
      <c r="A32815">
        <v>25907</v>
      </c>
      <c r="B32815" t="s">
        <v>56</v>
      </c>
      <c r="C32815">
        <v>25907</v>
      </c>
      <c r="D32815" t="str">
        <f>"25907"</f>
        <v>25907</v>
      </c>
      <c r="E32815" t="s">
        <v>6</v>
      </c>
    </row>
    <row r="32816" spans="1:5" x14ac:dyDescent="0.2">
      <c r="A32816">
        <v>25908</v>
      </c>
      <c r="B32816" t="s">
        <v>56</v>
      </c>
      <c r="C32816">
        <v>25908</v>
      </c>
      <c r="D32816" t="str">
        <f>"25908"</f>
        <v>25908</v>
      </c>
      <c r="E32816">
        <v>58.33</v>
      </c>
    </row>
    <row r="32817" spans="1:5" x14ac:dyDescent="0.2">
      <c r="A32817">
        <v>25911</v>
      </c>
      <c r="B32817" t="s">
        <v>56</v>
      </c>
      <c r="C32817">
        <v>25911</v>
      </c>
      <c r="D32817" t="str">
        <f>"25911"</f>
        <v>25911</v>
      </c>
      <c r="E32817" t="s">
        <v>6</v>
      </c>
    </row>
    <row r="32818" spans="1:5" x14ac:dyDescent="0.2">
      <c r="A32818">
        <v>25913</v>
      </c>
      <c r="B32818" t="s">
        <v>56</v>
      </c>
      <c r="C32818">
        <v>25913</v>
      </c>
      <c r="D32818" t="str">
        <f>"25913"</f>
        <v>25913</v>
      </c>
      <c r="E32818" t="s">
        <v>6</v>
      </c>
    </row>
    <row r="32819" spans="1:5" x14ac:dyDescent="0.2">
      <c r="A32819">
        <v>25915</v>
      </c>
      <c r="B32819" t="s">
        <v>56</v>
      </c>
      <c r="C32819">
        <v>25915</v>
      </c>
      <c r="D32819" t="str">
        <f>"25915"</f>
        <v>25915</v>
      </c>
      <c r="E32819" t="s">
        <v>6</v>
      </c>
    </row>
    <row r="32820" spans="1:5" x14ac:dyDescent="0.2">
      <c r="A32820">
        <v>25917</v>
      </c>
      <c r="B32820" t="s">
        <v>56</v>
      </c>
      <c r="C32820">
        <v>25917</v>
      </c>
      <c r="D32820" t="str">
        <f>"25917"</f>
        <v>25917</v>
      </c>
      <c r="E32820">
        <v>59.42</v>
      </c>
    </row>
    <row r="32821" spans="1:5" x14ac:dyDescent="0.2">
      <c r="A32821">
        <v>25918</v>
      </c>
      <c r="B32821" t="s">
        <v>56</v>
      </c>
      <c r="C32821">
        <v>25918</v>
      </c>
      <c r="D32821" t="str">
        <f>"25918"</f>
        <v>25918</v>
      </c>
      <c r="E32821">
        <v>66.28</v>
      </c>
    </row>
    <row r="32822" spans="1:5" x14ac:dyDescent="0.2">
      <c r="A32822">
        <v>25920</v>
      </c>
      <c r="B32822" t="s">
        <v>56</v>
      </c>
      <c r="C32822">
        <v>25920</v>
      </c>
      <c r="D32822" t="str">
        <f>"25920"</f>
        <v>25920</v>
      </c>
      <c r="E32822" t="s">
        <v>6</v>
      </c>
    </row>
    <row r="32823" spans="1:5" x14ac:dyDescent="0.2">
      <c r="A32823">
        <v>25921</v>
      </c>
      <c r="B32823" t="s">
        <v>56</v>
      </c>
      <c r="C32823">
        <v>25921</v>
      </c>
      <c r="D32823" t="str">
        <f>"25921"</f>
        <v>25921</v>
      </c>
      <c r="E32823" t="s">
        <v>6</v>
      </c>
    </row>
    <row r="32824" spans="1:5" x14ac:dyDescent="0.2">
      <c r="A32824">
        <v>25922</v>
      </c>
      <c r="B32824" t="s">
        <v>56</v>
      </c>
      <c r="C32824">
        <v>25922</v>
      </c>
      <c r="D32824" t="str">
        <f>"25922"</f>
        <v>25922</v>
      </c>
      <c r="E32824">
        <v>64.709999999999994</v>
      </c>
    </row>
    <row r="32825" spans="1:5" x14ac:dyDescent="0.2">
      <c r="A32825">
        <v>25928</v>
      </c>
      <c r="B32825" t="s">
        <v>56</v>
      </c>
      <c r="C32825">
        <v>25928</v>
      </c>
      <c r="D32825" t="str">
        <f>"25928"</f>
        <v>25928</v>
      </c>
      <c r="E32825">
        <v>58.33</v>
      </c>
    </row>
    <row r="32826" spans="1:5" x14ac:dyDescent="0.2">
      <c r="A32826">
        <v>25932</v>
      </c>
      <c r="B32826" t="s">
        <v>56</v>
      </c>
      <c r="C32826">
        <v>25932</v>
      </c>
      <c r="D32826" t="str">
        <f>"25932"</f>
        <v>25932</v>
      </c>
      <c r="E32826">
        <v>66.67</v>
      </c>
    </row>
    <row r="32827" spans="1:5" x14ac:dyDescent="0.2">
      <c r="A32827">
        <v>25936</v>
      </c>
      <c r="B32827" t="s">
        <v>56</v>
      </c>
      <c r="C32827">
        <v>25936</v>
      </c>
      <c r="D32827" t="str">
        <f>"25936"</f>
        <v>25936</v>
      </c>
      <c r="E32827" t="s">
        <v>6</v>
      </c>
    </row>
    <row r="32828" spans="1:5" x14ac:dyDescent="0.2">
      <c r="A32828">
        <v>25938</v>
      </c>
      <c r="B32828" t="s">
        <v>56</v>
      </c>
      <c r="C32828">
        <v>25938</v>
      </c>
      <c r="D32828" t="str">
        <f>"25938"</f>
        <v>25938</v>
      </c>
      <c r="E32828">
        <v>68.75</v>
      </c>
    </row>
    <row r="32829" spans="1:5" x14ac:dyDescent="0.2">
      <c r="A32829">
        <v>25942</v>
      </c>
      <c r="B32829" t="s">
        <v>56</v>
      </c>
      <c r="C32829">
        <v>25942</v>
      </c>
      <c r="D32829" t="str">
        <f>"25942"</f>
        <v>25942</v>
      </c>
      <c r="E32829" t="s">
        <v>6</v>
      </c>
    </row>
    <row r="32830" spans="1:5" x14ac:dyDescent="0.2">
      <c r="A32830">
        <v>25943</v>
      </c>
      <c r="B32830" t="s">
        <v>56</v>
      </c>
      <c r="C32830">
        <v>25943</v>
      </c>
      <c r="D32830" t="str">
        <f>"25943"</f>
        <v>25943</v>
      </c>
      <c r="E32830" t="s">
        <v>6</v>
      </c>
    </row>
    <row r="32831" spans="1:5" x14ac:dyDescent="0.2">
      <c r="A32831">
        <v>25951</v>
      </c>
      <c r="B32831" t="s">
        <v>56</v>
      </c>
      <c r="C32831">
        <v>25951</v>
      </c>
      <c r="D32831" t="str">
        <f>"25951"</f>
        <v>25951</v>
      </c>
      <c r="E32831">
        <v>62.5</v>
      </c>
    </row>
    <row r="32832" spans="1:5" x14ac:dyDescent="0.2">
      <c r="A32832">
        <v>25958</v>
      </c>
      <c r="B32832" t="s">
        <v>56</v>
      </c>
      <c r="C32832">
        <v>25958</v>
      </c>
      <c r="D32832" t="str">
        <f>"25958"</f>
        <v>25958</v>
      </c>
      <c r="E32832">
        <v>59.26</v>
      </c>
    </row>
    <row r="32833" spans="1:5" x14ac:dyDescent="0.2">
      <c r="A32833">
        <v>25962</v>
      </c>
      <c r="B32833" t="s">
        <v>56</v>
      </c>
      <c r="C32833">
        <v>25962</v>
      </c>
      <c r="D32833" t="str">
        <f>"25962"</f>
        <v>25962</v>
      </c>
      <c r="E32833">
        <v>61.07</v>
      </c>
    </row>
    <row r="32834" spans="1:5" x14ac:dyDescent="0.2">
      <c r="A32834">
        <v>25969</v>
      </c>
      <c r="B32834" t="s">
        <v>56</v>
      </c>
      <c r="C32834">
        <v>25969</v>
      </c>
      <c r="D32834" t="str">
        <f>"25969"</f>
        <v>25969</v>
      </c>
      <c r="E32834">
        <v>67.44</v>
      </c>
    </row>
    <row r="32835" spans="1:5" x14ac:dyDescent="0.2">
      <c r="A32835">
        <v>25971</v>
      </c>
      <c r="B32835" t="s">
        <v>56</v>
      </c>
      <c r="C32835">
        <v>25971</v>
      </c>
      <c r="D32835" t="str">
        <f>"25971"</f>
        <v>25971</v>
      </c>
      <c r="E32835">
        <v>60.98</v>
      </c>
    </row>
    <row r="32836" spans="1:5" x14ac:dyDescent="0.2">
      <c r="A32836">
        <v>25972</v>
      </c>
      <c r="B32836" t="s">
        <v>56</v>
      </c>
      <c r="C32836">
        <v>25972</v>
      </c>
      <c r="D32836" t="str">
        <f>"25972"</f>
        <v>25972</v>
      </c>
      <c r="E32836" t="s">
        <v>6</v>
      </c>
    </row>
    <row r="32837" spans="1:5" x14ac:dyDescent="0.2">
      <c r="A32837">
        <v>25976</v>
      </c>
      <c r="B32837" t="s">
        <v>56</v>
      </c>
      <c r="C32837">
        <v>25976</v>
      </c>
      <c r="D32837" t="str">
        <f>"25976"</f>
        <v>25976</v>
      </c>
      <c r="E32837">
        <v>69.319999999999993</v>
      </c>
    </row>
    <row r="32838" spans="1:5" x14ac:dyDescent="0.2">
      <c r="A32838">
        <v>25977</v>
      </c>
      <c r="B32838" t="s">
        <v>56</v>
      </c>
      <c r="C32838">
        <v>25977</v>
      </c>
      <c r="D32838" t="str">
        <f>"25977"</f>
        <v>25977</v>
      </c>
      <c r="E32838" t="s">
        <v>6</v>
      </c>
    </row>
    <row r="32839" spans="1:5" x14ac:dyDescent="0.2">
      <c r="A32839">
        <v>25978</v>
      </c>
      <c r="B32839" t="s">
        <v>56</v>
      </c>
      <c r="C32839">
        <v>25978</v>
      </c>
      <c r="D32839" t="str">
        <f>"25978"</f>
        <v>25978</v>
      </c>
      <c r="E32839">
        <v>69.23</v>
      </c>
    </row>
    <row r="32840" spans="1:5" x14ac:dyDescent="0.2">
      <c r="A32840">
        <v>25979</v>
      </c>
      <c r="B32840" t="s">
        <v>56</v>
      </c>
      <c r="C32840">
        <v>25979</v>
      </c>
      <c r="D32840" t="str">
        <f>"25979"</f>
        <v>25979</v>
      </c>
      <c r="E32840">
        <v>70.59</v>
      </c>
    </row>
    <row r="32841" spans="1:5" x14ac:dyDescent="0.2">
      <c r="A32841">
        <v>25981</v>
      </c>
      <c r="B32841" t="s">
        <v>56</v>
      </c>
      <c r="C32841">
        <v>25981</v>
      </c>
      <c r="D32841" t="str">
        <f>"25981"</f>
        <v>25981</v>
      </c>
      <c r="E32841">
        <v>53.85</v>
      </c>
    </row>
    <row r="32842" spans="1:5" x14ac:dyDescent="0.2">
      <c r="A32842">
        <v>25984</v>
      </c>
      <c r="B32842" t="s">
        <v>56</v>
      </c>
      <c r="C32842">
        <v>25984</v>
      </c>
      <c r="D32842" t="str">
        <f>"25984"</f>
        <v>25984</v>
      </c>
      <c r="E32842">
        <v>57.14</v>
      </c>
    </row>
    <row r="32843" spans="1:5" x14ac:dyDescent="0.2">
      <c r="A32843">
        <v>25985</v>
      </c>
      <c r="B32843" t="s">
        <v>56</v>
      </c>
      <c r="C32843">
        <v>25985</v>
      </c>
      <c r="D32843" t="str">
        <f>"25985"</f>
        <v>25985</v>
      </c>
      <c r="E32843">
        <v>68.75</v>
      </c>
    </row>
    <row r="32844" spans="1:5" x14ac:dyDescent="0.2">
      <c r="A32844">
        <v>25986</v>
      </c>
      <c r="B32844" t="s">
        <v>56</v>
      </c>
      <c r="C32844">
        <v>25986</v>
      </c>
      <c r="D32844" t="str">
        <f>"25986"</f>
        <v>25986</v>
      </c>
      <c r="E32844" t="s">
        <v>6</v>
      </c>
    </row>
    <row r="32845" spans="1:5" x14ac:dyDescent="0.2">
      <c r="A32845">
        <v>25989</v>
      </c>
      <c r="B32845" t="s">
        <v>56</v>
      </c>
      <c r="C32845">
        <v>25989</v>
      </c>
      <c r="D32845" t="str">
        <f>"25989"</f>
        <v>25989</v>
      </c>
      <c r="E32845">
        <v>66.67</v>
      </c>
    </row>
    <row r="32846" spans="1:5" x14ac:dyDescent="0.2">
      <c r="A32846">
        <v>26003</v>
      </c>
      <c r="B32846" t="s">
        <v>56</v>
      </c>
      <c r="C32846">
        <v>26003</v>
      </c>
      <c r="D32846" t="str">
        <f>"26003"</f>
        <v>26003</v>
      </c>
      <c r="E32846">
        <v>72.39</v>
      </c>
    </row>
    <row r="32847" spans="1:5" x14ac:dyDescent="0.2">
      <c r="A32847">
        <v>26030</v>
      </c>
      <c r="B32847" t="s">
        <v>56</v>
      </c>
      <c r="C32847">
        <v>26030</v>
      </c>
      <c r="D32847" t="str">
        <f>"26030"</f>
        <v>26030</v>
      </c>
      <c r="E32847" t="s">
        <v>6</v>
      </c>
    </row>
    <row r="32848" spans="1:5" x14ac:dyDescent="0.2">
      <c r="A32848">
        <v>26031</v>
      </c>
      <c r="B32848" t="s">
        <v>56</v>
      </c>
      <c r="C32848">
        <v>26031</v>
      </c>
      <c r="D32848" t="str">
        <f>"26031"</f>
        <v>26031</v>
      </c>
      <c r="E32848">
        <v>67.05</v>
      </c>
    </row>
    <row r="32849" spans="1:5" x14ac:dyDescent="0.2">
      <c r="A32849">
        <v>26032</v>
      </c>
      <c r="B32849" t="s">
        <v>56</v>
      </c>
      <c r="C32849">
        <v>26032</v>
      </c>
      <c r="D32849" t="str">
        <f>"26032"</f>
        <v>26032</v>
      </c>
      <c r="E32849">
        <v>76.67</v>
      </c>
    </row>
    <row r="32850" spans="1:5" x14ac:dyDescent="0.2">
      <c r="A32850">
        <v>26033</v>
      </c>
      <c r="B32850" t="s">
        <v>56</v>
      </c>
      <c r="C32850">
        <v>26033</v>
      </c>
      <c r="D32850" t="str">
        <f>"26033"</f>
        <v>26033</v>
      </c>
      <c r="E32850">
        <v>74.56</v>
      </c>
    </row>
    <row r="32851" spans="1:5" x14ac:dyDescent="0.2">
      <c r="A32851">
        <v>26034</v>
      </c>
      <c r="B32851" t="s">
        <v>56</v>
      </c>
      <c r="C32851">
        <v>26034</v>
      </c>
      <c r="D32851" t="str">
        <f>"26034"</f>
        <v>26034</v>
      </c>
      <c r="E32851">
        <v>74.13</v>
      </c>
    </row>
    <row r="32852" spans="1:5" x14ac:dyDescent="0.2">
      <c r="A32852">
        <v>26035</v>
      </c>
      <c r="B32852" t="s">
        <v>56</v>
      </c>
      <c r="C32852">
        <v>26035</v>
      </c>
      <c r="D32852" t="str">
        <f>"26035"</f>
        <v>26035</v>
      </c>
      <c r="E32852">
        <v>73.28</v>
      </c>
    </row>
    <row r="32853" spans="1:5" x14ac:dyDescent="0.2">
      <c r="A32853">
        <v>26036</v>
      </c>
      <c r="B32853" t="s">
        <v>56</v>
      </c>
      <c r="C32853">
        <v>26036</v>
      </c>
      <c r="D32853" t="str">
        <f>"26036"</f>
        <v>26036</v>
      </c>
      <c r="E32853">
        <v>78.260000000000005</v>
      </c>
    </row>
    <row r="32854" spans="1:5" x14ac:dyDescent="0.2">
      <c r="A32854">
        <v>26037</v>
      </c>
      <c r="B32854" t="s">
        <v>56</v>
      </c>
      <c r="C32854">
        <v>26037</v>
      </c>
      <c r="D32854" t="str">
        <f>"26037"</f>
        <v>26037</v>
      </c>
      <c r="E32854">
        <v>70.78</v>
      </c>
    </row>
    <row r="32855" spans="1:5" x14ac:dyDescent="0.2">
      <c r="A32855">
        <v>26038</v>
      </c>
      <c r="B32855" t="s">
        <v>56</v>
      </c>
      <c r="C32855">
        <v>26038</v>
      </c>
      <c r="D32855" t="str">
        <f>"26038"</f>
        <v>26038</v>
      </c>
      <c r="E32855">
        <v>76.39</v>
      </c>
    </row>
    <row r="32856" spans="1:5" x14ac:dyDescent="0.2">
      <c r="A32856">
        <v>26039</v>
      </c>
      <c r="B32856" t="s">
        <v>56</v>
      </c>
      <c r="C32856">
        <v>26039</v>
      </c>
      <c r="D32856" t="str">
        <f>"26039"</f>
        <v>26039</v>
      </c>
      <c r="E32856">
        <v>79.489999999999995</v>
      </c>
    </row>
    <row r="32857" spans="1:5" x14ac:dyDescent="0.2">
      <c r="A32857">
        <v>26040</v>
      </c>
      <c r="B32857" t="s">
        <v>56</v>
      </c>
      <c r="C32857">
        <v>26040</v>
      </c>
      <c r="D32857" t="str">
        <f>"26040"</f>
        <v>26040</v>
      </c>
      <c r="E32857">
        <v>68.239999999999995</v>
      </c>
    </row>
    <row r="32858" spans="1:5" x14ac:dyDescent="0.2">
      <c r="A32858">
        <v>26041</v>
      </c>
      <c r="B32858" t="s">
        <v>56</v>
      </c>
      <c r="C32858">
        <v>26041</v>
      </c>
      <c r="D32858" t="str">
        <f>"26041"</f>
        <v>26041</v>
      </c>
      <c r="E32858">
        <v>68.81</v>
      </c>
    </row>
    <row r="32859" spans="1:5" x14ac:dyDescent="0.2">
      <c r="A32859">
        <v>26047</v>
      </c>
      <c r="B32859" t="s">
        <v>56</v>
      </c>
      <c r="C32859">
        <v>26047</v>
      </c>
      <c r="D32859" t="str">
        <f>"26047"</f>
        <v>26047</v>
      </c>
      <c r="E32859">
        <v>73.209999999999994</v>
      </c>
    </row>
    <row r="32860" spans="1:5" x14ac:dyDescent="0.2">
      <c r="A32860">
        <v>26050</v>
      </c>
      <c r="B32860" t="s">
        <v>56</v>
      </c>
      <c r="C32860">
        <v>26050</v>
      </c>
      <c r="D32860" t="str">
        <f>"26050"</f>
        <v>26050</v>
      </c>
      <c r="E32860">
        <v>67.209999999999994</v>
      </c>
    </row>
    <row r="32861" spans="1:5" x14ac:dyDescent="0.2">
      <c r="A32861">
        <v>26055</v>
      </c>
      <c r="B32861" t="s">
        <v>56</v>
      </c>
      <c r="C32861">
        <v>26055</v>
      </c>
      <c r="D32861" t="str">
        <f>"26055"</f>
        <v>26055</v>
      </c>
      <c r="E32861">
        <v>76.62</v>
      </c>
    </row>
    <row r="32862" spans="1:5" x14ac:dyDescent="0.2">
      <c r="A32862">
        <v>26058</v>
      </c>
      <c r="B32862" t="s">
        <v>56</v>
      </c>
      <c r="C32862">
        <v>26058</v>
      </c>
      <c r="D32862" t="str">
        <f>"26058"</f>
        <v>26058</v>
      </c>
      <c r="E32862" t="s">
        <v>6</v>
      </c>
    </row>
    <row r="32863" spans="1:5" x14ac:dyDescent="0.2">
      <c r="A32863">
        <v>26059</v>
      </c>
      <c r="B32863" t="s">
        <v>56</v>
      </c>
      <c r="C32863">
        <v>26059</v>
      </c>
      <c r="D32863" t="str">
        <f>"26059"</f>
        <v>26059</v>
      </c>
      <c r="E32863">
        <v>75</v>
      </c>
    </row>
    <row r="32864" spans="1:5" x14ac:dyDescent="0.2">
      <c r="A32864">
        <v>26060</v>
      </c>
      <c r="B32864" t="s">
        <v>56</v>
      </c>
      <c r="C32864">
        <v>26060</v>
      </c>
      <c r="D32864" t="str">
        <f>"26060"</f>
        <v>26060</v>
      </c>
      <c r="E32864">
        <v>78.31</v>
      </c>
    </row>
    <row r="32865" spans="1:5" x14ac:dyDescent="0.2">
      <c r="A32865">
        <v>26062</v>
      </c>
      <c r="B32865" t="s">
        <v>56</v>
      </c>
      <c r="C32865">
        <v>26062</v>
      </c>
      <c r="D32865" t="str">
        <f>"26062"</f>
        <v>26062</v>
      </c>
      <c r="E32865">
        <v>72.7</v>
      </c>
    </row>
    <row r="32866" spans="1:5" x14ac:dyDescent="0.2">
      <c r="A32866">
        <v>26070</v>
      </c>
      <c r="B32866" t="s">
        <v>56</v>
      </c>
      <c r="C32866">
        <v>26070</v>
      </c>
      <c r="D32866" t="str">
        <f>"26070"</f>
        <v>26070</v>
      </c>
      <c r="E32866">
        <v>73.260000000000005</v>
      </c>
    </row>
    <row r="32867" spans="1:5" x14ac:dyDescent="0.2">
      <c r="A32867">
        <v>26074</v>
      </c>
      <c r="B32867" t="s">
        <v>56</v>
      </c>
      <c r="C32867">
        <v>26074</v>
      </c>
      <c r="D32867" t="str">
        <f>"26074"</f>
        <v>26074</v>
      </c>
      <c r="E32867">
        <v>58.33</v>
      </c>
    </row>
    <row r="32868" spans="1:5" x14ac:dyDescent="0.2">
      <c r="A32868">
        <v>26075</v>
      </c>
      <c r="B32868" t="s">
        <v>56</v>
      </c>
      <c r="C32868">
        <v>26075</v>
      </c>
      <c r="D32868" t="str">
        <f>"26075"</f>
        <v>26075</v>
      </c>
      <c r="E32868" t="s">
        <v>6</v>
      </c>
    </row>
    <row r="32869" spans="1:5" x14ac:dyDescent="0.2">
      <c r="A32869">
        <v>26101</v>
      </c>
      <c r="B32869" t="s">
        <v>56</v>
      </c>
      <c r="C32869">
        <v>26101</v>
      </c>
      <c r="D32869" t="str">
        <f>"26101"</f>
        <v>26101</v>
      </c>
      <c r="E32869">
        <v>63.54</v>
      </c>
    </row>
    <row r="32870" spans="1:5" x14ac:dyDescent="0.2">
      <c r="A32870">
        <v>26104</v>
      </c>
      <c r="B32870" t="s">
        <v>56</v>
      </c>
      <c r="C32870">
        <v>26104</v>
      </c>
      <c r="D32870" t="str">
        <f>"26104"</f>
        <v>26104</v>
      </c>
      <c r="E32870">
        <v>70.260000000000005</v>
      </c>
    </row>
    <row r="32871" spans="1:5" x14ac:dyDescent="0.2">
      <c r="A32871">
        <v>26105</v>
      </c>
      <c r="B32871" t="s">
        <v>56</v>
      </c>
      <c r="C32871">
        <v>26105</v>
      </c>
      <c r="D32871" t="str">
        <f>"26105"</f>
        <v>26105</v>
      </c>
      <c r="E32871">
        <v>71.36</v>
      </c>
    </row>
    <row r="32872" spans="1:5" x14ac:dyDescent="0.2">
      <c r="A32872">
        <v>26106</v>
      </c>
      <c r="B32872" t="s">
        <v>56</v>
      </c>
      <c r="C32872">
        <v>26106</v>
      </c>
      <c r="D32872" t="str">
        <f>"26106"</f>
        <v>26106</v>
      </c>
      <c r="E32872" t="s">
        <v>6</v>
      </c>
    </row>
    <row r="32873" spans="1:5" x14ac:dyDescent="0.2">
      <c r="A32873">
        <v>26133</v>
      </c>
      <c r="B32873" t="s">
        <v>56</v>
      </c>
      <c r="C32873">
        <v>26133</v>
      </c>
      <c r="D32873" t="str">
        <f>"26133"</f>
        <v>26133</v>
      </c>
      <c r="E32873">
        <v>70.180000000000007</v>
      </c>
    </row>
    <row r="32874" spans="1:5" x14ac:dyDescent="0.2">
      <c r="A32874">
        <v>26134</v>
      </c>
      <c r="B32874" t="s">
        <v>56</v>
      </c>
      <c r="C32874">
        <v>26134</v>
      </c>
      <c r="D32874" t="str">
        <f>"26134"</f>
        <v>26134</v>
      </c>
      <c r="E32874">
        <v>67.5</v>
      </c>
    </row>
    <row r="32875" spans="1:5" x14ac:dyDescent="0.2">
      <c r="A32875">
        <v>26136</v>
      </c>
      <c r="B32875" t="s">
        <v>56</v>
      </c>
      <c r="C32875">
        <v>26136</v>
      </c>
      <c r="D32875" t="str">
        <f>"26136"</f>
        <v>26136</v>
      </c>
      <c r="E32875">
        <v>65</v>
      </c>
    </row>
    <row r="32876" spans="1:5" x14ac:dyDescent="0.2">
      <c r="A32876">
        <v>26137</v>
      </c>
      <c r="B32876" t="s">
        <v>56</v>
      </c>
      <c r="C32876">
        <v>26137</v>
      </c>
      <c r="D32876" t="str">
        <f>"26137"</f>
        <v>26137</v>
      </c>
      <c r="E32876">
        <v>66.67</v>
      </c>
    </row>
    <row r="32877" spans="1:5" x14ac:dyDescent="0.2">
      <c r="A32877">
        <v>26138</v>
      </c>
      <c r="B32877" t="s">
        <v>56</v>
      </c>
      <c r="C32877">
        <v>26138</v>
      </c>
      <c r="D32877" t="str">
        <f>"26138"</f>
        <v>26138</v>
      </c>
      <c r="E32877" t="s">
        <v>6</v>
      </c>
    </row>
    <row r="32878" spans="1:5" x14ac:dyDescent="0.2">
      <c r="A32878">
        <v>26141</v>
      </c>
      <c r="B32878" t="s">
        <v>56</v>
      </c>
      <c r="C32878">
        <v>26141</v>
      </c>
      <c r="D32878" t="str">
        <f>"26141"</f>
        <v>26141</v>
      </c>
      <c r="E32878">
        <v>56.25</v>
      </c>
    </row>
    <row r="32879" spans="1:5" x14ac:dyDescent="0.2">
      <c r="A32879">
        <v>26142</v>
      </c>
      <c r="B32879" t="s">
        <v>56</v>
      </c>
      <c r="C32879">
        <v>26142</v>
      </c>
      <c r="D32879" t="str">
        <f>"26142"</f>
        <v>26142</v>
      </c>
      <c r="E32879">
        <v>70.540000000000006</v>
      </c>
    </row>
    <row r="32880" spans="1:5" x14ac:dyDescent="0.2">
      <c r="A32880">
        <v>26143</v>
      </c>
      <c r="B32880" t="s">
        <v>56</v>
      </c>
      <c r="C32880">
        <v>26143</v>
      </c>
      <c r="D32880" t="str">
        <f>"26143"</f>
        <v>26143</v>
      </c>
      <c r="E32880">
        <v>67.430000000000007</v>
      </c>
    </row>
    <row r="32881" spans="1:5" x14ac:dyDescent="0.2">
      <c r="A32881">
        <v>26146</v>
      </c>
      <c r="B32881" t="s">
        <v>56</v>
      </c>
      <c r="C32881">
        <v>26146</v>
      </c>
      <c r="D32881" t="str">
        <f>"26146"</f>
        <v>26146</v>
      </c>
      <c r="E32881">
        <v>73.08</v>
      </c>
    </row>
    <row r="32882" spans="1:5" x14ac:dyDescent="0.2">
      <c r="A32882">
        <v>26147</v>
      </c>
      <c r="B32882" t="s">
        <v>56</v>
      </c>
      <c r="C32882">
        <v>26147</v>
      </c>
      <c r="D32882" t="str">
        <f>"26147"</f>
        <v>26147</v>
      </c>
      <c r="E32882">
        <v>63.38</v>
      </c>
    </row>
    <row r="32883" spans="1:5" x14ac:dyDescent="0.2">
      <c r="A32883">
        <v>26148</v>
      </c>
      <c r="B32883" t="s">
        <v>56</v>
      </c>
      <c r="C32883">
        <v>26148</v>
      </c>
      <c r="D32883" t="str">
        <f>"26148"</f>
        <v>26148</v>
      </c>
      <c r="E32883" t="s">
        <v>6</v>
      </c>
    </row>
    <row r="32884" spans="1:5" x14ac:dyDescent="0.2">
      <c r="A32884">
        <v>26149</v>
      </c>
      <c r="B32884" t="s">
        <v>56</v>
      </c>
      <c r="C32884">
        <v>26149</v>
      </c>
      <c r="D32884" t="str">
        <f>"26149"</f>
        <v>26149</v>
      </c>
      <c r="E32884">
        <v>71.72</v>
      </c>
    </row>
    <row r="32885" spans="1:5" x14ac:dyDescent="0.2">
      <c r="A32885">
        <v>26150</v>
      </c>
      <c r="B32885" t="s">
        <v>56</v>
      </c>
      <c r="C32885">
        <v>26150</v>
      </c>
      <c r="D32885" t="str">
        <f>"26150"</f>
        <v>26150</v>
      </c>
      <c r="E32885">
        <v>73.91</v>
      </c>
    </row>
    <row r="32886" spans="1:5" x14ac:dyDescent="0.2">
      <c r="A32886">
        <v>26151</v>
      </c>
      <c r="B32886" t="s">
        <v>56</v>
      </c>
      <c r="C32886">
        <v>26151</v>
      </c>
      <c r="D32886" t="str">
        <f>"26151"</f>
        <v>26151</v>
      </c>
      <c r="E32886">
        <v>62.5</v>
      </c>
    </row>
    <row r="32887" spans="1:5" x14ac:dyDescent="0.2">
      <c r="A32887">
        <v>26152</v>
      </c>
      <c r="B32887" t="s">
        <v>56</v>
      </c>
      <c r="C32887">
        <v>26152</v>
      </c>
      <c r="D32887" t="str">
        <f>"26152"</f>
        <v>26152</v>
      </c>
      <c r="E32887" t="s">
        <v>6</v>
      </c>
    </row>
    <row r="32888" spans="1:5" x14ac:dyDescent="0.2">
      <c r="A32888">
        <v>26155</v>
      </c>
      <c r="B32888" t="s">
        <v>56</v>
      </c>
      <c r="C32888">
        <v>26155</v>
      </c>
      <c r="D32888" t="str">
        <f>"26155"</f>
        <v>26155</v>
      </c>
      <c r="E32888">
        <v>71.28</v>
      </c>
    </row>
    <row r="32889" spans="1:5" x14ac:dyDescent="0.2">
      <c r="A32889">
        <v>26159</v>
      </c>
      <c r="B32889" t="s">
        <v>56</v>
      </c>
      <c r="C32889">
        <v>26159</v>
      </c>
      <c r="D32889" t="str">
        <f>"26159"</f>
        <v>26159</v>
      </c>
      <c r="E32889">
        <v>66.959999999999994</v>
      </c>
    </row>
    <row r="32890" spans="1:5" x14ac:dyDescent="0.2">
      <c r="A32890">
        <v>26160</v>
      </c>
      <c r="B32890" t="s">
        <v>56</v>
      </c>
      <c r="C32890">
        <v>26160</v>
      </c>
      <c r="D32890" t="str">
        <f>"26160"</f>
        <v>26160</v>
      </c>
      <c r="E32890">
        <v>68.569999999999993</v>
      </c>
    </row>
    <row r="32891" spans="1:5" x14ac:dyDescent="0.2">
      <c r="A32891">
        <v>26161</v>
      </c>
      <c r="B32891" t="s">
        <v>56</v>
      </c>
      <c r="C32891">
        <v>26161</v>
      </c>
      <c r="D32891" t="str">
        <f>"26161"</f>
        <v>26161</v>
      </c>
      <c r="E32891">
        <v>62.5</v>
      </c>
    </row>
    <row r="32892" spans="1:5" x14ac:dyDescent="0.2">
      <c r="A32892">
        <v>26162</v>
      </c>
      <c r="B32892" t="s">
        <v>56</v>
      </c>
      <c r="C32892">
        <v>26162</v>
      </c>
      <c r="D32892" t="str">
        <f>"26162"</f>
        <v>26162</v>
      </c>
      <c r="E32892" t="s">
        <v>6</v>
      </c>
    </row>
    <row r="32893" spans="1:5" x14ac:dyDescent="0.2">
      <c r="A32893">
        <v>26164</v>
      </c>
      <c r="B32893" t="s">
        <v>56</v>
      </c>
      <c r="C32893">
        <v>26164</v>
      </c>
      <c r="D32893" t="str">
        <f>"26164"</f>
        <v>26164</v>
      </c>
      <c r="E32893">
        <v>66.56</v>
      </c>
    </row>
    <row r="32894" spans="1:5" x14ac:dyDescent="0.2">
      <c r="A32894">
        <v>26167</v>
      </c>
      <c r="B32894" t="s">
        <v>56</v>
      </c>
      <c r="C32894">
        <v>26167</v>
      </c>
      <c r="D32894" t="str">
        <f>"26167"</f>
        <v>26167</v>
      </c>
      <c r="E32894">
        <v>75</v>
      </c>
    </row>
    <row r="32895" spans="1:5" x14ac:dyDescent="0.2">
      <c r="A32895">
        <v>26169</v>
      </c>
      <c r="B32895" t="s">
        <v>56</v>
      </c>
      <c r="C32895">
        <v>26169</v>
      </c>
      <c r="D32895" t="str">
        <f>"26169"</f>
        <v>26169</v>
      </c>
      <c r="E32895">
        <v>68.569999999999993</v>
      </c>
    </row>
    <row r="32896" spans="1:5" x14ac:dyDescent="0.2">
      <c r="A32896">
        <v>26170</v>
      </c>
      <c r="B32896" t="s">
        <v>56</v>
      </c>
      <c r="C32896">
        <v>26170</v>
      </c>
      <c r="D32896" t="str">
        <f>"26170"</f>
        <v>26170</v>
      </c>
      <c r="E32896">
        <v>71.709999999999994</v>
      </c>
    </row>
    <row r="32897" spans="1:5" x14ac:dyDescent="0.2">
      <c r="A32897">
        <v>26175</v>
      </c>
      <c r="B32897" t="s">
        <v>56</v>
      </c>
      <c r="C32897">
        <v>26175</v>
      </c>
      <c r="D32897" t="str">
        <f>"26175"</f>
        <v>26175</v>
      </c>
      <c r="E32897">
        <v>70</v>
      </c>
    </row>
    <row r="32898" spans="1:5" x14ac:dyDescent="0.2">
      <c r="A32898">
        <v>26178</v>
      </c>
      <c r="B32898" t="s">
        <v>56</v>
      </c>
      <c r="C32898">
        <v>26178</v>
      </c>
      <c r="D32898" t="str">
        <f>"26178"</f>
        <v>26178</v>
      </c>
      <c r="E32898">
        <v>65.22</v>
      </c>
    </row>
    <row r="32899" spans="1:5" x14ac:dyDescent="0.2">
      <c r="A32899">
        <v>26180</v>
      </c>
      <c r="B32899" t="s">
        <v>56</v>
      </c>
      <c r="C32899">
        <v>26180</v>
      </c>
      <c r="D32899" t="str">
        <f>"26180"</f>
        <v>26180</v>
      </c>
      <c r="E32899">
        <v>72.34</v>
      </c>
    </row>
    <row r="32900" spans="1:5" x14ac:dyDescent="0.2">
      <c r="A32900">
        <v>26181</v>
      </c>
      <c r="B32900" t="s">
        <v>56</v>
      </c>
      <c r="C32900">
        <v>26181</v>
      </c>
      <c r="D32900" t="str">
        <f>"26181"</f>
        <v>26181</v>
      </c>
      <c r="E32900">
        <v>77.78</v>
      </c>
    </row>
    <row r="32901" spans="1:5" x14ac:dyDescent="0.2">
      <c r="A32901">
        <v>26184</v>
      </c>
      <c r="B32901" t="s">
        <v>56</v>
      </c>
      <c r="C32901">
        <v>26184</v>
      </c>
      <c r="D32901" t="str">
        <f>"26184"</f>
        <v>26184</v>
      </c>
      <c r="E32901">
        <v>74.75</v>
      </c>
    </row>
    <row r="32902" spans="1:5" x14ac:dyDescent="0.2">
      <c r="A32902">
        <v>26187</v>
      </c>
      <c r="B32902" t="s">
        <v>56</v>
      </c>
      <c r="C32902">
        <v>26187</v>
      </c>
      <c r="D32902" t="str">
        <f>"26187"</f>
        <v>26187</v>
      </c>
      <c r="E32902">
        <v>76.209999999999994</v>
      </c>
    </row>
    <row r="32903" spans="1:5" x14ac:dyDescent="0.2">
      <c r="A32903">
        <v>26201</v>
      </c>
      <c r="B32903" t="s">
        <v>56</v>
      </c>
      <c r="C32903">
        <v>26201</v>
      </c>
      <c r="D32903" t="str">
        <f>"26201"</f>
        <v>26201</v>
      </c>
      <c r="E32903">
        <v>66.88</v>
      </c>
    </row>
    <row r="32904" spans="1:5" x14ac:dyDescent="0.2">
      <c r="A32904">
        <v>26202</v>
      </c>
      <c r="B32904" t="s">
        <v>56</v>
      </c>
      <c r="C32904">
        <v>26202</v>
      </c>
      <c r="D32904" t="str">
        <f>"26202"</f>
        <v>26202</v>
      </c>
      <c r="E32904">
        <v>65</v>
      </c>
    </row>
    <row r="32905" spans="1:5" x14ac:dyDescent="0.2">
      <c r="A32905">
        <v>26203</v>
      </c>
      <c r="B32905" t="s">
        <v>56</v>
      </c>
      <c r="C32905">
        <v>26203</v>
      </c>
      <c r="D32905" t="str">
        <f>"26203"</f>
        <v>26203</v>
      </c>
      <c r="E32905" t="s">
        <v>6</v>
      </c>
    </row>
    <row r="32906" spans="1:5" x14ac:dyDescent="0.2">
      <c r="A32906">
        <v>26205</v>
      </c>
      <c r="B32906" t="s">
        <v>56</v>
      </c>
      <c r="C32906">
        <v>26205</v>
      </c>
      <c r="D32906" t="str">
        <f>"26205"</f>
        <v>26205</v>
      </c>
      <c r="E32906">
        <v>60.61</v>
      </c>
    </row>
    <row r="32907" spans="1:5" x14ac:dyDescent="0.2">
      <c r="A32907">
        <v>26206</v>
      </c>
      <c r="B32907" t="s">
        <v>56</v>
      </c>
      <c r="C32907">
        <v>26206</v>
      </c>
      <c r="D32907" t="str">
        <f>"26206"</f>
        <v>26206</v>
      </c>
      <c r="E32907">
        <v>57.3</v>
      </c>
    </row>
    <row r="32908" spans="1:5" x14ac:dyDescent="0.2">
      <c r="A32908">
        <v>26208</v>
      </c>
      <c r="B32908" t="s">
        <v>56</v>
      </c>
      <c r="C32908">
        <v>26208</v>
      </c>
      <c r="D32908" t="str">
        <f>"26208"</f>
        <v>26208</v>
      </c>
      <c r="E32908">
        <v>60.71</v>
      </c>
    </row>
    <row r="32909" spans="1:5" x14ac:dyDescent="0.2">
      <c r="A32909">
        <v>26209</v>
      </c>
      <c r="B32909" t="s">
        <v>56</v>
      </c>
      <c r="C32909">
        <v>26209</v>
      </c>
      <c r="D32909" t="str">
        <f>"26209"</f>
        <v>26209</v>
      </c>
      <c r="E32909" t="s">
        <v>6</v>
      </c>
    </row>
    <row r="32910" spans="1:5" x14ac:dyDescent="0.2">
      <c r="A32910">
        <v>26210</v>
      </c>
      <c r="B32910" t="s">
        <v>56</v>
      </c>
      <c r="C32910">
        <v>26210</v>
      </c>
      <c r="D32910" t="str">
        <f>"26210"</f>
        <v>26210</v>
      </c>
      <c r="E32910" t="s">
        <v>6</v>
      </c>
    </row>
    <row r="32911" spans="1:5" x14ac:dyDescent="0.2">
      <c r="A32911">
        <v>26215</v>
      </c>
      <c r="B32911" t="s">
        <v>56</v>
      </c>
      <c r="C32911">
        <v>26215</v>
      </c>
      <c r="D32911" t="str">
        <f>"26215"</f>
        <v>26215</v>
      </c>
      <c r="E32911" t="s">
        <v>6</v>
      </c>
    </row>
    <row r="32912" spans="1:5" x14ac:dyDescent="0.2">
      <c r="A32912">
        <v>26217</v>
      </c>
      <c r="B32912" t="s">
        <v>56</v>
      </c>
      <c r="C32912">
        <v>26217</v>
      </c>
      <c r="D32912" t="str">
        <f>"26217"</f>
        <v>26217</v>
      </c>
      <c r="E32912">
        <v>53.85</v>
      </c>
    </row>
    <row r="32913" spans="1:5" x14ac:dyDescent="0.2">
      <c r="A32913">
        <v>26218</v>
      </c>
      <c r="B32913" t="s">
        <v>56</v>
      </c>
      <c r="C32913">
        <v>26218</v>
      </c>
      <c r="D32913" t="str">
        <f>"26218"</f>
        <v>26218</v>
      </c>
      <c r="E32913">
        <v>62.24</v>
      </c>
    </row>
    <row r="32914" spans="1:5" x14ac:dyDescent="0.2">
      <c r="A32914">
        <v>26222</v>
      </c>
      <c r="B32914" t="s">
        <v>56</v>
      </c>
      <c r="C32914">
        <v>26222</v>
      </c>
      <c r="D32914" t="str">
        <f>"26222"</f>
        <v>26222</v>
      </c>
      <c r="E32914">
        <v>57.14</v>
      </c>
    </row>
    <row r="32915" spans="1:5" x14ac:dyDescent="0.2">
      <c r="A32915">
        <v>26224</v>
      </c>
      <c r="B32915" t="s">
        <v>56</v>
      </c>
      <c r="C32915">
        <v>26224</v>
      </c>
      <c r="D32915" t="str">
        <f>"26224"</f>
        <v>26224</v>
      </c>
      <c r="E32915" t="s">
        <v>6</v>
      </c>
    </row>
    <row r="32916" spans="1:5" x14ac:dyDescent="0.2">
      <c r="A32916">
        <v>26228</v>
      </c>
      <c r="B32916" t="s">
        <v>56</v>
      </c>
      <c r="C32916">
        <v>26228</v>
      </c>
      <c r="D32916" t="str">
        <f>"26228"</f>
        <v>26228</v>
      </c>
      <c r="E32916" t="s">
        <v>6</v>
      </c>
    </row>
    <row r="32917" spans="1:5" x14ac:dyDescent="0.2">
      <c r="A32917">
        <v>26230</v>
      </c>
      <c r="B32917" t="s">
        <v>56</v>
      </c>
      <c r="C32917">
        <v>26230</v>
      </c>
      <c r="D32917" t="str">
        <f>"26230"</f>
        <v>26230</v>
      </c>
      <c r="E32917" t="s">
        <v>6</v>
      </c>
    </row>
    <row r="32918" spans="1:5" x14ac:dyDescent="0.2">
      <c r="A32918">
        <v>26234</v>
      </c>
      <c r="B32918" t="s">
        <v>56</v>
      </c>
      <c r="C32918">
        <v>26234</v>
      </c>
      <c r="D32918" t="str">
        <f>"26234"</f>
        <v>26234</v>
      </c>
      <c r="E32918">
        <v>65.959999999999994</v>
      </c>
    </row>
    <row r="32919" spans="1:5" x14ac:dyDescent="0.2">
      <c r="A32919">
        <v>26236</v>
      </c>
      <c r="B32919" t="s">
        <v>56</v>
      </c>
      <c r="C32919">
        <v>26236</v>
      </c>
      <c r="D32919" t="str">
        <f>"26236"</f>
        <v>26236</v>
      </c>
      <c r="E32919" t="s">
        <v>6</v>
      </c>
    </row>
    <row r="32920" spans="1:5" x14ac:dyDescent="0.2">
      <c r="A32920">
        <v>26237</v>
      </c>
      <c r="B32920" t="s">
        <v>56</v>
      </c>
      <c r="C32920">
        <v>26237</v>
      </c>
      <c r="D32920" t="str">
        <f>"26237"</f>
        <v>26237</v>
      </c>
      <c r="E32920">
        <v>52.17</v>
      </c>
    </row>
    <row r="32921" spans="1:5" x14ac:dyDescent="0.2">
      <c r="A32921">
        <v>26238</v>
      </c>
      <c r="B32921" t="s">
        <v>56</v>
      </c>
      <c r="C32921">
        <v>26238</v>
      </c>
      <c r="D32921" t="str">
        <f>"26238"</f>
        <v>26238</v>
      </c>
      <c r="E32921">
        <v>65.709999999999994</v>
      </c>
    </row>
    <row r="32922" spans="1:5" x14ac:dyDescent="0.2">
      <c r="A32922">
        <v>26241</v>
      </c>
      <c r="B32922" t="s">
        <v>56</v>
      </c>
      <c r="C32922">
        <v>26241</v>
      </c>
      <c r="D32922" t="str">
        <f>"26241"</f>
        <v>26241</v>
      </c>
      <c r="E32922">
        <v>68.3</v>
      </c>
    </row>
    <row r="32923" spans="1:5" x14ac:dyDescent="0.2">
      <c r="A32923">
        <v>26250</v>
      </c>
      <c r="B32923" t="s">
        <v>56</v>
      </c>
      <c r="C32923">
        <v>26250</v>
      </c>
      <c r="D32923" t="str">
        <f>"26250"</f>
        <v>26250</v>
      </c>
      <c r="E32923">
        <v>65.38</v>
      </c>
    </row>
    <row r="32924" spans="1:5" x14ac:dyDescent="0.2">
      <c r="A32924">
        <v>26253</v>
      </c>
      <c r="B32924" t="s">
        <v>56</v>
      </c>
      <c r="C32924">
        <v>26253</v>
      </c>
      <c r="D32924" t="str">
        <f>"26253"</f>
        <v>26253</v>
      </c>
      <c r="E32924">
        <v>66.430000000000007</v>
      </c>
    </row>
    <row r="32925" spans="1:5" x14ac:dyDescent="0.2">
      <c r="A32925">
        <v>26254</v>
      </c>
      <c r="B32925" t="s">
        <v>56</v>
      </c>
      <c r="C32925">
        <v>26254</v>
      </c>
      <c r="D32925" t="str">
        <f>"26254"</f>
        <v>26254</v>
      </c>
      <c r="E32925">
        <v>64.290000000000006</v>
      </c>
    </row>
    <row r="32926" spans="1:5" x14ac:dyDescent="0.2">
      <c r="A32926">
        <v>26257</v>
      </c>
      <c r="B32926" t="s">
        <v>56</v>
      </c>
      <c r="C32926">
        <v>26257</v>
      </c>
      <c r="D32926" t="str">
        <f>"26257"</f>
        <v>26257</v>
      </c>
      <c r="E32926">
        <v>68.42</v>
      </c>
    </row>
    <row r="32927" spans="1:5" x14ac:dyDescent="0.2">
      <c r="A32927">
        <v>26259</v>
      </c>
      <c r="B32927" t="s">
        <v>56</v>
      </c>
      <c r="C32927">
        <v>26259</v>
      </c>
      <c r="D32927" t="str">
        <f>"26259"</f>
        <v>26259</v>
      </c>
      <c r="E32927" t="s">
        <v>6</v>
      </c>
    </row>
    <row r="32928" spans="1:5" x14ac:dyDescent="0.2">
      <c r="A32928">
        <v>26260</v>
      </c>
      <c r="B32928" t="s">
        <v>56</v>
      </c>
      <c r="C32928">
        <v>26260</v>
      </c>
      <c r="D32928" t="str">
        <f>"26260"</f>
        <v>26260</v>
      </c>
      <c r="E32928">
        <v>70.77</v>
      </c>
    </row>
    <row r="32929" spans="1:5" x14ac:dyDescent="0.2">
      <c r="A32929">
        <v>26261</v>
      </c>
      <c r="B32929" t="s">
        <v>56</v>
      </c>
      <c r="C32929">
        <v>26261</v>
      </c>
      <c r="D32929" t="str">
        <f>"26261"</f>
        <v>26261</v>
      </c>
      <c r="E32929">
        <v>56.96</v>
      </c>
    </row>
    <row r="32930" spans="1:5" x14ac:dyDescent="0.2">
      <c r="A32930">
        <v>26263</v>
      </c>
      <c r="B32930" t="s">
        <v>56</v>
      </c>
      <c r="C32930">
        <v>26263</v>
      </c>
      <c r="D32930" t="str">
        <f>"26263"</f>
        <v>26263</v>
      </c>
      <c r="E32930">
        <v>68.42</v>
      </c>
    </row>
    <row r="32931" spans="1:5" x14ac:dyDescent="0.2">
      <c r="A32931">
        <v>26264</v>
      </c>
      <c r="B32931" t="s">
        <v>56</v>
      </c>
      <c r="C32931">
        <v>26264</v>
      </c>
      <c r="D32931" t="str">
        <f>"26264"</f>
        <v>26264</v>
      </c>
      <c r="E32931">
        <v>65.38</v>
      </c>
    </row>
    <row r="32932" spans="1:5" x14ac:dyDescent="0.2">
      <c r="A32932">
        <v>26266</v>
      </c>
      <c r="B32932" t="s">
        <v>56</v>
      </c>
      <c r="C32932">
        <v>26266</v>
      </c>
      <c r="D32932" t="str">
        <f>"26266"</f>
        <v>26266</v>
      </c>
      <c r="E32932">
        <v>66.67</v>
      </c>
    </row>
    <row r="32933" spans="1:5" x14ac:dyDescent="0.2">
      <c r="A32933">
        <v>26267</v>
      </c>
      <c r="B32933" t="s">
        <v>56</v>
      </c>
      <c r="C32933">
        <v>26267</v>
      </c>
      <c r="D32933" t="str">
        <f>"26267"</f>
        <v>26267</v>
      </c>
      <c r="E32933">
        <v>70</v>
      </c>
    </row>
    <row r="32934" spans="1:5" x14ac:dyDescent="0.2">
      <c r="A32934">
        <v>26268</v>
      </c>
      <c r="B32934" t="s">
        <v>56</v>
      </c>
      <c r="C32934">
        <v>26268</v>
      </c>
      <c r="D32934" t="str">
        <f>"26268"</f>
        <v>26268</v>
      </c>
      <c r="E32934" t="s">
        <v>6</v>
      </c>
    </row>
    <row r="32935" spans="1:5" x14ac:dyDescent="0.2">
      <c r="A32935">
        <v>26269</v>
      </c>
      <c r="B32935" t="s">
        <v>56</v>
      </c>
      <c r="C32935">
        <v>26269</v>
      </c>
      <c r="D32935" t="str">
        <f>"26269"</f>
        <v>26269</v>
      </c>
      <c r="E32935">
        <v>63.04</v>
      </c>
    </row>
    <row r="32936" spans="1:5" x14ac:dyDescent="0.2">
      <c r="A32936">
        <v>26270</v>
      </c>
      <c r="B32936" t="s">
        <v>56</v>
      </c>
      <c r="C32936">
        <v>26270</v>
      </c>
      <c r="D32936" t="str">
        <f>"26270"</f>
        <v>26270</v>
      </c>
      <c r="E32936">
        <v>64.709999999999994</v>
      </c>
    </row>
    <row r="32937" spans="1:5" x14ac:dyDescent="0.2">
      <c r="A32937">
        <v>26271</v>
      </c>
      <c r="B32937" t="s">
        <v>56</v>
      </c>
      <c r="C32937">
        <v>26271</v>
      </c>
      <c r="D32937" t="str">
        <f>"26271"</f>
        <v>26271</v>
      </c>
      <c r="E32937">
        <v>71.430000000000007</v>
      </c>
    </row>
    <row r="32938" spans="1:5" x14ac:dyDescent="0.2">
      <c r="A32938">
        <v>26273</v>
      </c>
      <c r="B32938" t="s">
        <v>56</v>
      </c>
      <c r="C32938">
        <v>26273</v>
      </c>
      <c r="D32938" t="str">
        <f>"26273"</f>
        <v>26273</v>
      </c>
      <c r="E32938">
        <v>70.59</v>
      </c>
    </row>
    <row r="32939" spans="1:5" x14ac:dyDescent="0.2">
      <c r="A32939">
        <v>26276</v>
      </c>
      <c r="B32939" t="s">
        <v>56</v>
      </c>
      <c r="C32939">
        <v>26276</v>
      </c>
      <c r="D32939" t="str">
        <f>"26276"</f>
        <v>26276</v>
      </c>
      <c r="E32939">
        <v>73.680000000000007</v>
      </c>
    </row>
    <row r="32940" spans="1:5" x14ac:dyDescent="0.2">
      <c r="A32940">
        <v>26278</v>
      </c>
      <c r="B32940" t="s">
        <v>56</v>
      </c>
      <c r="C32940">
        <v>26278</v>
      </c>
      <c r="D32940" t="str">
        <f>"26278"</f>
        <v>26278</v>
      </c>
      <c r="E32940">
        <v>68.180000000000007</v>
      </c>
    </row>
    <row r="32941" spans="1:5" x14ac:dyDescent="0.2">
      <c r="A32941">
        <v>26280</v>
      </c>
      <c r="B32941" t="s">
        <v>56</v>
      </c>
      <c r="C32941">
        <v>26280</v>
      </c>
      <c r="D32941" t="str">
        <f>"26280"</f>
        <v>26280</v>
      </c>
      <c r="E32941">
        <v>64.94</v>
      </c>
    </row>
    <row r="32942" spans="1:5" x14ac:dyDescent="0.2">
      <c r="A32942">
        <v>26282</v>
      </c>
      <c r="B32942" t="s">
        <v>56</v>
      </c>
      <c r="C32942">
        <v>26282</v>
      </c>
      <c r="D32942" t="str">
        <f>"26282"</f>
        <v>26282</v>
      </c>
      <c r="E32942" t="s">
        <v>6</v>
      </c>
    </row>
    <row r="32943" spans="1:5" x14ac:dyDescent="0.2">
      <c r="A32943">
        <v>26283</v>
      </c>
      <c r="B32943" t="s">
        <v>56</v>
      </c>
      <c r="C32943">
        <v>26283</v>
      </c>
      <c r="D32943" t="str">
        <f>"26283"</f>
        <v>26283</v>
      </c>
      <c r="E32943">
        <v>67.650000000000006</v>
      </c>
    </row>
    <row r="32944" spans="1:5" x14ac:dyDescent="0.2">
      <c r="A32944">
        <v>26285</v>
      </c>
      <c r="B32944" t="s">
        <v>56</v>
      </c>
      <c r="C32944">
        <v>26285</v>
      </c>
      <c r="D32944" t="str">
        <f>"26285"</f>
        <v>26285</v>
      </c>
      <c r="E32944">
        <v>69.23</v>
      </c>
    </row>
    <row r="32945" spans="1:5" x14ac:dyDescent="0.2">
      <c r="A32945">
        <v>26287</v>
      </c>
      <c r="B32945" t="s">
        <v>56</v>
      </c>
      <c r="C32945">
        <v>26287</v>
      </c>
      <c r="D32945" t="str">
        <f>"26287"</f>
        <v>26287</v>
      </c>
      <c r="E32945">
        <v>69.78</v>
      </c>
    </row>
    <row r="32946" spans="1:5" x14ac:dyDescent="0.2">
      <c r="A32946">
        <v>26288</v>
      </c>
      <c r="B32946" t="s">
        <v>56</v>
      </c>
      <c r="C32946">
        <v>26288</v>
      </c>
      <c r="D32946" t="str">
        <f>"26288"</f>
        <v>26288</v>
      </c>
      <c r="E32946">
        <v>60</v>
      </c>
    </row>
    <row r="32947" spans="1:5" x14ac:dyDescent="0.2">
      <c r="A32947">
        <v>26289</v>
      </c>
      <c r="B32947" t="s">
        <v>56</v>
      </c>
      <c r="C32947">
        <v>26289</v>
      </c>
      <c r="D32947" t="str">
        <f>"26289"</f>
        <v>26289</v>
      </c>
      <c r="E32947" t="s">
        <v>6</v>
      </c>
    </row>
    <row r="32948" spans="1:5" x14ac:dyDescent="0.2">
      <c r="A32948">
        <v>26291</v>
      </c>
      <c r="B32948" t="s">
        <v>56</v>
      </c>
      <c r="C32948">
        <v>26291</v>
      </c>
      <c r="D32948" t="str">
        <f>"26291"</f>
        <v>26291</v>
      </c>
      <c r="E32948">
        <v>50</v>
      </c>
    </row>
    <row r="32949" spans="1:5" x14ac:dyDescent="0.2">
      <c r="A32949">
        <v>26292</v>
      </c>
      <c r="B32949" t="s">
        <v>56</v>
      </c>
      <c r="C32949">
        <v>26292</v>
      </c>
      <c r="D32949" t="str">
        <f>"26292"</f>
        <v>26292</v>
      </c>
      <c r="E32949">
        <v>61.11</v>
      </c>
    </row>
    <row r="32950" spans="1:5" x14ac:dyDescent="0.2">
      <c r="A32950">
        <v>26293</v>
      </c>
      <c r="B32950" t="s">
        <v>56</v>
      </c>
      <c r="C32950">
        <v>26293</v>
      </c>
      <c r="D32950" t="str">
        <f>"26293"</f>
        <v>26293</v>
      </c>
      <c r="E32950">
        <v>72.41</v>
      </c>
    </row>
    <row r="32951" spans="1:5" x14ac:dyDescent="0.2">
      <c r="A32951">
        <v>26294</v>
      </c>
      <c r="B32951" t="s">
        <v>56</v>
      </c>
      <c r="C32951">
        <v>26294</v>
      </c>
      <c r="D32951" t="str">
        <f>"26294"</f>
        <v>26294</v>
      </c>
      <c r="E32951">
        <v>64.290000000000006</v>
      </c>
    </row>
    <row r="32952" spans="1:5" x14ac:dyDescent="0.2">
      <c r="A32952">
        <v>26298</v>
      </c>
      <c r="B32952" t="s">
        <v>56</v>
      </c>
      <c r="C32952">
        <v>26298</v>
      </c>
      <c r="D32952" t="str">
        <f>"26298"</f>
        <v>26298</v>
      </c>
      <c r="E32952" t="s">
        <v>6</v>
      </c>
    </row>
    <row r="32953" spans="1:5" x14ac:dyDescent="0.2">
      <c r="A32953">
        <v>26301</v>
      </c>
      <c r="B32953" t="s">
        <v>56</v>
      </c>
      <c r="C32953">
        <v>26301</v>
      </c>
      <c r="D32953" t="str">
        <f>"26301"</f>
        <v>26301</v>
      </c>
      <c r="E32953">
        <v>68.37</v>
      </c>
    </row>
    <row r="32954" spans="1:5" x14ac:dyDescent="0.2">
      <c r="A32954">
        <v>26320</v>
      </c>
      <c r="B32954" t="s">
        <v>56</v>
      </c>
      <c r="C32954">
        <v>26320</v>
      </c>
      <c r="D32954" t="str">
        <f>"26320"</f>
        <v>26320</v>
      </c>
      <c r="E32954">
        <v>72.73</v>
      </c>
    </row>
    <row r="32955" spans="1:5" x14ac:dyDescent="0.2">
      <c r="A32955">
        <v>26321</v>
      </c>
      <c r="B32955" t="s">
        <v>56</v>
      </c>
      <c r="C32955">
        <v>26321</v>
      </c>
      <c r="D32955" t="str">
        <f>"26321"</f>
        <v>26321</v>
      </c>
      <c r="E32955">
        <v>71.430000000000007</v>
      </c>
    </row>
    <row r="32956" spans="1:5" x14ac:dyDescent="0.2">
      <c r="A32956">
        <v>26323</v>
      </c>
      <c r="B32956" t="s">
        <v>56</v>
      </c>
      <c r="C32956">
        <v>26323</v>
      </c>
      <c r="D32956" t="str">
        <f>"26323"</f>
        <v>26323</v>
      </c>
      <c r="E32956" t="s">
        <v>6</v>
      </c>
    </row>
    <row r="32957" spans="1:5" x14ac:dyDescent="0.2">
      <c r="A32957">
        <v>26325</v>
      </c>
      <c r="B32957" t="s">
        <v>56</v>
      </c>
      <c r="C32957">
        <v>26325</v>
      </c>
      <c r="D32957" t="str">
        <f>"26325"</f>
        <v>26325</v>
      </c>
      <c r="E32957" t="s">
        <v>6</v>
      </c>
    </row>
    <row r="32958" spans="1:5" x14ac:dyDescent="0.2">
      <c r="A32958">
        <v>26327</v>
      </c>
      <c r="B32958" t="s">
        <v>56</v>
      </c>
      <c r="C32958">
        <v>26327</v>
      </c>
      <c r="D32958" t="str">
        <f>"26327"</f>
        <v>26327</v>
      </c>
      <c r="E32958" t="s">
        <v>6</v>
      </c>
    </row>
    <row r="32959" spans="1:5" x14ac:dyDescent="0.2">
      <c r="A32959">
        <v>26330</v>
      </c>
      <c r="B32959" t="s">
        <v>56</v>
      </c>
      <c r="C32959">
        <v>26330</v>
      </c>
      <c r="D32959" t="str">
        <f>"26330"</f>
        <v>26330</v>
      </c>
      <c r="E32959">
        <v>78.95</v>
      </c>
    </row>
    <row r="32960" spans="1:5" x14ac:dyDescent="0.2">
      <c r="A32960">
        <v>26335</v>
      </c>
      <c r="B32960" t="s">
        <v>56</v>
      </c>
      <c r="C32960">
        <v>26335</v>
      </c>
      <c r="D32960" t="str">
        <f>"26335"</f>
        <v>26335</v>
      </c>
      <c r="E32960">
        <v>64</v>
      </c>
    </row>
    <row r="32961" spans="1:5" x14ac:dyDescent="0.2">
      <c r="A32961">
        <v>26337</v>
      </c>
      <c r="B32961" t="s">
        <v>56</v>
      </c>
      <c r="C32961">
        <v>26337</v>
      </c>
      <c r="D32961" t="str">
        <f>"26337"</f>
        <v>26337</v>
      </c>
      <c r="E32961">
        <v>67.349999999999994</v>
      </c>
    </row>
    <row r="32962" spans="1:5" x14ac:dyDescent="0.2">
      <c r="A32962">
        <v>26338</v>
      </c>
      <c r="B32962" t="s">
        <v>56</v>
      </c>
      <c r="C32962">
        <v>26338</v>
      </c>
      <c r="D32962" t="str">
        <f>"26338"</f>
        <v>26338</v>
      </c>
      <c r="E32962">
        <v>71.430000000000007</v>
      </c>
    </row>
    <row r="32963" spans="1:5" x14ac:dyDescent="0.2">
      <c r="A32963">
        <v>26339</v>
      </c>
      <c r="B32963" t="s">
        <v>56</v>
      </c>
      <c r="C32963">
        <v>26339</v>
      </c>
      <c r="D32963" t="str">
        <f>"26339"</f>
        <v>26339</v>
      </c>
      <c r="E32963" t="s">
        <v>6</v>
      </c>
    </row>
    <row r="32964" spans="1:5" x14ac:dyDescent="0.2">
      <c r="A32964">
        <v>26342</v>
      </c>
      <c r="B32964" t="s">
        <v>56</v>
      </c>
      <c r="C32964">
        <v>26342</v>
      </c>
      <c r="D32964" t="str">
        <f>"26342"</f>
        <v>26342</v>
      </c>
      <c r="E32964">
        <v>63.16</v>
      </c>
    </row>
    <row r="32965" spans="1:5" x14ac:dyDescent="0.2">
      <c r="A32965">
        <v>26343</v>
      </c>
      <c r="B32965" t="s">
        <v>56</v>
      </c>
      <c r="C32965">
        <v>26343</v>
      </c>
      <c r="D32965" t="str">
        <f>"26343"</f>
        <v>26343</v>
      </c>
      <c r="E32965">
        <v>50</v>
      </c>
    </row>
    <row r="32966" spans="1:5" x14ac:dyDescent="0.2">
      <c r="A32966">
        <v>26346</v>
      </c>
      <c r="B32966" t="s">
        <v>56</v>
      </c>
      <c r="C32966">
        <v>26346</v>
      </c>
      <c r="D32966" t="str">
        <f>"26346"</f>
        <v>26346</v>
      </c>
      <c r="E32966">
        <v>72.5</v>
      </c>
    </row>
    <row r="32967" spans="1:5" x14ac:dyDescent="0.2">
      <c r="A32967">
        <v>26347</v>
      </c>
      <c r="B32967" t="s">
        <v>56</v>
      </c>
      <c r="C32967">
        <v>26347</v>
      </c>
      <c r="D32967" t="str">
        <f>"26347"</f>
        <v>26347</v>
      </c>
      <c r="E32967">
        <v>70.790000000000006</v>
      </c>
    </row>
    <row r="32968" spans="1:5" x14ac:dyDescent="0.2">
      <c r="A32968">
        <v>26348</v>
      </c>
      <c r="B32968" t="s">
        <v>56</v>
      </c>
      <c r="C32968">
        <v>26348</v>
      </c>
      <c r="D32968" t="str">
        <f>"26348"</f>
        <v>26348</v>
      </c>
      <c r="E32968" t="s">
        <v>6</v>
      </c>
    </row>
    <row r="32969" spans="1:5" x14ac:dyDescent="0.2">
      <c r="A32969">
        <v>26351</v>
      </c>
      <c r="B32969" t="s">
        <v>56</v>
      </c>
      <c r="C32969">
        <v>26351</v>
      </c>
      <c r="D32969" t="str">
        <f>"26351"</f>
        <v>26351</v>
      </c>
      <c r="E32969">
        <v>64.040000000000006</v>
      </c>
    </row>
    <row r="32970" spans="1:5" x14ac:dyDescent="0.2">
      <c r="A32970">
        <v>26354</v>
      </c>
      <c r="B32970" t="s">
        <v>56</v>
      </c>
      <c r="C32970">
        <v>26354</v>
      </c>
      <c r="D32970" t="str">
        <f>"26354"</f>
        <v>26354</v>
      </c>
      <c r="E32970">
        <v>68.64</v>
      </c>
    </row>
    <row r="32971" spans="1:5" x14ac:dyDescent="0.2">
      <c r="A32971">
        <v>26361</v>
      </c>
      <c r="B32971" t="s">
        <v>56</v>
      </c>
      <c r="C32971">
        <v>26361</v>
      </c>
      <c r="D32971" t="str">
        <f>"26361"</f>
        <v>26361</v>
      </c>
      <c r="E32971" t="s">
        <v>6</v>
      </c>
    </row>
    <row r="32972" spans="1:5" x14ac:dyDescent="0.2">
      <c r="A32972">
        <v>26362</v>
      </c>
      <c r="B32972" t="s">
        <v>56</v>
      </c>
      <c r="C32972">
        <v>26362</v>
      </c>
      <c r="D32972" t="str">
        <f>"26362"</f>
        <v>26362</v>
      </c>
      <c r="E32972">
        <v>67.44</v>
      </c>
    </row>
    <row r="32973" spans="1:5" x14ac:dyDescent="0.2">
      <c r="A32973">
        <v>26366</v>
      </c>
      <c r="B32973" t="s">
        <v>56</v>
      </c>
      <c r="C32973">
        <v>26366</v>
      </c>
      <c r="D32973" t="str">
        <f>"26366"</f>
        <v>26366</v>
      </c>
      <c r="E32973" t="s">
        <v>6</v>
      </c>
    </row>
    <row r="32974" spans="1:5" x14ac:dyDescent="0.2">
      <c r="A32974">
        <v>26369</v>
      </c>
      <c r="B32974" t="s">
        <v>56</v>
      </c>
      <c r="C32974">
        <v>26369</v>
      </c>
      <c r="D32974" t="str">
        <f>"26369"</f>
        <v>26369</v>
      </c>
      <c r="E32974" t="s">
        <v>6</v>
      </c>
    </row>
    <row r="32975" spans="1:5" x14ac:dyDescent="0.2">
      <c r="A32975">
        <v>26372</v>
      </c>
      <c r="B32975" t="s">
        <v>56</v>
      </c>
      <c r="C32975">
        <v>26372</v>
      </c>
      <c r="D32975" t="str">
        <f>"26372"</f>
        <v>26372</v>
      </c>
      <c r="E32975">
        <v>67.739999999999995</v>
      </c>
    </row>
    <row r="32976" spans="1:5" x14ac:dyDescent="0.2">
      <c r="A32976">
        <v>26374</v>
      </c>
      <c r="B32976" t="s">
        <v>56</v>
      </c>
      <c r="C32976">
        <v>26374</v>
      </c>
      <c r="D32976" t="str">
        <f>"26374"</f>
        <v>26374</v>
      </c>
      <c r="E32976">
        <v>73.91</v>
      </c>
    </row>
    <row r="32977" spans="1:5" x14ac:dyDescent="0.2">
      <c r="A32977">
        <v>26376</v>
      </c>
      <c r="B32977" t="s">
        <v>56</v>
      </c>
      <c r="C32977">
        <v>26376</v>
      </c>
      <c r="D32977" t="str">
        <f>"26376"</f>
        <v>26376</v>
      </c>
      <c r="E32977">
        <v>57.89</v>
      </c>
    </row>
    <row r="32978" spans="1:5" x14ac:dyDescent="0.2">
      <c r="A32978">
        <v>26377</v>
      </c>
      <c r="B32978" t="s">
        <v>56</v>
      </c>
      <c r="C32978">
        <v>26377</v>
      </c>
      <c r="D32978" t="str">
        <f>"26377"</f>
        <v>26377</v>
      </c>
      <c r="E32978">
        <v>66.67</v>
      </c>
    </row>
    <row r="32979" spans="1:5" x14ac:dyDescent="0.2">
      <c r="A32979">
        <v>26378</v>
      </c>
      <c r="B32979" t="s">
        <v>56</v>
      </c>
      <c r="C32979">
        <v>26378</v>
      </c>
      <c r="D32979" t="str">
        <f>"26378"</f>
        <v>26378</v>
      </c>
      <c r="E32979">
        <v>70.05</v>
      </c>
    </row>
    <row r="32980" spans="1:5" x14ac:dyDescent="0.2">
      <c r="A32980">
        <v>26384</v>
      </c>
      <c r="B32980" t="s">
        <v>56</v>
      </c>
      <c r="C32980">
        <v>26384</v>
      </c>
      <c r="D32980" t="str">
        <f>"26384"</f>
        <v>26384</v>
      </c>
      <c r="E32980">
        <v>58.82</v>
      </c>
    </row>
    <row r="32981" spans="1:5" x14ac:dyDescent="0.2">
      <c r="A32981">
        <v>26385</v>
      </c>
      <c r="B32981" t="s">
        <v>56</v>
      </c>
      <c r="C32981">
        <v>26385</v>
      </c>
      <c r="D32981" t="str">
        <f>"26385"</f>
        <v>26385</v>
      </c>
      <c r="E32981">
        <v>73.33</v>
      </c>
    </row>
    <row r="32982" spans="1:5" x14ac:dyDescent="0.2">
      <c r="A32982">
        <v>26386</v>
      </c>
      <c r="B32982" t="s">
        <v>56</v>
      </c>
      <c r="C32982">
        <v>26386</v>
      </c>
      <c r="D32982" t="str">
        <f>"26386"</f>
        <v>26386</v>
      </c>
      <c r="E32982">
        <v>73.739999999999995</v>
      </c>
    </row>
    <row r="32983" spans="1:5" x14ac:dyDescent="0.2">
      <c r="A32983">
        <v>26404</v>
      </c>
      <c r="B32983" t="s">
        <v>56</v>
      </c>
      <c r="C32983">
        <v>26404</v>
      </c>
      <c r="D32983" t="str">
        <f>"26404"</f>
        <v>26404</v>
      </c>
      <c r="E32983">
        <v>66.67</v>
      </c>
    </row>
    <row r="32984" spans="1:5" x14ac:dyDescent="0.2">
      <c r="A32984">
        <v>26405</v>
      </c>
      <c r="B32984" t="s">
        <v>56</v>
      </c>
      <c r="C32984">
        <v>26405</v>
      </c>
      <c r="D32984" t="str">
        <f>"26405"</f>
        <v>26405</v>
      </c>
      <c r="E32984">
        <v>68</v>
      </c>
    </row>
    <row r="32985" spans="1:5" x14ac:dyDescent="0.2">
      <c r="A32985">
        <v>26408</v>
      </c>
      <c r="B32985" t="s">
        <v>56</v>
      </c>
      <c r="C32985">
        <v>26408</v>
      </c>
      <c r="D32985" t="str">
        <f>"26408"</f>
        <v>26408</v>
      </c>
      <c r="E32985">
        <v>75</v>
      </c>
    </row>
    <row r="32986" spans="1:5" x14ac:dyDescent="0.2">
      <c r="A32986">
        <v>26410</v>
      </c>
      <c r="B32986" t="s">
        <v>56</v>
      </c>
      <c r="C32986">
        <v>26410</v>
      </c>
      <c r="D32986" t="str">
        <f>"26410"</f>
        <v>26410</v>
      </c>
      <c r="E32986">
        <v>69.05</v>
      </c>
    </row>
    <row r="32987" spans="1:5" x14ac:dyDescent="0.2">
      <c r="A32987">
        <v>26411</v>
      </c>
      <c r="B32987" t="s">
        <v>56</v>
      </c>
      <c r="C32987">
        <v>26411</v>
      </c>
      <c r="D32987" t="str">
        <f>"26411"</f>
        <v>26411</v>
      </c>
      <c r="E32987">
        <v>66.67</v>
      </c>
    </row>
    <row r="32988" spans="1:5" x14ac:dyDescent="0.2">
      <c r="A32988">
        <v>26412</v>
      </c>
      <c r="B32988" t="s">
        <v>56</v>
      </c>
      <c r="C32988">
        <v>26412</v>
      </c>
      <c r="D32988" t="str">
        <f>"26412"</f>
        <v>26412</v>
      </c>
      <c r="E32988">
        <v>68.42</v>
      </c>
    </row>
    <row r="32989" spans="1:5" x14ac:dyDescent="0.2">
      <c r="A32989">
        <v>26415</v>
      </c>
      <c r="B32989" t="s">
        <v>56</v>
      </c>
      <c r="C32989">
        <v>26415</v>
      </c>
      <c r="D32989" t="str">
        <f>"26415"</f>
        <v>26415</v>
      </c>
      <c r="E32989">
        <v>67.42</v>
      </c>
    </row>
    <row r="32990" spans="1:5" x14ac:dyDescent="0.2">
      <c r="A32990">
        <v>26416</v>
      </c>
      <c r="B32990" t="s">
        <v>56</v>
      </c>
      <c r="C32990">
        <v>26416</v>
      </c>
      <c r="D32990" t="str">
        <f>"26416"</f>
        <v>26416</v>
      </c>
      <c r="E32990">
        <v>68.42</v>
      </c>
    </row>
    <row r="32991" spans="1:5" x14ac:dyDescent="0.2">
      <c r="A32991">
        <v>26419</v>
      </c>
      <c r="B32991" t="s">
        <v>56</v>
      </c>
      <c r="C32991">
        <v>26419</v>
      </c>
      <c r="D32991" t="str">
        <f>"26419"</f>
        <v>26419</v>
      </c>
      <c r="E32991">
        <v>70</v>
      </c>
    </row>
    <row r="32992" spans="1:5" x14ac:dyDescent="0.2">
      <c r="A32992">
        <v>26421</v>
      </c>
      <c r="B32992" t="s">
        <v>56</v>
      </c>
      <c r="C32992">
        <v>26421</v>
      </c>
      <c r="D32992" t="str">
        <f>"26421"</f>
        <v>26421</v>
      </c>
      <c r="E32992">
        <v>58.33</v>
      </c>
    </row>
    <row r="32993" spans="1:5" x14ac:dyDescent="0.2">
      <c r="A32993">
        <v>26425</v>
      </c>
      <c r="B32993" t="s">
        <v>56</v>
      </c>
      <c r="C32993">
        <v>26425</v>
      </c>
      <c r="D32993" t="str">
        <f>"26425"</f>
        <v>26425</v>
      </c>
      <c r="E32993">
        <v>65.849999999999994</v>
      </c>
    </row>
    <row r="32994" spans="1:5" x14ac:dyDescent="0.2">
      <c r="A32994">
        <v>26426</v>
      </c>
      <c r="B32994" t="s">
        <v>56</v>
      </c>
      <c r="C32994">
        <v>26426</v>
      </c>
      <c r="D32994" t="str">
        <f>"26426"</f>
        <v>26426</v>
      </c>
      <c r="E32994">
        <v>71.48</v>
      </c>
    </row>
    <row r="32995" spans="1:5" x14ac:dyDescent="0.2">
      <c r="A32995">
        <v>26430</v>
      </c>
      <c r="B32995" t="s">
        <v>56</v>
      </c>
      <c r="C32995">
        <v>26430</v>
      </c>
      <c r="D32995" t="str">
        <f>"26430"</f>
        <v>26430</v>
      </c>
      <c r="E32995">
        <v>61.11</v>
      </c>
    </row>
    <row r="32996" spans="1:5" x14ac:dyDescent="0.2">
      <c r="A32996">
        <v>26431</v>
      </c>
      <c r="B32996" t="s">
        <v>56</v>
      </c>
      <c r="C32996">
        <v>26431</v>
      </c>
      <c r="D32996" t="str">
        <f>"26431"</f>
        <v>26431</v>
      </c>
      <c r="E32996">
        <v>68.819999999999993</v>
      </c>
    </row>
    <row r="32997" spans="1:5" x14ac:dyDescent="0.2">
      <c r="A32997">
        <v>26434</v>
      </c>
      <c r="B32997" t="s">
        <v>56</v>
      </c>
      <c r="C32997">
        <v>26434</v>
      </c>
      <c r="D32997" t="str">
        <f>"26434"</f>
        <v>26434</v>
      </c>
      <c r="E32997" t="s">
        <v>6</v>
      </c>
    </row>
    <row r="32998" spans="1:5" x14ac:dyDescent="0.2">
      <c r="A32998">
        <v>26437</v>
      </c>
      <c r="B32998" t="s">
        <v>56</v>
      </c>
      <c r="C32998">
        <v>26437</v>
      </c>
      <c r="D32998" t="str">
        <f>"26437"</f>
        <v>26437</v>
      </c>
      <c r="E32998">
        <v>62.5</v>
      </c>
    </row>
    <row r="32999" spans="1:5" x14ac:dyDescent="0.2">
      <c r="A32999">
        <v>26438</v>
      </c>
      <c r="B32999" t="s">
        <v>56</v>
      </c>
      <c r="C32999">
        <v>26438</v>
      </c>
      <c r="D32999" t="str">
        <f>"26438"</f>
        <v>26438</v>
      </c>
      <c r="E32999" t="s">
        <v>6</v>
      </c>
    </row>
    <row r="33000" spans="1:5" x14ac:dyDescent="0.2">
      <c r="A33000">
        <v>26440</v>
      </c>
      <c r="B33000" t="s">
        <v>56</v>
      </c>
      <c r="C33000">
        <v>26440</v>
      </c>
      <c r="D33000" t="str">
        <f>"26440"</f>
        <v>26440</v>
      </c>
      <c r="E33000">
        <v>69.39</v>
      </c>
    </row>
    <row r="33001" spans="1:5" x14ac:dyDescent="0.2">
      <c r="A33001">
        <v>26443</v>
      </c>
      <c r="B33001" t="s">
        <v>56</v>
      </c>
      <c r="C33001">
        <v>26443</v>
      </c>
      <c r="D33001" t="str">
        <f>"26443"</f>
        <v>26443</v>
      </c>
      <c r="E33001" t="s">
        <v>6</v>
      </c>
    </row>
    <row r="33002" spans="1:5" x14ac:dyDescent="0.2">
      <c r="A33002">
        <v>26444</v>
      </c>
      <c r="B33002" t="s">
        <v>56</v>
      </c>
      <c r="C33002">
        <v>26444</v>
      </c>
      <c r="D33002" t="str">
        <f>"26444"</f>
        <v>26444</v>
      </c>
      <c r="E33002">
        <v>67.459999999999994</v>
      </c>
    </row>
    <row r="33003" spans="1:5" x14ac:dyDescent="0.2">
      <c r="A33003">
        <v>26447</v>
      </c>
      <c r="B33003" t="s">
        <v>56</v>
      </c>
      <c r="C33003">
        <v>26447</v>
      </c>
      <c r="D33003" t="str">
        <f>"26447"</f>
        <v>26447</v>
      </c>
      <c r="E33003">
        <v>68.09</v>
      </c>
    </row>
    <row r="33004" spans="1:5" x14ac:dyDescent="0.2">
      <c r="A33004">
        <v>26448</v>
      </c>
      <c r="B33004" t="s">
        <v>56</v>
      </c>
      <c r="C33004">
        <v>26448</v>
      </c>
      <c r="D33004" t="str">
        <f>"26448"</f>
        <v>26448</v>
      </c>
      <c r="E33004">
        <v>65.12</v>
      </c>
    </row>
    <row r="33005" spans="1:5" x14ac:dyDescent="0.2">
      <c r="A33005">
        <v>26451</v>
      </c>
      <c r="B33005" t="s">
        <v>56</v>
      </c>
      <c r="C33005">
        <v>26451</v>
      </c>
      <c r="D33005" t="str">
        <f>"26451"</f>
        <v>26451</v>
      </c>
      <c r="E33005">
        <v>71.88</v>
      </c>
    </row>
    <row r="33006" spans="1:5" x14ac:dyDescent="0.2">
      <c r="A33006">
        <v>26452</v>
      </c>
      <c r="B33006" t="s">
        <v>56</v>
      </c>
      <c r="C33006">
        <v>26452</v>
      </c>
      <c r="D33006" t="str">
        <f>"26452"</f>
        <v>26452</v>
      </c>
      <c r="E33006">
        <v>70.09</v>
      </c>
    </row>
    <row r="33007" spans="1:5" x14ac:dyDescent="0.2">
      <c r="A33007">
        <v>26456</v>
      </c>
      <c r="B33007" t="s">
        <v>56</v>
      </c>
      <c r="C33007">
        <v>26456</v>
      </c>
      <c r="D33007" t="str">
        <f>"26456"</f>
        <v>26456</v>
      </c>
      <c r="E33007">
        <v>71.319999999999993</v>
      </c>
    </row>
    <row r="33008" spans="1:5" x14ac:dyDescent="0.2">
      <c r="A33008">
        <v>26501</v>
      </c>
      <c r="B33008" t="s">
        <v>56</v>
      </c>
      <c r="C33008">
        <v>26501</v>
      </c>
      <c r="D33008" t="str">
        <f>"26501"</f>
        <v>26501</v>
      </c>
      <c r="E33008">
        <v>75</v>
      </c>
    </row>
    <row r="33009" spans="1:5" x14ac:dyDescent="0.2">
      <c r="A33009">
        <v>26505</v>
      </c>
      <c r="B33009" t="s">
        <v>56</v>
      </c>
      <c r="C33009">
        <v>26505</v>
      </c>
      <c r="D33009" t="str">
        <f>"26505"</f>
        <v>26505</v>
      </c>
      <c r="E33009">
        <v>74.040000000000006</v>
      </c>
    </row>
    <row r="33010" spans="1:5" x14ac:dyDescent="0.2">
      <c r="A33010">
        <v>26508</v>
      </c>
      <c r="B33010" t="s">
        <v>56</v>
      </c>
      <c r="C33010">
        <v>26508</v>
      </c>
      <c r="D33010" t="str">
        <f>"26508"</f>
        <v>26508</v>
      </c>
      <c r="E33010">
        <v>77.959999999999994</v>
      </c>
    </row>
    <row r="33011" spans="1:5" x14ac:dyDescent="0.2">
      <c r="A33011">
        <v>26519</v>
      </c>
      <c r="B33011" t="s">
        <v>56</v>
      </c>
      <c r="C33011">
        <v>26519</v>
      </c>
      <c r="D33011" t="str">
        <f>"26519"</f>
        <v>26519</v>
      </c>
      <c r="E33011">
        <v>71.430000000000007</v>
      </c>
    </row>
    <row r="33012" spans="1:5" x14ac:dyDescent="0.2">
      <c r="A33012">
        <v>26520</v>
      </c>
      <c r="B33012" t="s">
        <v>56</v>
      </c>
      <c r="C33012">
        <v>26520</v>
      </c>
      <c r="D33012" t="str">
        <f>"26520"</f>
        <v>26520</v>
      </c>
      <c r="E33012" t="s">
        <v>6</v>
      </c>
    </row>
    <row r="33013" spans="1:5" x14ac:dyDescent="0.2">
      <c r="A33013">
        <v>26521</v>
      </c>
      <c r="B33013" t="s">
        <v>56</v>
      </c>
      <c r="C33013">
        <v>26521</v>
      </c>
      <c r="D33013" t="str">
        <f>"26521"</f>
        <v>26521</v>
      </c>
      <c r="E33013">
        <v>66.67</v>
      </c>
    </row>
    <row r="33014" spans="1:5" x14ac:dyDescent="0.2">
      <c r="A33014">
        <v>26524</v>
      </c>
      <c r="B33014" t="s">
        <v>56</v>
      </c>
      <c r="C33014">
        <v>26524</v>
      </c>
      <c r="D33014" t="str">
        <f>"26524"</f>
        <v>26524</v>
      </c>
      <c r="E33014" t="s">
        <v>6</v>
      </c>
    </row>
    <row r="33015" spans="1:5" x14ac:dyDescent="0.2">
      <c r="A33015">
        <v>26525</v>
      </c>
      <c r="B33015" t="s">
        <v>56</v>
      </c>
      <c r="C33015">
        <v>26525</v>
      </c>
      <c r="D33015" t="str">
        <f>"26525"</f>
        <v>26525</v>
      </c>
      <c r="E33015">
        <v>75.650000000000006</v>
      </c>
    </row>
    <row r="33016" spans="1:5" x14ac:dyDescent="0.2">
      <c r="A33016">
        <v>26534</v>
      </c>
      <c r="B33016" t="s">
        <v>56</v>
      </c>
      <c r="C33016">
        <v>26534</v>
      </c>
      <c r="D33016" t="str">
        <f>"26534"</f>
        <v>26534</v>
      </c>
      <c r="E33016" t="s">
        <v>6</v>
      </c>
    </row>
    <row r="33017" spans="1:5" x14ac:dyDescent="0.2">
      <c r="A33017">
        <v>26537</v>
      </c>
      <c r="B33017" t="s">
        <v>56</v>
      </c>
      <c r="C33017">
        <v>26537</v>
      </c>
      <c r="D33017" t="str">
        <f>"26537"</f>
        <v>26537</v>
      </c>
      <c r="E33017">
        <v>69.41</v>
      </c>
    </row>
    <row r="33018" spans="1:5" x14ac:dyDescent="0.2">
      <c r="A33018">
        <v>26541</v>
      </c>
      <c r="B33018" t="s">
        <v>56</v>
      </c>
      <c r="C33018">
        <v>26541</v>
      </c>
      <c r="D33018" t="str">
        <f>"26541"</f>
        <v>26541</v>
      </c>
      <c r="E33018">
        <v>74.069999999999993</v>
      </c>
    </row>
    <row r="33019" spans="1:5" x14ac:dyDescent="0.2">
      <c r="A33019">
        <v>26542</v>
      </c>
      <c r="B33019" t="s">
        <v>56</v>
      </c>
      <c r="C33019">
        <v>26542</v>
      </c>
      <c r="D33019" t="str">
        <f>"26542"</f>
        <v>26542</v>
      </c>
      <c r="E33019">
        <v>72.069999999999993</v>
      </c>
    </row>
    <row r="33020" spans="1:5" x14ac:dyDescent="0.2">
      <c r="A33020">
        <v>26543</v>
      </c>
      <c r="B33020" t="s">
        <v>56</v>
      </c>
      <c r="C33020">
        <v>26543</v>
      </c>
      <c r="D33020" t="str">
        <f>"26543"</f>
        <v>26543</v>
      </c>
      <c r="E33020" t="s">
        <v>6</v>
      </c>
    </row>
    <row r="33021" spans="1:5" x14ac:dyDescent="0.2">
      <c r="A33021">
        <v>26544</v>
      </c>
      <c r="B33021" t="s">
        <v>56</v>
      </c>
      <c r="C33021">
        <v>26544</v>
      </c>
      <c r="D33021" t="str">
        <f>"26544"</f>
        <v>26544</v>
      </c>
      <c r="E33021" t="s">
        <v>6</v>
      </c>
    </row>
    <row r="33022" spans="1:5" x14ac:dyDescent="0.2">
      <c r="A33022">
        <v>26546</v>
      </c>
      <c r="B33022" t="s">
        <v>56</v>
      </c>
      <c r="C33022">
        <v>26546</v>
      </c>
      <c r="D33022" t="str">
        <f>"26546"</f>
        <v>26546</v>
      </c>
      <c r="E33022" t="s">
        <v>6</v>
      </c>
    </row>
    <row r="33023" spans="1:5" x14ac:dyDescent="0.2">
      <c r="A33023">
        <v>26547</v>
      </c>
      <c r="B33023" t="s">
        <v>56</v>
      </c>
      <c r="C33023">
        <v>26547</v>
      </c>
      <c r="D33023" t="str">
        <f>"26547"</f>
        <v>26547</v>
      </c>
      <c r="E33023">
        <v>72.66</v>
      </c>
    </row>
    <row r="33024" spans="1:5" x14ac:dyDescent="0.2">
      <c r="A33024">
        <v>26554</v>
      </c>
      <c r="B33024" t="s">
        <v>56</v>
      </c>
      <c r="C33024">
        <v>26554</v>
      </c>
      <c r="D33024" t="str">
        <f>"26554"</f>
        <v>26554</v>
      </c>
      <c r="E33024">
        <v>72.709999999999994</v>
      </c>
    </row>
    <row r="33025" spans="1:5" x14ac:dyDescent="0.2">
      <c r="A33025">
        <v>26559</v>
      </c>
      <c r="B33025" t="s">
        <v>56</v>
      </c>
      <c r="C33025">
        <v>26559</v>
      </c>
      <c r="D33025" t="str">
        <f>"26559"</f>
        <v>26559</v>
      </c>
      <c r="E33025" t="s">
        <v>6</v>
      </c>
    </row>
    <row r="33026" spans="1:5" x14ac:dyDescent="0.2">
      <c r="A33026">
        <v>26560</v>
      </c>
      <c r="B33026" t="s">
        <v>56</v>
      </c>
      <c r="C33026">
        <v>26560</v>
      </c>
      <c r="D33026" t="str">
        <f>"26560"</f>
        <v>26560</v>
      </c>
      <c r="E33026" t="s">
        <v>6</v>
      </c>
    </row>
    <row r="33027" spans="1:5" x14ac:dyDescent="0.2">
      <c r="A33027">
        <v>26562</v>
      </c>
      <c r="B33027" t="s">
        <v>56</v>
      </c>
      <c r="C33027">
        <v>26562</v>
      </c>
      <c r="D33027" t="str">
        <f>"26562"</f>
        <v>26562</v>
      </c>
      <c r="E33027">
        <v>75</v>
      </c>
    </row>
    <row r="33028" spans="1:5" x14ac:dyDescent="0.2">
      <c r="A33028">
        <v>26563</v>
      </c>
      <c r="B33028" t="s">
        <v>56</v>
      </c>
      <c r="C33028">
        <v>26563</v>
      </c>
      <c r="D33028" t="str">
        <f>"26563"</f>
        <v>26563</v>
      </c>
      <c r="E33028" t="s">
        <v>6</v>
      </c>
    </row>
    <row r="33029" spans="1:5" x14ac:dyDescent="0.2">
      <c r="A33029">
        <v>26568</v>
      </c>
      <c r="B33029" t="s">
        <v>56</v>
      </c>
      <c r="C33029">
        <v>26568</v>
      </c>
      <c r="D33029" t="str">
        <f>"26568"</f>
        <v>26568</v>
      </c>
      <c r="E33029">
        <v>60.87</v>
      </c>
    </row>
    <row r="33030" spans="1:5" x14ac:dyDescent="0.2">
      <c r="A33030">
        <v>26570</v>
      </c>
      <c r="B33030" t="s">
        <v>56</v>
      </c>
      <c r="C33030">
        <v>26570</v>
      </c>
      <c r="D33030" t="str">
        <f>"26570"</f>
        <v>26570</v>
      </c>
      <c r="E33030">
        <v>75.349999999999994</v>
      </c>
    </row>
    <row r="33031" spans="1:5" x14ac:dyDescent="0.2">
      <c r="A33031">
        <v>26571</v>
      </c>
      <c r="B33031" t="s">
        <v>56</v>
      </c>
      <c r="C33031">
        <v>26571</v>
      </c>
      <c r="D33031" t="str">
        <f>"26571"</f>
        <v>26571</v>
      </c>
      <c r="E33031">
        <v>68.540000000000006</v>
      </c>
    </row>
    <row r="33032" spans="1:5" x14ac:dyDescent="0.2">
      <c r="A33032">
        <v>26572</v>
      </c>
      <c r="B33032" t="s">
        <v>56</v>
      </c>
      <c r="C33032">
        <v>26572</v>
      </c>
      <c r="D33032" t="str">
        <f>"26572"</f>
        <v>26572</v>
      </c>
      <c r="E33032" t="s">
        <v>6</v>
      </c>
    </row>
    <row r="33033" spans="1:5" x14ac:dyDescent="0.2">
      <c r="A33033">
        <v>26574</v>
      </c>
      <c r="B33033" t="s">
        <v>56</v>
      </c>
      <c r="C33033">
        <v>26574</v>
      </c>
      <c r="D33033" t="str">
        <f>"26574"</f>
        <v>26574</v>
      </c>
      <c r="E33033" t="s">
        <v>6</v>
      </c>
    </row>
    <row r="33034" spans="1:5" x14ac:dyDescent="0.2">
      <c r="A33034">
        <v>26575</v>
      </c>
      <c r="B33034" t="s">
        <v>56</v>
      </c>
      <c r="C33034">
        <v>26575</v>
      </c>
      <c r="D33034" t="str">
        <f>"26575"</f>
        <v>26575</v>
      </c>
      <c r="E33034">
        <v>70.59</v>
      </c>
    </row>
    <row r="33035" spans="1:5" x14ac:dyDescent="0.2">
      <c r="A33035">
        <v>26576</v>
      </c>
      <c r="B33035" t="s">
        <v>56</v>
      </c>
      <c r="C33035">
        <v>26576</v>
      </c>
      <c r="D33035" t="str">
        <f>"26576"</f>
        <v>26576</v>
      </c>
      <c r="E33035" t="s">
        <v>6</v>
      </c>
    </row>
    <row r="33036" spans="1:5" x14ac:dyDescent="0.2">
      <c r="A33036">
        <v>26581</v>
      </c>
      <c r="B33036" t="s">
        <v>56</v>
      </c>
      <c r="C33036">
        <v>26581</v>
      </c>
      <c r="D33036" t="str">
        <f>"26581"</f>
        <v>26581</v>
      </c>
      <c r="E33036">
        <v>72.22</v>
      </c>
    </row>
    <row r="33037" spans="1:5" x14ac:dyDescent="0.2">
      <c r="A33037">
        <v>26582</v>
      </c>
      <c r="B33037" t="s">
        <v>56</v>
      </c>
      <c r="C33037">
        <v>26582</v>
      </c>
      <c r="D33037" t="str">
        <f>"26582"</f>
        <v>26582</v>
      </c>
      <c r="E33037">
        <v>67.63</v>
      </c>
    </row>
    <row r="33038" spans="1:5" x14ac:dyDescent="0.2">
      <c r="A33038">
        <v>26585</v>
      </c>
      <c r="B33038" t="s">
        <v>56</v>
      </c>
      <c r="C33038">
        <v>26585</v>
      </c>
      <c r="D33038" t="str">
        <f>"26585"</f>
        <v>26585</v>
      </c>
      <c r="E33038">
        <v>73.680000000000007</v>
      </c>
    </row>
    <row r="33039" spans="1:5" x14ac:dyDescent="0.2">
      <c r="A33039">
        <v>26586</v>
      </c>
      <c r="B33039" t="s">
        <v>56</v>
      </c>
      <c r="C33039">
        <v>26586</v>
      </c>
      <c r="D33039" t="str">
        <f>"26586"</f>
        <v>26586</v>
      </c>
      <c r="E33039" t="s">
        <v>6</v>
      </c>
    </row>
    <row r="33040" spans="1:5" x14ac:dyDescent="0.2">
      <c r="A33040">
        <v>26587</v>
      </c>
      <c r="B33040" t="s">
        <v>56</v>
      </c>
      <c r="C33040">
        <v>26587</v>
      </c>
      <c r="D33040" t="str">
        <f>"26587"</f>
        <v>26587</v>
      </c>
      <c r="E33040">
        <v>70.59</v>
      </c>
    </row>
    <row r="33041" spans="1:5" x14ac:dyDescent="0.2">
      <c r="A33041">
        <v>26588</v>
      </c>
      <c r="B33041" t="s">
        <v>56</v>
      </c>
      <c r="C33041">
        <v>26588</v>
      </c>
      <c r="D33041" t="str">
        <f>"26588"</f>
        <v>26588</v>
      </c>
      <c r="E33041">
        <v>71.209999999999994</v>
      </c>
    </row>
    <row r="33042" spans="1:5" x14ac:dyDescent="0.2">
      <c r="A33042">
        <v>26590</v>
      </c>
      <c r="B33042" t="s">
        <v>56</v>
      </c>
      <c r="C33042">
        <v>26590</v>
      </c>
      <c r="D33042" t="str">
        <f>"26590"</f>
        <v>26590</v>
      </c>
      <c r="E33042">
        <v>75</v>
      </c>
    </row>
    <row r="33043" spans="1:5" x14ac:dyDescent="0.2">
      <c r="A33043">
        <v>26591</v>
      </c>
      <c r="B33043" t="s">
        <v>56</v>
      </c>
      <c r="C33043">
        <v>26591</v>
      </c>
      <c r="D33043" t="str">
        <f>"26591"</f>
        <v>26591</v>
      </c>
      <c r="E33043">
        <v>70.31</v>
      </c>
    </row>
    <row r="33044" spans="1:5" x14ac:dyDescent="0.2">
      <c r="A33044">
        <v>26601</v>
      </c>
      <c r="B33044" t="s">
        <v>56</v>
      </c>
      <c r="C33044">
        <v>26601</v>
      </c>
      <c r="D33044" t="str">
        <f>"26601"</f>
        <v>26601</v>
      </c>
      <c r="E33044">
        <v>65.81</v>
      </c>
    </row>
    <row r="33045" spans="1:5" x14ac:dyDescent="0.2">
      <c r="A33045">
        <v>26610</v>
      </c>
      <c r="B33045" t="s">
        <v>56</v>
      </c>
      <c r="C33045">
        <v>26610</v>
      </c>
      <c r="D33045" t="str">
        <f>"26610"</f>
        <v>26610</v>
      </c>
      <c r="E33045">
        <v>60.53</v>
      </c>
    </row>
    <row r="33046" spans="1:5" x14ac:dyDescent="0.2">
      <c r="A33046">
        <v>26611</v>
      </c>
      <c r="B33046" t="s">
        <v>56</v>
      </c>
      <c r="C33046">
        <v>26611</v>
      </c>
      <c r="D33046" t="str">
        <f>"26611"</f>
        <v>26611</v>
      </c>
      <c r="E33046" t="s">
        <v>6</v>
      </c>
    </row>
    <row r="33047" spans="1:5" x14ac:dyDescent="0.2">
      <c r="A33047">
        <v>26615</v>
      </c>
      <c r="B33047" t="s">
        <v>56</v>
      </c>
      <c r="C33047">
        <v>26615</v>
      </c>
      <c r="D33047" t="str">
        <f>"26615"</f>
        <v>26615</v>
      </c>
      <c r="E33047" t="s">
        <v>6</v>
      </c>
    </row>
    <row r="33048" spans="1:5" x14ac:dyDescent="0.2">
      <c r="A33048">
        <v>26617</v>
      </c>
      <c r="B33048" t="s">
        <v>56</v>
      </c>
      <c r="C33048">
        <v>26617</v>
      </c>
      <c r="D33048" t="str">
        <f>"26617"</f>
        <v>26617</v>
      </c>
      <c r="E33048" t="s">
        <v>6</v>
      </c>
    </row>
    <row r="33049" spans="1:5" x14ac:dyDescent="0.2">
      <c r="A33049">
        <v>26619</v>
      </c>
      <c r="B33049" t="s">
        <v>56</v>
      </c>
      <c r="C33049">
        <v>26619</v>
      </c>
      <c r="D33049" t="str">
        <f>"26619"</f>
        <v>26619</v>
      </c>
      <c r="E33049">
        <v>65</v>
      </c>
    </row>
    <row r="33050" spans="1:5" x14ac:dyDescent="0.2">
      <c r="A33050">
        <v>26621</v>
      </c>
      <c r="B33050" t="s">
        <v>56</v>
      </c>
      <c r="C33050">
        <v>26621</v>
      </c>
      <c r="D33050" t="str">
        <f>"26621"</f>
        <v>26621</v>
      </c>
      <c r="E33050">
        <v>62.5</v>
      </c>
    </row>
    <row r="33051" spans="1:5" x14ac:dyDescent="0.2">
      <c r="A33051">
        <v>26623</v>
      </c>
      <c r="B33051" t="s">
        <v>56</v>
      </c>
      <c r="C33051">
        <v>26623</v>
      </c>
      <c r="D33051" t="str">
        <f>"26623"</f>
        <v>26623</v>
      </c>
      <c r="E33051">
        <v>72.55</v>
      </c>
    </row>
    <row r="33052" spans="1:5" x14ac:dyDescent="0.2">
      <c r="A33052">
        <v>26624</v>
      </c>
      <c r="B33052" t="s">
        <v>56</v>
      </c>
      <c r="C33052">
        <v>26624</v>
      </c>
      <c r="D33052" t="str">
        <f>"26624"</f>
        <v>26624</v>
      </c>
      <c r="E33052">
        <v>64.599999999999994</v>
      </c>
    </row>
    <row r="33053" spans="1:5" x14ac:dyDescent="0.2">
      <c r="A33053">
        <v>26627</v>
      </c>
      <c r="B33053" t="s">
        <v>56</v>
      </c>
      <c r="C33053">
        <v>26627</v>
      </c>
      <c r="D33053" t="str">
        <f>"26627"</f>
        <v>26627</v>
      </c>
      <c r="E33053">
        <v>64.709999999999994</v>
      </c>
    </row>
    <row r="33054" spans="1:5" x14ac:dyDescent="0.2">
      <c r="A33054">
        <v>26629</v>
      </c>
      <c r="B33054" t="s">
        <v>56</v>
      </c>
      <c r="C33054">
        <v>26629</v>
      </c>
      <c r="D33054" t="str">
        <f>"26629"</f>
        <v>26629</v>
      </c>
      <c r="E33054">
        <v>58.82</v>
      </c>
    </row>
    <row r="33055" spans="1:5" x14ac:dyDescent="0.2">
      <c r="A33055">
        <v>26631</v>
      </c>
      <c r="B33055" t="s">
        <v>56</v>
      </c>
      <c r="C33055">
        <v>26631</v>
      </c>
      <c r="D33055" t="str">
        <f>"26631"</f>
        <v>26631</v>
      </c>
      <c r="E33055" t="s">
        <v>6</v>
      </c>
    </row>
    <row r="33056" spans="1:5" x14ac:dyDescent="0.2">
      <c r="A33056">
        <v>26636</v>
      </c>
      <c r="B33056" t="s">
        <v>56</v>
      </c>
      <c r="C33056">
        <v>26636</v>
      </c>
      <c r="D33056" t="str">
        <f>"26636"</f>
        <v>26636</v>
      </c>
      <c r="E33056">
        <v>55.56</v>
      </c>
    </row>
    <row r="33057" spans="1:5" x14ac:dyDescent="0.2">
      <c r="A33057">
        <v>26638</v>
      </c>
      <c r="B33057" t="s">
        <v>56</v>
      </c>
      <c r="C33057">
        <v>26638</v>
      </c>
      <c r="D33057" t="str">
        <f>"26638"</f>
        <v>26638</v>
      </c>
      <c r="E33057" t="s">
        <v>6</v>
      </c>
    </row>
    <row r="33058" spans="1:5" x14ac:dyDescent="0.2">
      <c r="A33058">
        <v>26651</v>
      </c>
      <c r="B33058" t="s">
        <v>56</v>
      </c>
      <c r="C33058">
        <v>26651</v>
      </c>
      <c r="D33058" t="str">
        <f>"26651"</f>
        <v>26651</v>
      </c>
      <c r="E33058">
        <v>65.650000000000006</v>
      </c>
    </row>
    <row r="33059" spans="1:5" x14ac:dyDescent="0.2">
      <c r="A33059">
        <v>26656</v>
      </c>
      <c r="B33059" t="s">
        <v>56</v>
      </c>
      <c r="C33059">
        <v>26656</v>
      </c>
      <c r="D33059" t="str">
        <f>"26656"</f>
        <v>26656</v>
      </c>
      <c r="E33059">
        <v>57.14</v>
      </c>
    </row>
    <row r="33060" spans="1:5" x14ac:dyDescent="0.2">
      <c r="A33060">
        <v>26660</v>
      </c>
      <c r="B33060" t="s">
        <v>56</v>
      </c>
      <c r="C33060">
        <v>26660</v>
      </c>
      <c r="D33060" t="str">
        <f>"26660"</f>
        <v>26660</v>
      </c>
      <c r="E33060">
        <v>66.67</v>
      </c>
    </row>
    <row r="33061" spans="1:5" x14ac:dyDescent="0.2">
      <c r="A33061">
        <v>26662</v>
      </c>
      <c r="B33061" t="s">
        <v>56</v>
      </c>
      <c r="C33061">
        <v>26662</v>
      </c>
      <c r="D33061" t="str">
        <f>"26662"</f>
        <v>26662</v>
      </c>
      <c r="E33061">
        <v>65.790000000000006</v>
      </c>
    </row>
    <row r="33062" spans="1:5" x14ac:dyDescent="0.2">
      <c r="A33062">
        <v>26676</v>
      </c>
      <c r="B33062" t="s">
        <v>56</v>
      </c>
      <c r="C33062">
        <v>26676</v>
      </c>
      <c r="D33062" t="str">
        <f>"26676"</f>
        <v>26676</v>
      </c>
      <c r="E33062">
        <v>66.67</v>
      </c>
    </row>
    <row r="33063" spans="1:5" x14ac:dyDescent="0.2">
      <c r="A33063">
        <v>26678</v>
      </c>
      <c r="B33063" t="s">
        <v>56</v>
      </c>
      <c r="C33063">
        <v>26678</v>
      </c>
      <c r="D33063" t="str">
        <f>"26678"</f>
        <v>26678</v>
      </c>
      <c r="E33063">
        <v>66</v>
      </c>
    </row>
    <row r="33064" spans="1:5" x14ac:dyDescent="0.2">
      <c r="A33064">
        <v>26679</v>
      </c>
      <c r="B33064" t="s">
        <v>56</v>
      </c>
      <c r="C33064">
        <v>26679</v>
      </c>
      <c r="D33064" t="str">
        <f>"26679"</f>
        <v>26679</v>
      </c>
      <c r="E33064">
        <v>69.62</v>
      </c>
    </row>
    <row r="33065" spans="1:5" x14ac:dyDescent="0.2">
      <c r="A33065">
        <v>26680</v>
      </c>
      <c r="B33065" t="s">
        <v>56</v>
      </c>
      <c r="C33065">
        <v>26680</v>
      </c>
      <c r="D33065" t="str">
        <f>"26680"</f>
        <v>26680</v>
      </c>
      <c r="E33065">
        <v>57.14</v>
      </c>
    </row>
    <row r="33066" spans="1:5" x14ac:dyDescent="0.2">
      <c r="A33066">
        <v>26681</v>
      </c>
      <c r="B33066" t="s">
        <v>56</v>
      </c>
      <c r="C33066">
        <v>26681</v>
      </c>
      <c r="D33066" t="str">
        <f>"26681"</f>
        <v>26681</v>
      </c>
      <c r="E33066">
        <v>65.63</v>
      </c>
    </row>
    <row r="33067" spans="1:5" x14ac:dyDescent="0.2">
      <c r="A33067">
        <v>26684</v>
      </c>
      <c r="B33067" t="s">
        <v>56</v>
      </c>
      <c r="C33067">
        <v>26684</v>
      </c>
      <c r="D33067" t="str">
        <f>"26684"</f>
        <v>26684</v>
      </c>
      <c r="E33067" t="s">
        <v>6</v>
      </c>
    </row>
    <row r="33068" spans="1:5" x14ac:dyDescent="0.2">
      <c r="A33068">
        <v>26690</v>
      </c>
      <c r="B33068" t="s">
        <v>56</v>
      </c>
      <c r="C33068">
        <v>26690</v>
      </c>
      <c r="D33068" t="str">
        <f>"26690"</f>
        <v>26690</v>
      </c>
      <c r="E33068">
        <v>60</v>
      </c>
    </row>
    <row r="33069" spans="1:5" x14ac:dyDescent="0.2">
      <c r="A33069">
        <v>26691</v>
      </c>
      <c r="B33069" t="s">
        <v>56</v>
      </c>
      <c r="C33069">
        <v>26691</v>
      </c>
      <c r="D33069" t="str">
        <f>"26691"</f>
        <v>26691</v>
      </c>
      <c r="E33069">
        <v>60</v>
      </c>
    </row>
    <row r="33070" spans="1:5" x14ac:dyDescent="0.2">
      <c r="A33070">
        <v>26704</v>
      </c>
      <c r="B33070" t="s">
        <v>56</v>
      </c>
      <c r="C33070">
        <v>26704</v>
      </c>
      <c r="D33070" t="str">
        <f>"26704"</f>
        <v>26704</v>
      </c>
      <c r="E33070">
        <v>66.67</v>
      </c>
    </row>
    <row r="33071" spans="1:5" x14ac:dyDescent="0.2">
      <c r="A33071">
        <v>26705</v>
      </c>
      <c r="B33071" t="s">
        <v>56</v>
      </c>
      <c r="C33071">
        <v>26705</v>
      </c>
      <c r="D33071" t="str">
        <f>"26705"</f>
        <v>26705</v>
      </c>
      <c r="E33071">
        <v>71.11</v>
      </c>
    </row>
    <row r="33072" spans="1:5" x14ac:dyDescent="0.2">
      <c r="A33072">
        <v>26707</v>
      </c>
      <c r="B33072" t="s">
        <v>56</v>
      </c>
      <c r="C33072">
        <v>26707</v>
      </c>
      <c r="D33072" t="str">
        <f>"26707"</f>
        <v>26707</v>
      </c>
      <c r="E33072" t="s">
        <v>6</v>
      </c>
    </row>
    <row r="33073" spans="1:5" x14ac:dyDescent="0.2">
      <c r="A33073">
        <v>26710</v>
      </c>
      <c r="B33073" t="s">
        <v>56</v>
      </c>
      <c r="C33073">
        <v>26710</v>
      </c>
      <c r="D33073" t="str">
        <f>"26710"</f>
        <v>26710</v>
      </c>
      <c r="E33073">
        <v>70.11</v>
      </c>
    </row>
    <row r="33074" spans="1:5" x14ac:dyDescent="0.2">
      <c r="A33074">
        <v>26711</v>
      </c>
      <c r="B33074" t="s">
        <v>56</v>
      </c>
      <c r="C33074">
        <v>26711</v>
      </c>
      <c r="D33074" t="str">
        <f>"26711"</f>
        <v>26711</v>
      </c>
      <c r="E33074">
        <v>75</v>
      </c>
    </row>
    <row r="33075" spans="1:5" x14ac:dyDescent="0.2">
      <c r="A33075">
        <v>26714</v>
      </c>
      <c r="B33075" t="s">
        <v>56</v>
      </c>
      <c r="C33075">
        <v>26714</v>
      </c>
      <c r="D33075" t="str">
        <f>"26714"</f>
        <v>26714</v>
      </c>
      <c r="E33075">
        <v>56.25</v>
      </c>
    </row>
    <row r="33076" spans="1:5" x14ac:dyDescent="0.2">
      <c r="A33076">
        <v>26716</v>
      </c>
      <c r="B33076" t="s">
        <v>56</v>
      </c>
      <c r="C33076">
        <v>26716</v>
      </c>
      <c r="D33076" t="str">
        <f>"26716"</f>
        <v>26716</v>
      </c>
      <c r="E33076">
        <v>64.52</v>
      </c>
    </row>
    <row r="33077" spans="1:5" x14ac:dyDescent="0.2">
      <c r="A33077">
        <v>26717</v>
      </c>
      <c r="B33077" t="s">
        <v>56</v>
      </c>
      <c r="C33077">
        <v>26717</v>
      </c>
      <c r="D33077" t="str">
        <f>"26717"</f>
        <v>26717</v>
      </c>
      <c r="E33077">
        <v>65.91</v>
      </c>
    </row>
    <row r="33078" spans="1:5" x14ac:dyDescent="0.2">
      <c r="A33078">
        <v>26719</v>
      </c>
      <c r="B33078" t="s">
        <v>56</v>
      </c>
      <c r="C33078">
        <v>26719</v>
      </c>
      <c r="D33078" t="str">
        <f>"26719"</f>
        <v>26719</v>
      </c>
      <c r="E33078">
        <v>74.02</v>
      </c>
    </row>
    <row r="33079" spans="1:5" x14ac:dyDescent="0.2">
      <c r="A33079">
        <v>26720</v>
      </c>
      <c r="B33079" t="s">
        <v>56</v>
      </c>
      <c r="C33079">
        <v>26720</v>
      </c>
      <c r="D33079" t="str">
        <f>"26720"</f>
        <v>26720</v>
      </c>
      <c r="E33079" t="s">
        <v>6</v>
      </c>
    </row>
    <row r="33080" spans="1:5" x14ac:dyDescent="0.2">
      <c r="A33080">
        <v>26722</v>
      </c>
      <c r="B33080" t="s">
        <v>56</v>
      </c>
      <c r="C33080">
        <v>26722</v>
      </c>
      <c r="D33080" t="str">
        <f>"26722"</f>
        <v>26722</v>
      </c>
      <c r="E33080">
        <v>64</v>
      </c>
    </row>
    <row r="33081" spans="1:5" x14ac:dyDescent="0.2">
      <c r="A33081">
        <v>26726</v>
      </c>
      <c r="B33081" t="s">
        <v>56</v>
      </c>
      <c r="C33081">
        <v>26726</v>
      </c>
      <c r="D33081" t="str">
        <f>"26726"</f>
        <v>26726</v>
      </c>
      <c r="E33081">
        <v>68.5</v>
      </c>
    </row>
    <row r="33082" spans="1:5" x14ac:dyDescent="0.2">
      <c r="A33082">
        <v>26731</v>
      </c>
      <c r="B33082" t="s">
        <v>56</v>
      </c>
      <c r="C33082">
        <v>26731</v>
      </c>
      <c r="D33082" t="str">
        <f>"26731"</f>
        <v>26731</v>
      </c>
      <c r="E33082">
        <v>69.23</v>
      </c>
    </row>
    <row r="33083" spans="1:5" x14ac:dyDescent="0.2">
      <c r="A33083">
        <v>26739</v>
      </c>
      <c r="B33083" t="s">
        <v>56</v>
      </c>
      <c r="C33083">
        <v>26739</v>
      </c>
      <c r="D33083" t="str">
        <f>"26739"</f>
        <v>26739</v>
      </c>
      <c r="E33083">
        <v>73.53</v>
      </c>
    </row>
    <row r="33084" spans="1:5" x14ac:dyDescent="0.2">
      <c r="A33084">
        <v>26743</v>
      </c>
      <c r="B33084" t="s">
        <v>56</v>
      </c>
      <c r="C33084">
        <v>26743</v>
      </c>
      <c r="D33084" t="str">
        <f>"26743"</f>
        <v>26743</v>
      </c>
      <c r="E33084">
        <v>73.61</v>
      </c>
    </row>
    <row r="33085" spans="1:5" x14ac:dyDescent="0.2">
      <c r="A33085">
        <v>26750</v>
      </c>
      <c r="B33085" t="s">
        <v>56</v>
      </c>
      <c r="C33085">
        <v>26750</v>
      </c>
      <c r="D33085" t="str">
        <f>"26750"</f>
        <v>26750</v>
      </c>
      <c r="E33085">
        <v>59.38</v>
      </c>
    </row>
    <row r="33086" spans="1:5" x14ac:dyDescent="0.2">
      <c r="A33086">
        <v>26753</v>
      </c>
      <c r="B33086" t="s">
        <v>56</v>
      </c>
      <c r="C33086">
        <v>26753</v>
      </c>
      <c r="D33086" t="str">
        <f>"26753"</f>
        <v>26753</v>
      </c>
      <c r="E33086">
        <v>72.03</v>
      </c>
    </row>
    <row r="33087" spans="1:5" x14ac:dyDescent="0.2">
      <c r="A33087">
        <v>26755</v>
      </c>
      <c r="B33087" t="s">
        <v>56</v>
      </c>
      <c r="C33087">
        <v>26755</v>
      </c>
      <c r="D33087" t="str">
        <f>"26755"</f>
        <v>26755</v>
      </c>
      <c r="E33087">
        <v>67.86</v>
      </c>
    </row>
    <row r="33088" spans="1:5" x14ac:dyDescent="0.2">
      <c r="A33088">
        <v>26757</v>
      </c>
      <c r="B33088" t="s">
        <v>56</v>
      </c>
      <c r="C33088">
        <v>26757</v>
      </c>
      <c r="D33088" t="str">
        <f>"26757"</f>
        <v>26757</v>
      </c>
      <c r="E33088">
        <v>65.430000000000007</v>
      </c>
    </row>
    <row r="33089" spans="1:5" x14ac:dyDescent="0.2">
      <c r="A33089">
        <v>26761</v>
      </c>
      <c r="B33089" t="s">
        <v>56</v>
      </c>
      <c r="C33089">
        <v>26761</v>
      </c>
      <c r="D33089" t="str">
        <f>"26761"</f>
        <v>26761</v>
      </c>
      <c r="E33089">
        <v>66.67</v>
      </c>
    </row>
    <row r="33090" spans="1:5" x14ac:dyDescent="0.2">
      <c r="A33090">
        <v>26763</v>
      </c>
      <c r="B33090" t="s">
        <v>56</v>
      </c>
      <c r="C33090">
        <v>26763</v>
      </c>
      <c r="D33090" t="str">
        <f>"26763"</f>
        <v>26763</v>
      </c>
      <c r="E33090">
        <v>67.69</v>
      </c>
    </row>
    <row r="33091" spans="1:5" x14ac:dyDescent="0.2">
      <c r="A33091">
        <v>26764</v>
      </c>
      <c r="B33091" t="s">
        <v>56</v>
      </c>
      <c r="C33091">
        <v>26764</v>
      </c>
      <c r="D33091" t="str">
        <f>"26764"</f>
        <v>26764</v>
      </c>
      <c r="E33091">
        <v>67.8</v>
      </c>
    </row>
    <row r="33092" spans="1:5" x14ac:dyDescent="0.2">
      <c r="A33092">
        <v>26767</v>
      </c>
      <c r="B33092" t="s">
        <v>56</v>
      </c>
      <c r="C33092">
        <v>26767</v>
      </c>
      <c r="D33092" t="str">
        <f>"26767"</f>
        <v>26767</v>
      </c>
      <c r="E33092">
        <v>74.19</v>
      </c>
    </row>
    <row r="33093" spans="1:5" x14ac:dyDescent="0.2">
      <c r="A33093">
        <v>26801</v>
      </c>
      <c r="B33093" t="s">
        <v>56</v>
      </c>
      <c r="C33093">
        <v>26801</v>
      </c>
      <c r="D33093" t="str">
        <f>"26801"</f>
        <v>26801</v>
      </c>
      <c r="E33093">
        <v>68.52</v>
      </c>
    </row>
    <row r="33094" spans="1:5" x14ac:dyDescent="0.2">
      <c r="A33094">
        <v>26802</v>
      </c>
      <c r="B33094" t="s">
        <v>56</v>
      </c>
      <c r="C33094">
        <v>26802</v>
      </c>
      <c r="D33094" t="str">
        <f>"26802"</f>
        <v>26802</v>
      </c>
      <c r="E33094">
        <v>68.75</v>
      </c>
    </row>
    <row r="33095" spans="1:5" x14ac:dyDescent="0.2">
      <c r="A33095">
        <v>26804</v>
      </c>
      <c r="B33095" t="s">
        <v>56</v>
      </c>
      <c r="C33095">
        <v>26804</v>
      </c>
      <c r="D33095" t="str">
        <f>"26804"</f>
        <v>26804</v>
      </c>
      <c r="E33095">
        <v>64</v>
      </c>
    </row>
    <row r="33096" spans="1:5" x14ac:dyDescent="0.2">
      <c r="A33096">
        <v>26807</v>
      </c>
      <c r="B33096" t="s">
        <v>56</v>
      </c>
      <c r="C33096">
        <v>26807</v>
      </c>
      <c r="D33096" t="str">
        <f>"26807"</f>
        <v>26807</v>
      </c>
      <c r="E33096">
        <v>66.41</v>
      </c>
    </row>
    <row r="33097" spans="1:5" x14ac:dyDescent="0.2">
      <c r="A33097">
        <v>26808</v>
      </c>
      <c r="B33097" t="s">
        <v>56</v>
      </c>
      <c r="C33097">
        <v>26808</v>
      </c>
      <c r="D33097" t="str">
        <f>"26808"</f>
        <v>26808</v>
      </c>
      <c r="E33097">
        <v>72.5</v>
      </c>
    </row>
    <row r="33098" spans="1:5" x14ac:dyDescent="0.2">
      <c r="A33098">
        <v>26810</v>
      </c>
      <c r="B33098" t="s">
        <v>56</v>
      </c>
      <c r="C33098">
        <v>26810</v>
      </c>
      <c r="D33098" t="str">
        <f>"26810"</f>
        <v>26810</v>
      </c>
      <c r="E33098">
        <v>66.67</v>
      </c>
    </row>
    <row r="33099" spans="1:5" x14ac:dyDescent="0.2">
      <c r="A33099">
        <v>26812</v>
      </c>
      <c r="B33099" t="s">
        <v>56</v>
      </c>
      <c r="C33099">
        <v>26812</v>
      </c>
      <c r="D33099" t="str">
        <f>"26812"</f>
        <v>26812</v>
      </c>
      <c r="E33099">
        <v>66.2</v>
      </c>
    </row>
    <row r="33100" spans="1:5" x14ac:dyDescent="0.2">
      <c r="A33100">
        <v>26814</v>
      </c>
      <c r="B33100" t="s">
        <v>56</v>
      </c>
      <c r="C33100">
        <v>26814</v>
      </c>
      <c r="D33100" t="str">
        <f>"26814"</f>
        <v>26814</v>
      </c>
      <c r="E33100">
        <v>65</v>
      </c>
    </row>
    <row r="33101" spans="1:5" x14ac:dyDescent="0.2">
      <c r="A33101">
        <v>26815</v>
      </c>
      <c r="B33101" t="s">
        <v>56</v>
      </c>
      <c r="C33101">
        <v>26815</v>
      </c>
      <c r="D33101" t="str">
        <f>"26815"</f>
        <v>26815</v>
      </c>
      <c r="E33101">
        <v>65.38</v>
      </c>
    </row>
    <row r="33102" spans="1:5" x14ac:dyDescent="0.2">
      <c r="A33102">
        <v>26817</v>
      </c>
      <c r="B33102" t="s">
        <v>56</v>
      </c>
      <c r="C33102">
        <v>26817</v>
      </c>
      <c r="D33102" t="str">
        <f>"26817"</f>
        <v>26817</v>
      </c>
      <c r="E33102">
        <v>69.569999999999993</v>
      </c>
    </row>
    <row r="33103" spans="1:5" x14ac:dyDescent="0.2">
      <c r="A33103">
        <v>26818</v>
      </c>
      <c r="B33103" t="s">
        <v>56</v>
      </c>
      <c r="C33103">
        <v>26818</v>
      </c>
      <c r="D33103" t="str">
        <f>"26818"</f>
        <v>26818</v>
      </c>
      <c r="E33103">
        <v>58.33</v>
      </c>
    </row>
    <row r="33104" spans="1:5" x14ac:dyDescent="0.2">
      <c r="A33104">
        <v>26833</v>
      </c>
      <c r="B33104" t="s">
        <v>56</v>
      </c>
      <c r="C33104">
        <v>26833</v>
      </c>
      <c r="D33104" t="str">
        <f>"26833"</f>
        <v>26833</v>
      </c>
      <c r="E33104">
        <v>64.95</v>
      </c>
    </row>
    <row r="33105" spans="1:5" x14ac:dyDescent="0.2">
      <c r="A33105">
        <v>26836</v>
      </c>
      <c r="B33105" t="s">
        <v>56</v>
      </c>
      <c r="C33105">
        <v>26836</v>
      </c>
      <c r="D33105" t="str">
        <f>"26836"</f>
        <v>26836</v>
      </c>
      <c r="E33105">
        <v>64.540000000000006</v>
      </c>
    </row>
    <row r="33106" spans="1:5" x14ac:dyDescent="0.2">
      <c r="A33106">
        <v>26838</v>
      </c>
      <c r="B33106" t="s">
        <v>56</v>
      </c>
      <c r="C33106">
        <v>26838</v>
      </c>
      <c r="D33106" t="str">
        <f>"26838"</f>
        <v>26838</v>
      </c>
      <c r="E33106" t="s">
        <v>6</v>
      </c>
    </row>
    <row r="33107" spans="1:5" x14ac:dyDescent="0.2">
      <c r="A33107">
        <v>26845</v>
      </c>
      <c r="B33107" t="s">
        <v>56</v>
      </c>
      <c r="C33107">
        <v>26845</v>
      </c>
      <c r="D33107" t="str">
        <f>"26845"</f>
        <v>26845</v>
      </c>
      <c r="E33107">
        <v>71.790000000000006</v>
      </c>
    </row>
    <row r="33108" spans="1:5" x14ac:dyDescent="0.2">
      <c r="A33108">
        <v>26847</v>
      </c>
      <c r="B33108" t="s">
        <v>56</v>
      </c>
      <c r="C33108">
        <v>26847</v>
      </c>
      <c r="D33108" t="str">
        <f>"26847"</f>
        <v>26847</v>
      </c>
      <c r="E33108">
        <v>67.73</v>
      </c>
    </row>
    <row r="33109" spans="1:5" x14ac:dyDescent="0.2">
      <c r="A33109">
        <v>26851</v>
      </c>
      <c r="B33109" t="s">
        <v>56</v>
      </c>
      <c r="C33109">
        <v>26851</v>
      </c>
      <c r="D33109" t="str">
        <f>"26851"</f>
        <v>26851</v>
      </c>
      <c r="E33109">
        <v>68.819999999999993</v>
      </c>
    </row>
    <row r="33110" spans="1:5" x14ac:dyDescent="0.2">
      <c r="A33110">
        <v>26852</v>
      </c>
      <c r="B33110" t="s">
        <v>56</v>
      </c>
      <c r="C33110">
        <v>26852</v>
      </c>
      <c r="D33110" t="str">
        <f>"26852"</f>
        <v>26852</v>
      </c>
      <c r="E33110">
        <v>65.709999999999994</v>
      </c>
    </row>
    <row r="33111" spans="1:5" x14ac:dyDescent="0.2">
      <c r="A33111">
        <v>26855</v>
      </c>
      <c r="B33111" t="s">
        <v>56</v>
      </c>
      <c r="C33111">
        <v>26855</v>
      </c>
      <c r="D33111" t="str">
        <f>"26855"</f>
        <v>26855</v>
      </c>
      <c r="E33111">
        <v>63.64</v>
      </c>
    </row>
    <row r="33112" spans="1:5" x14ac:dyDescent="0.2">
      <c r="A33112">
        <v>26865</v>
      </c>
      <c r="B33112" t="s">
        <v>56</v>
      </c>
      <c r="C33112">
        <v>26865</v>
      </c>
      <c r="D33112" t="str">
        <f>"26865"</f>
        <v>26865</v>
      </c>
      <c r="E33112">
        <v>77.27</v>
      </c>
    </row>
    <row r="33113" spans="1:5" x14ac:dyDescent="0.2">
      <c r="A33113">
        <v>26866</v>
      </c>
      <c r="B33113" t="s">
        <v>56</v>
      </c>
      <c r="C33113">
        <v>26866</v>
      </c>
      <c r="D33113" t="str">
        <f>"26866"</f>
        <v>26866</v>
      </c>
      <c r="E33113">
        <v>65.790000000000006</v>
      </c>
    </row>
    <row r="33114" spans="1:5" x14ac:dyDescent="0.2">
      <c r="A33114">
        <v>26884</v>
      </c>
      <c r="B33114" t="s">
        <v>56</v>
      </c>
      <c r="C33114">
        <v>26884</v>
      </c>
      <c r="D33114" t="str">
        <f>"26884"</f>
        <v>26884</v>
      </c>
      <c r="E33114">
        <v>70.83</v>
      </c>
    </row>
    <row r="33115" spans="1:5" x14ac:dyDescent="0.2">
      <c r="A33115">
        <v>82001</v>
      </c>
      <c r="B33115" t="s">
        <v>57</v>
      </c>
      <c r="C33115">
        <v>82001</v>
      </c>
      <c r="D33115" t="str">
        <f>"82001"</f>
        <v>82001</v>
      </c>
      <c r="E33115">
        <v>76.45</v>
      </c>
    </row>
    <row r="33116" spans="1:5" x14ac:dyDescent="0.2">
      <c r="A33116">
        <v>82005</v>
      </c>
      <c r="B33116" t="s">
        <v>57</v>
      </c>
      <c r="C33116">
        <v>82005</v>
      </c>
      <c r="D33116" t="str">
        <f>"82005"</f>
        <v>82005</v>
      </c>
      <c r="E33116" t="s">
        <v>6</v>
      </c>
    </row>
    <row r="33117" spans="1:5" x14ac:dyDescent="0.2">
      <c r="A33117">
        <v>82007</v>
      </c>
      <c r="B33117" t="s">
        <v>57</v>
      </c>
      <c r="C33117">
        <v>82007</v>
      </c>
      <c r="D33117" t="str">
        <f>"82007"</f>
        <v>82007</v>
      </c>
      <c r="E33117">
        <v>71.63</v>
      </c>
    </row>
    <row r="33118" spans="1:5" x14ac:dyDescent="0.2">
      <c r="A33118">
        <v>82009</v>
      </c>
      <c r="B33118" t="s">
        <v>57</v>
      </c>
      <c r="C33118">
        <v>82009</v>
      </c>
      <c r="D33118" t="str">
        <f>"82009"</f>
        <v>82009</v>
      </c>
      <c r="E33118">
        <v>81.33</v>
      </c>
    </row>
    <row r="33119" spans="1:5" x14ac:dyDescent="0.2">
      <c r="A33119">
        <v>82050</v>
      </c>
      <c r="B33119" t="s">
        <v>57</v>
      </c>
      <c r="C33119">
        <v>82050</v>
      </c>
      <c r="D33119" t="str">
        <f>"82050"</f>
        <v>82050</v>
      </c>
      <c r="E33119">
        <v>58.82</v>
      </c>
    </row>
    <row r="33120" spans="1:5" x14ac:dyDescent="0.2">
      <c r="A33120">
        <v>82051</v>
      </c>
      <c r="B33120" t="s">
        <v>57</v>
      </c>
      <c r="C33120">
        <v>82051</v>
      </c>
      <c r="D33120" t="str">
        <f>"82051"</f>
        <v>82051</v>
      </c>
      <c r="E33120" t="s">
        <v>6</v>
      </c>
    </row>
    <row r="33121" spans="1:5" x14ac:dyDescent="0.2">
      <c r="A33121">
        <v>82052</v>
      </c>
      <c r="B33121" t="s">
        <v>57</v>
      </c>
      <c r="C33121">
        <v>82052</v>
      </c>
      <c r="D33121" t="str">
        <f>"82052"</f>
        <v>82052</v>
      </c>
      <c r="E33121" t="s">
        <v>6</v>
      </c>
    </row>
    <row r="33122" spans="1:5" x14ac:dyDescent="0.2">
      <c r="A33122">
        <v>82053</v>
      </c>
      <c r="B33122" t="s">
        <v>57</v>
      </c>
      <c r="C33122">
        <v>82053</v>
      </c>
      <c r="D33122" t="str">
        <f>"82053"</f>
        <v>82053</v>
      </c>
      <c r="E33122">
        <v>73.849999999999994</v>
      </c>
    </row>
    <row r="33123" spans="1:5" x14ac:dyDescent="0.2">
      <c r="A33123">
        <v>82054</v>
      </c>
      <c r="B33123" t="s">
        <v>57</v>
      </c>
      <c r="C33123">
        <v>82054</v>
      </c>
      <c r="D33123" t="str">
        <f>"82054"</f>
        <v>82054</v>
      </c>
      <c r="E33123">
        <v>71.430000000000007</v>
      </c>
    </row>
    <row r="33124" spans="1:5" x14ac:dyDescent="0.2">
      <c r="A33124">
        <v>82055</v>
      </c>
      <c r="B33124" t="s">
        <v>57</v>
      </c>
      <c r="C33124">
        <v>82055</v>
      </c>
      <c r="D33124" t="str">
        <f>"82055"</f>
        <v>82055</v>
      </c>
      <c r="E33124" t="s">
        <v>6</v>
      </c>
    </row>
    <row r="33125" spans="1:5" x14ac:dyDescent="0.2">
      <c r="A33125">
        <v>82058</v>
      </c>
      <c r="B33125" t="s">
        <v>57</v>
      </c>
      <c r="C33125">
        <v>82058</v>
      </c>
      <c r="D33125" t="str">
        <f>"82058"</f>
        <v>82058</v>
      </c>
      <c r="E33125" t="s">
        <v>6</v>
      </c>
    </row>
    <row r="33126" spans="1:5" x14ac:dyDescent="0.2">
      <c r="A33126">
        <v>82059</v>
      </c>
      <c r="B33126" t="s">
        <v>57</v>
      </c>
      <c r="C33126">
        <v>82059</v>
      </c>
      <c r="D33126" t="str">
        <f>"82059"</f>
        <v>82059</v>
      </c>
      <c r="E33126" t="s">
        <v>6</v>
      </c>
    </row>
    <row r="33127" spans="1:5" x14ac:dyDescent="0.2">
      <c r="A33127">
        <v>82060</v>
      </c>
      <c r="B33127" t="s">
        <v>57</v>
      </c>
      <c r="C33127">
        <v>82060</v>
      </c>
      <c r="D33127" t="str">
        <f>"82060"</f>
        <v>82060</v>
      </c>
      <c r="E33127" t="s">
        <v>6</v>
      </c>
    </row>
    <row r="33128" spans="1:5" x14ac:dyDescent="0.2">
      <c r="A33128">
        <v>82061</v>
      </c>
      <c r="B33128" t="s">
        <v>57</v>
      </c>
      <c r="C33128">
        <v>82061</v>
      </c>
      <c r="D33128" t="str">
        <f>"82061"</f>
        <v>82061</v>
      </c>
      <c r="E33128" t="s">
        <v>6</v>
      </c>
    </row>
    <row r="33129" spans="1:5" x14ac:dyDescent="0.2">
      <c r="A33129">
        <v>82063</v>
      </c>
      <c r="B33129" t="s">
        <v>57</v>
      </c>
      <c r="C33129">
        <v>82063</v>
      </c>
      <c r="D33129" t="str">
        <f>"82063"</f>
        <v>82063</v>
      </c>
      <c r="E33129" t="s">
        <v>6</v>
      </c>
    </row>
    <row r="33130" spans="1:5" x14ac:dyDescent="0.2">
      <c r="A33130">
        <v>82070</v>
      </c>
      <c r="B33130" t="s">
        <v>57</v>
      </c>
      <c r="C33130">
        <v>82070</v>
      </c>
      <c r="D33130" t="str">
        <f>"82070"</f>
        <v>82070</v>
      </c>
      <c r="E33130">
        <v>74.91</v>
      </c>
    </row>
    <row r="33131" spans="1:5" x14ac:dyDescent="0.2">
      <c r="A33131">
        <v>82072</v>
      </c>
      <c r="B33131" t="s">
        <v>57</v>
      </c>
      <c r="C33131">
        <v>82072</v>
      </c>
      <c r="D33131" t="str">
        <f>"82072"</f>
        <v>82072</v>
      </c>
      <c r="E33131">
        <v>72.260000000000005</v>
      </c>
    </row>
    <row r="33132" spans="1:5" x14ac:dyDescent="0.2">
      <c r="A33132">
        <v>82081</v>
      </c>
      <c r="B33132" t="s">
        <v>57</v>
      </c>
      <c r="C33132">
        <v>82081</v>
      </c>
      <c r="D33132" t="str">
        <f>"82081"</f>
        <v>82081</v>
      </c>
      <c r="E33132" t="s">
        <v>6</v>
      </c>
    </row>
    <row r="33133" spans="1:5" x14ac:dyDescent="0.2">
      <c r="A33133">
        <v>82082</v>
      </c>
      <c r="B33133" t="s">
        <v>57</v>
      </c>
      <c r="C33133">
        <v>82082</v>
      </c>
      <c r="D33133" t="str">
        <f>"82082"</f>
        <v>82082</v>
      </c>
      <c r="E33133">
        <v>73.75</v>
      </c>
    </row>
    <row r="33134" spans="1:5" x14ac:dyDescent="0.2">
      <c r="A33134">
        <v>82083</v>
      </c>
      <c r="B33134" t="s">
        <v>57</v>
      </c>
      <c r="C33134">
        <v>82083</v>
      </c>
      <c r="D33134" t="str">
        <f>"82083"</f>
        <v>82083</v>
      </c>
      <c r="E33134">
        <v>71.430000000000007</v>
      </c>
    </row>
    <row r="33135" spans="1:5" x14ac:dyDescent="0.2">
      <c r="A33135">
        <v>82084</v>
      </c>
      <c r="B33135" t="s">
        <v>57</v>
      </c>
      <c r="C33135">
        <v>82084</v>
      </c>
      <c r="D33135" t="str">
        <f>"82084"</f>
        <v>82084</v>
      </c>
      <c r="E33135" t="s">
        <v>6</v>
      </c>
    </row>
    <row r="33136" spans="1:5" x14ac:dyDescent="0.2">
      <c r="A33136">
        <v>82190</v>
      </c>
      <c r="B33136" t="s">
        <v>57</v>
      </c>
      <c r="C33136">
        <v>82190</v>
      </c>
      <c r="D33136" t="str">
        <f>"82190"</f>
        <v>82190</v>
      </c>
      <c r="E33136">
        <v>93.55</v>
      </c>
    </row>
    <row r="33137" spans="1:5" x14ac:dyDescent="0.2">
      <c r="A33137">
        <v>82201</v>
      </c>
      <c r="B33137" t="s">
        <v>57</v>
      </c>
      <c r="C33137">
        <v>82201</v>
      </c>
      <c r="D33137" t="str">
        <f>"82201"</f>
        <v>82201</v>
      </c>
      <c r="E33137">
        <v>74</v>
      </c>
    </row>
    <row r="33138" spans="1:5" x14ac:dyDescent="0.2">
      <c r="A33138">
        <v>82210</v>
      </c>
      <c r="B33138" t="s">
        <v>57</v>
      </c>
      <c r="C33138">
        <v>82210</v>
      </c>
      <c r="D33138" t="str">
        <f>"82210"</f>
        <v>82210</v>
      </c>
      <c r="E33138">
        <v>66.67</v>
      </c>
    </row>
    <row r="33139" spans="1:5" x14ac:dyDescent="0.2">
      <c r="A33139">
        <v>82212</v>
      </c>
      <c r="B33139" t="s">
        <v>57</v>
      </c>
      <c r="C33139">
        <v>82212</v>
      </c>
      <c r="D33139" t="str">
        <f>"82212"</f>
        <v>82212</v>
      </c>
      <c r="E33139">
        <v>70</v>
      </c>
    </row>
    <row r="33140" spans="1:5" x14ac:dyDescent="0.2">
      <c r="A33140">
        <v>82213</v>
      </c>
      <c r="B33140" t="s">
        <v>57</v>
      </c>
      <c r="C33140">
        <v>82213</v>
      </c>
      <c r="D33140" t="str">
        <f>"82213"</f>
        <v>82213</v>
      </c>
      <c r="E33140">
        <v>73.08</v>
      </c>
    </row>
    <row r="33141" spans="1:5" x14ac:dyDescent="0.2">
      <c r="A33141">
        <v>82214</v>
      </c>
      <c r="B33141" t="s">
        <v>57</v>
      </c>
      <c r="C33141">
        <v>82214</v>
      </c>
      <c r="D33141" t="str">
        <f>"82214"</f>
        <v>82214</v>
      </c>
      <c r="E33141">
        <v>70.31</v>
      </c>
    </row>
    <row r="33142" spans="1:5" x14ac:dyDescent="0.2">
      <c r="A33142">
        <v>82215</v>
      </c>
      <c r="B33142" t="s">
        <v>57</v>
      </c>
      <c r="C33142">
        <v>82215</v>
      </c>
      <c r="D33142" t="str">
        <f>"82215"</f>
        <v>82215</v>
      </c>
      <c r="E33142" t="s">
        <v>6</v>
      </c>
    </row>
    <row r="33143" spans="1:5" x14ac:dyDescent="0.2">
      <c r="A33143">
        <v>82217</v>
      </c>
      <c r="B33143" t="s">
        <v>57</v>
      </c>
      <c r="C33143">
        <v>82217</v>
      </c>
      <c r="D33143" t="str">
        <f>"82217"</f>
        <v>82217</v>
      </c>
      <c r="E33143" t="s">
        <v>6</v>
      </c>
    </row>
    <row r="33144" spans="1:5" x14ac:dyDescent="0.2">
      <c r="A33144">
        <v>82218</v>
      </c>
      <c r="B33144" t="s">
        <v>57</v>
      </c>
      <c r="C33144">
        <v>82218</v>
      </c>
      <c r="D33144" t="str">
        <f>"82218"</f>
        <v>82218</v>
      </c>
      <c r="E33144" t="s">
        <v>6</v>
      </c>
    </row>
    <row r="33145" spans="1:5" x14ac:dyDescent="0.2">
      <c r="A33145">
        <v>82219</v>
      </c>
      <c r="B33145" t="s">
        <v>57</v>
      </c>
      <c r="C33145">
        <v>82219</v>
      </c>
      <c r="D33145" t="str">
        <f>"82219"</f>
        <v>82219</v>
      </c>
      <c r="E33145" t="s">
        <v>6</v>
      </c>
    </row>
    <row r="33146" spans="1:5" x14ac:dyDescent="0.2">
      <c r="A33146">
        <v>82221</v>
      </c>
      <c r="B33146" t="s">
        <v>57</v>
      </c>
      <c r="C33146">
        <v>82221</v>
      </c>
      <c r="D33146" t="str">
        <f>"82221"</f>
        <v>82221</v>
      </c>
      <c r="E33146">
        <v>55.56</v>
      </c>
    </row>
    <row r="33147" spans="1:5" x14ac:dyDescent="0.2">
      <c r="A33147">
        <v>82222</v>
      </c>
      <c r="B33147" t="s">
        <v>57</v>
      </c>
      <c r="C33147">
        <v>82222</v>
      </c>
      <c r="D33147" t="str">
        <f>"82222"</f>
        <v>82222</v>
      </c>
      <c r="E33147" t="s">
        <v>6</v>
      </c>
    </row>
    <row r="33148" spans="1:5" x14ac:dyDescent="0.2">
      <c r="A33148">
        <v>82223</v>
      </c>
      <c r="B33148" t="s">
        <v>57</v>
      </c>
      <c r="C33148">
        <v>82223</v>
      </c>
      <c r="D33148" t="str">
        <f>"82223"</f>
        <v>82223</v>
      </c>
      <c r="E33148">
        <v>70.73</v>
      </c>
    </row>
    <row r="33149" spans="1:5" x14ac:dyDescent="0.2">
      <c r="A33149">
        <v>82224</v>
      </c>
      <c r="B33149" t="s">
        <v>57</v>
      </c>
      <c r="C33149">
        <v>82224</v>
      </c>
      <c r="D33149" t="str">
        <f>"82224"</f>
        <v>82224</v>
      </c>
      <c r="E33149" t="s">
        <v>6</v>
      </c>
    </row>
    <row r="33150" spans="1:5" x14ac:dyDescent="0.2">
      <c r="A33150">
        <v>82225</v>
      </c>
      <c r="B33150" t="s">
        <v>57</v>
      </c>
      <c r="C33150">
        <v>82225</v>
      </c>
      <c r="D33150" t="str">
        <f>"82225"</f>
        <v>82225</v>
      </c>
      <c r="E33150">
        <v>65.91</v>
      </c>
    </row>
    <row r="33151" spans="1:5" x14ac:dyDescent="0.2">
      <c r="A33151">
        <v>82227</v>
      </c>
      <c r="B33151" t="s">
        <v>57</v>
      </c>
      <c r="C33151">
        <v>82227</v>
      </c>
      <c r="D33151" t="str">
        <f>"82227"</f>
        <v>82227</v>
      </c>
      <c r="E33151" t="s">
        <v>6</v>
      </c>
    </row>
    <row r="33152" spans="1:5" x14ac:dyDescent="0.2">
      <c r="A33152">
        <v>82229</v>
      </c>
      <c r="B33152" t="s">
        <v>57</v>
      </c>
      <c r="C33152">
        <v>82229</v>
      </c>
      <c r="D33152" t="str">
        <f>"82229"</f>
        <v>82229</v>
      </c>
      <c r="E33152" t="s">
        <v>6</v>
      </c>
    </row>
    <row r="33153" spans="1:5" x14ac:dyDescent="0.2">
      <c r="A33153">
        <v>82240</v>
      </c>
      <c r="B33153" t="s">
        <v>57</v>
      </c>
      <c r="C33153">
        <v>82240</v>
      </c>
      <c r="D33153" t="str">
        <f>"82240"</f>
        <v>82240</v>
      </c>
      <c r="E33153">
        <v>71.260000000000005</v>
      </c>
    </row>
    <row r="33154" spans="1:5" x14ac:dyDescent="0.2">
      <c r="A33154">
        <v>82242</v>
      </c>
      <c r="B33154" t="s">
        <v>57</v>
      </c>
      <c r="C33154">
        <v>82242</v>
      </c>
      <c r="D33154" t="str">
        <f>"82242"</f>
        <v>82242</v>
      </c>
      <c r="E33154" t="s">
        <v>6</v>
      </c>
    </row>
    <row r="33155" spans="1:5" x14ac:dyDescent="0.2">
      <c r="A33155">
        <v>82243</v>
      </c>
      <c r="B33155" t="s">
        <v>57</v>
      </c>
      <c r="C33155">
        <v>82243</v>
      </c>
      <c r="D33155" t="str">
        <f>"82243"</f>
        <v>82243</v>
      </c>
      <c r="E33155" t="s">
        <v>6</v>
      </c>
    </row>
    <row r="33156" spans="1:5" x14ac:dyDescent="0.2">
      <c r="A33156">
        <v>82244</v>
      </c>
      <c r="B33156" t="s">
        <v>57</v>
      </c>
      <c r="C33156">
        <v>82244</v>
      </c>
      <c r="D33156" t="str">
        <f>"82244"</f>
        <v>82244</v>
      </c>
      <c r="E33156">
        <v>73.680000000000007</v>
      </c>
    </row>
    <row r="33157" spans="1:5" x14ac:dyDescent="0.2">
      <c r="A33157">
        <v>82301</v>
      </c>
      <c r="B33157" t="s">
        <v>57</v>
      </c>
      <c r="C33157">
        <v>82301</v>
      </c>
      <c r="D33157" t="str">
        <f>"82301"</f>
        <v>82301</v>
      </c>
      <c r="E33157">
        <v>76.38</v>
      </c>
    </row>
    <row r="33158" spans="1:5" x14ac:dyDescent="0.2">
      <c r="A33158">
        <v>82310</v>
      </c>
      <c r="B33158" t="s">
        <v>57</v>
      </c>
      <c r="C33158">
        <v>82310</v>
      </c>
      <c r="D33158" t="str">
        <f>"82310"</f>
        <v>82310</v>
      </c>
      <c r="E33158" t="s">
        <v>6</v>
      </c>
    </row>
    <row r="33159" spans="1:5" x14ac:dyDescent="0.2">
      <c r="A33159">
        <v>82321</v>
      </c>
      <c r="B33159" t="s">
        <v>57</v>
      </c>
      <c r="C33159">
        <v>82321</v>
      </c>
      <c r="D33159" t="str">
        <f>"82321"</f>
        <v>82321</v>
      </c>
      <c r="E33159">
        <v>75</v>
      </c>
    </row>
    <row r="33160" spans="1:5" x14ac:dyDescent="0.2">
      <c r="A33160">
        <v>82322</v>
      </c>
      <c r="B33160" t="s">
        <v>57</v>
      </c>
      <c r="C33160">
        <v>82322</v>
      </c>
      <c r="D33160" t="str">
        <f>"82322"</f>
        <v>82322</v>
      </c>
      <c r="E33160" t="s">
        <v>6</v>
      </c>
    </row>
    <row r="33161" spans="1:5" x14ac:dyDescent="0.2">
      <c r="A33161">
        <v>82323</v>
      </c>
      <c r="B33161" t="s">
        <v>57</v>
      </c>
      <c r="C33161">
        <v>82323</v>
      </c>
      <c r="D33161" t="str">
        <f>"82323"</f>
        <v>82323</v>
      </c>
      <c r="E33161" t="s">
        <v>6</v>
      </c>
    </row>
    <row r="33162" spans="1:5" x14ac:dyDescent="0.2">
      <c r="A33162">
        <v>82324</v>
      </c>
      <c r="B33162" t="s">
        <v>57</v>
      </c>
      <c r="C33162">
        <v>82324</v>
      </c>
      <c r="D33162" t="str">
        <f>"82324"</f>
        <v>82324</v>
      </c>
      <c r="E33162" t="s">
        <v>6</v>
      </c>
    </row>
    <row r="33163" spans="1:5" x14ac:dyDescent="0.2">
      <c r="A33163">
        <v>82325</v>
      </c>
      <c r="B33163" t="s">
        <v>57</v>
      </c>
      <c r="C33163">
        <v>82325</v>
      </c>
      <c r="D33163" t="str">
        <f>"82325"</f>
        <v>82325</v>
      </c>
      <c r="E33163">
        <v>77.5</v>
      </c>
    </row>
    <row r="33164" spans="1:5" x14ac:dyDescent="0.2">
      <c r="A33164">
        <v>82327</v>
      </c>
      <c r="B33164" t="s">
        <v>57</v>
      </c>
      <c r="C33164">
        <v>82327</v>
      </c>
      <c r="D33164" t="str">
        <f>"82327"</f>
        <v>82327</v>
      </c>
      <c r="E33164">
        <v>71.430000000000007</v>
      </c>
    </row>
    <row r="33165" spans="1:5" x14ac:dyDescent="0.2">
      <c r="A33165">
        <v>82329</v>
      </c>
      <c r="B33165" t="s">
        <v>57</v>
      </c>
      <c r="C33165">
        <v>82329</v>
      </c>
      <c r="D33165" t="str">
        <f>"82329"</f>
        <v>82329</v>
      </c>
      <c r="E33165">
        <v>58.33</v>
      </c>
    </row>
    <row r="33166" spans="1:5" x14ac:dyDescent="0.2">
      <c r="A33166">
        <v>82331</v>
      </c>
      <c r="B33166" t="s">
        <v>57</v>
      </c>
      <c r="C33166">
        <v>82331</v>
      </c>
      <c r="D33166" t="str">
        <f>"82331"</f>
        <v>82331</v>
      </c>
      <c r="E33166">
        <v>77.599999999999994</v>
      </c>
    </row>
    <row r="33167" spans="1:5" x14ac:dyDescent="0.2">
      <c r="A33167">
        <v>82332</v>
      </c>
      <c r="B33167" t="s">
        <v>57</v>
      </c>
      <c r="C33167">
        <v>82332</v>
      </c>
      <c r="D33167" t="str">
        <f>"82332"</f>
        <v>82332</v>
      </c>
      <c r="E33167" t="s">
        <v>6</v>
      </c>
    </row>
    <row r="33168" spans="1:5" x14ac:dyDescent="0.2">
      <c r="A33168">
        <v>82334</v>
      </c>
      <c r="B33168" t="s">
        <v>57</v>
      </c>
      <c r="C33168">
        <v>82334</v>
      </c>
      <c r="D33168" t="str">
        <f>"82334"</f>
        <v>82334</v>
      </c>
      <c r="E33168">
        <v>78.95</v>
      </c>
    </row>
    <row r="33169" spans="1:5" x14ac:dyDescent="0.2">
      <c r="A33169">
        <v>82335</v>
      </c>
      <c r="B33169" t="s">
        <v>57</v>
      </c>
      <c r="C33169">
        <v>82335</v>
      </c>
      <c r="D33169" t="str">
        <f>"82335"</f>
        <v>82335</v>
      </c>
      <c r="E33169" t="s">
        <v>6</v>
      </c>
    </row>
    <row r="33170" spans="1:5" x14ac:dyDescent="0.2">
      <c r="A33170">
        <v>82336</v>
      </c>
      <c r="B33170" t="s">
        <v>57</v>
      </c>
      <c r="C33170">
        <v>82336</v>
      </c>
      <c r="D33170" t="str">
        <f>"82336"</f>
        <v>82336</v>
      </c>
      <c r="E33170" t="s">
        <v>6</v>
      </c>
    </row>
    <row r="33171" spans="1:5" x14ac:dyDescent="0.2">
      <c r="A33171">
        <v>82401</v>
      </c>
      <c r="B33171" t="s">
        <v>57</v>
      </c>
      <c r="C33171">
        <v>82401</v>
      </c>
      <c r="D33171" t="str">
        <f>"82401"</f>
        <v>82401</v>
      </c>
      <c r="E33171">
        <v>71.56</v>
      </c>
    </row>
    <row r="33172" spans="1:5" x14ac:dyDescent="0.2">
      <c r="A33172">
        <v>82410</v>
      </c>
      <c r="B33172" t="s">
        <v>57</v>
      </c>
      <c r="C33172">
        <v>82410</v>
      </c>
      <c r="D33172" t="str">
        <f>"82410"</f>
        <v>82410</v>
      </c>
      <c r="E33172">
        <v>70.67</v>
      </c>
    </row>
    <row r="33173" spans="1:5" x14ac:dyDescent="0.2">
      <c r="A33173">
        <v>82411</v>
      </c>
      <c r="B33173" t="s">
        <v>57</v>
      </c>
      <c r="C33173">
        <v>82411</v>
      </c>
      <c r="D33173" t="str">
        <f>"82411"</f>
        <v>82411</v>
      </c>
      <c r="E33173">
        <v>55.56</v>
      </c>
    </row>
    <row r="33174" spans="1:5" x14ac:dyDescent="0.2">
      <c r="A33174">
        <v>82414</v>
      </c>
      <c r="B33174" t="s">
        <v>57</v>
      </c>
      <c r="C33174">
        <v>82414</v>
      </c>
      <c r="D33174" t="str">
        <f>"82414"</f>
        <v>82414</v>
      </c>
      <c r="E33174">
        <v>75.180000000000007</v>
      </c>
    </row>
    <row r="33175" spans="1:5" x14ac:dyDescent="0.2">
      <c r="A33175">
        <v>82420</v>
      </c>
      <c r="B33175" t="s">
        <v>57</v>
      </c>
      <c r="C33175">
        <v>82420</v>
      </c>
      <c r="D33175" t="str">
        <f>"82420"</f>
        <v>82420</v>
      </c>
      <c r="E33175" t="s">
        <v>6</v>
      </c>
    </row>
    <row r="33176" spans="1:5" x14ac:dyDescent="0.2">
      <c r="A33176">
        <v>82421</v>
      </c>
      <c r="B33176" t="s">
        <v>57</v>
      </c>
      <c r="C33176">
        <v>82421</v>
      </c>
      <c r="D33176" t="str">
        <f>"82421"</f>
        <v>82421</v>
      </c>
      <c r="E33176">
        <v>66.67</v>
      </c>
    </row>
    <row r="33177" spans="1:5" x14ac:dyDescent="0.2">
      <c r="A33177">
        <v>82423</v>
      </c>
      <c r="B33177" t="s">
        <v>57</v>
      </c>
      <c r="C33177">
        <v>82423</v>
      </c>
      <c r="D33177" t="str">
        <f>"82423"</f>
        <v>82423</v>
      </c>
      <c r="E33177" t="s">
        <v>6</v>
      </c>
    </row>
    <row r="33178" spans="1:5" x14ac:dyDescent="0.2">
      <c r="A33178">
        <v>82426</v>
      </c>
      <c r="B33178" t="s">
        <v>57</v>
      </c>
      <c r="C33178">
        <v>82426</v>
      </c>
      <c r="D33178" t="str">
        <f>"82426"</f>
        <v>82426</v>
      </c>
      <c r="E33178">
        <v>70</v>
      </c>
    </row>
    <row r="33179" spans="1:5" x14ac:dyDescent="0.2">
      <c r="A33179">
        <v>82428</v>
      </c>
      <c r="B33179" t="s">
        <v>57</v>
      </c>
      <c r="C33179">
        <v>82428</v>
      </c>
      <c r="D33179" t="str">
        <f>"82428"</f>
        <v>82428</v>
      </c>
      <c r="E33179" t="s">
        <v>6</v>
      </c>
    </row>
    <row r="33180" spans="1:5" x14ac:dyDescent="0.2">
      <c r="A33180">
        <v>82430</v>
      </c>
      <c r="B33180" t="s">
        <v>57</v>
      </c>
      <c r="C33180">
        <v>82430</v>
      </c>
      <c r="D33180" t="str">
        <f>"82430"</f>
        <v>82430</v>
      </c>
      <c r="E33180" t="s">
        <v>6</v>
      </c>
    </row>
    <row r="33181" spans="1:5" x14ac:dyDescent="0.2">
      <c r="A33181">
        <v>82431</v>
      </c>
      <c r="B33181" t="s">
        <v>57</v>
      </c>
      <c r="C33181">
        <v>82431</v>
      </c>
      <c r="D33181" t="str">
        <f>"82431"</f>
        <v>82431</v>
      </c>
      <c r="E33181">
        <v>69.13</v>
      </c>
    </row>
    <row r="33182" spans="1:5" x14ac:dyDescent="0.2">
      <c r="A33182">
        <v>82432</v>
      </c>
      <c r="B33182" t="s">
        <v>57</v>
      </c>
      <c r="C33182">
        <v>82432</v>
      </c>
      <c r="D33182" t="str">
        <f>"82432"</f>
        <v>82432</v>
      </c>
      <c r="E33182">
        <v>55.56</v>
      </c>
    </row>
    <row r="33183" spans="1:5" x14ac:dyDescent="0.2">
      <c r="A33183">
        <v>82433</v>
      </c>
      <c r="B33183" t="s">
        <v>57</v>
      </c>
      <c r="C33183">
        <v>82433</v>
      </c>
      <c r="D33183" t="str">
        <f>"82433"</f>
        <v>82433</v>
      </c>
      <c r="E33183">
        <v>71.430000000000007</v>
      </c>
    </row>
    <row r="33184" spans="1:5" x14ac:dyDescent="0.2">
      <c r="A33184">
        <v>82434</v>
      </c>
      <c r="B33184" t="s">
        <v>57</v>
      </c>
      <c r="C33184">
        <v>82434</v>
      </c>
      <c r="D33184" t="str">
        <f>"82434"</f>
        <v>82434</v>
      </c>
      <c r="E33184" t="s">
        <v>6</v>
      </c>
    </row>
    <row r="33185" spans="1:5" x14ac:dyDescent="0.2">
      <c r="A33185">
        <v>82435</v>
      </c>
      <c r="B33185" t="s">
        <v>57</v>
      </c>
      <c r="C33185">
        <v>82435</v>
      </c>
      <c r="D33185" t="str">
        <f>"82435"</f>
        <v>82435</v>
      </c>
      <c r="E33185">
        <v>72.02</v>
      </c>
    </row>
    <row r="33186" spans="1:5" x14ac:dyDescent="0.2">
      <c r="A33186">
        <v>82440</v>
      </c>
      <c r="B33186" t="s">
        <v>57</v>
      </c>
      <c r="C33186">
        <v>82440</v>
      </c>
      <c r="D33186" t="str">
        <f>"82440"</f>
        <v>82440</v>
      </c>
      <c r="E33186" t="s">
        <v>6</v>
      </c>
    </row>
    <row r="33187" spans="1:5" x14ac:dyDescent="0.2">
      <c r="A33187">
        <v>82441</v>
      </c>
      <c r="B33187" t="s">
        <v>57</v>
      </c>
      <c r="C33187">
        <v>82441</v>
      </c>
      <c r="D33187" t="str">
        <f>"82441"</f>
        <v>82441</v>
      </c>
      <c r="E33187">
        <v>72.73</v>
      </c>
    </row>
    <row r="33188" spans="1:5" x14ac:dyDescent="0.2">
      <c r="A33188">
        <v>82442</v>
      </c>
      <c r="B33188" t="s">
        <v>57</v>
      </c>
      <c r="C33188">
        <v>82442</v>
      </c>
      <c r="D33188" t="str">
        <f>"82442"</f>
        <v>82442</v>
      </c>
      <c r="E33188">
        <v>62.86</v>
      </c>
    </row>
    <row r="33189" spans="1:5" x14ac:dyDescent="0.2">
      <c r="A33189">
        <v>82443</v>
      </c>
      <c r="B33189" t="s">
        <v>57</v>
      </c>
      <c r="C33189">
        <v>82443</v>
      </c>
      <c r="D33189" t="str">
        <f>"82443"</f>
        <v>82443</v>
      </c>
      <c r="E33189">
        <v>70.099999999999994</v>
      </c>
    </row>
    <row r="33190" spans="1:5" x14ac:dyDescent="0.2">
      <c r="A33190">
        <v>82501</v>
      </c>
      <c r="B33190" t="s">
        <v>57</v>
      </c>
      <c r="C33190">
        <v>82501</v>
      </c>
      <c r="D33190" t="str">
        <f>"82501"</f>
        <v>82501</v>
      </c>
      <c r="E33190">
        <v>70.31</v>
      </c>
    </row>
    <row r="33191" spans="1:5" x14ac:dyDescent="0.2">
      <c r="A33191">
        <v>82510</v>
      </c>
      <c r="B33191" t="s">
        <v>57</v>
      </c>
      <c r="C33191">
        <v>82510</v>
      </c>
      <c r="D33191" t="str">
        <f>"82510"</f>
        <v>82510</v>
      </c>
      <c r="E33191">
        <v>53.33</v>
      </c>
    </row>
    <row r="33192" spans="1:5" x14ac:dyDescent="0.2">
      <c r="A33192">
        <v>82512</v>
      </c>
      <c r="B33192" t="s">
        <v>57</v>
      </c>
      <c r="C33192">
        <v>82512</v>
      </c>
      <c r="D33192" t="str">
        <f>"82512"</f>
        <v>82512</v>
      </c>
      <c r="E33192" t="s">
        <v>6</v>
      </c>
    </row>
    <row r="33193" spans="1:5" x14ac:dyDescent="0.2">
      <c r="A33193">
        <v>82513</v>
      </c>
      <c r="B33193" t="s">
        <v>57</v>
      </c>
      <c r="C33193">
        <v>82513</v>
      </c>
      <c r="D33193" t="str">
        <f>"82513"</f>
        <v>82513</v>
      </c>
      <c r="E33193">
        <v>75</v>
      </c>
    </row>
    <row r="33194" spans="1:5" x14ac:dyDescent="0.2">
      <c r="A33194">
        <v>82514</v>
      </c>
      <c r="B33194" t="s">
        <v>57</v>
      </c>
      <c r="C33194">
        <v>82514</v>
      </c>
      <c r="D33194" t="str">
        <f>"82514"</f>
        <v>82514</v>
      </c>
      <c r="E33194">
        <v>47.79</v>
      </c>
    </row>
    <row r="33195" spans="1:5" x14ac:dyDescent="0.2">
      <c r="A33195">
        <v>82515</v>
      </c>
      <c r="B33195" t="s">
        <v>57</v>
      </c>
      <c r="C33195">
        <v>82515</v>
      </c>
      <c r="D33195" t="str">
        <f>"82515"</f>
        <v>82515</v>
      </c>
      <c r="E33195" t="s">
        <v>6</v>
      </c>
    </row>
    <row r="33196" spans="1:5" x14ac:dyDescent="0.2">
      <c r="A33196">
        <v>82516</v>
      </c>
      <c r="B33196" t="s">
        <v>57</v>
      </c>
      <c r="C33196">
        <v>82516</v>
      </c>
      <c r="D33196" t="str">
        <f>"82516"</f>
        <v>82516</v>
      </c>
      <c r="E33196">
        <v>66.67</v>
      </c>
    </row>
    <row r="33197" spans="1:5" x14ac:dyDescent="0.2">
      <c r="A33197">
        <v>82520</v>
      </c>
      <c r="B33197" t="s">
        <v>57</v>
      </c>
      <c r="C33197">
        <v>82520</v>
      </c>
      <c r="D33197" t="str">
        <f>"82520"</f>
        <v>82520</v>
      </c>
      <c r="E33197">
        <v>76.19</v>
      </c>
    </row>
    <row r="33198" spans="1:5" x14ac:dyDescent="0.2">
      <c r="A33198">
        <v>82523</v>
      </c>
      <c r="B33198" t="s">
        <v>57</v>
      </c>
      <c r="C33198">
        <v>82523</v>
      </c>
      <c r="D33198" t="str">
        <f>"82523"</f>
        <v>82523</v>
      </c>
      <c r="E33198">
        <v>66.67</v>
      </c>
    </row>
    <row r="33199" spans="1:5" x14ac:dyDescent="0.2">
      <c r="A33199">
        <v>82601</v>
      </c>
      <c r="B33199" t="s">
        <v>57</v>
      </c>
      <c r="C33199">
        <v>82601</v>
      </c>
      <c r="D33199" t="str">
        <f>"82601"</f>
        <v>82601</v>
      </c>
      <c r="E33199">
        <v>74.13</v>
      </c>
    </row>
    <row r="33200" spans="1:5" x14ac:dyDescent="0.2">
      <c r="A33200">
        <v>82604</v>
      </c>
      <c r="B33200" t="s">
        <v>57</v>
      </c>
      <c r="C33200">
        <v>82604</v>
      </c>
      <c r="D33200" t="str">
        <f>"82604"</f>
        <v>82604</v>
      </c>
      <c r="E33200">
        <v>76.72</v>
      </c>
    </row>
    <row r="33201" spans="1:5" x14ac:dyDescent="0.2">
      <c r="A33201">
        <v>82605</v>
      </c>
      <c r="B33201" t="s">
        <v>57</v>
      </c>
      <c r="C33201">
        <v>82605</v>
      </c>
      <c r="D33201" t="str">
        <f>"82605"</f>
        <v>82605</v>
      </c>
      <c r="E33201" t="s">
        <v>6</v>
      </c>
    </row>
    <row r="33202" spans="1:5" x14ac:dyDescent="0.2">
      <c r="A33202">
        <v>82609</v>
      </c>
      <c r="B33202" t="s">
        <v>57</v>
      </c>
      <c r="C33202">
        <v>82609</v>
      </c>
      <c r="D33202" t="str">
        <f>"82609"</f>
        <v>82609</v>
      </c>
      <c r="E33202">
        <v>76.67</v>
      </c>
    </row>
    <row r="33203" spans="1:5" x14ac:dyDescent="0.2">
      <c r="A33203">
        <v>82620</v>
      </c>
      <c r="B33203" t="s">
        <v>57</v>
      </c>
      <c r="C33203">
        <v>82620</v>
      </c>
      <c r="D33203" t="str">
        <f>"82620"</f>
        <v>82620</v>
      </c>
      <c r="E33203">
        <v>72.73</v>
      </c>
    </row>
    <row r="33204" spans="1:5" x14ac:dyDescent="0.2">
      <c r="A33204">
        <v>82630</v>
      </c>
      <c r="B33204" t="s">
        <v>57</v>
      </c>
      <c r="C33204">
        <v>82630</v>
      </c>
      <c r="D33204" t="str">
        <f>"82630"</f>
        <v>82630</v>
      </c>
      <c r="E33204" t="s">
        <v>6</v>
      </c>
    </row>
    <row r="33205" spans="1:5" x14ac:dyDescent="0.2">
      <c r="A33205">
        <v>82633</v>
      </c>
      <c r="B33205" t="s">
        <v>57</v>
      </c>
      <c r="C33205">
        <v>82633</v>
      </c>
      <c r="D33205" t="str">
        <f>"82633"</f>
        <v>82633</v>
      </c>
      <c r="E33205">
        <v>77.52</v>
      </c>
    </row>
    <row r="33206" spans="1:5" x14ac:dyDescent="0.2">
      <c r="A33206">
        <v>82635</v>
      </c>
      <c r="B33206" t="s">
        <v>57</v>
      </c>
      <c r="C33206">
        <v>82635</v>
      </c>
      <c r="D33206" t="str">
        <f>"82635"</f>
        <v>82635</v>
      </c>
      <c r="E33206" t="s">
        <v>6</v>
      </c>
    </row>
    <row r="33207" spans="1:5" x14ac:dyDescent="0.2">
      <c r="A33207">
        <v>82636</v>
      </c>
      <c r="B33207" t="s">
        <v>57</v>
      </c>
      <c r="C33207">
        <v>82636</v>
      </c>
      <c r="D33207" t="str">
        <f>"82636"</f>
        <v>82636</v>
      </c>
      <c r="E33207">
        <v>73.97</v>
      </c>
    </row>
    <row r="33208" spans="1:5" x14ac:dyDescent="0.2">
      <c r="A33208">
        <v>82637</v>
      </c>
      <c r="B33208" t="s">
        <v>57</v>
      </c>
      <c r="C33208">
        <v>82637</v>
      </c>
      <c r="D33208" t="str">
        <f>"82637"</f>
        <v>82637</v>
      </c>
      <c r="E33208">
        <v>75.14</v>
      </c>
    </row>
    <row r="33209" spans="1:5" x14ac:dyDescent="0.2">
      <c r="A33209">
        <v>82638</v>
      </c>
      <c r="B33209" t="s">
        <v>57</v>
      </c>
      <c r="C33209">
        <v>82638</v>
      </c>
      <c r="D33209" t="str">
        <f>"82638"</f>
        <v>82638</v>
      </c>
      <c r="E33209" t="s">
        <v>6</v>
      </c>
    </row>
    <row r="33210" spans="1:5" x14ac:dyDescent="0.2">
      <c r="A33210">
        <v>82639</v>
      </c>
      <c r="B33210" t="s">
        <v>57</v>
      </c>
      <c r="C33210">
        <v>82639</v>
      </c>
      <c r="D33210" t="str">
        <f>"82639"</f>
        <v>82639</v>
      </c>
      <c r="E33210">
        <v>62.16</v>
      </c>
    </row>
    <row r="33211" spans="1:5" x14ac:dyDescent="0.2">
      <c r="A33211">
        <v>82640</v>
      </c>
      <c r="B33211" t="s">
        <v>57</v>
      </c>
      <c r="C33211">
        <v>82640</v>
      </c>
      <c r="D33211" t="str">
        <f>"82640"</f>
        <v>82640</v>
      </c>
      <c r="E33211" t="s">
        <v>6</v>
      </c>
    </row>
    <row r="33212" spans="1:5" x14ac:dyDescent="0.2">
      <c r="A33212">
        <v>82642</v>
      </c>
      <c r="B33212" t="s">
        <v>57</v>
      </c>
      <c r="C33212">
        <v>82642</v>
      </c>
      <c r="D33212" t="str">
        <f>"82642"</f>
        <v>82642</v>
      </c>
      <c r="E33212" t="s">
        <v>6</v>
      </c>
    </row>
    <row r="33213" spans="1:5" x14ac:dyDescent="0.2">
      <c r="A33213">
        <v>82643</v>
      </c>
      <c r="B33213" t="s">
        <v>57</v>
      </c>
      <c r="C33213">
        <v>82643</v>
      </c>
      <c r="D33213" t="str">
        <f>"82643"</f>
        <v>82643</v>
      </c>
      <c r="E33213">
        <v>60</v>
      </c>
    </row>
    <row r="33214" spans="1:5" x14ac:dyDescent="0.2">
      <c r="A33214">
        <v>82644</v>
      </c>
      <c r="B33214" t="s">
        <v>57</v>
      </c>
      <c r="C33214">
        <v>82644</v>
      </c>
      <c r="D33214" t="str">
        <f>"82644"</f>
        <v>82644</v>
      </c>
      <c r="E33214" t="s">
        <v>6</v>
      </c>
    </row>
    <row r="33215" spans="1:5" x14ac:dyDescent="0.2">
      <c r="A33215">
        <v>82646</v>
      </c>
      <c r="B33215" t="s">
        <v>57</v>
      </c>
      <c r="C33215">
        <v>82646</v>
      </c>
      <c r="D33215" t="str">
        <f>"82646"</f>
        <v>82646</v>
      </c>
      <c r="E33215" t="s">
        <v>6</v>
      </c>
    </row>
    <row r="33216" spans="1:5" x14ac:dyDescent="0.2">
      <c r="A33216">
        <v>82648</v>
      </c>
      <c r="B33216" t="s">
        <v>57</v>
      </c>
      <c r="C33216">
        <v>82648</v>
      </c>
      <c r="D33216" t="str">
        <f>"82648"</f>
        <v>82648</v>
      </c>
      <c r="E33216" t="s">
        <v>6</v>
      </c>
    </row>
    <row r="33217" spans="1:5" x14ac:dyDescent="0.2">
      <c r="A33217">
        <v>82649</v>
      </c>
      <c r="B33217" t="s">
        <v>57</v>
      </c>
      <c r="C33217">
        <v>82649</v>
      </c>
      <c r="D33217" t="str">
        <f>"82649"</f>
        <v>82649</v>
      </c>
      <c r="E33217">
        <v>73.81</v>
      </c>
    </row>
    <row r="33218" spans="1:5" x14ac:dyDescent="0.2">
      <c r="A33218">
        <v>82701</v>
      </c>
      <c r="B33218" t="s">
        <v>57</v>
      </c>
      <c r="C33218">
        <v>82701</v>
      </c>
      <c r="D33218" t="str">
        <f>"82701"</f>
        <v>82701</v>
      </c>
      <c r="E33218">
        <v>74.22</v>
      </c>
    </row>
    <row r="33219" spans="1:5" x14ac:dyDescent="0.2">
      <c r="A33219">
        <v>82710</v>
      </c>
      <c r="B33219" t="s">
        <v>57</v>
      </c>
      <c r="C33219">
        <v>82710</v>
      </c>
      <c r="D33219" t="str">
        <f>"82710"</f>
        <v>82710</v>
      </c>
      <c r="E33219">
        <v>69.23</v>
      </c>
    </row>
    <row r="33220" spans="1:5" x14ac:dyDescent="0.2">
      <c r="A33220">
        <v>82711</v>
      </c>
      <c r="B33220" t="s">
        <v>57</v>
      </c>
      <c r="C33220">
        <v>82711</v>
      </c>
      <c r="D33220" t="str">
        <f>"82711"</f>
        <v>82711</v>
      </c>
      <c r="E33220" t="s">
        <v>6</v>
      </c>
    </row>
    <row r="33221" spans="1:5" x14ac:dyDescent="0.2">
      <c r="A33221">
        <v>82712</v>
      </c>
      <c r="B33221" t="s">
        <v>57</v>
      </c>
      <c r="C33221">
        <v>82712</v>
      </c>
      <c r="D33221" t="str">
        <f>"82712"</f>
        <v>82712</v>
      </c>
      <c r="E33221">
        <v>73.33</v>
      </c>
    </row>
    <row r="33222" spans="1:5" x14ac:dyDescent="0.2">
      <c r="A33222">
        <v>82714</v>
      </c>
      <c r="B33222" t="s">
        <v>57</v>
      </c>
      <c r="C33222">
        <v>82714</v>
      </c>
      <c r="D33222" t="str">
        <f>"82714"</f>
        <v>82714</v>
      </c>
      <c r="E33222" t="s">
        <v>6</v>
      </c>
    </row>
    <row r="33223" spans="1:5" x14ac:dyDescent="0.2">
      <c r="A33223">
        <v>82715</v>
      </c>
      <c r="B33223" t="s">
        <v>57</v>
      </c>
      <c r="C33223">
        <v>82715</v>
      </c>
      <c r="D33223" t="str">
        <f>"82715"</f>
        <v>82715</v>
      </c>
      <c r="E33223" t="s">
        <v>6</v>
      </c>
    </row>
    <row r="33224" spans="1:5" x14ac:dyDescent="0.2">
      <c r="A33224">
        <v>82716</v>
      </c>
      <c r="B33224" t="s">
        <v>57</v>
      </c>
      <c r="C33224">
        <v>82716</v>
      </c>
      <c r="D33224" t="str">
        <f>"82716"</f>
        <v>82716</v>
      </c>
      <c r="E33224">
        <v>75.400000000000006</v>
      </c>
    </row>
    <row r="33225" spans="1:5" x14ac:dyDescent="0.2">
      <c r="A33225">
        <v>82718</v>
      </c>
      <c r="B33225" t="s">
        <v>57</v>
      </c>
      <c r="C33225">
        <v>82718</v>
      </c>
      <c r="D33225" t="str">
        <f>"82718"</f>
        <v>82718</v>
      </c>
      <c r="E33225">
        <v>79.19</v>
      </c>
    </row>
    <row r="33226" spans="1:5" x14ac:dyDescent="0.2">
      <c r="A33226">
        <v>82720</v>
      </c>
      <c r="B33226" t="s">
        <v>57</v>
      </c>
      <c r="C33226">
        <v>82720</v>
      </c>
      <c r="D33226" t="str">
        <f>"82720"</f>
        <v>82720</v>
      </c>
      <c r="E33226">
        <v>70.73</v>
      </c>
    </row>
    <row r="33227" spans="1:5" x14ac:dyDescent="0.2">
      <c r="A33227">
        <v>82721</v>
      </c>
      <c r="B33227" t="s">
        <v>57</v>
      </c>
      <c r="C33227">
        <v>82721</v>
      </c>
      <c r="D33227" t="str">
        <f>"82721"</f>
        <v>82721</v>
      </c>
      <c r="E33227">
        <v>74.42</v>
      </c>
    </row>
    <row r="33228" spans="1:5" x14ac:dyDescent="0.2">
      <c r="A33228">
        <v>82723</v>
      </c>
      <c r="B33228" t="s">
        <v>57</v>
      </c>
      <c r="C33228">
        <v>82723</v>
      </c>
      <c r="D33228" t="str">
        <f>"82723"</f>
        <v>82723</v>
      </c>
      <c r="E33228">
        <v>75</v>
      </c>
    </row>
    <row r="33229" spans="1:5" x14ac:dyDescent="0.2">
      <c r="A33229">
        <v>82725</v>
      </c>
      <c r="B33229" t="s">
        <v>57</v>
      </c>
      <c r="C33229">
        <v>82725</v>
      </c>
      <c r="D33229" t="str">
        <f>"82725"</f>
        <v>82725</v>
      </c>
      <c r="E33229" t="s">
        <v>6</v>
      </c>
    </row>
    <row r="33230" spans="1:5" x14ac:dyDescent="0.2">
      <c r="A33230">
        <v>82727</v>
      </c>
      <c r="B33230" t="s">
        <v>57</v>
      </c>
      <c r="C33230">
        <v>82727</v>
      </c>
      <c r="D33230" t="str">
        <f>"82727"</f>
        <v>82727</v>
      </c>
      <c r="E33230">
        <v>78.569999999999993</v>
      </c>
    </row>
    <row r="33231" spans="1:5" x14ac:dyDescent="0.2">
      <c r="A33231">
        <v>82729</v>
      </c>
      <c r="B33231" t="s">
        <v>57</v>
      </c>
      <c r="C33231">
        <v>82729</v>
      </c>
      <c r="D33231" t="str">
        <f>"82729"</f>
        <v>82729</v>
      </c>
      <c r="E33231">
        <v>73.73</v>
      </c>
    </row>
    <row r="33232" spans="1:5" x14ac:dyDescent="0.2">
      <c r="A33232">
        <v>82730</v>
      </c>
      <c r="B33232" t="s">
        <v>57</v>
      </c>
      <c r="C33232">
        <v>82730</v>
      </c>
      <c r="D33232" t="str">
        <f>"82730"</f>
        <v>82730</v>
      </c>
      <c r="E33232">
        <v>76.19</v>
      </c>
    </row>
    <row r="33233" spans="1:5" x14ac:dyDescent="0.2">
      <c r="A33233">
        <v>82731</v>
      </c>
      <c r="B33233" t="s">
        <v>57</v>
      </c>
      <c r="C33233">
        <v>82731</v>
      </c>
      <c r="D33233" t="str">
        <f>"82731"</f>
        <v>82731</v>
      </c>
      <c r="E33233" t="s">
        <v>6</v>
      </c>
    </row>
    <row r="33234" spans="1:5" x14ac:dyDescent="0.2">
      <c r="A33234">
        <v>82732</v>
      </c>
      <c r="B33234" t="s">
        <v>57</v>
      </c>
      <c r="C33234">
        <v>82732</v>
      </c>
      <c r="D33234" t="str">
        <f>"82732"</f>
        <v>82732</v>
      </c>
      <c r="E33234" t="s">
        <v>6</v>
      </c>
    </row>
    <row r="33235" spans="1:5" x14ac:dyDescent="0.2">
      <c r="A33235">
        <v>82801</v>
      </c>
      <c r="B33235" t="s">
        <v>57</v>
      </c>
      <c r="C33235">
        <v>82801</v>
      </c>
      <c r="D33235" t="str">
        <f>"82801"</f>
        <v>82801</v>
      </c>
      <c r="E33235">
        <v>75.41</v>
      </c>
    </row>
    <row r="33236" spans="1:5" x14ac:dyDescent="0.2">
      <c r="A33236">
        <v>82831</v>
      </c>
      <c r="B33236" t="s">
        <v>57</v>
      </c>
      <c r="C33236">
        <v>82831</v>
      </c>
      <c r="D33236" t="str">
        <f>"82831"</f>
        <v>82831</v>
      </c>
      <c r="E33236" t="s">
        <v>6</v>
      </c>
    </row>
    <row r="33237" spans="1:5" x14ac:dyDescent="0.2">
      <c r="A33237">
        <v>82832</v>
      </c>
      <c r="B33237" t="s">
        <v>57</v>
      </c>
      <c r="C33237">
        <v>82832</v>
      </c>
      <c r="D33237" t="str">
        <f>"82832"</f>
        <v>82832</v>
      </c>
      <c r="E33237">
        <v>75.86</v>
      </c>
    </row>
    <row r="33238" spans="1:5" x14ac:dyDescent="0.2">
      <c r="A33238">
        <v>82833</v>
      </c>
      <c r="B33238" t="s">
        <v>57</v>
      </c>
      <c r="C33238">
        <v>82833</v>
      </c>
      <c r="D33238" t="str">
        <f>"82833"</f>
        <v>82833</v>
      </c>
      <c r="E33238" t="s">
        <v>6</v>
      </c>
    </row>
    <row r="33239" spans="1:5" x14ac:dyDescent="0.2">
      <c r="A33239">
        <v>82834</v>
      </c>
      <c r="B33239" t="s">
        <v>57</v>
      </c>
      <c r="C33239">
        <v>82834</v>
      </c>
      <c r="D33239" t="str">
        <f>"82834"</f>
        <v>82834</v>
      </c>
      <c r="E33239">
        <v>72.91</v>
      </c>
    </row>
    <row r="33240" spans="1:5" x14ac:dyDescent="0.2">
      <c r="A33240">
        <v>82835</v>
      </c>
      <c r="B33240" t="s">
        <v>57</v>
      </c>
      <c r="C33240">
        <v>82835</v>
      </c>
      <c r="D33240" t="str">
        <f>"82835"</f>
        <v>82835</v>
      </c>
      <c r="E33240">
        <v>78.569999999999993</v>
      </c>
    </row>
    <row r="33241" spans="1:5" x14ac:dyDescent="0.2">
      <c r="A33241">
        <v>82836</v>
      </c>
      <c r="B33241" t="s">
        <v>57</v>
      </c>
      <c r="C33241">
        <v>82836</v>
      </c>
      <c r="D33241" t="str">
        <f>"82836"</f>
        <v>82836</v>
      </c>
      <c r="E33241">
        <v>74.069999999999993</v>
      </c>
    </row>
    <row r="33242" spans="1:5" x14ac:dyDescent="0.2">
      <c r="A33242">
        <v>82837</v>
      </c>
      <c r="B33242" t="s">
        <v>57</v>
      </c>
      <c r="C33242">
        <v>82837</v>
      </c>
      <c r="D33242" t="str">
        <f>"82837"</f>
        <v>82837</v>
      </c>
      <c r="E33242" t="s">
        <v>6</v>
      </c>
    </row>
    <row r="33243" spans="1:5" x14ac:dyDescent="0.2">
      <c r="A33243">
        <v>82838</v>
      </c>
      <c r="B33243" t="s">
        <v>57</v>
      </c>
      <c r="C33243">
        <v>82838</v>
      </c>
      <c r="D33243" t="str">
        <f>"82838"</f>
        <v>82838</v>
      </c>
      <c r="E33243" t="s">
        <v>6</v>
      </c>
    </row>
    <row r="33244" spans="1:5" x14ac:dyDescent="0.2">
      <c r="A33244">
        <v>82839</v>
      </c>
      <c r="B33244" t="s">
        <v>57</v>
      </c>
      <c r="C33244">
        <v>82839</v>
      </c>
      <c r="D33244" t="str">
        <f>"82839"</f>
        <v>82839</v>
      </c>
      <c r="E33244">
        <v>75</v>
      </c>
    </row>
    <row r="33245" spans="1:5" x14ac:dyDescent="0.2">
      <c r="A33245">
        <v>82842</v>
      </c>
      <c r="B33245" t="s">
        <v>57</v>
      </c>
      <c r="C33245">
        <v>82842</v>
      </c>
      <c r="D33245" t="str">
        <f>"82842"</f>
        <v>82842</v>
      </c>
      <c r="E33245" t="s">
        <v>6</v>
      </c>
    </row>
    <row r="33246" spans="1:5" x14ac:dyDescent="0.2">
      <c r="A33246">
        <v>82844</v>
      </c>
      <c r="B33246" t="s">
        <v>57</v>
      </c>
      <c r="C33246">
        <v>82844</v>
      </c>
      <c r="D33246" t="str">
        <f>"82844"</f>
        <v>82844</v>
      </c>
      <c r="E33246" t="s">
        <v>6</v>
      </c>
    </row>
    <row r="33247" spans="1:5" x14ac:dyDescent="0.2">
      <c r="A33247">
        <v>82845</v>
      </c>
      <c r="B33247" t="s">
        <v>57</v>
      </c>
      <c r="C33247">
        <v>82845</v>
      </c>
      <c r="D33247" t="str">
        <f>"82845"</f>
        <v>82845</v>
      </c>
      <c r="E33247" t="s">
        <v>6</v>
      </c>
    </row>
    <row r="33248" spans="1:5" x14ac:dyDescent="0.2">
      <c r="A33248">
        <v>82901</v>
      </c>
      <c r="B33248" t="s">
        <v>57</v>
      </c>
      <c r="C33248">
        <v>82901</v>
      </c>
      <c r="D33248" t="str">
        <f>"82901"</f>
        <v>82901</v>
      </c>
      <c r="E33248">
        <v>76.92</v>
      </c>
    </row>
    <row r="33249" spans="1:5" x14ac:dyDescent="0.2">
      <c r="A33249">
        <v>82922</v>
      </c>
      <c r="B33249" t="s">
        <v>57</v>
      </c>
      <c r="C33249">
        <v>82922</v>
      </c>
      <c r="D33249" t="str">
        <f>"82922"</f>
        <v>82922</v>
      </c>
      <c r="E33249">
        <v>80</v>
      </c>
    </row>
    <row r="33250" spans="1:5" x14ac:dyDescent="0.2">
      <c r="A33250">
        <v>82923</v>
      </c>
      <c r="B33250" t="s">
        <v>57</v>
      </c>
      <c r="C33250">
        <v>82923</v>
      </c>
      <c r="D33250" t="str">
        <f>"82923"</f>
        <v>82923</v>
      </c>
      <c r="E33250">
        <v>78.13</v>
      </c>
    </row>
    <row r="33251" spans="1:5" x14ac:dyDescent="0.2">
      <c r="A33251">
        <v>82925</v>
      </c>
      <c r="B33251" t="s">
        <v>57</v>
      </c>
      <c r="C33251">
        <v>82925</v>
      </c>
      <c r="D33251" t="str">
        <f>"82925"</f>
        <v>82925</v>
      </c>
      <c r="E33251">
        <v>84.62</v>
      </c>
    </row>
    <row r="33252" spans="1:5" x14ac:dyDescent="0.2">
      <c r="A33252">
        <v>82929</v>
      </c>
      <c r="B33252" t="s">
        <v>57</v>
      </c>
      <c r="C33252">
        <v>82929</v>
      </c>
      <c r="D33252" t="str">
        <f>"82929"</f>
        <v>82929</v>
      </c>
      <c r="E33252" t="s">
        <v>6</v>
      </c>
    </row>
    <row r="33253" spans="1:5" x14ac:dyDescent="0.2">
      <c r="A33253">
        <v>82930</v>
      </c>
      <c r="B33253" t="s">
        <v>57</v>
      </c>
      <c r="C33253">
        <v>82930</v>
      </c>
      <c r="D33253" t="str">
        <f>"82930"</f>
        <v>82930</v>
      </c>
      <c r="E33253">
        <v>70.739999999999995</v>
      </c>
    </row>
    <row r="33254" spans="1:5" x14ac:dyDescent="0.2">
      <c r="A33254">
        <v>82932</v>
      </c>
      <c r="B33254" t="s">
        <v>57</v>
      </c>
      <c r="C33254">
        <v>82932</v>
      </c>
      <c r="D33254" t="str">
        <f>"82932"</f>
        <v>82932</v>
      </c>
      <c r="E33254">
        <v>76.67</v>
      </c>
    </row>
    <row r="33255" spans="1:5" x14ac:dyDescent="0.2">
      <c r="A33255">
        <v>82933</v>
      </c>
      <c r="B33255" t="s">
        <v>57</v>
      </c>
      <c r="C33255">
        <v>82933</v>
      </c>
      <c r="D33255" t="str">
        <f>"82933"</f>
        <v>82933</v>
      </c>
      <c r="E33255">
        <v>78.38</v>
      </c>
    </row>
    <row r="33256" spans="1:5" x14ac:dyDescent="0.2">
      <c r="A33256">
        <v>82934</v>
      </c>
      <c r="B33256" t="s">
        <v>57</v>
      </c>
      <c r="C33256">
        <v>82934</v>
      </c>
      <c r="D33256" t="str">
        <f>"82934"</f>
        <v>82934</v>
      </c>
      <c r="E33256" t="s">
        <v>6</v>
      </c>
    </row>
    <row r="33257" spans="1:5" x14ac:dyDescent="0.2">
      <c r="A33257">
        <v>82935</v>
      </c>
      <c r="B33257" t="s">
        <v>57</v>
      </c>
      <c r="C33257">
        <v>82935</v>
      </c>
      <c r="D33257" t="str">
        <f>"82935"</f>
        <v>82935</v>
      </c>
      <c r="E33257">
        <v>80.209999999999994</v>
      </c>
    </row>
    <row r="33258" spans="1:5" x14ac:dyDescent="0.2">
      <c r="A33258">
        <v>82936</v>
      </c>
      <c r="B33258" t="s">
        <v>57</v>
      </c>
      <c r="C33258">
        <v>82936</v>
      </c>
      <c r="D33258" t="str">
        <f>"82936"</f>
        <v>82936</v>
      </c>
      <c r="E33258" t="s">
        <v>6</v>
      </c>
    </row>
    <row r="33259" spans="1:5" x14ac:dyDescent="0.2">
      <c r="A33259">
        <v>82937</v>
      </c>
      <c r="B33259" t="s">
        <v>57</v>
      </c>
      <c r="C33259">
        <v>82937</v>
      </c>
      <c r="D33259" t="str">
        <f>"82937"</f>
        <v>82937</v>
      </c>
      <c r="E33259">
        <v>74.099999999999994</v>
      </c>
    </row>
    <row r="33260" spans="1:5" x14ac:dyDescent="0.2">
      <c r="A33260">
        <v>82938</v>
      </c>
      <c r="B33260" t="s">
        <v>57</v>
      </c>
      <c r="C33260">
        <v>82938</v>
      </c>
      <c r="D33260" t="str">
        <f>"82938"</f>
        <v>82938</v>
      </c>
      <c r="E33260" t="s">
        <v>6</v>
      </c>
    </row>
    <row r="33261" spans="1:5" x14ac:dyDescent="0.2">
      <c r="A33261">
        <v>82939</v>
      </c>
      <c r="B33261" t="s">
        <v>57</v>
      </c>
      <c r="C33261">
        <v>82939</v>
      </c>
      <c r="D33261" t="str">
        <f>"82939"</f>
        <v>82939</v>
      </c>
      <c r="E33261" t="s">
        <v>6</v>
      </c>
    </row>
    <row r="33262" spans="1:5" x14ac:dyDescent="0.2">
      <c r="A33262">
        <v>82941</v>
      </c>
      <c r="B33262" t="s">
        <v>57</v>
      </c>
      <c r="C33262">
        <v>82941</v>
      </c>
      <c r="D33262" t="str">
        <f>"82941"</f>
        <v>82941</v>
      </c>
      <c r="E33262">
        <v>79.39</v>
      </c>
    </row>
    <row r="33263" spans="1:5" x14ac:dyDescent="0.2">
      <c r="A33263">
        <v>82943</v>
      </c>
      <c r="B33263" t="s">
        <v>57</v>
      </c>
      <c r="C33263">
        <v>82943</v>
      </c>
      <c r="D33263" t="str">
        <f>"82943"</f>
        <v>82943</v>
      </c>
      <c r="E33263">
        <v>71.430000000000007</v>
      </c>
    </row>
    <row r="33264" spans="1:5" x14ac:dyDescent="0.2">
      <c r="A33264">
        <v>82944</v>
      </c>
      <c r="B33264" t="s">
        <v>57</v>
      </c>
      <c r="C33264">
        <v>82944</v>
      </c>
      <c r="D33264" t="str">
        <f>"82944"</f>
        <v>82944</v>
      </c>
      <c r="E33264" t="s">
        <v>6</v>
      </c>
    </row>
    <row r="33265" spans="1:5" x14ac:dyDescent="0.2">
      <c r="A33265">
        <v>82945</v>
      </c>
      <c r="B33265" t="s">
        <v>57</v>
      </c>
      <c r="C33265">
        <v>82945</v>
      </c>
      <c r="D33265" t="str">
        <f>"82945"</f>
        <v>82945</v>
      </c>
      <c r="E33265" t="s">
        <v>6</v>
      </c>
    </row>
    <row r="33266" spans="1:5" x14ac:dyDescent="0.2">
      <c r="A33266">
        <v>83001</v>
      </c>
      <c r="B33266" t="s">
        <v>57</v>
      </c>
      <c r="C33266">
        <v>83001</v>
      </c>
      <c r="D33266" t="str">
        <f>"83001"</f>
        <v>83001</v>
      </c>
      <c r="E33266">
        <v>83.09</v>
      </c>
    </row>
    <row r="33267" spans="1:5" x14ac:dyDescent="0.2">
      <c r="A33267">
        <v>83011</v>
      </c>
      <c r="B33267" t="s">
        <v>57</v>
      </c>
      <c r="C33267">
        <v>83011</v>
      </c>
      <c r="D33267" t="str">
        <f>"83011"</f>
        <v>83011</v>
      </c>
      <c r="E33267">
        <v>81.819999999999993</v>
      </c>
    </row>
    <row r="33268" spans="1:5" x14ac:dyDescent="0.2">
      <c r="A33268">
        <v>83012</v>
      </c>
      <c r="B33268" t="s">
        <v>57</v>
      </c>
      <c r="C33268">
        <v>83012</v>
      </c>
      <c r="D33268" t="str">
        <f>"83012"</f>
        <v>83012</v>
      </c>
      <c r="E33268">
        <v>90.91</v>
      </c>
    </row>
    <row r="33269" spans="1:5" x14ac:dyDescent="0.2">
      <c r="A33269">
        <v>83013</v>
      </c>
      <c r="B33269" t="s">
        <v>57</v>
      </c>
      <c r="C33269">
        <v>83013</v>
      </c>
      <c r="D33269" t="str">
        <f>"83013"</f>
        <v>83013</v>
      </c>
      <c r="E33269" t="s">
        <v>6</v>
      </c>
    </row>
    <row r="33270" spans="1:5" x14ac:dyDescent="0.2">
      <c r="A33270">
        <v>83014</v>
      </c>
      <c r="B33270" t="s">
        <v>57</v>
      </c>
      <c r="C33270">
        <v>83014</v>
      </c>
      <c r="D33270" t="str">
        <f>"83014"</f>
        <v>83014</v>
      </c>
      <c r="E33270">
        <v>84.57</v>
      </c>
    </row>
    <row r="33271" spans="1:5" x14ac:dyDescent="0.2">
      <c r="A33271">
        <v>83101</v>
      </c>
      <c r="B33271" t="s">
        <v>57</v>
      </c>
      <c r="C33271">
        <v>83101</v>
      </c>
      <c r="D33271" t="str">
        <f>"83101"</f>
        <v>83101</v>
      </c>
      <c r="E33271">
        <v>81.819999999999993</v>
      </c>
    </row>
    <row r="33272" spans="1:5" x14ac:dyDescent="0.2">
      <c r="A33272">
        <v>83110</v>
      </c>
      <c r="B33272" t="s">
        <v>57</v>
      </c>
      <c r="C33272">
        <v>83110</v>
      </c>
      <c r="D33272" t="str">
        <f>"83110"</f>
        <v>83110</v>
      </c>
      <c r="E33272">
        <v>69.540000000000006</v>
      </c>
    </row>
    <row r="33273" spans="1:5" x14ac:dyDescent="0.2">
      <c r="A33273">
        <v>83111</v>
      </c>
      <c r="B33273" t="s">
        <v>57</v>
      </c>
      <c r="C33273">
        <v>83111</v>
      </c>
      <c r="D33273" t="str">
        <f>"83111"</f>
        <v>83111</v>
      </c>
      <c r="E33273">
        <v>73.680000000000007</v>
      </c>
    </row>
    <row r="33274" spans="1:5" x14ac:dyDescent="0.2">
      <c r="A33274">
        <v>83112</v>
      </c>
      <c r="B33274" t="s">
        <v>57</v>
      </c>
      <c r="C33274">
        <v>83112</v>
      </c>
      <c r="D33274" t="str">
        <f>"83112"</f>
        <v>83112</v>
      </c>
      <c r="E33274">
        <v>72.73</v>
      </c>
    </row>
    <row r="33275" spans="1:5" x14ac:dyDescent="0.2">
      <c r="A33275">
        <v>83113</v>
      </c>
      <c r="B33275" t="s">
        <v>57</v>
      </c>
      <c r="C33275">
        <v>83113</v>
      </c>
      <c r="D33275" t="str">
        <f>"83113"</f>
        <v>83113</v>
      </c>
      <c r="E33275">
        <v>75.760000000000005</v>
      </c>
    </row>
    <row r="33276" spans="1:5" x14ac:dyDescent="0.2">
      <c r="A33276">
        <v>83114</v>
      </c>
      <c r="B33276" t="s">
        <v>57</v>
      </c>
      <c r="C33276">
        <v>83114</v>
      </c>
      <c r="D33276" t="str">
        <f>"83114"</f>
        <v>83114</v>
      </c>
      <c r="E33276">
        <v>67.739999999999995</v>
      </c>
    </row>
    <row r="33277" spans="1:5" x14ac:dyDescent="0.2">
      <c r="A33277">
        <v>83115</v>
      </c>
      <c r="B33277" t="s">
        <v>57</v>
      </c>
      <c r="C33277">
        <v>83115</v>
      </c>
      <c r="D33277" t="str">
        <f>"83115"</f>
        <v>83115</v>
      </c>
      <c r="E33277">
        <v>80</v>
      </c>
    </row>
    <row r="33278" spans="1:5" x14ac:dyDescent="0.2">
      <c r="A33278">
        <v>83116</v>
      </c>
      <c r="B33278" t="s">
        <v>57</v>
      </c>
      <c r="C33278">
        <v>83116</v>
      </c>
      <c r="D33278" t="str">
        <f>"83116"</f>
        <v>83116</v>
      </c>
      <c r="E33278" t="s">
        <v>6</v>
      </c>
    </row>
    <row r="33279" spans="1:5" x14ac:dyDescent="0.2">
      <c r="A33279">
        <v>83118</v>
      </c>
      <c r="B33279" t="s">
        <v>57</v>
      </c>
      <c r="C33279">
        <v>83118</v>
      </c>
      <c r="D33279" t="str">
        <f>"83118"</f>
        <v>83118</v>
      </c>
      <c r="E33279">
        <v>73.81</v>
      </c>
    </row>
    <row r="33280" spans="1:5" x14ac:dyDescent="0.2">
      <c r="A33280">
        <v>83119</v>
      </c>
      <c r="B33280" t="s">
        <v>57</v>
      </c>
      <c r="C33280">
        <v>83119</v>
      </c>
      <c r="D33280" t="str">
        <f>"83119"</f>
        <v>83119</v>
      </c>
      <c r="E33280" t="s">
        <v>6</v>
      </c>
    </row>
    <row r="33281" spans="1:5" x14ac:dyDescent="0.2">
      <c r="A33281">
        <v>83120</v>
      </c>
      <c r="B33281" t="s">
        <v>57</v>
      </c>
      <c r="C33281">
        <v>83120</v>
      </c>
      <c r="D33281" t="str">
        <f>"83120"</f>
        <v>83120</v>
      </c>
      <c r="E33281">
        <v>61.9</v>
      </c>
    </row>
    <row r="33282" spans="1:5" x14ac:dyDescent="0.2">
      <c r="A33282">
        <v>83121</v>
      </c>
      <c r="B33282" t="s">
        <v>57</v>
      </c>
      <c r="C33282">
        <v>83121</v>
      </c>
      <c r="D33282" t="str">
        <f>"83121"</f>
        <v>83121</v>
      </c>
      <c r="E33282" t="s">
        <v>6</v>
      </c>
    </row>
    <row r="33283" spans="1:5" x14ac:dyDescent="0.2">
      <c r="A33283">
        <v>83122</v>
      </c>
      <c r="B33283" t="s">
        <v>57</v>
      </c>
      <c r="C33283">
        <v>83122</v>
      </c>
      <c r="D33283" t="str">
        <f>"83122"</f>
        <v>83122</v>
      </c>
      <c r="E33283">
        <v>66.67</v>
      </c>
    </row>
    <row r="33284" spans="1:5" x14ac:dyDescent="0.2">
      <c r="A33284">
        <v>83123</v>
      </c>
      <c r="B33284" t="s">
        <v>57</v>
      </c>
      <c r="C33284">
        <v>83123</v>
      </c>
      <c r="D33284" t="str">
        <f>"83123"</f>
        <v>83123</v>
      </c>
      <c r="E33284">
        <v>70.37</v>
      </c>
    </row>
    <row r="33285" spans="1:5" x14ac:dyDescent="0.2">
      <c r="A33285">
        <v>83124</v>
      </c>
      <c r="B33285" t="s">
        <v>57</v>
      </c>
      <c r="C33285">
        <v>83124</v>
      </c>
      <c r="D33285" t="str">
        <f>"83124"</f>
        <v>83124</v>
      </c>
      <c r="E33285" t="s">
        <v>6</v>
      </c>
    </row>
    <row r="33286" spans="1:5" x14ac:dyDescent="0.2">
      <c r="A33286">
        <v>83126</v>
      </c>
      <c r="B33286" t="s">
        <v>57</v>
      </c>
      <c r="C33286">
        <v>83126</v>
      </c>
      <c r="D33286" t="str">
        <f>"83126"</f>
        <v>83126</v>
      </c>
      <c r="E33286">
        <v>66.67</v>
      </c>
    </row>
    <row r="33287" spans="1:5" x14ac:dyDescent="0.2">
      <c r="A33287">
        <v>83127</v>
      </c>
      <c r="B33287" t="s">
        <v>57</v>
      </c>
      <c r="C33287">
        <v>83127</v>
      </c>
      <c r="D33287" t="str">
        <f>"83127"</f>
        <v>83127</v>
      </c>
      <c r="E33287">
        <v>75.48</v>
      </c>
    </row>
    <row r="33288" spans="1:5" x14ac:dyDescent="0.2">
      <c r="A33288">
        <v>83128</v>
      </c>
      <c r="B33288" t="s">
        <v>57</v>
      </c>
      <c r="C33288">
        <v>83128</v>
      </c>
      <c r="D33288" t="str">
        <f>"83128"</f>
        <v>83128</v>
      </c>
      <c r="E33288">
        <v>82.11</v>
      </c>
    </row>
    <row r="33289" spans="1:5" x14ac:dyDescent="0.2">
      <c r="A33289">
        <v>83414</v>
      </c>
      <c r="B33289" t="s">
        <v>57</v>
      </c>
      <c r="C33289">
        <v>83414</v>
      </c>
      <c r="D33289" t="str">
        <f>"83414"</f>
        <v>83414</v>
      </c>
      <c r="E33289">
        <v>77.27</v>
      </c>
    </row>
    <row r="33291" spans="1:5" x14ac:dyDescent="0.2">
      <c r="A33291" t="s">
        <v>58</v>
      </c>
    </row>
    <row r="33293" spans="1:5" x14ac:dyDescent="0.2">
      <c r="A33293" t="s">
        <v>59</v>
      </c>
    </row>
    <row r="33294" spans="1:5" x14ac:dyDescent="0.2">
      <c r="A33294" t="s">
        <v>60</v>
      </c>
    </row>
    <row r="33296" spans="1:5" x14ac:dyDescent="0.2">
      <c r="A33296" t="s">
        <v>61</v>
      </c>
    </row>
    <row r="33297" spans="1:1" x14ac:dyDescent="0.2">
      <c r="A33297" t="s">
        <v>62</v>
      </c>
    </row>
    <row r="33298" spans="1:1" x14ac:dyDescent="0.2">
      <c r="A33298" t="s">
        <v>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1:F14"/>
  <sheetViews>
    <sheetView workbookViewId="0">
      <selection activeCell="D11" sqref="D11"/>
    </sheetView>
  </sheetViews>
  <sheetFormatPr defaultRowHeight="12.75" x14ac:dyDescent="0.2"/>
  <cols>
    <col min="6" max="6" width="48.125" customWidth="1"/>
  </cols>
  <sheetData>
    <row r="11" spans="5:6" ht="120" x14ac:dyDescent="0.2">
      <c r="F11" s="1" t="s">
        <v>64</v>
      </c>
    </row>
    <row r="14" spans="5:6" x14ac:dyDescent="0.2">
      <c r="E14" s="2" t="s">
        <v>65</v>
      </c>
      <c r="F14" t="s">
        <v>66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Percent incom tax return</vt:lpstr>
      <vt:lpstr>Source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LCEU (Lisa Cheung)</dc:creator>
  <cp:lastModifiedBy>LCEU (Lisa Cheung)</cp:lastModifiedBy>
  <dcterms:created xsi:type="dcterms:W3CDTF">2020-01-02T16:40:31Z</dcterms:created>
  <dcterms:modified xsi:type="dcterms:W3CDTF">2020-01-02T16:40:32Z</dcterms:modified>
</cp:coreProperties>
</file>